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im\Documents\Projekty\ETRACOM 2024\Zakázky 2024\2024Z057 PD-Výměna rozvodů K-V-P Slunečná 1573-8 Havířov\rozpočet\"/>
    </mc:Choice>
  </mc:AlternateContent>
  <xr:revisionPtr revIDLastSave="0" documentId="13_ncr:1_{11DBE9CC-C17B-45EE-AAE6-5325531ED04B}" xr6:coauthVersionLast="47" xr6:coauthVersionMax="47" xr10:uidLastSave="{00000000-0000-0000-0000-000000000000}"/>
  <bookViews>
    <workbookView xWindow="2895" yWindow="375" windowWidth="29760" windowHeight="19830" xr2:uid="{00000000-000D-0000-FFFF-FFFF00000000}"/>
  </bookViews>
  <sheets>
    <sheet name="Krycí list rozpočtu" sheetId="3" r:id="rId1"/>
    <sheet name="Stavební rozpočet - součet" sheetId="2" r:id="rId2"/>
    <sheet name="Rozpočet - vybrané sloupce" sheetId="1" r:id="rId3"/>
    <sheet name="VORN" sheetId="4" state="hidden" r:id="rId4"/>
    <sheet name="Stavební rozpočet" sheetId="5" state="hidden" r:id="rId5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216" i="5" l="1"/>
  <c r="AL216" i="5"/>
  <c r="AU215" i="5" s="1"/>
  <c r="AJ216" i="5"/>
  <c r="AH216" i="5"/>
  <c r="AG216" i="5"/>
  <c r="AF216" i="5"/>
  <c r="AE216" i="5"/>
  <c r="AD216" i="5"/>
  <c r="AC216" i="5"/>
  <c r="AB216" i="5"/>
  <c r="Z216" i="5"/>
  <c r="L216" i="5"/>
  <c r="H216" i="5"/>
  <c r="BD216" i="5" s="1"/>
  <c r="G216" i="5"/>
  <c r="AS215" i="5"/>
  <c r="BW214" i="5"/>
  <c r="BF214" i="5"/>
  <c r="AL214" i="5"/>
  <c r="AJ214" i="5"/>
  <c r="AH214" i="5"/>
  <c r="AG214" i="5"/>
  <c r="AF214" i="5"/>
  <c r="AE214" i="5"/>
  <c r="AD214" i="5"/>
  <c r="AC214" i="5"/>
  <c r="AB214" i="5"/>
  <c r="Z214" i="5"/>
  <c r="O214" i="5"/>
  <c r="H214" i="5"/>
  <c r="AP214" i="5" s="1"/>
  <c r="G214" i="5"/>
  <c r="BW213" i="5"/>
  <c r="BO213" i="5"/>
  <c r="BD213" i="5"/>
  <c r="AO213" i="5"/>
  <c r="BH213" i="5" s="1"/>
  <c r="AL213" i="5"/>
  <c r="AJ213" i="5"/>
  <c r="AS212" i="5" s="1"/>
  <c r="AH213" i="5"/>
  <c r="AG213" i="5"/>
  <c r="AF213" i="5"/>
  <c r="AE213" i="5"/>
  <c r="AD213" i="5"/>
  <c r="AC213" i="5"/>
  <c r="AB213" i="5"/>
  <c r="Z213" i="5"/>
  <c r="H213" i="5"/>
  <c r="AP213" i="5" s="1"/>
  <c r="G213" i="5"/>
  <c r="BW211" i="5"/>
  <c r="BJ211" i="5"/>
  <c r="AL211" i="5"/>
  <c r="AJ211" i="5"/>
  <c r="AS210" i="5" s="1"/>
  <c r="AH211" i="5"/>
  <c r="AG211" i="5"/>
  <c r="AF211" i="5"/>
  <c r="AE211" i="5"/>
  <c r="AD211" i="5"/>
  <c r="AC211" i="5"/>
  <c r="AB211" i="5"/>
  <c r="Z211" i="5"/>
  <c r="H211" i="5"/>
  <c r="G211" i="5"/>
  <c r="AU210" i="5"/>
  <c r="BW207" i="5"/>
  <c r="AL207" i="5"/>
  <c r="AJ207" i="5"/>
  <c r="AH207" i="5"/>
  <c r="AG207" i="5"/>
  <c r="AF207" i="5"/>
  <c r="AE207" i="5"/>
  <c r="AD207" i="5"/>
  <c r="AC207" i="5"/>
  <c r="AB207" i="5"/>
  <c r="H207" i="5"/>
  <c r="G207" i="5"/>
  <c r="BW206" i="5"/>
  <c r="AL206" i="5"/>
  <c r="AJ206" i="5"/>
  <c r="AH206" i="5"/>
  <c r="AG206" i="5"/>
  <c r="AF206" i="5"/>
  <c r="AE206" i="5"/>
  <c r="AD206" i="5"/>
  <c r="AC206" i="5"/>
  <c r="AB206" i="5"/>
  <c r="O206" i="5"/>
  <c r="BF206" i="5" s="1"/>
  <c r="H206" i="5"/>
  <c r="AP206" i="5" s="1"/>
  <c r="G206" i="5"/>
  <c r="BW205" i="5"/>
  <c r="AL205" i="5"/>
  <c r="AJ205" i="5"/>
  <c r="AH205" i="5"/>
  <c r="AG205" i="5"/>
  <c r="AF205" i="5"/>
  <c r="AE205" i="5"/>
  <c r="AD205" i="5"/>
  <c r="AC205" i="5"/>
  <c r="AB205" i="5"/>
  <c r="H205" i="5"/>
  <c r="AO205" i="5" s="1"/>
  <c r="AW205" i="5" s="1"/>
  <c r="G205" i="5"/>
  <c r="BW204" i="5"/>
  <c r="AL204" i="5"/>
  <c r="AJ204" i="5"/>
  <c r="AH204" i="5"/>
  <c r="AG204" i="5"/>
  <c r="AF204" i="5"/>
  <c r="AE204" i="5"/>
  <c r="AD204" i="5"/>
  <c r="AC204" i="5"/>
  <c r="AB204" i="5"/>
  <c r="O204" i="5"/>
  <c r="BF204" i="5" s="1"/>
  <c r="H204" i="5"/>
  <c r="G204" i="5"/>
  <c r="BW203" i="5"/>
  <c r="BJ203" i="5"/>
  <c r="Z203" i="5" s="1"/>
  <c r="AL203" i="5"/>
  <c r="AJ203" i="5"/>
  <c r="AH203" i="5"/>
  <c r="AG203" i="5"/>
  <c r="AF203" i="5"/>
  <c r="AE203" i="5"/>
  <c r="AD203" i="5"/>
  <c r="AC203" i="5"/>
  <c r="AB203" i="5"/>
  <c r="H203" i="5"/>
  <c r="G203" i="5"/>
  <c r="BW202" i="5"/>
  <c r="AL202" i="5"/>
  <c r="AJ202" i="5"/>
  <c r="AH202" i="5"/>
  <c r="AG202" i="5"/>
  <c r="AF202" i="5"/>
  <c r="AE202" i="5"/>
  <c r="AD202" i="5"/>
  <c r="AC202" i="5"/>
  <c r="AB202" i="5"/>
  <c r="O202" i="5"/>
  <c r="BF202" i="5" s="1"/>
  <c r="H202" i="5"/>
  <c r="AP202" i="5" s="1"/>
  <c r="G202" i="5"/>
  <c r="BW201" i="5"/>
  <c r="AL201" i="5"/>
  <c r="AJ201" i="5"/>
  <c r="AH201" i="5"/>
  <c r="AG201" i="5"/>
  <c r="AF201" i="5"/>
  <c r="AE201" i="5"/>
  <c r="AD201" i="5"/>
  <c r="AC201" i="5"/>
  <c r="AB201" i="5"/>
  <c r="H201" i="5"/>
  <c r="G201" i="5"/>
  <c r="BW200" i="5"/>
  <c r="BF200" i="5"/>
  <c r="AX200" i="5"/>
  <c r="AL200" i="5"/>
  <c r="AJ200" i="5"/>
  <c r="AH200" i="5"/>
  <c r="AG200" i="5"/>
  <c r="AF200" i="5"/>
  <c r="AE200" i="5"/>
  <c r="AD200" i="5"/>
  <c r="Z200" i="5"/>
  <c r="O200" i="5"/>
  <c r="H200" i="5"/>
  <c r="AP200" i="5" s="1"/>
  <c r="G200" i="5"/>
  <c r="BW198" i="5"/>
  <c r="AL198" i="5"/>
  <c r="AJ198" i="5"/>
  <c r="AH198" i="5"/>
  <c r="AG198" i="5"/>
  <c r="AF198" i="5"/>
  <c r="AE198" i="5"/>
  <c r="AD198" i="5"/>
  <c r="Z198" i="5"/>
  <c r="L198" i="5"/>
  <c r="H198" i="5"/>
  <c r="G198" i="5"/>
  <c r="BW197" i="5"/>
  <c r="AL197" i="5"/>
  <c r="AJ197" i="5"/>
  <c r="AH197" i="5"/>
  <c r="AG197" i="5"/>
  <c r="AF197" i="5"/>
  <c r="AE197" i="5"/>
  <c r="AD197" i="5"/>
  <c r="Z197" i="5"/>
  <c r="O197" i="5"/>
  <c r="BF197" i="5" s="1"/>
  <c r="H197" i="5"/>
  <c r="AP197" i="5" s="1"/>
  <c r="G197" i="5"/>
  <c r="BW196" i="5"/>
  <c r="AL196" i="5"/>
  <c r="AJ196" i="5"/>
  <c r="AH196" i="5"/>
  <c r="AG196" i="5"/>
  <c r="AF196" i="5"/>
  <c r="AE196" i="5"/>
  <c r="AD196" i="5"/>
  <c r="Z196" i="5"/>
  <c r="H196" i="5"/>
  <c r="G196" i="5"/>
  <c r="BW195" i="5"/>
  <c r="BF195" i="5"/>
  <c r="AL195" i="5"/>
  <c r="AJ195" i="5"/>
  <c r="AH195" i="5"/>
  <c r="AG195" i="5"/>
  <c r="AF195" i="5"/>
  <c r="AE195" i="5"/>
  <c r="AD195" i="5"/>
  <c r="Z195" i="5"/>
  <c r="O195" i="5"/>
  <c r="H195" i="5"/>
  <c r="G195" i="5"/>
  <c r="BW194" i="5"/>
  <c r="AL194" i="5"/>
  <c r="AU193" i="5" s="1"/>
  <c r="AJ194" i="5"/>
  <c r="AH194" i="5"/>
  <c r="AG194" i="5"/>
  <c r="AF194" i="5"/>
  <c r="AE194" i="5"/>
  <c r="AD194" i="5"/>
  <c r="Z194" i="5"/>
  <c r="L194" i="5"/>
  <c r="H194" i="5"/>
  <c r="G194" i="5"/>
  <c r="BW192" i="5"/>
  <c r="AO192" i="5"/>
  <c r="AL192" i="5"/>
  <c r="AJ192" i="5"/>
  <c r="AS191" i="5" s="1"/>
  <c r="AH192" i="5"/>
  <c r="AG192" i="5"/>
  <c r="AF192" i="5"/>
  <c r="AE192" i="5"/>
  <c r="AD192" i="5"/>
  <c r="Z192" i="5"/>
  <c r="O192" i="5"/>
  <c r="BF192" i="5" s="1"/>
  <c r="H192" i="5"/>
  <c r="AP192" i="5" s="1"/>
  <c r="G192" i="5"/>
  <c r="AU191" i="5"/>
  <c r="BW190" i="5"/>
  <c r="BD190" i="5"/>
  <c r="AP190" i="5"/>
  <c r="BI190" i="5" s="1"/>
  <c r="AC190" i="5" s="1"/>
  <c r="AL190" i="5"/>
  <c r="AU189" i="5" s="1"/>
  <c r="AJ190" i="5"/>
  <c r="AS189" i="5" s="1"/>
  <c r="AH190" i="5"/>
  <c r="AG190" i="5"/>
  <c r="AF190" i="5"/>
  <c r="AE190" i="5"/>
  <c r="AD190" i="5"/>
  <c r="Z190" i="5"/>
  <c r="H190" i="5"/>
  <c r="AO190" i="5" s="1"/>
  <c r="AW190" i="5" s="1"/>
  <c r="G190" i="5"/>
  <c r="BW188" i="5"/>
  <c r="AL188" i="5"/>
  <c r="AU187" i="5" s="1"/>
  <c r="AJ188" i="5"/>
  <c r="AS187" i="5" s="1"/>
  <c r="AH188" i="5"/>
  <c r="AG188" i="5"/>
  <c r="AF188" i="5"/>
  <c r="AC188" i="5"/>
  <c r="AB188" i="5"/>
  <c r="Z188" i="5"/>
  <c r="O188" i="5"/>
  <c r="H188" i="5"/>
  <c r="G188" i="5"/>
  <c r="BW186" i="5"/>
  <c r="AL186" i="5"/>
  <c r="AJ186" i="5"/>
  <c r="AH186" i="5"/>
  <c r="AG186" i="5"/>
  <c r="AF186" i="5"/>
  <c r="AE186" i="5"/>
  <c r="AD186" i="5"/>
  <c r="AC186" i="5"/>
  <c r="AB186" i="5"/>
  <c r="H186" i="5"/>
  <c r="G186" i="5"/>
  <c r="BW185" i="5"/>
  <c r="AO185" i="5"/>
  <c r="AL185" i="5"/>
  <c r="AJ185" i="5"/>
  <c r="AH185" i="5"/>
  <c r="AG185" i="5"/>
  <c r="AF185" i="5"/>
  <c r="AC185" i="5"/>
  <c r="AB185" i="5"/>
  <c r="Z185" i="5"/>
  <c r="O185" i="5"/>
  <c r="BF185" i="5" s="1"/>
  <c r="H185" i="5"/>
  <c r="AP185" i="5" s="1"/>
  <c r="G185" i="5"/>
  <c r="BW184" i="5"/>
  <c r="AL184" i="5"/>
  <c r="AJ184" i="5"/>
  <c r="AH184" i="5"/>
  <c r="AG184" i="5"/>
  <c r="AF184" i="5"/>
  <c r="AC184" i="5"/>
  <c r="AB184" i="5"/>
  <c r="Z184" i="5"/>
  <c r="H184" i="5"/>
  <c r="AO184" i="5" s="1"/>
  <c r="AW184" i="5" s="1"/>
  <c r="G184" i="5"/>
  <c r="BW183" i="5"/>
  <c r="BF183" i="5"/>
  <c r="AL183" i="5"/>
  <c r="AJ183" i="5"/>
  <c r="AH183" i="5"/>
  <c r="AG183" i="5"/>
  <c r="AF183" i="5"/>
  <c r="AC183" i="5"/>
  <c r="AB183" i="5"/>
  <c r="Z183" i="5"/>
  <c r="O183" i="5"/>
  <c r="H183" i="5"/>
  <c r="G183" i="5"/>
  <c r="BW182" i="5"/>
  <c r="AL182" i="5"/>
  <c r="AU181" i="5" s="1"/>
  <c r="AJ182" i="5"/>
  <c r="AH182" i="5"/>
  <c r="AG182" i="5"/>
  <c r="AF182" i="5"/>
  <c r="AC182" i="5"/>
  <c r="AB182" i="5"/>
  <c r="Z182" i="5"/>
  <c r="L182" i="5"/>
  <c r="H182" i="5"/>
  <c r="G182" i="5"/>
  <c r="BW180" i="5"/>
  <c r="BF180" i="5"/>
  <c r="AL180" i="5"/>
  <c r="AJ180" i="5"/>
  <c r="AH180" i="5"/>
  <c r="AG180" i="5"/>
  <c r="AF180" i="5"/>
  <c r="AE180" i="5"/>
  <c r="AD180" i="5"/>
  <c r="AC180" i="5"/>
  <c r="AB180" i="5"/>
  <c r="O180" i="5"/>
  <c r="H180" i="5"/>
  <c r="AO180" i="5" s="1"/>
  <c r="G180" i="5"/>
  <c r="BW179" i="5"/>
  <c r="AP179" i="5"/>
  <c r="BI179" i="5" s="1"/>
  <c r="AE179" i="5" s="1"/>
  <c r="AL179" i="5"/>
  <c r="AJ179" i="5"/>
  <c r="AH179" i="5"/>
  <c r="AG179" i="5"/>
  <c r="AF179" i="5"/>
  <c r="AC179" i="5"/>
  <c r="AB179" i="5"/>
  <c r="Z179" i="5"/>
  <c r="K179" i="5"/>
  <c r="H179" i="5"/>
  <c r="AO179" i="5" s="1"/>
  <c r="G179" i="5"/>
  <c r="BW178" i="5"/>
  <c r="AL178" i="5"/>
  <c r="AJ178" i="5"/>
  <c r="AH178" i="5"/>
  <c r="AG178" i="5"/>
  <c r="AF178" i="5"/>
  <c r="AC178" i="5"/>
  <c r="AB178" i="5"/>
  <c r="Z178" i="5"/>
  <c r="O178" i="5"/>
  <c r="BF178" i="5" s="1"/>
  <c r="H178" i="5"/>
  <c r="BD178" i="5" s="1"/>
  <c r="G178" i="5"/>
  <c r="BW177" i="5"/>
  <c r="AL177" i="5"/>
  <c r="AJ177" i="5"/>
  <c r="AS176" i="5" s="1"/>
  <c r="AH177" i="5"/>
  <c r="AG177" i="5"/>
  <c r="AF177" i="5"/>
  <c r="AC177" i="5"/>
  <c r="AB177" i="5"/>
  <c r="Z177" i="5"/>
  <c r="O177" i="5"/>
  <c r="H177" i="5"/>
  <c r="G177" i="5"/>
  <c r="BW175" i="5"/>
  <c r="BJ175" i="5"/>
  <c r="AX175" i="5"/>
  <c r="AO175" i="5"/>
  <c r="BH175" i="5" s="1"/>
  <c r="AD175" i="5" s="1"/>
  <c r="AL175" i="5"/>
  <c r="AJ175" i="5"/>
  <c r="AS174" i="5" s="1"/>
  <c r="AH175" i="5"/>
  <c r="AG175" i="5"/>
  <c r="AF175" i="5"/>
  <c r="AC175" i="5"/>
  <c r="AB175" i="5"/>
  <c r="Z175" i="5"/>
  <c r="O175" i="5"/>
  <c r="L175" i="5"/>
  <c r="J175" i="5"/>
  <c r="J174" i="5" s="1"/>
  <c r="H175" i="5"/>
  <c r="AP175" i="5" s="1"/>
  <c r="G175" i="5"/>
  <c r="BI175" i="5" s="1"/>
  <c r="AE175" i="5" s="1"/>
  <c r="AU174" i="5"/>
  <c r="BW173" i="5"/>
  <c r="AP173" i="5"/>
  <c r="AL173" i="5"/>
  <c r="AU172" i="5" s="1"/>
  <c r="AJ173" i="5"/>
  <c r="AS172" i="5" s="1"/>
  <c r="AH173" i="5"/>
  <c r="AG173" i="5"/>
  <c r="AF173" i="5"/>
  <c r="AE173" i="5"/>
  <c r="AD173" i="5"/>
  <c r="Z173" i="5"/>
  <c r="H173" i="5"/>
  <c r="G173" i="5"/>
  <c r="BW171" i="5"/>
  <c r="AP171" i="5"/>
  <c r="AO171" i="5"/>
  <c r="AL171" i="5"/>
  <c r="AJ171" i="5"/>
  <c r="AH171" i="5"/>
  <c r="AG171" i="5"/>
  <c r="AF171" i="5"/>
  <c r="AE171" i="5"/>
  <c r="AD171" i="5"/>
  <c r="AC171" i="5"/>
  <c r="AB171" i="5"/>
  <c r="H171" i="5"/>
  <c r="BD171" i="5" s="1"/>
  <c r="G171" i="5"/>
  <c r="BW170" i="5"/>
  <c r="AL170" i="5"/>
  <c r="AJ170" i="5"/>
  <c r="AH170" i="5"/>
  <c r="AG170" i="5"/>
  <c r="AF170" i="5"/>
  <c r="AE170" i="5"/>
  <c r="AD170" i="5"/>
  <c r="Z170" i="5"/>
  <c r="O170" i="5"/>
  <c r="BF170" i="5" s="1"/>
  <c r="H170" i="5"/>
  <c r="G170" i="5"/>
  <c r="BW169" i="5"/>
  <c r="BJ169" i="5"/>
  <c r="AO169" i="5"/>
  <c r="BH169" i="5" s="1"/>
  <c r="AB169" i="5" s="1"/>
  <c r="AL169" i="5"/>
  <c r="AJ169" i="5"/>
  <c r="AH169" i="5"/>
  <c r="AG169" i="5"/>
  <c r="AF169" i="5"/>
  <c r="AE169" i="5"/>
  <c r="AD169" i="5"/>
  <c r="Z169" i="5"/>
  <c r="O169" i="5"/>
  <c r="BF169" i="5" s="1"/>
  <c r="L169" i="5"/>
  <c r="J169" i="5"/>
  <c r="H169" i="5"/>
  <c r="AP169" i="5" s="1"/>
  <c r="AX169" i="5" s="1"/>
  <c r="G169" i="5"/>
  <c r="BW168" i="5"/>
  <c r="BJ168" i="5"/>
  <c r="AO168" i="5"/>
  <c r="AL168" i="5"/>
  <c r="AJ168" i="5"/>
  <c r="AH168" i="5"/>
  <c r="AG168" i="5"/>
  <c r="AF168" i="5"/>
  <c r="AE168" i="5"/>
  <c r="AD168" i="5"/>
  <c r="Z168" i="5"/>
  <c r="L168" i="5"/>
  <c r="AK168" i="5" s="1"/>
  <c r="H168" i="5"/>
  <c r="AP168" i="5" s="1"/>
  <c r="G168" i="5"/>
  <c r="BW167" i="5"/>
  <c r="AP167" i="5"/>
  <c r="K167" i="5" s="1"/>
  <c r="AO167" i="5"/>
  <c r="J167" i="5" s="1"/>
  <c r="AL167" i="5"/>
  <c r="AJ167" i="5"/>
  <c r="AH167" i="5"/>
  <c r="AG167" i="5"/>
  <c r="AF167" i="5"/>
  <c r="AE167" i="5"/>
  <c r="AD167" i="5"/>
  <c r="Z167" i="5"/>
  <c r="H167" i="5"/>
  <c r="BD167" i="5" s="1"/>
  <c r="G167" i="5"/>
  <c r="BW166" i="5"/>
  <c r="AL166" i="5"/>
  <c r="AJ166" i="5"/>
  <c r="AH166" i="5"/>
  <c r="AG166" i="5"/>
  <c r="AF166" i="5"/>
  <c r="AE166" i="5"/>
  <c r="AD166" i="5"/>
  <c r="Z166" i="5"/>
  <c r="H166" i="5"/>
  <c r="BD166" i="5" s="1"/>
  <c r="G166" i="5"/>
  <c r="BW165" i="5"/>
  <c r="AL165" i="5"/>
  <c r="AJ165" i="5"/>
  <c r="AH165" i="5"/>
  <c r="AG165" i="5"/>
  <c r="AF165" i="5"/>
  <c r="AE165" i="5"/>
  <c r="AD165" i="5"/>
  <c r="Z165" i="5"/>
  <c r="O165" i="5"/>
  <c r="BF165" i="5" s="1"/>
  <c r="H165" i="5"/>
  <c r="G165" i="5"/>
  <c r="BW164" i="5"/>
  <c r="AW164" i="5"/>
  <c r="AP164" i="5"/>
  <c r="AO164" i="5"/>
  <c r="BH164" i="5" s="1"/>
  <c r="AB164" i="5" s="1"/>
  <c r="AL164" i="5"/>
  <c r="AJ164" i="5"/>
  <c r="AH164" i="5"/>
  <c r="AG164" i="5"/>
  <c r="AF164" i="5"/>
  <c r="AE164" i="5"/>
  <c r="AD164" i="5"/>
  <c r="Z164" i="5"/>
  <c r="M164" i="5"/>
  <c r="L164" i="5"/>
  <c r="AK164" i="5" s="1"/>
  <c r="H164" i="5"/>
  <c r="BD164" i="5" s="1"/>
  <c r="G164" i="5"/>
  <c r="BW163" i="5"/>
  <c r="AP163" i="5"/>
  <c r="AO163" i="5"/>
  <c r="AL163" i="5"/>
  <c r="AJ163" i="5"/>
  <c r="AH163" i="5"/>
  <c r="AG163" i="5"/>
  <c r="AF163" i="5"/>
  <c r="AE163" i="5"/>
  <c r="AD163" i="5"/>
  <c r="Z163" i="5"/>
  <c r="H163" i="5"/>
  <c r="BD163" i="5" s="1"/>
  <c r="G163" i="5"/>
  <c r="BW162" i="5"/>
  <c r="BD162" i="5"/>
  <c r="AL162" i="5"/>
  <c r="AJ162" i="5"/>
  <c r="AH162" i="5"/>
  <c r="AG162" i="5"/>
  <c r="AF162" i="5"/>
  <c r="AE162" i="5"/>
  <c r="AD162" i="5"/>
  <c r="Z162" i="5"/>
  <c r="O162" i="5"/>
  <c r="BF162" i="5" s="1"/>
  <c r="H162" i="5"/>
  <c r="G162" i="5"/>
  <c r="BW161" i="5"/>
  <c r="BJ161" i="5"/>
  <c r="AO161" i="5"/>
  <c r="BH161" i="5" s="1"/>
  <c r="AB161" i="5" s="1"/>
  <c r="AL161" i="5"/>
  <c r="AJ161" i="5"/>
  <c r="AH161" i="5"/>
  <c r="AG161" i="5"/>
  <c r="AF161" i="5"/>
  <c r="AE161" i="5"/>
  <c r="AD161" i="5"/>
  <c r="Z161" i="5"/>
  <c r="O161" i="5"/>
  <c r="BF161" i="5" s="1"/>
  <c r="L161" i="5"/>
  <c r="J161" i="5"/>
  <c r="H161" i="5"/>
  <c r="AP161" i="5" s="1"/>
  <c r="AX161" i="5" s="1"/>
  <c r="G161" i="5"/>
  <c r="BW160" i="5"/>
  <c r="BJ160" i="5"/>
  <c r="BD160" i="5"/>
  <c r="AO160" i="5"/>
  <c r="AL160" i="5"/>
  <c r="AJ160" i="5"/>
  <c r="AH160" i="5"/>
  <c r="AG160" i="5"/>
  <c r="AF160" i="5"/>
  <c r="AE160" i="5"/>
  <c r="AD160" i="5"/>
  <c r="Z160" i="5"/>
  <c r="L160" i="5"/>
  <c r="H160" i="5"/>
  <c r="AP160" i="5" s="1"/>
  <c r="G160" i="5"/>
  <c r="BW159" i="5"/>
  <c r="AL159" i="5"/>
  <c r="AJ159" i="5"/>
  <c r="AH159" i="5"/>
  <c r="AG159" i="5"/>
  <c r="AF159" i="5"/>
  <c r="AE159" i="5"/>
  <c r="AD159" i="5"/>
  <c r="Z159" i="5"/>
  <c r="H159" i="5"/>
  <c r="G159" i="5"/>
  <c r="BW156" i="5"/>
  <c r="AX156" i="5"/>
  <c r="AL156" i="5"/>
  <c r="AJ156" i="5"/>
  <c r="AH156" i="5"/>
  <c r="AG156" i="5"/>
  <c r="AF156" i="5"/>
  <c r="AE156" i="5"/>
  <c r="AD156" i="5"/>
  <c r="AC156" i="5"/>
  <c r="AB156" i="5"/>
  <c r="O156" i="5"/>
  <c r="BF156" i="5" s="1"/>
  <c r="H156" i="5"/>
  <c r="AP156" i="5" s="1"/>
  <c r="G156" i="5"/>
  <c r="BW155" i="5"/>
  <c r="BF155" i="5"/>
  <c r="AL155" i="5"/>
  <c r="AJ155" i="5"/>
  <c r="AH155" i="5"/>
  <c r="AG155" i="5"/>
  <c r="AF155" i="5"/>
  <c r="AC155" i="5"/>
  <c r="AB155" i="5"/>
  <c r="Z155" i="5"/>
  <c r="O155" i="5"/>
  <c r="H155" i="5"/>
  <c r="G155" i="5"/>
  <c r="BW154" i="5"/>
  <c r="BF154" i="5"/>
  <c r="AL154" i="5"/>
  <c r="AJ154" i="5"/>
  <c r="AH154" i="5"/>
  <c r="AG154" i="5"/>
  <c r="AF154" i="5"/>
  <c r="AC154" i="5"/>
  <c r="AB154" i="5"/>
  <c r="Z154" i="5"/>
  <c r="O154" i="5"/>
  <c r="H154" i="5"/>
  <c r="G154" i="5"/>
  <c r="BW153" i="5"/>
  <c r="BI153" i="5"/>
  <c r="AE153" i="5" s="1"/>
  <c r="BD153" i="5"/>
  <c r="AP153" i="5"/>
  <c r="K153" i="5" s="1"/>
  <c r="AL153" i="5"/>
  <c r="AJ153" i="5"/>
  <c r="AH153" i="5"/>
  <c r="AG153" i="5"/>
  <c r="AF153" i="5"/>
  <c r="AC153" i="5"/>
  <c r="AB153" i="5"/>
  <c r="Z153" i="5"/>
  <c r="H153" i="5"/>
  <c r="AO153" i="5" s="1"/>
  <c r="AW153" i="5" s="1"/>
  <c r="G153" i="5"/>
  <c r="BW152" i="5"/>
  <c r="AL152" i="5"/>
  <c r="AJ152" i="5"/>
  <c r="AH152" i="5"/>
  <c r="AG152" i="5"/>
  <c r="AF152" i="5"/>
  <c r="AC152" i="5"/>
  <c r="AB152" i="5"/>
  <c r="Z152" i="5"/>
  <c r="H152" i="5"/>
  <c r="G152" i="5"/>
  <c r="BW151" i="5"/>
  <c r="AL151" i="5"/>
  <c r="AJ151" i="5"/>
  <c r="AH151" i="5"/>
  <c r="AG151" i="5"/>
  <c r="AF151" i="5"/>
  <c r="AC151" i="5"/>
  <c r="AB151" i="5"/>
  <c r="Z151" i="5"/>
  <c r="O151" i="5"/>
  <c r="BF151" i="5" s="1"/>
  <c r="H151" i="5"/>
  <c r="G151" i="5"/>
  <c r="BW150" i="5"/>
  <c r="AL150" i="5"/>
  <c r="AJ150" i="5"/>
  <c r="AH150" i="5"/>
  <c r="AG150" i="5"/>
  <c r="AF150" i="5"/>
  <c r="AC150" i="5"/>
  <c r="AB150" i="5"/>
  <c r="Z150" i="5"/>
  <c r="H150" i="5"/>
  <c r="G150" i="5"/>
  <c r="BW149" i="5"/>
  <c r="BH149" i="5"/>
  <c r="AD149" i="5" s="1"/>
  <c r="AX149" i="5"/>
  <c r="AW149" i="5"/>
  <c r="AP149" i="5"/>
  <c r="AO149" i="5"/>
  <c r="AL149" i="5"/>
  <c r="AJ149" i="5"/>
  <c r="AH149" i="5"/>
  <c r="AG149" i="5"/>
  <c r="AF149" i="5"/>
  <c r="AC149" i="5"/>
  <c r="AB149" i="5"/>
  <c r="Z149" i="5"/>
  <c r="O149" i="5"/>
  <c r="BF149" i="5" s="1"/>
  <c r="J149" i="5"/>
  <c r="H149" i="5"/>
  <c r="BD149" i="5" s="1"/>
  <c r="G149" i="5"/>
  <c r="BJ149" i="5" s="1"/>
  <c r="BW148" i="5"/>
  <c r="BJ148" i="5"/>
  <c r="AL148" i="5"/>
  <c r="AJ148" i="5"/>
  <c r="AH148" i="5"/>
  <c r="AG148" i="5"/>
  <c r="AF148" i="5"/>
  <c r="AC148" i="5"/>
  <c r="AB148" i="5"/>
  <c r="Z148" i="5"/>
  <c r="L148" i="5"/>
  <c r="M148" i="5" s="1"/>
  <c r="H148" i="5"/>
  <c r="G148" i="5"/>
  <c r="BW147" i="5"/>
  <c r="AL147" i="5"/>
  <c r="AJ147" i="5"/>
  <c r="AH147" i="5"/>
  <c r="AG147" i="5"/>
  <c r="AF147" i="5"/>
  <c r="AC147" i="5"/>
  <c r="AB147" i="5"/>
  <c r="Z147" i="5"/>
  <c r="O147" i="5"/>
  <c r="BF147" i="5" s="1"/>
  <c r="H147" i="5"/>
  <c r="AO147" i="5" s="1"/>
  <c r="BH147" i="5" s="1"/>
  <c r="AD147" i="5" s="1"/>
  <c r="G147" i="5"/>
  <c r="BW146" i="5"/>
  <c r="AL146" i="5"/>
  <c r="AU145" i="5" s="1"/>
  <c r="AJ146" i="5"/>
  <c r="AH146" i="5"/>
  <c r="AG146" i="5"/>
  <c r="AF146" i="5"/>
  <c r="AC146" i="5"/>
  <c r="AB146" i="5"/>
  <c r="Z146" i="5"/>
  <c r="H146" i="5"/>
  <c r="G146" i="5"/>
  <c r="BW143" i="5"/>
  <c r="BD143" i="5"/>
  <c r="AO143" i="5"/>
  <c r="AL143" i="5"/>
  <c r="AJ143" i="5"/>
  <c r="AH143" i="5"/>
  <c r="AG143" i="5"/>
  <c r="AF143" i="5"/>
  <c r="AE143" i="5"/>
  <c r="AD143" i="5"/>
  <c r="AC143" i="5"/>
  <c r="AB143" i="5"/>
  <c r="H143" i="5"/>
  <c r="AP143" i="5" s="1"/>
  <c r="BI143" i="5" s="1"/>
  <c r="G143" i="5"/>
  <c r="BW142" i="5"/>
  <c r="AL142" i="5"/>
  <c r="AJ142" i="5"/>
  <c r="AH142" i="5"/>
  <c r="AG142" i="5"/>
  <c r="AF142" i="5"/>
  <c r="AC142" i="5"/>
  <c r="AB142" i="5"/>
  <c r="Z142" i="5"/>
  <c r="H142" i="5"/>
  <c r="G142" i="5"/>
  <c r="BW141" i="5"/>
  <c r="BJ141" i="5"/>
  <c r="AP141" i="5"/>
  <c r="AL141" i="5"/>
  <c r="AJ141" i="5"/>
  <c r="AH141" i="5"/>
  <c r="AG141" i="5"/>
  <c r="AF141" i="5"/>
  <c r="AC141" i="5"/>
  <c r="AB141" i="5"/>
  <c r="Z141" i="5"/>
  <c r="O141" i="5"/>
  <c r="BF141" i="5" s="1"/>
  <c r="H141" i="5"/>
  <c r="AO141" i="5" s="1"/>
  <c r="G141" i="5"/>
  <c r="BW140" i="5"/>
  <c r="BJ140" i="5"/>
  <c r="BH140" i="5"/>
  <c r="AD140" i="5" s="1"/>
  <c r="AL140" i="5"/>
  <c r="AJ140" i="5"/>
  <c r="AH140" i="5"/>
  <c r="AG140" i="5"/>
  <c r="AF140" i="5"/>
  <c r="AC140" i="5"/>
  <c r="AB140" i="5"/>
  <c r="Z140" i="5"/>
  <c r="O140" i="5"/>
  <c r="BF140" i="5" s="1"/>
  <c r="L140" i="5"/>
  <c r="H140" i="5"/>
  <c r="AO140" i="5" s="1"/>
  <c r="G140" i="5"/>
  <c r="BW139" i="5"/>
  <c r="AL139" i="5"/>
  <c r="AJ139" i="5"/>
  <c r="AH139" i="5"/>
  <c r="AG139" i="5"/>
  <c r="AF139" i="5"/>
  <c r="AC139" i="5"/>
  <c r="AB139" i="5"/>
  <c r="Z139" i="5"/>
  <c r="H139" i="5"/>
  <c r="BD139" i="5" s="1"/>
  <c r="G139" i="5"/>
  <c r="BW138" i="5"/>
  <c r="AP138" i="5"/>
  <c r="AL138" i="5"/>
  <c r="AJ138" i="5"/>
  <c r="AH138" i="5"/>
  <c r="AG138" i="5"/>
  <c r="AF138" i="5"/>
  <c r="AC138" i="5"/>
  <c r="AB138" i="5"/>
  <c r="Z138" i="5"/>
  <c r="H138" i="5"/>
  <c r="BD138" i="5" s="1"/>
  <c r="G138" i="5"/>
  <c r="BW137" i="5"/>
  <c r="BD137" i="5"/>
  <c r="AL137" i="5"/>
  <c r="AJ137" i="5"/>
  <c r="AH137" i="5"/>
  <c r="AG137" i="5"/>
  <c r="AF137" i="5"/>
  <c r="AC137" i="5"/>
  <c r="AB137" i="5"/>
  <c r="Z137" i="5"/>
  <c r="H137" i="5"/>
  <c r="AO137" i="5" s="1"/>
  <c r="G137" i="5"/>
  <c r="BW136" i="5"/>
  <c r="BJ136" i="5"/>
  <c r="AL136" i="5"/>
  <c r="AJ136" i="5"/>
  <c r="AH136" i="5"/>
  <c r="AG136" i="5"/>
  <c r="AF136" i="5"/>
  <c r="AC136" i="5"/>
  <c r="AB136" i="5"/>
  <c r="Z136" i="5"/>
  <c r="O136" i="5"/>
  <c r="BF136" i="5" s="1"/>
  <c r="L136" i="5"/>
  <c r="H136" i="5"/>
  <c r="G136" i="5"/>
  <c r="BW135" i="5"/>
  <c r="AP135" i="5"/>
  <c r="AL135" i="5"/>
  <c r="AJ135" i="5"/>
  <c r="AH135" i="5"/>
  <c r="AG135" i="5"/>
  <c r="AF135" i="5"/>
  <c r="AC135" i="5"/>
  <c r="AB135" i="5"/>
  <c r="Z135" i="5"/>
  <c r="L135" i="5"/>
  <c r="AK135" i="5" s="1"/>
  <c r="K135" i="5"/>
  <c r="H135" i="5"/>
  <c r="BD135" i="5" s="1"/>
  <c r="G135" i="5"/>
  <c r="BW134" i="5"/>
  <c r="AL134" i="5"/>
  <c r="AJ134" i="5"/>
  <c r="AH134" i="5"/>
  <c r="AG134" i="5"/>
  <c r="AF134" i="5"/>
  <c r="AC134" i="5"/>
  <c r="AB134" i="5"/>
  <c r="Z134" i="5"/>
  <c r="O134" i="5"/>
  <c r="BF134" i="5" s="1"/>
  <c r="H134" i="5"/>
  <c r="G134" i="5"/>
  <c r="BW133" i="5"/>
  <c r="BD133" i="5"/>
  <c r="AP133" i="5"/>
  <c r="AL133" i="5"/>
  <c r="AJ133" i="5"/>
  <c r="AH133" i="5"/>
  <c r="AG133" i="5"/>
  <c r="AF133" i="5"/>
  <c r="AC133" i="5"/>
  <c r="AB133" i="5"/>
  <c r="Z133" i="5"/>
  <c r="H133" i="5"/>
  <c r="AO133" i="5" s="1"/>
  <c r="G133" i="5"/>
  <c r="BW132" i="5"/>
  <c r="BJ132" i="5"/>
  <c r="AL132" i="5"/>
  <c r="AJ132" i="5"/>
  <c r="AH132" i="5"/>
  <c r="AG132" i="5"/>
  <c r="AF132" i="5"/>
  <c r="AC132" i="5"/>
  <c r="AB132" i="5"/>
  <c r="Z132" i="5"/>
  <c r="O132" i="5"/>
  <c r="BF132" i="5" s="1"/>
  <c r="H132" i="5"/>
  <c r="G132" i="5"/>
  <c r="BW131" i="5"/>
  <c r="BD131" i="5"/>
  <c r="AP131" i="5"/>
  <c r="AL131" i="5"/>
  <c r="AJ131" i="5"/>
  <c r="AH131" i="5"/>
  <c r="AG131" i="5"/>
  <c r="AF131" i="5"/>
  <c r="AC131" i="5"/>
  <c r="AB131" i="5"/>
  <c r="Z131" i="5"/>
  <c r="H131" i="5"/>
  <c r="AO131" i="5" s="1"/>
  <c r="J131" i="5" s="1"/>
  <c r="G131" i="5"/>
  <c r="BW128" i="5"/>
  <c r="AL128" i="5"/>
  <c r="AJ128" i="5"/>
  <c r="AH128" i="5"/>
  <c r="AG128" i="5"/>
  <c r="AF128" i="5"/>
  <c r="AE128" i="5"/>
  <c r="AD128" i="5"/>
  <c r="AC128" i="5"/>
  <c r="AB128" i="5"/>
  <c r="O128" i="5"/>
  <c r="BF128" i="5" s="1"/>
  <c r="H128" i="5"/>
  <c r="BD128" i="5" s="1"/>
  <c r="G128" i="5"/>
  <c r="BW127" i="5"/>
  <c r="BJ127" i="5"/>
  <c r="BD127" i="5"/>
  <c r="AP127" i="5"/>
  <c r="AL127" i="5"/>
  <c r="AJ127" i="5"/>
  <c r="AH127" i="5"/>
  <c r="AG127" i="5"/>
  <c r="AF127" i="5"/>
  <c r="AC127" i="5"/>
  <c r="AB127" i="5"/>
  <c r="Z127" i="5"/>
  <c r="H127" i="5"/>
  <c r="AO127" i="5" s="1"/>
  <c r="G127" i="5"/>
  <c r="BW126" i="5"/>
  <c r="BI126" i="5"/>
  <c r="AE126" i="5" s="1"/>
  <c r="AL126" i="5"/>
  <c r="AJ126" i="5"/>
  <c r="AH126" i="5"/>
  <c r="AG126" i="5"/>
  <c r="AF126" i="5"/>
  <c r="AC126" i="5"/>
  <c r="AB126" i="5"/>
  <c r="Z126" i="5"/>
  <c r="O126" i="5"/>
  <c r="BF126" i="5" s="1"/>
  <c r="H126" i="5"/>
  <c r="AP126" i="5" s="1"/>
  <c r="G126" i="5"/>
  <c r="BW125" i="5"/>
  <c r="AL125" i="5"/>
  <c r="AJ125" i="5"/>
  <c r="AH125" i="5"/>
  <c r="AG125" i="5"/>
  <c r="AF125" i="5"/>
  <c r="AC125" i="5"/>
  <c r="AB125" i="5"/>
  <c r="Z125" i="5"/>
  <c r="H125" i="5"/>
  <c r="G125" i="5"/>
  <c r="O125" i="5" s="1"/>
  <c r="BF125" i="5" s="1"/>
  <c r="BW124" i="5"/>
  <c r="BF124" i="5"/>
  <c r="AL124" i="5"/>
  <c r="AJ124" i="5"/>
  <c r="AH124" i="5"/>
  <c r="AG124" i="5"/>
  <c r="AF124" i="5"/>
  <c r="AC124" i="5"/>
  <c r="AB124" i="5"/>
  <c r="Z124" i="5"/>
  <c r="O124" i="5"/>
  <c r="H124" i="5"/>
  <c r="AO124" i="5" s="1"/>
  <c r="G124" i="5"/>
  <c r="BW123" i="5"/>
  <c r="BD123" i="5"/>
  <c r="AP123" i="5"/>
  <c r="AL123" i="5"/>
  <c r="AJ123" i="5"/>
  <c r="AH123" i="5"/>
  <c r="AG123" i="5"/>
  <c r="AF123" i="5"/>
  <c r="AC123" i="5"/>
  <c r="AB123" i="5"/>
  <c r="Z123" i="5"/>
  <c r="H123" i="5"/>
  <c r="AO123" i="5" s="1"/>
  <c r="J123" i="5" s="1"/>
  <c r="G123" i="5"/>
  <c r="BW122" i="5"/>
  <c r="BD122" i="5"/>
  <c r="AP122" i="5"/>
  <c r="K122" i="5" s="1"/>
  <c r="AL122" i="5"/>
  <c r="AJ122" i="5"/>
  <c r="AH122" i="5"/>
  <c r="AG122" i="5"/>
  <c r="AF122" i="5"/>
  <c r="AC122" i="5"/>
  <c r="AB122" i="5"/>
  <c r="Z122" i="5"/>
  <c r="O122" i="5"/>
  <c r="BF122" i="5" s="1"/>
  <c r="H122" i="5"/>
  <c r="AO122" i="5" s="1"/>
  <c r="G122" i="5"/>
  <c r="BW121" i="5"/>
  <c r="BF121" i="5"/>
  <c r="AL121" i="5"/>
  <c r="AJ121" i="5"/>
  <c r="AH121" i="5"/>
  <c r="AG121" i="5"/>
  <c r="AF121" i="5"/>
  <c r="AC121" i="5"/>
  <c r="AB121" i="5"/>
  <c r="Z121" i="5"/>
  <c r="O121" i="5"/>
  <c r="H121" i="5"/>
  <c r="BJ121" i="5" s="1"/>
  <c r="G121" i="5"/>
  <c r="BW120" i="5"/>
  <c r="BF120" i="5"/>
  <c r="AL120" i="5"/>
  <c r="AJ120" i="5"/>
  <c r="AH120" i="5"/>
  <c r="AG120" i="5"/>
  <c r="AF120" i="5"/>
  <c r="AC120" i="5"/>
  <c r="AB120" i="5"/>
  <c r="Z120" i="5"/>
  <c r="O120" i="5"/>
  <c r="H120" i="5"/>
  <c r="L120" i="5" s="1"/>
  <c r="G120" i="5"/>
  <c r="BW119" i="5"/>
  <c r="BD119" i="5"/>
  <c r="AP119" i="5"/>
  <c r="AO119" i="5"/>
  <c r="AL119" i="5"/>
  <c r="AJ119" i="5"/>
  <c r="AH119" i="5"/>
  <c r="AG119" i="5"/>
  <c r="AF119" i="5"/>
  <c r="AC119" i="5"/>
  <c r="AB119" i="5"/>
  <c r="Z119" i="5"/>
  <c r="K119" i="5"/>
  <c r="H119" i="5"/>
  <c r="G119" i="5"/>
  <c r="AW119" i="5" s="1"/>
  <c r="BW118" i="5"/>
  <c r="AL118" i="5"/>
  <c r="AJ118" i="5"/>
  <c r="AH118" i="5"/>
  <c r="AG118" i="5"/>
  <c r="AF118" i="5"/>
  <c r="AC118" i="5"/>
  <c r="AB118" i="5"/>
  <c r="Z118" i="5"/>
  <c r="H118" i="5"/>
  <c r="G118" i="5"/>
  <c r="BW117" i="5"/>
  <c r="AL117" i="5"/>
  <c r="AJ117" i="5"/>
  <c r="AH117" i="5"/>
  <c r="AG117" i="5"/>
  <c r="AF117" i="5"/>
  <c r="AC117" i="5"/>
  <c r="AB117" i="5"/>
  <c r="Z117" i="5"/>
  <c r="O117" i="5"/>
  <c r="BF117" i="5" s="1"/>
  <c r="H117" i="5"/>
  <c r="BJ117" i="5" s="1"/>
  <c r="G117" i="5"/>
  <c r="BW116" i="5"/>
  <c r="BJ116" i="5"/>
  <c r="BF116" i="5"/>
  <c r="AL116" i="5"/>
  <c r="AJ116" i="5"/>
  <c r="AH116" i="5"/>
  <c r="AG116" i="5"/>
  <c r="AF116" i="5"/>
  <c r="AC116" i="5"/>
  <c r="AB116" i="5"/>
  <c r="Z116" i="5"/>
  <c r="O116" i="5"/>
  <c r="L116" i="5"/>
  <c r="H116" i="5"/>
  <c r="AO116" i="5" s="1"/>
  <c r="G116" i="5"/>
  <c r="BW115" i="5"/>
  <c r="AL115" i="5"/>
  <c r="AJ115" i="5"/>
  <c r="AH115" i="5"/>
  <c r="AG115" i="5"/>
  <c r="AF115" i="5"/>
  <c r="AC115" i="5"/>
  <c r="AB115" i="5"/>
  <c r="Z115" i="5"/>
  <c r="H115" i="5"/>
  <c r="AO115" i="5" s="1"/>
  <c r="BH115" i="5" s="1"/>
  <c r="AD115" i="5" s="1"/>
  <c r="G115" i="5"/>
  <c r="BW114" i="5"/>
  <c r="AL114" i="5"/>
  <c r="AJ114" i="5"/>
  <c r="AH114" i="5"/>
  <c r="AG114" i="5"/>
  <c r="AF114" i="5"/>
  <c r="AC114" i="5"/>
  <c r="AB114" i="5"/>
  <c r="Z114" i="5"/>
  <c r="O114" i="5"/>
  <c r="BF114" i="5" s="1"/>
  <c r="H114" i="5"/>
  <c r="G114" i="5"/>
  <c r="BW113" i="5"/>
  <c r="BF113" i="5"/>
  <c r="AL113" i="5"/>
  <c r="AJ113" i="5"/>
  <c r="AH113" i="5"/>
  <c r="AG113" i="5"/>
  <c r="AF113" i="5"/>
  <c r="AC113" i="5"/>
  <c r="AB113" i="5"/>
  <c r="Z113" i="5"/>
  <c r="O113" i="5"/>
  <c r="H113" i="5"/>
  <c r="G113" i="5"/>
  <c r="BW112" i="5"/>
  <c r="AO112" i="5"/>
  <c r="AL112" i="5"/>
  <c r="AJ112" i="5"/>
  <c r="AH112" i="5"/>
  <c r="AG112" i="5"/>
  <c r="AF112" i="5"/>
  <c r="AC112" i="5"/>
  <c r="AB112" i="5"/>
  <c r="Z112" i="5"/>
  <c r="O112" i="5"/>
  <c r="BF112" i="5" s="1"/>
  <c r="J112" i="5"/>
  <c r="H112" i="5"/>
  <c r="G112" i="5"/>
  <c r="BW111" i="5"/>
  <c r="AL111" i="5"/>
  <c r="AJ111" i="5"/>
  <c r="AH111" i="5"/>
  <c r="AG111" i="5"/>
  <c r="AF111" i="5"/>
  <c r="AC111" i="5"/>
  <c r="AB111" i="5"/>
  <c r="Z111" i="5"/>
  <c r="L111" i="5"/>
  <c r="H111" i="5"/>
  <c r="G111" i="5"/>
  <c r="BW110" i="5"/>
  <c r="BH110" i="5"/>
  <c r="AD110" i="5" s="1"/>
  <c r="BD110" i="5"/>
  <c r="AP110" i="5"/>
  <c r="AX110" i="5" s="1"/>
  <c r="AL110" i="5"/>
  <c r="AJ110" i="5"/>
  <c r="AH110" i="5"/>
  <c r="AG110" i="5"/>
  <c r="AF110" i="5"/>
  <c r="AC110" i="5"/>
  <c r="AB110" i="5"/>
  <c r="Z110" i="5"/>
  <c r="J110" i="5"/>
  <c r="H110" i="5"/>
  <c r="AO110" i="5" s="1"/>
  <c r="G110" i="5"/>
  <c r="O110" i="5" s="1"/>
  <c r="BF110" i="5" s="1"/>
  <c r="BW109" i="5"/>
  <c r="BJ109" i="5"/>
  <c r="BF109" i="5"/>
  <c r="AL109" i="5"/>
  <c r="AJ109" i="5"/>
  <c r="AH109" i="5"/>
  <c r="AG109" i="5"/>
  <c r="AF109" i="5"/>
  <c r="AC109" i="5"/>
  <c r="AB109" i="5"/>
  <c r="Z109" i="5"/>
  <c r="O109" i="5"/>
  <c r="H109" i="5"/>
  <c r="G109" i="5"/>
  <c r="BW108" i="5"/>
  <c r="BJ108" i="5"/>
  <c r="BF108" i="5"/>
  <c r="AL108" i="5"/>
  <c r="AJ108" i="5"/>
  <c r="AH108" i="5"/>
  <c r="AG108" i="5"/>
  <c r="AF108" i="5"/>
  <c r="AC108" i="5"/>
  <c r="AB108" i="5"/>
  <c r="Z108" i="5"/>
  <c r="O108" i="5"/>
  <c r="H108" i="5"/>
  <c r="AO108" i="5" s="1"/>
  <c r="J108" i="5" s="1"/>
  <c r="G108" i="5"/>
  <c r="BW107" i="5"/>
  <c r="BJ107" i="5"/>
  <c r="BD107" i="5"/>
  <c r="AP107" i="5"/>
  <c r="AL107" i="5"/>
  <c r="AJ107" i="5"/>
  <c r="AH107" i="5"/>
  <c r="AG107" i="5"/>
  <c r="AF107" i="5"/>
  <c r="AC107" i="5"/>
  <c r="AB107" i="5"/>
  <c r="Z107" i="5"/>
  <c r="H107" i="5"/>
  <c r="AO107" i="5" s="1"/>
  <c r="G107" i="5"/>
  <c r="BW106" i="5"/>
  <c r="AP106" i="5"/>
  <c r="AL106" i="5"/>
  <c r="AJ106" i="5"/>
  <c r="AH106" i="5"/>
  <c r="AG106" i="5"/>
  <c r="AF106" i="5"/>
  <c r="AC106" i="5"/>
  <c r="AB106" i="5"/>
  <c r="Z106" i="5"/>
  <c r="H106" i="5"/>
  <c r="G106" i="5"/>
  <c r="BW103" i="5"/>
  <c r="AL103" i="5"/>
  <c r="AJ103" i="5"/>
  <c r="AH103" i="5"/>
  <c r="AG103" i="5"/>
  <c r="AF103" i="5"/>
  <c r="AE103" i="5"/>
  <c r="AD103" i="5"/>
  <c r="AC103" i="5"/>
  <c r="AB103" i="5"/>
  <c r="O103" i="5"/>
  <c r="BF103" i="5" s="1"/>
  <c r="H103" i="5"/>
  <c r="G103" i="5"/>
  <c r="BW102" i="5"/>
  <c r="BJ102" i="5"/>
  <c r="AO102" i="5"/>
  <c r="J102" i="5" s="1"/>
  <c r="AL102" i="5"/>
  <c r="AJ102" i="5"/>
  <c r="AH102" i="5"/>
  <c r="AG102" i="5"/>
  <c r="AF102" i="5"/>
  <c r="AC102" i="5"/>
  <c r="AB102" i="5"/>
  <c r="Z102" i="5"/>
  <c r="O102" i="5"/>
  <c r="BF102" i="5" s="1"/>
  <c r="H102" i="5"/>
  <c r="BD102" i="5" s="1"/>
  <c r="G102" i="5"/>
  <c r="BW101" i="5"/>
  <c r="BD101" i="5"/>
  <c r="AL101" i="5"/>
  <c r="AJ101" i="5"/>
  <c r="AS100" i="5" s="1"/>
  <c r="AH101" i="5"/>
  <c r="AG101" i="5"/>
  <c r="AF101" i="5"/>
  <c r="AC101" i="5"/>
  <c r="AB101" i="5"/>
  <c r="Z101" i="5"/>
  <c r="H101" i="5"/>
  <c r="G101" i="5"/>
  <c r="BW99" i="5"/>
  <c r="AL99" i="5"/>
  <c r="AJ99" i="5"/>
  <c r="AH99" i="5"/>
  <c r="AG99" i="5"/>
  <c r="AF99" i="5"/>
  <c r="AE99" i="5"/>
  <c r="AD99" i="5"/>
  <c r="AC99" i="5"/>
  <c r="AB99" i="5"/>
  <c r="O99" i="5"/>
  <c r="BF99" i="5" s="1"/>
  <c r="H99" i="5"/>
  <c r="BJ99" i="5" s="1"/>
  <c r="Z99" i="5" s="1"/>
  <c r="G99" i="5"/>
  <c r="BW98" i="5"/>
  <c r="AL98" i="5"/>
  <c r="AJ98" i="5"/>
  <c r="AH98" i="5"/>
  <c r="AG98" i="5"/>
  <c r="AF98" i="5"/>
  <c r="AC98" i="5"/>
  <c r="AB98" i="5"/>
  <c r="Z98" i="5"/>
  <c r="H98" i="5"/>
  <c r="AP98" i="5" s="1"/>
  <c r="G98" i="5"/>
  <c r="BW97" i="5"/>
  <c r="AL97" i="5"/>
  <c r="AJ97" i="5"/>
  <c r="AH97" i="5"/>
  <c r="AG97" i="5"/>
  <c r="AF97" i="5"/>
  <c r="AC97" i="5"/>
  <c r="AB97" i="5"/>
  <c r="Z97" i="5"/>
  <c r="O97" i="5"/>
  <c r="BF97" i="5" s="1"/>
  <c r="H97" i="5"/>
  <c r="G97" i="5"/>
  <c r="BW96" i="5"/>
  <c r="BF96" i="5"/>
  <c r="AL96" i="5"/>
  <c r="AJ96" i="5"/>
  <c r="AH96" i="5"/>
  <c r="AG96" i="5"/>
  <c r="AF96" i="5"/>
  <c r="AC96" i="5"/>
  <c r="AB96" i="5"/>
  <c r="Z96" i="5"/>
  <c r="O96" i="5"/>
  <c r="H96" i="5"/>
  <c r="AP96" i="5" s="1"/>
  <c r="AX96" i="5" s="1"/>
  <c r="G96" i="5"/>
  <c r="BW95" i="5"/>
  <c r="BD95" i="5"/>
  <c r="AL95" i="5"/>
  <c r="AJ95" i="5"/>
  <c r="AH95" i="5"/>
  <c r="AG95" i="5"/>
  <c r="AF95" i="5"/>
  <c r="AC95" i="5"/>
  <c r="AB95" i="5"/>
  <c r="Z95" i="5"/>
  <c r="O95" i="5"/>
  <c r="BF95" i="5" s="1"/>
  <c r="H95" i="5"/>
  <c r="G95" i="5"/>
  <c r="BJ95" i="5" s="1"/>
  <c r="BW94" i="5"/>
  <c r="BD94" i="5"/>
  <c r="AP94" i="5"/>
  <c r="AO94" i="5"/>
  <c r="AW94" i="5" s="1"/>
  <c r="AL94" i="5"/>
  <c r="AJ94" i="5"/>
  <c r="AH94" i="5"/>
  <c r="AG94" i="5"/>
  <c r="AF94" i="5"/>
  <c r="AC94" i="5"/>
  <c r="AB94" i="5"/>
  <c r="Z94" i="5"/>
  <c r="O94" i="5"/>
  <c r="BF94" i="5" s="1"/>
  <c r="J94" i="5"/>
  <c r="H94" i="5"/>
  <c r="G94" i="5"/>
  <c r="BW93" i="5"/>
  <c r="AL93" i="5"/>
  <c r="AJ93" i="5"/>
  <c r="AH93" i="5"/>
  <c r="AG93" i="5"/>
  <c r="AF93" i="5"/>
  <c r="AC93" i="5"/>
  <c r="AB93" i="5"/>
  <c r="Z93" i="5"/>
  <c r="O93" i="5"/>
  <c r="BF93" i="5" s="1"/>
  <c r="H93" i="5"/>
  <c r="G93" i="5"/>
  <c r="BW92" i="5"/>
  <c r="AL92" i="5"/>
  <c r="AJ92" i="5"/>
  <c r="AH92" i="5"/>
  <c r="AG92" i="5"/>
  <c r="AF92" i="5"/>
  <c r="AC92" i="5"/>
  <c r="AB92" i="5"/>
  <c r="Z92" i="5"/>
  <c r="O92" i="5"/>
  <c r="BF92" i="5" s="1"/>
  <c r="H92" i="5"/>
  <c r="AP92" i="5" s="1"/>
  <c r="AX92" i="5" s="1"/>
  <c r="G92" i="5"/>
  <c r="BJ92" i="5" s="1"/>
  <c r="BW91" i="5"/>
  <c r="BD91" i="5"/>
  <c r="AX91" i="5"/>
  <c r="AO91" i="5"/>
  <c r="AL91" i="5"/>
  <c r="AJ91" i="5"/>
  <c r="AH91" i="5"/>
  <c r="AG91" i="5"/>
  <c r="AF91" i="5"/>
  <c r="AC91" i="5"/>
  <c r="AB91" i="5"/>
  <c r="Z91" i="5"/>
  <c r="O91" i="5"/>
  <c r="BF91" i="5" s="1"/>
  <c r="L91" i="5"/>
  <c r="H91" i="5"/>
  <c r="AP91" i="5" s="1"/>
  <c r="G91" i="5"/>
  <c r="BJ91" i="5" s="1"/>
  <c r="BW90" i="5"/>
  <c r="BD90" i="5"/>
  <c r="AL90" i="5"/>
  <c r="AJ90" i="5"/>
  <c r="AH90" i="5"/>
  <c r="AG90" i="5"/>
  <c r="AF90" i="5"/>
  <c r="AC90" i="5"/>
  <c r="AB90" i="5"/>
  <c r="Z90" i="5"/>
  <c r="O90" i="5"/>
  <c r="BF90" i="5" s="1"/>
  <c r="H90" i="5"/>
  <c r="G90" i="5"/>
  <c r="BW89" i="5"/>
  <c r="AL89" i="5"/>
  <c r="AJ89" i="5"/>
  <c r="AH89" i="5"/>
  <c r="AG89" i="5"/>
  <c r="AF89" i="5"/>
  <c r="AC89" i="5"/>
  <c r="AB89" i="5"/>
  <c r="Z89" i="5"/>
  <c r="O89" i="5"/>
  <c r="BF89" i="5" s="1"/>
  <c r="H89" i="5"/>
  <c r="AP89" i="5" s="1"/>
  <c r="AX89" i="5" s="1"/>
  <c r="G89" i="5"/>
  <c r="BW88" i="5"/>
  <c r="BF88" i="5"/>
  <c r="AL88" i="5"/>
  <c r="AJ88" i="5"/>
  <c r="AH88" i="5"/>
  <c r="AG88" i="5"/>
  <c r="AF88" i="5"/>
  <c r="AC88" i="5"/>
  <c r="AB88" i="5"/>
  <c r="Z88" i="5"/>
  <c r="O88" i="5"/>
  <c r="H88" i="5"/>
  <c r="AP88" i="5" s="1"/>
  <c r="AX88" i="5" s="1"/>
  <c r="G88" i="5"/>
  <c r="BW87" i="5"/>
  <c r="AL87" i="5"/>
  <c r="AJ87" i="5"/>
  <c r="AH87" i="5"/>
  <c r="AG87" i="5"/>
  <c r="AF87" i="5"/>
  <c r="AC87" i="5"/>
  <c r="AB87" i="5"/>
  <c r="Z87" i="5"/>
  <c r="O87" i="5"/>
  <c r="BF87" i="5" s="1"/>
  <c r="H87" i="5"/>
  <c r="G87" i="5"/>
  <c r="BJ87" i="5" s="1"/>
  <c r="BW86" i="5"/>
  <c r="AL86" i="5"/>
  <c r="AJ86" i="5"/>
  <c r="AH86" i="5"/>
  <c r="AG86" i="5"/>
  <c r="AF86" i="5"/>
  <c r="AC86" i="5"/>
  <c r="AB86" i="5"/>
  <c r="Z86" i="5"/>
  <c r="O86" i="5"/>
  <c r="BF86" i="5" s="1"/>
  <c r="H86" i="5"/>
  <c r="G86" i="5"/>
  <c r="BW85" i="5"/>
  <c r="BD85" i="5"/>
  <c r="AP85" i="5"/>
  <c r="AX85" i="5" s="1"/>
  <c r="AL85" i="5"/>
  <c r="AJ85" i="5"/>
  <c r="AH85" i="5"/>
  <c r="AG85" i="5"/>
  <c r="AF85" i="5"/>
  <c r="AC85" i="5"/>
  <c r="AB85" i="5"/>
  <c r="Z85" i="5"/>
  <c r="O85" i="5"/>
  <c r="BF85" i="5" s="1"/>
  <c r="H85" i="5"/>
  <c r="G85" i="5"/>
  <c r="BW84" i="5"/>
  <c r="BF84" i="5"/>
  <c r="AO84" i="5"/>
  <c r="AL84" i="5"/>
  <c r="AJ84" i="5"/>
  <c r="AH84" i="5"/>
  <c r="AG84" i="5"/>
  <c r="AF84" i="5"/>
  <c r="AC84" i="5"/>
  <c r="AB84" i="5"/>
  <c r="Z84" i="5"/>
  <c r="O84" i="5"/>
  <c r="H84" i="5"/>
  <c r="G84" i="5"/>
  <c r="BW83" i="5"/>
  <c r="AP83" i="5"/>
  <c r="AO83" i="5"/>
  <c r="AW83" i="5" s="1"/>
  <c r="AL83" i="5"/>
  <c r="AJ83" i="5"/>
  <c r="AH83" i="5"/>
  <c r="AG83" i="5"/>
  <c r="AF83" i="5"/>
  <c r="AC83" i="5"/>
  <c r="AB83" i="5"/>
  <c r="Z83" i="5"/>
  <c r="H83" i="5"/>
  <c r="BD83" i="5" s="1"/>
  <c r="G83" i="5"/>
  <c r="BW82" i="5"/>
  <c r="AP82" i="5"/>
  <c r="K82" i="5" s="1"/>
  <c r="AL82" i="5"/>
  <c r="AJ82" i="5"/>
  <c r="AH82" i="5"/>
  <c r="AG82" i="5"/>
  <c r="AF82" i="5"/>
  <c r="AC82" i="5"/>
  <c r="AB82" i="5"/>
  <c r="Z82" i="5"/>
  <c r="O82" i="5"/>
  <c r="BF82" i="5" s="1"/>
  <c r="H82" i="5"/>
  <c r="G82" i="5"/>
  <c r="BW81" i="5"/>
  <c r="AL81" i="5"/>
  <c r="AJ81" i="5"/>
  <c r="AH81" i="5"/>
  <c r="AG81" i="5"/>
  <c r="AF81" i="5"/>
  <c r="AC81" i="5"/>
  <c r="AB81" i="5"/>
  <c r="Z81" i="5"/>
  <c r="H81" i="5"/>
  <c r="G81" i="5"/>
  <c r="BW80" i="5"/>
  <c r="BF80" i="5"/>
  <c r="AL80" i="5"/>
  <c r="AJ80" i="5"/>
  <c r="AH80" i="5"/>
  <c r="AG80" i="5"/>
  <c r="AF80" i="5"/>
  <c r="AC80" i="5"/>
  <c r="AB80" i="5"/>
  <c r="Z80" i="5"/>
  <c r="O80" i="5"/>
  <c r="H80" i="5"/>
  <c r="AO80" i="5" s="1"/>
  <c r="G80" i="5"/>
  <c r="BW79" i="5"/>
  <c r="AL79" i="5"/>
  <c r="AJ79" i="5"/>
  <c r="AH79" i="5"/>
  <c r="AG79" i="5"/>
  <c r="AF79" i="5"/>
  <c r="AC79" i="5"/>
  <c r="AB79" i="5"/>
  <c r="Z79" i="5"/>
  <c r="H79" i="5"/>
  <c r="G79" i="5"/>
  <c r="BW78" i="5"/>
  <c r="BI78" i="5"/>
  <c r="AE78" i="5" s="1"/>
  <c r="BD78" i="5"/>
  <c r="AX78" i="5"/>
  <c r="AP78" i="5"/>
  <c r="AO78" i="5"/>
  <c r="AL78" i="5"/>
  <c r="AJ78" i="5"/>
  <c r="AH78" i="5"/>
  <c r="AG78" i="5"/>
  <c r="AF78" i="5"/>
  <c r="AC78" i="5"/>
  <c r="AB78" i="5"/>
  <c r="Z78" i="5"/>
  <c r="O78" i="5"/>
  <c r="BF78" i="5" s="1"/>
  <c r="K78" i="5"/>
  <c r="H78" i="5"/>
  <c r="G78" i="5"/>
  <c r="BJ78" i="5" s="1"/>
  <c r="BW77" i="5"/>
  <c r="BJ77" i="5"/>
  <c r="AL77" i="5"/>
  <c r="AJ77" i="5"/>
  <c r="AH77" i="5"/>
  <c r="AG77" i="5"/>
  <c r="AF77" i="5"/>
  <c r="AC77" i="5"/>
  <c r="AB77" i="5"/>
  <c r="Z77" i="5"/>
  <c r="L77" i="5"/>
  <c r="H77" i="5"/>
  <c r="G77" i="5"/>
  <c r="BW76" i="5"/>
  <c r="BF76" i="5"/>
  <c r="AL76" i="5"/>
  <c r="AJ76" i="5"/>
  <c r="AH76" i="5"/>
  <c r="AG76" i="5"/>
  <c r="AF76" i="5"/>
  <c r="AC76" i="5"/>
  <c r="AB76" i="5"/>
  <c r="Z76" i="5"/>
  <c r="O76" i="5"/>
  <c r="H76" i="5"/>
  <c r="G76" i="5"/>
  <c r="BW73" i="5"/>
  <c r="AL73" i="5"/>
  <c r="AJ73" i="5"/>
  <c r="AH73" i="5"/>
  <c r="AG73" i="5"/>
  <c r="AF73" i="5"/>
  <c r="AE73" i="5"/>
  <c r="AD73" i="5"/>
  <c r="AC73" i="5"/>
  <c r="AB73" i="5"/>
  <c r="H73" i="5"/>
  <c r="BJ73" i="5" s="1"/>
  <c r="Z73" i="5" s="1"/>
  <c r="G73" i="5"/>
  <c r="BW72" i="5"/>
  <c r="AL72" i="5"/>
  <c r="AJ72" i="5"/>
  <c r="AH72" i="5"/>
  <c r="AG72" i="5"/>
  <c r="AF72" i="5"/>
  <c r="AC72" i="5"/>
  <c r="AB72" i="5"/>
  <c r="Z72" i="5"/>
  <c r="H72" i="5"/>
  <c r="AO72" i="5" s="1"/>
  <c r="G72" i="5"/>
  <c r="BW71" i="5"/>
  <c r="AL71" i="5"/>
  <c r="AJ71" i="5"/>
  <c r="AH71" i="5"/>
  <c r="AG71" i="5"/>
  <c r="AF71" i="5"/>
  <c r="AC71" i="5"/>
  <c r="AB71" i="5"/>
  <c r="Z71" i="5"/>
  <c r="O71" i="5"/>
  <c r="BF71" i="5" s="1"/>
  <c r="H71" i="5"/>
  <c r="G71" i="5"/>
  <c r="BW70" i="5"/>
  <c r="AP70" i="5"/>
  <c r="AL70" i="5"/>
  <c r="AJ70" i="5"/>
  <c r="AH70" i="5"/>
  <c r="AG70" i="5"/>
  <c r="AF70" i="5"/>
  <c r="AC70" i="5"/>
  <c r="AB70" i="5"/>
  <c r="Z70" i="5"/>
  <c r="O70" i="5"/>
  <c r="BF70" i="5" s="1"/>
  <c r="H70" i="5"/>
  <c r="BJ70" i="5" s="1"/>
  <c r="G70" i="5"/>
  <c r="BW69" i="5"/>
  <c r="AL69" i="5"/>
  <c r="AJ69" i="5"/>
  <c r="AH69" i="5"/>
  <c r="AG69" i="5"/>
  <c r="AF69" i="5"/>
  <c r="AC69" i="5"/>
  <c r="AB69" i="5"/>
  <c r="Z69" i="5"/>
  <c r="L69" i="5"/>
  <c r="H69" i="5"/>
  <c r="G69" i="5"/>
  <c r="BW68" i="5"/>
  <c r="BI68" i="5"/>
  <c r="AE68" i="5" s="1"/>
  <c r="BD68" i="5"/>
  <c r="AO68" i="5"/>
  <c r="J68" i="5" s="1"/>
  <c r="AL68" i="5"/>
  <c r="AJ68" i="5"/>
  <c r="AH68" i="5"/>
  <c r="AG68" i="5"/>
  <c r="AF68" i="5"/>
  <c r="AC68" i="5"/>
  <c r="AB68" i="5"/>
  <c r="Z68" i="5"/>
  <c r="K68" i="5"/>
  <c r="H68" i="5"/>
  <c r="AP68" i="5" s="1"/>
  <c r="G68" i="5"/>
  <c r="BW67" i="5"/>
  <c r="BD67" i="5"/>
  <c r="AL67" i="5"/>
  <c r="AJ67" i="5"/>
  <c r="AH67" i="5"/>
  <c r="AG67" i="5"/>
  <c r="AF67" i="5"/>
  <c r="AC67" i="5"/>
  <c r="AB67" i="5"/>
  <c r="Z67" i="5"/>
  <c r="O67" i="5"/>
  <c r="BF67" i="5" s="1"/>
  <c r="H67" i="5"/>
  <c r="G67" i="5"/>
  <c r="BW66" i="5"/>
  <c r="AP66" i="5"/>
  <c r="BI66" i="5" s="1"/>
  <c r="AE66" i="5" s="1"/>
  <c r="AL66" i="5"/>
  <c r="AJ66" i="5"/>
  <c r="AH66" i="5"/>
  <c r="AG66" i="5"/>
  <c r="AF66" i="5"/>
  <c r="AC66" i="5"/>
  <c r="AB66" i="5"/>
  <c r="Z66" i="5"/>
  <c r="O66" i="5"/>
  <c r="BF66" i="5" s="1"/>
  <c r="H66" i="5"/>
  <c r="AO66" i="5" s="1"/>
  <c r="AW66" i="5" s="1"/>
  <c r="G66" i="5"/>
  <c r="BW65" i="5"/>
  <c r="AL65" i="5"/>
  <c r="AJ65" i="5"/>
  <c r="AH65" i="5"/>
  <c r="AG65" i="5"/>
  <c r="AF65" i="5"/>
  <c r="AC65" i="5"/>
  <c r="AB65" i="5"/>
  <c r="Z65" i="5"/>
  <c r="H65" i="5"/>
  <c r="AO65" i="5" s="1"/>
  <c r="G65" i="5"/>
  <c r="BW64" i="5"/>
  <c r="BD64" i="5"/>
  <c r="AP64" i="5"/>
  <c r="K64" i="5" s="1"/>
  <c r="AL64" i="5"/>
  <c r="AJ64" i="5"/>
  <c r="AH64" i="5"/>
  <c r="AG64" i="5"/>
  <c r="AF64" i="5"/>
  <c r="AC64" i="5"/>
  <c r="AB64" i="5"/>
  <c r="Z64" i="5"/>
  <c r="H64" i="5"/>
  <c r="AO64" i="5" s="1"/>
  <c r="BH64" i="5" s="1"/>
  <c r="AD64" i="5" s="1"/>
  <c r="G64" i="5"/>
  <c r="BW63" i="5"/>
  <c r="BD63" i="5"/>
  <c r="AL63" i="5"/>
  <c r="AJ63" i="5"/>
  <c r="AH63" i="5"/>
  <c r="AG63" i="5"/>
  <c r="AF63" i="5"/>
  <c r="AC63" i="5"/>
  <c r="AB63" i="5"/>
  <c r="Z63" i="5"/>
  <c r="H63" i="5"/>
  <c r="G63" i="5"/>
  <c r="BW62" i="5"/>
  <c r="BJ62" i="5"/>
  <c r="AL62" i="5"/>
  <c r="AJ62" i="5"/>
  <c r="AH62" i="5"/>
  <c r="AG62" i="5"/>
  <c r="AF62" i="5"/>
  <c r="AC62" i="5"/>
  <c r="AB62" i="5"/>
  <c r="Z62" i="5"/>
  <c r="O62" i="5"/>
  <c r="BF62" i="5" s="1"/>
  <c r="L62" i="5"/>
  <c r="H62" i="5"/>
  <c r="AO62" i="5" s="1"/>
  <c r="AW62" i="5" s="1"/>
  <c r="G62" i="5"/>
  <c r="BW61" i="5"/>
  <c r="AL61" i="5"/>
  <c r="AJ61" i="5"/>
  <c r="AH61" i="5"/>
  <c r="AG61" i="5"/>
  <c r="AF61" i="5"/>
  <c r="AC61" i="5"/>
  <c r="AB61" i="5"/>
  <c r="Z61" i="5"/>
  <c r="H61" i="5"/>
  <c r="G61" i="5"/>
  <c r="BW60" i="5"/>
  <c r="BD60" i="5"/>
  <c r="AP60" i="5"/>
  <c r="AO60" i="5"/>
  <c r="J60" i="5" s="1"/>
  <c r="AL60" i="5"/>
  <c r="AJ60" i="5"/>
  <c r="AH60" i="5"/>
  <c r="AG60" i="5"/>
  <c r="AF60" i="5"/>
  <c r="AC60" i="5"/>
  <c r="AB60" i="5"/>
  <c r="Z60" i="5"/>
  <c r="H60" i="5"/>
  <c r="G60" i="5"/>
  <c r="BW59" i="5"/>
  <c r="AL59" i="5"/>
  <c r="AJ59" i="5"/>
  <c r="AH59" i="5"/>
  <c r="AG59" i="5"/>
  <c r="AF59" i="5"/>
  <c r="AC59" i="5"/>
  <c r="AB59" i="5"/>
  <c r="Z59" i="5"/>
  <c r="O59" i="5"/>
  <c r="BF59" i="5" s="1"/>
  <c r="H59" i="5"/>
  <c r="BD59" i="5" s="1"/>
  <c r="G59" i="5"/>
  <c r="BW58" i="5"/>
  <c r="BJ58" i="5"/>
  <c r="AP58" i="5"/>
  <c r="AL58" i="5"/>
  <c r="AJ58" i="5"/>
  <c r="AH58" i="5"/>
  <c r="AG58" i="5"/>
  <c r="AF58" i="5"/>
  <c r="AC58" i="5"/>
  <c r="AB58" i="5"/>
  <c r="Z58" i="5"/>
  <c r="O58" i="5"/>
  <c r="BF58" i="5" s="1"/>
  <c r="L58" i="5"/>
  <c r="H58" i="5"/>
  <c r="AO58" i="5" s="1"/>
  <c r="AW58" i="5" s="1"/>
  <c r="G58" i="5"/>
  <c r="BW57" i="5"/>
  <c r="AL57" i="5"/>
  <c r="AJ57" i="5"/>
  <c r="AH57" i="5"/>
  <c r="AG57" i="5"/>
  <c r="AF57" i="5"/>
  <c r="AC57" i="5"/>
  <c r="AB57" i="5"/>
  <c r="Z57" i="5"/>
  <c r="H57" i="5"/>
  <c r="G57" i="5"/>
  <c r="BW56" i="5"/>
  <c r="AO56" i="5"/>
  <c r="AL56" i="5"/>
  <c r="AJ56" i="5"/>
  <c r="AH56" i="5"/>
  <c r="AG56" i="5"/>
  <c r="AF56" i="5"/>
  <c r="AC56" i="5"/>
  <c r="AB56" i="5"/>
  <c r="Z56" i="5"/>
  <c r="K56" i="5"/>
  <c r="H56" i="5"/>
  <c r="AP56" i="5" s="1"/>
  <c r="BI56" i="5" s="1"/>
  <c r="AE56" i="5" s="1"/>
  <c r="G56" i="5"/>
  <c r="BW55" i="5"/>
  <c r="AL55" i="5"/>
  <c r="AJ55" i="5"/>
  <c r="AH55" i="5"/>
  <c r="AG55" i="5"/>
  <c r="AF55" i="5"/>
  <c r="AC55" i="5"/>
  <c r="AB55" i="5"/>
  <c r="Z55" i="5"/>
  <c r="O55" i="5"/>
  <c r="BF55" i="5" s="1"/>
  <c r="H55" i="5"/>
  <c r="G55" i="5"/>
  <c r="BW54" i="5"/>
  <c r="BJ54" i="5"/>
  <c r="AL54" i="5"/>
  <c r="AJ54" i="5"/>
  <c r="AH54" i="5"/>
  <c r="AG54" i="5"/>
  <c r="AF54" i="5"/>
  <c r="AC54" i="5"/>
  <c r="AB54" i="5"/>
  <c r="Z54" i="5"/>
  <c r="O54" i="5"/>
  <c r="BF54" i="5" s="1"/>
  <c r="L54" i="5"/>
  <c r="H54" i="5"/>
  <c r="AO54" i="5" s="1"/>
  <c r="AW54" i="5" s="1"/>
  <c r="G54" i="5"/>
  <c r="BW53" i="5"/>
  <c r="BJ53" i="5"/>
  <c r="AL53" i="5"/>
  <c r="AJ53" i="5"/>
  <c r="AH53" i="5"/>
  <c r="AG53" i="5"/>
  <c r="AF53" i="5"/>
  <c r="AC53" i="5"/>
  <c r="AB53" i="5"/>
  <c r="Z53" i="5"/>
  <c r="L53" i="5"/>
  <c r="H53" i="5"/>
  <c r="AO53" i="5" s="1"/>
  <c r="G53" i="5"/>
  <c r="BW52" i="5"/>
  <c r="AL52" i="5"/>
  <c r="AJ52" i="5"/>
  <c r="AH52" i="5"/>
  <c r="AG52" i="5"/>
  <c r="AF52" i="5"/>
  <c r="AC52" i="5"/>
  <c r="AB52" i="5"/>
  <c r="Z52" i="5"/>
  <c r="H52" i="5"/>
  <c r="AP52" i="5" s="1"/>
  <c r="K52" i="5" s="1"/>
  <c r="G52" i="5"/>
  <c r="BW51" i="5"/>
  <c r="BF51" i="5"/>
  <c r="AL51" i="5"/>
  <c r="AJ51" i="5"/>
  <c r="AH51" i="5"/>
  <c r="AG51" i="5"/>
  <c r="AF51" i="5"/>
  <c r="AC51" i="5"/>
  <c r="AB51" i="5"/>
  <c r="Z51" i="5"/>
  <c r="O51" i="5"/>
  <c r="H51" i="5"/>
  <c r="G51" i="5"/>
  <c r="BW50" i="5"/>
  <c r="AL50" i="5"/>
  <c r="AJ50" i="5"/>
  <c r="AH50" i="5"/>
  <c r="AG50" i="5"/>
  <c r="AF50" i="5"/>
  <c r="AC50" i="5"/>
  <c r="AB50" i="5"/>
  <c r="Z50" i="5"/>
  <c r="O50" i="5"/>
  <c r="BF50" i="5" s="1"/>
  <c r="H50" i="5"/>
  <c r="L50" i="5" s="1"/>
  <c r="G50" i="5"/>
  <c r="BW49" i="5"/>
  <c r="AW49" i="5"/>
  <c r="AO49" i="5"/>
  <c r="J49" i="5" s="1"/>
  <c r="AL49" i="5"/>
  <c r="AJ49" i="5"/>
  <c r="AH49" i="5"/>
  <c r="AG49" i="5"/>
  <c r="AF49" i="5"/>
  <c r="AC49" i="5"/>
  <c r="AB49" i="5"/>
  <c r="Z49" i="5"/>
  <c r="H49" i="5"/>
  <c r="G49" i="5"/>
  <c r="BW48" i="5"/>
  <c r="AL48" i="5"/>
  <c r="AJ48" i="5"/>
  <c r="AH48" i="5"/>
  <c r="AG48" i="5"/>
  <c r="AF48" i="5"/>
  <c r="AC48" i="5"/>
  <c r="AB48" i="5"/>
  <c r="Z48" i="5"/>
  <c r="H48" i="5"/>
  <c r="AP48" i="5" s="1"/>
  <c r="G48" i="5"/>
  <c r="BW47" i="5"/>
  <c r="AL47" i="5"/>
  <c r="AJ47" i="5"/>
  <c r="AH47" i="5"/>
  <c r="AG47" i="5"/>
  <c r="AF47" i="5"/>
  <c r="AC47" i="5"/>
  <c r="AB47" i="5"/>
  <c r="Z47" i="5"/>
  <c r="H47" i="5"/>
  <c r="G47" i="5"/>
  <c r="O47" i="5" s="1"/>
  <c r="BF47" i="5" s="1"/>
  <c r="BW46" i="5"/>
  <c r="AP46" i="5"/>
  <c r="AL46" i="5"/>
  <c r="AJ46" i="5"/>
  <c r="AH46" i="5"/>
  <c r="AG46" i="5"/>
  <c r="AF46" i="5"/>
  <c r="AC46" i="5"/>
  <c r="AB46" i="5"/>
  <c r="Z46" i="5"/>
  <c r="O46" i="5"/>
  <c r="BF46" i="5" s="1"/>
  <c r="L46" i="5"/>
  <c r="H46" i="5"/>
  <c r="BJ46" i="5" s="1"/>
  <c r="G46" i="5"/>
  <c r="BW45" i="5"/>
  <c r="AL45" i="5"/>
  <c r="AJ45" i="5"/>
  <c r="AH45" i="5"/>
  <c r="AG45" i="5"/>
  <c r="AF45" i="5"/>
  <c r="AC45" i="5"/>
  <c r="AB45" i="5"/>
  <c r="Z45" i="5"/>
  <c r="H45" i="5"/>
  <c r="BD45" i="5" s="1"/>
  <c r="G45" i="5"/>
  <c r="BW44" i="5"/>
  <c r="AL44" i="5"/>
  <c r="AJ44" i="5"/>
  <c r="AH44" i="5"/>
  <c r="AG44" i="5"/>
  <c r="AF44" i="5"/>
  <c r="AC44" i="5"/>
  <c r="AB44" i="5"/>
  <c r="Z44" i="5"/>
  <c r="H44" i="5"/>
  <c r="BD44" i="5" s="1"/>
  <c r="G44" i="5"/>
  <c r="BW43" i="5"/>
  <c r="AP43" i="5"/>
  <c r="AX43" i="5" s="1"/>
  <c r="AL43" i="5"/>
  <c r="AJ43" i="5"/>
  <c r="AH43" i="5"/>
  <c r="AG43" i="5"/>
  <c r="AF43" i="5"/>
  <c r="AC43" i="5"/>
  <c r="AB43" i="5"/>
  <c r="Z43" i="5"/>
  <c r="H43" i="5"/>
  <c r="AO43" i="5" s="1"/>
  <c r="G43" i="5"/>
  <c r="BW42" i="5"/>
  <c r="AL42" i="5"/>
  <c r="AJ42" i="5"/>
  <c r="AH42" i="5"/>
  <c r="AG42" i="5"/>
  <c r="AF42" i="5"/>
  <c r="AC42" i="5"/>
  <c r="AB42" i="5"/>
  <c r="Z42" i="5"/>
  <c r="O42" i="5"/>
  <c r="BF42" i="5" s="1"/>
  <c r="H42" i="5"/>
  <c r="BJ42" i="5" s="1"/>
  <c r="G42" i="5"/>
  <c r="BW41" i="5"/>
  <c r="AL41" i="5"/>
  <c r="AJ41" i="5"/>
  <c r="AH41" i="5"/>
  <c r="AG41" i="5"/>
  <c r="AF41" i="5"/>
  <c r="AC41" i="5"/>
  <c r="AB41" i="5"/>
  <c r="Z41" i="5"/>
  <c r="H41" i="5"/>
  <c r="G41" i="5"/>
  <c r="BW40" i="5"/>
  <c r="BD40" i="5"/>
  <c r="AO40" i="5"/>
  <c r="AL40" i="5"/>
  <c r="AJ40" i="5"/>
  <c r="AH40" i="5"/>
  <c r="AG40" i="5"/>
  <c r="AF40" i="5"/>
  <c r="AC40" i="5"/>
  <c r="AB40" i="5"/>
  <c r="Z40" i="5"/>
  <c r="J40" i="5"/>
  <c r="H40" i="5"/>
  <c r="AP40" i="5" s="1"/>
  <c r="G40" i="5"/>
  <c r="BW39" i="5"/>
  <c r="BF39" i="5"/>
  <c r="AL39" i="5"/>
  <c r="AJ39" i="5"/>
  <c r="AH39" i="5"/>
  <c r="AG39" i="5"/>
  <c r="AF39" i="5"/>
  <c r="AC39" i="5"/>
  <c r="AB39" i="5"/>
  <c r="Z39" i="5"/>
  <c r="O39" i="5"/>
  <c r="H39" i="5"/>
  <c r="G39" i="5"/>
  <c r="BW38" i="5"/>
  <c r="BF38" i="5"/>
  <c r="AL38" i="5"/>
  <c r="AJ38" i="5"/>
  <c r="AH38" i="5"/>
  <c r="AG38" i="5"/>
  <c r="AF38" i="5"/>
  <c r="AC38" i="5"/>
  <c r="AB38" i="5"/>
  <c r="Z38" i="5"/>
  <c r="O38" i="5"/>
  <c r="H38" i="5"/>
  <c r="G38" i="5"/>
  <c r="BW37" i="5"/>
  <c r="BJ37" i="5"/>
  <c r="AL37" i="5"/>
  <c r="AJ37" i="5"/>
  <c r="AH37" i="5"/>
  <c r="AG37" i="5"/>
  <c r="AF37" i="5"/>
  <c r="AC37" i="5"/>
  <c r="AB37" i="5"/>
  <c r="Z37" i="5"/>
  <c r="H37" i="5"/>
  <c r="G37" i="5"/>
  <c r="BW34" i="5"/>
  <c r="BD34" i="5"/>
  <c r="AL34" i="5"/>
  <c r="AJ34" i="5"/>
  <c r="AH34" i="5"/>
  <c r="AG34" i="5"/>
  <c r="AF34" i="5"/>
  <c r="AE34" i="5"/>
  <c r="AD34" i="5"/>
  <c r="AC34" i="5"/>
  <c r="AB34" i="5"/>
  <c r="O34" i="5"/>
  <c r="BF34" i="5" s="1"/>
  <c r="H34" i="5"/>
  <c r="G34" i="5"/>
  <c r="BW33" i="5"/>
  <c r="BD33" i="5"/>
  <c r="AL33" i="5"/>
  <c r="AJ33" i="5"/>
  <c r="AH33" i="5"/>
  <c r="AG33" i="5"/>
  <c r="AF33" i="5"/>
  <c r="AC33" i="5"/>
  <c r="AB33" i="5"/>
  <c r="Z33" i="5"/>
  <c r="H33" i="5"/>
  <c r="AP33" i="5" s="1"/>
  <c r="G33" i="5"/>
  <c r="BW32" i="5"/>
  <c r="BD32" i="5"/>
  <c r="AP32" i="5"/>
  <c r="K32" i="5" s="1"/>
  <c r="AO32" i="5"/>
  <c r="AL32" i="5"/>
  <c r="AJ32" i="5"/>
  <c r="AH32" i="5"/>
  <c r="AG32" i="5"/>
  <c r="AF32" i="5"/>
  <c r="AC32" i="5"/>
  <c r="AB32" i="5"/>
  <c r="Z32" i="5"/>
  <c r="O32" i="5"/>
  <c r="BF32" i="5" s="1"/>
  <c r="H32" i="5"/>
  <c r="G32" i="5"/>
  <c r="BW31" i="5"/>
  <c r="AL31" i="5"/>
  <c r="AJ31" i="5"/>
  <c r="AH31" i="5"/>
  <c r="AG31" i="5"/>
  <c r="AF31" i="5"/>
  <c r="AC31" i="5"/>
  <c r="AB31" i="5"/>
  <c r="Z31" i="5"/>
  <c r="H31" i="5"/>
  <c r="G31" i="5"/>
  <c r="BW30" i="5"/>
  <c r="AL30" i="5"/>
  <c r="AJ30" i="5"/>
  <c r="AH30" i="5"/>
  <c r="AG30" i="5"/>
  <c r="AF30" i="5"/>
  <c r="AC30" i="5"/>
  <c r="AB30" i="5"/>
  <c r="Z30" i="5"/>
  <c r="O30" i="5"/>
  <c r="BF30" i="5" s="1"/>
  <c r="H30" i="5"/>
  <c r="AO30" i="5" s="1"/>
  <c r="G30" i="5"/>
  <c r="BW29" i="5"/>
  <c r="AO29" i="5"/>
  <c r="J29" i="5" s="1"/>
  <c r="AL29" i="5"/>
  <c r="AJ29" i="5"/>
  <c r="AH29" i="5"/>
  <c r="AG29" i="5"/>
  <c r="AF29" i="5"/>
  <c r="AC29" i="5"/>
  <c r="AB29" i="5"/>
  <c r="Z29" i="5"/>
  <c r="L29" i="5"/>
  <c r="AK29" i="5" s="1"/>
  <c r="H29" i="5"/>
  <c r="AP29" i="5" s="1"/>
  <c r="G29" i="5"/>
  <c r="BW28" i="5"/>
  <c r="AP28" i="5"/>
  <c r="BI28" i="5" s="1"/>
  <c r="AE28" i="5" s="1"/>
  <c r="AO28" i="5"/>
  <c r="J28" i="5" s="1"/>
  <c r="AL28" i="5"/>
  <c r="AJ28" i="5"/>
  <c r="AH28" i="5"/>
  <c r="AG28" i="5"/>
  <c r="AF28" i="5"/>
  <c r="AC28" i="5"/>
  <c r="AB28" i="5"/>
  <c r="Z28" i="5"/>
  <c r="O28" i="5"/>
  <c r="BF28" i="5" s="1"/>
  <c r="K28" i="5"/>
  <c r="H28" i="5"/>
  <c r="BD28" i="5" s="1"/>
  <c r="G28" i="5"/>
  <c r="BW27" i="5"/>
  <c r="AL27" i="5"/>
  <c r="AJ27" i="5"/>
  <c r="AH27" i="5"/>
  <c r="AG27" i="5"/>
  <c r="AF27" i="5"/>
  <c r="AC27" i="5"/>
  <c r="AB27" i="5"/>
  <c r="Z27" i="5"/>
  <c r="H27" i="5"/>
  <c r="BD27" i="5" s="1"/>
  <c r="G27" i="5"/>
  <c r="BW26" i="5"/>
  <c r="AL26" i="5"/>
  <c r="AJ26" i="5"/>
  <c r="AH26" i="5"/>
  <c r="AG26" i="5"/>
  <c r="AF26" i="5"/>
  <c r="AC26" i="5"/>
  <c r="AB26" i="5"/>
  <c r="Z26" i="5"/>
  <c r="O26" i="5"/>
  <c r="BF26" i="5" s="1"/>
  <c r="H26" i="5"/>
  <c r="L26" i="5" s="1"/>
  <c r="G26" i="5"/>
  <c r="BW25" i="5"/>
  <c r="AL25" i="5"/>
  <c r="AJ25" i="5"/>
  <c r="AH25" i="5"/>
  <c r="AG25" i="5"/>
  <c r="AF25" i="5"/>
  <c r="AC25" i="5"/>
  <c r="AB25" i="5"/>
  <c r="Z25" i="5"/>
  <c r="H25" i="5"/>
  <c r="G25" i="5"/>
  <c r="BW24" i="5"/>
  <c r="AL24" i="5"/>
  <c r="AJ24" i="5"/>
  <c r="AH24" i="5"/>
  <c r="AG24" i="5"/>
  <c r="AF24" i="5"/>
  <c r="AC24" i="5"/>
  <c r="AB24" i="5"/>
  <c r="Z24" i="5"/>
  <c r="O24" i="5"/>
  <c r="BF24" i="5" s="1"/>
  <c r="H24" i="5"/>
  <c r="AO24" i="5" s="1"/>
  <c r="J24" i="5" s="1"/>
  <c r="G24" i="5"/>
  <c r="BW22" i="5"/>
  <c r="AL22" i="5"/>
  <c r="AU20" i="5" s="1"/>
  <c r="AJ22" i="5"/>
  <c r="AH22" i="5"/>
  <c r="AG22" i="5"/>
  <c r="AF22" i="5"/>
  <c r="AE22" i="5"/>
  <c r="AD22" i="5"/>
  <c r="AC22" i="5"/>
  <c r="AB22" i="5"/>
  <c r="O22" i="5"/>
  <c r="BF22" i="5" s="1"/>
  <c r="H22" i="5"/>
  <c r="AP22" i="5" s="1"/>
  <c r="AX22" i="5" s="1"/>
  <c r="G22" i="5"/>
  <c r="BW21" i="5"/>
  <c r="BD21" i="5"/>
  <c r="AP21" i="5"/>
  <c r="AX21" i="5" s="1"/>
  <c r="AL21" i="5"/>
  <c r="AJ21" i="5"/>
  <c r="AH21" i="5"/>
  <c r="AG21" i="5"/>
  <c r="AF21" i="5"/>
  <c r="AC21" i="5"/>
  <c r="AB21" i="5"/>
  <c r="Z21" i="5"/>
  <c r="O21" i="5"/>
  <c r="BF21" i="5" s="1"/>
  <c r="H21" i="5"/>
  <c r="AO21" i="5" s="1"/>
  <c r="G21" i="5"/>
  <c r="AS20" i="5"/>
  <c r="BW18" i="5"/>
  <c r="AL18" i="5"/>
  <c r="AJ18" i="5"/>
  <c r="AH18" i="5"/>
  <c r="AG18" i="5"/>
  <c r="AF18" i="5"/>
  <c r="AE18" i="5"/>
  <c r="AD18" i="5"/>
  <c r="AC18" i="5"/>
  <c r="AB18" i="5"/>
  <c r="H18" i="5"/>
  <c r="BD18" i="5" s="1"/>
  <c r="G18" i="5"/>
  <c r="BW17" i="5"/>
  <c r="AL17" i="5"/>
  <c r="AJ17" i="5"/>
  <c r="AH17" i="5"/>
  <c r="AG17" i="5"/>
  <c r="AF17" i="5"/>
  <c r="AC17" i="5"/>
  <c r="AB17" i="5"/>
  <c r="Z17" i="5"/>
  <c r="H17" i="5"/>
  <c r="AO17" i="5" s="1"/>
  <c r="G17" i="5"/>
  <c r="BW16" i="5"/>
  <c r="AL16" i="5"/>
  <c r="AJ16" i="5"/>
  <c r="AH16" i="5"/>
  <c r="AG16" i="5"/>
  <c r="AF16" i="5"/>
  <c r="AC16" i="5"/>
  <c r="AB16" i="5"/>
  <c r="Z16" i="5"/>
  <c r="O16" i="5"/>
  <c r="BF16" i="5" s="1"/>
  <c r="H16" i="5"/>
  <c r="AP16" i="5" s="1"/>
  <c r="G16" i="5"/>
  <c r="BW15" i="5"/>
  <c r="AL15" i="5"/>
  <c r="AU13" i="5" s="1"/>
  <c r="AJ15" i="5"/>
  <c r="AH15" i="5"/>
  <c r="AG15" i="5"/>
  <c r="AF15" i="5"/>
  <c r="AC15" i="5"/>
  <c r="AB15" i="5"/>
  <c r="Z15" i="5"/>
  <c r="H15" i="5"/>
  <c r="BD15" i="5" s="1"/>
  <c r="G15" i="5"/>
  <c r="BW14" i="5"/>
  <c r="BD14" i="5"/>
  <c r="AO14" i="5"/>
  <c r="AL14" i="5"/>
  <c r="AJ14" i="5"/>
  <c r="AH14" i="5"/>
  <c r="AG14" i="5"/>
  <c r="AF14" i="5"/>
  <c r="AC14" i="5"/>
  <c r="AB14" i="5"/>
  <c r="Z14" i="5"/>
  <c r="H14" i="5"/>
  <c r="AP14" i="5" s="1"/>
  <c r="G14" i="5"/>
  <c r="AU1" i="5"/>
  <c r="AT1" i="5"/>
  <c r="AS1" i="5"/>
  <c r="F44" i="4"/>
  <c r="I44" i="4" s="1"/>
  <c r="F43" i="4"/>
  <c r="I43" i="4" s="1"/>
  <c r="I42" i="4"/>
  <c r="F42" i="4"/>
  <c r="F40" i="4"/>
  <c r="I40" i="4" s="1"/>
  <c r="F39" i="4"/>
  <c r="I39" i="4" s="1"/>
  <c r="F38" i="4"/>
  <c r="I38" i="4" s="1"/>
  <c r="F36" i="4"/>
  <c r="I36" i="4" s="1"/>
  <c r="I26" i="4"/>
  <c r="I25" i="4"/>
  <c r="I18" i="3" s="1"/>
  <c r="I24" i="4"/>
  <c r="I23" i="4"/>
  <c r="I22" i="4"/>
  <c r="I21" i="4"/>
  <c r="I17" i="4"/>
  <c r="I16" i="4"/>
  <c r="I15" i="4"/>
  <c r="I18" i="4" s="1"/>
  <c r="I10" i="4"/>
  <c r="F10" i="4"/>
  <c r="C10" i="4"/>
  <c r="F8" i="4"/>
  <c r="C8" i="4"/>
  <c r="F6" i="4"/>
  <c r="C6" i="4"/>
  <c r="F4" i="4"/>
  <c r="C4" i="4"/>
  <c r="F2" i="4"/>
  <c r="C2" i="4"/>
  <c r="I19" i="3"/>
  <c r="I17" i="3"/>
  <c r="I16" i="3"/>
  <c r="F16" i="3"/>
  <c r="I15" i="3"/>
  <c r="I22" i="3" s="1"/>
  <c r="F15" i="3"/>
  <c r="I14" i="3"/>
  <c r="I10" i="3"/>
  <c r="F10" i="3"/>
  <c r="C10" i="3"/>
  <c r="F8" i="3"/>
  <c r="C8" i="3"/>
  <c r="F6" i="3"/>
  <c r="C6" i="3"/>
  <c r="F4" i="3"/>
  <c r="C4" i="3"/>
  <c r="F2" i="3"/>
  <c r="C2" i="3"/>
  <c r="I39" i="2"/>
  <c r="I38" i="2"/>
  <c r="D30" i="2"/>
  <c r="I27" i="2"/>
  <c r="I25" i="2"/>
  <c r="I23" i="2"/>
  <c r="I21" i="2"/>
  <c r="I18" i="2"/>
  <c r="I16" i="2"/>
  <c r="I13" i="2"/>
  <c r="I11" i="2"/>
  <c r="G8" i="2"/>
  <c r="C8" i="2"/>
  <c r="G6" i="2"/>
  <c r="C6" i="2"/>
  <c r="G4" i="2"/>
  <c r="C4" i="2"/>
  <c r="G2" i="2"/>
  <c r="C2" i="2"/>
  <c r="IS215" i="1"/>
  <c r="IR215" i="1"/>
  <c r="L215" i="1" s="1"/>
  <c r="L214" i="1" s="1"/>
  <c r="IS213" i="1"/>
  <c r="IR213" i="1"/>
  <c r="IS212" i="1"/>
  <c r="IR212" i="1"/>
  <c r="L212" i="1" s="1"/>
  <c r="IS210" i="1"/>
  <c r="IR210" i="1"/>
  <c r="IS206" i="1"/>
  <c r="IR206" i="1"/>
  <c r="L206" i="1" s="1"/>
  <c r="IS205" i="1"/>
  <c r="IR205" i="1"/>
  <c r="L205" i="1" s="1"/>
  <c r="IS204" i="1"/>
  <c r="IR204" i="1"/>
  <c r="IS203" i="1"/>
  <c r="IR203" i="1"/>
  <c r="L203" i="1" s="1"/>
  <c r="IS202" i="1"/>
  <c r="L202" i="1" s="1"/>
  <c r="IR202" i="1"/>
  <c r="IS201" i="1"/>
  <c r="IR201" i="1"/>
  <c r="IS200" i="1"/>
  <c r="IR200" i="1"/>
  <c r="IS199" i="1"/>
  <c r="IR199" i="1"/>
  <c r="L199" i="1" s="1"/>
  <c r="IS197" i="1"/>
  <c r="IR197" i="1"/>
  <c r="IS196" i="1"/>
  <c r="L196" i="1" s="1"/>
  <c r="IR196" i="1"/>
  <c r="IS195" i="1"/>
  <c r="IR195" i="1"/>
  <c r="IS194" i="1"/>
  <c r="IR194" i="1"/>
  <c r="L194" i="1" s="1"/>
  <c r="IS193" i="1"/>
  <c r="IR193" i="1"/>
  <c r="IS191" i="1"/>
  <c r="IR191" i="1"/>
  <c r="IS189" i="1"/>
  <c r="IR189" i="1"/>
  <c r="IS187" i="1"/>
  <c r="IR187" i="1"/>
  <c r="L187" i="1" s="1"/>
  <c r="L186" i="1" s="1"/>
  <c r="IS185" i="1"/>
  <c r="IR185" i="1"/>
  <c r="IS184" i="1"/>
  <c r="IR184" i="1"/>
  <c r="L184" i="1" s="1"/>
  <c r="IS183" i="1"/>
  <c r="IR183" i="1"/>
  <c r="L183" i="1" s="1"/>
  <c r="IS182" i="1"/>
  <c r="IR182" i="1"/>
  <c r="L182" i="1" s="1"/>
  <c r="IS181" i="1"/>
  <c r="IR181" i="1"/>
  <c r="L181" i="1" s="1"/>
  <c r="IS179" i="1"/>
  <c r="IR179" i="1"/>
  <c r="IS178" i="1"/>
  <c r="IR178" i="1"/>
  <c r="L178" i="1"/>
  <c r="IS177" i="1"/>
  <c r="IR177" i="1"/>
  <c r="L177" i="1" s="1"/>
  <c r="IS176" i="1"/>
  <c r="IR176" i="1"/>
  <c r="IS174" i="1"/>
  <c r="IR174" i="1"/>
  <c r="IS172" i="1"/>
  <c r="IR172" i="1"/>
  <c r="L172" i="1"/>
  <c r="L171" i="1" s="1"/>
  <c r="IS170" i="1"/>
  <c r="IR170" i="1"/>
  <c r="L170" i="1" s="1"/>
  <c r="IS169" i="1"/>
  <c r="IR169" i="1"/>
  <c r="L169" i="1" s="1"/>
  <c r="IS168" i="1"/>
  <c r="IR168" i="1"/>
  <c r="IS167" i="1"/>
  <c r="IR167" i="1"/>
  <c r="L167" i="1" s="1"/>
  <c r="IS166" i="1"/>
  <c r="IR166" i="1"/>
  <c r="L166" i="1"/>
  <c r="IS165" i="1"/>
  <c r="IR165" i="1"/>
  <c r="IS164" i="1"/>
  <c r="IR164" i="1"/>
  <c r="L164" i="1"/>
  <c r="IS163" i="1"/>
  <c r="IR163" i="1"/>
  <c r="IS162" i="1"/>
  <c r="IR162" i="1"/>
  <c r="IS161" i="1"/>
  <c r="IR161" i="1"/>
  <c r="IS160" i="1"/>
  <c r="IR160" i="1"/>
  <c r="L160" i="1" s="1"/>
  <c r="IS159" i="1"/>
  <c r="IR159" i="1"/>
  <c r="L159" i="1" s="1"/>
  <c r="IS158" i="1"/>
  <c r="IR158" i="1"/>
  <c r="IS155" i="1"/>
  <c r="IR155" i="1"/>
  <c r="L155" i="1" s="1"/>
  <c r="IS154" i="1"/>
  <c r="L154" i="1" s="1"/>
  <c r="IR154" i="1"/>
  <c r="IS153" i="1"/>
  <c r="IR153" i="1"/>
  <c r="IS152" i="1"/>
  <c r="IR152" i="1"/>
  <c r="L152" i="1"/>
  <c r="IS151" i="1"/>
  <c r="IR151" i="1"/>
  <c r="IS150" i="1"/>
  <c r="IR150" i="1"/>
  <c r="IS149" i="1"/>
  <c r="IR149" i="1"/>
  <c r="IS148" i="1"/>
  <c r="IR148" i="1"/>
  <c r="L148" i="1"/>
  <c r="IS147" i="1"/>
  <c r="IR147" i="1"/>
  <c r="L147" i="1" s="1"/>
  <c r="IS146" i="1"/>
  <c r="IR146" i="1"/>
  <c r="IS145" i="1"/>
  <c r="IR145" i="1"/>
  <c r="IS142" i="1"/>
  <c r="L142" i="1" s="1"/>
  <c r="IR142" i="1"/>
  <c r="IS141" i="1"/>
  <c r="IR141" i="1"/>
  <c r="IS140" i="1"/>
  <c r="IR140" i="1"/>
  <c r="L140" i="1" s="1"/>
  <c r="IS139" i="1"/>
  <c r="IR139" i="1"/>
  <c r="IS138" i="1"/>
  <c r="IR138" i="1"/>
  <c r="L138" i="1" s="1"/>
  <c r="IS137" i="1"/>
  <c r="IR137" i="1"/>
  <c r="IS136" i="1"/>
  <c r="IR136" i="1"/>
  <c r="L136" i="1"/>
  <c r="IS135" i="1"/>
  <c r="IR135" i="1"/>
  <c r="L135" i="1" s="1"/>
  <c r="IS134" i="1"/>
  <c r="IR134" i="1"/>
  <c r="IS133" i="1"/>
  <c r="IR133" i="1"/>
  <c r="IS132" i="1"/>
  <c r="IR132" i="1"/>
  <c r="L132" i="1"/>
  <c r="IS131" i="1"/>
  <c r="IR131" i="1"/>
  <c r="L131" i="1" s="1"/>
  <c r="IS130" i="1"/>
  <c r="IR130" i="1"/>
  <c r="L130" i="1" s="1"/>
  <c r="IS127" i="1"/>
  <c r="IR127" i="1"/>
  <c r="IS126" i="1"/>
  <c r="IR126" i="1"/>
  <c r="L126" i="1" s="1"/>
  <c r="IS125" i="1"/>
  <c r="IR125" i="1"/>
  <c r="L125" i="1" s="1"/>
  <c r="IS124" i="1"/>
  <c r="IR124" i="1"/>
  <c r="L124" i="1" s="1"/>
  <c r="IS123" i="1"/>
  <c r="IR123" i="1"/>
  <c r="IS122" i="1"/>
  <c r="L122" i="1" s="1"/>
  <c r="IR122" i="1"/>
  <c r="IS121" i="1"/>
  <c r="IR121" i="1"/>
  <c r="L121" i="1" s="1"/>
  <c r="IS120" i="1"/>
  <c r="IR120" i="1"/>
  <c r="IS119" i="1"/>
  <c r="IR119" i="1"/>
  <c r="L119" i="1" s="1"/>
  <c r="IS118" i="1"/>
  <c r="IR118" i="1"/>
  <c r="IS117" i="1"/>
  <c r="IR117" i="1"/>
  <c r="IS116" i="1"/>
  <c r="IR116" i="1"/>
  <c r="L116" i="1"/>
  <c r="IS115" i="1"/>
  <c r="IR115" i="1"/>
  <c r="IS114" i="1"/>
  <c r="IR114" i="1"/>
  <c r="L114" i="1" s="1"/>
  <c r="IS113" i="1"/>
  <c r="IR113" i="1"/>
  <c r="IS112" i="1"/>
  <c r="IR112" i="1"/>
  <c r="L112" i="1" s="1"/>
  <c r="IS111" i="1"/>
  <c r="IR111" i="1"/>
  <c r="L111" i="1" s="1"/>
  <c r="IS110" i="1"/>
  <c r="IR110" i="1"/>
  <c r="IS109" i="1"/>
  <c r="IR109" i="1"/>
  <c r="L109" i="1" s="1"/>
  <c r="IS108" i="1"/>
  <c r="IR108" i="1"/>
  <c r="IS107" i="1"/>
  <c r="L107" i="1" s="1"/>
  <c r="IR107" i="1"/>
  <c r="IS106" i="1"/>
  <c r="L106" i="1" s="1"/>
  <c r="IR106" i="1"/>
  <c r="IS105" i="1"/>
  <c r="IR105" i="1"/>
  <c r="L105" i="1" s="1"/>
  <c r="IS102" i="1"/>
  <c r="IR102" i="1"/>
  <c r="L102" i="1" s="1"/>
  <c r="IS101" i="1"/>
  <c r="IR101" i="1"/>
  <c r="IS100" i="1"/>
  <c r="IR100" i="1"/>
  <c r="L100" i="1"/>
  <c r="IS98" i="1"/>
  <c r="IR98" i="1"/>
  <c r="L98" i="1" s="1"/>
  <c r="IS97" i="1"/>
  <c r="IR97" i="1"/>
  <c r="IS96" i="1"/>
  <c r="IR96" i="1"/>
  <c r="L96" i="1"/>
  <c r="IS95" i="1"/>
  <c r="IR95" i="1"/>
  <c r="L95" i="1" s="1"/>
  <c r="IS94" i="1"/>
  <c r="IR94" i="1"/>
  <c r="IS93" i="1"/>
  <c r="IR93" i="1"/>
  <c r="IS92" i="1"/>
  <c r="IR92" i="1"/>
  <c r="IS91" i="1"/>
  <c r="IR91" i="1"/>
  <c r="L91" i="1" s="1"/>
  <c r="IS90" i="1"/>
  <c r="L90" i="1" s="1"/>
  <c r="IR90" i="1"/>
  <c r="IS89" i="1"/>
  <c r="IR89" i="1"/>
  <c r="IS88" i="1"/>
  <c r="IR88" i="1"/>
  <c r="L88" i="1"/>
  <c r="IS87" i="1"/>
  <c r="IR87" i="1"/>
  <c r="IS86" i="1"/>
  <c r="IR86" i="1"/>
  <c r="L86" i="1"/>
  <c r="IS85" i="1"/>
  <c r="IR85" i="1"/>
  <c r="L85" i="1" s="1"/>
  <c r="IS84" i="1"/>
  <c r="IR84" i="1"/>
  <c r="L84" i="1" s="1"/>
  <c r="IS83" i="1"/>
  <c r="IR83" i="1"/>
  <c r="L83" i="1" s="1"/>
  <c r="IS82" i="1"/>
  <c r="IR82" i="1"/>
  <c r="L82" i="1" s="1"/>
  <c r="IS81" i="1"/>
  <c r="L81" i="1" s="1"/>
  <c r="IR81" i="1"/>
  <c r="IS80" i="1"/>
  <c r="L80" i="1" s="1"/>
  <c r="IR80" i="1"/>
  <c r="IS79" i="1"/>
  <c r="IR79" i="1"/>
  <c r="IS78" i="1"/>
  <c r="IR78" i="1"/>
  <c r="L78" i="1" s="1"/>
  <c r="IS77" i="1"/>
  <c r="IR77" i="1"/>
  <c r="IS76" i="1"/>
  <c r="IR76" i="1"/>
  <c r="IS75" i="1"/>
  <c r="IR75" i="1"/>
  <c r="IS72" i="1"/>
  <c r="IR72" i="1"/>
  <c r="IS71" i="1"/>
  <c r="IR71" i="1"/>
  <c r="IS70" i="1"/>
  <c r="IR70" i="1"/>
  <c r="L70" i="1" s="1"/>
  <c r="IS69" i="1"/>
  <c r="IR69" i="1"/>
  <c r="IS68" i="1"/>
  <c r="IR68" i="1"/>
  <c r="L68" i="1" s="1"/>
  <c r="IS67" i="1"/>
  <c r="IR67" i="1"/>
  <c r="IS66" i="1"/>
  <c r="IR66" i="1"/>
  <c r="L66" i="1"/>
  <c r="IS65" i="1"/>
  <c r="IR65" i="1"/>
  <c r="IS64" i="1"/>
  <c r="IR64" i="1"/>
  <c r="L64" i="1" s="1"/>
  <c r="IS63" i="1"/>
  <c r="IR63" i="1"/>
  <c r="IS62" i="1"/>
  <c r="IR62" i="1"/>
  <c r="L62" i="1"/>
  <c r="IS61" i="1"/>
  <c r="L61" i="1" s="1"/>
  <c r="IR61" i="1"/>
  <c r="IS60" i="1"/>
  <c r="IR60" i="1"/>
  <c r="L60" i="1" s="1"/>
  <c r="IS59" i="1"/>
  <c r="IR59" i="1"/>
  <c r="L59" i="1" s="1"/>
  <c r="IS58" i="1"/>
  <c r="IR58" i="1"/>
  <c r="IS57" i="1"/>
  <c r="IR57" i="1"/>
  <c r="L57" i="1" s="1"/>
  <c r="IS56" i="1"/>
  <c r="IR56" i="1"/>
  <c r="IS55" i="1"/>
  <c r="IR55" i="1"/>
  <c r="L55" i="1" s="1"/>
  <c r="IS54" i="1"/>
  <c r="L54" i="1" s="1"/>
  <c r="IR54" i="1"/>
  <c r="IS53" i="1"/>
  <c r="IR53" i="1"/>
  <c r="IS52" i="1"/>
  <c r="IR52" i="1"/>
  <c r="L52" i="1"/>
  <c r="IS51" i="1"/>
  <c r="IR51" i="1"/>
  <c r="IS50" i="1"/>
  <c r="IR50" i="1"/>
  <c r="L50" i="1" s="1"/>
  <c r="IS49" i="1"/>
  <c r="IR49" i="1"/>
  <c r="L49" i="1" s="1"/>
  <c r="IS48" i="1"/>
  <c r="IR48" i="1"/>
  <c r="L48" i="1" s="1"/>
  <c r="IS47" i="1"/>
  <c r="IR47" i="1"/>
  <c r="L47" i="1" s="1"/>
  <c r="IS46" i="1"/>
  <c r="IR46" i="1"/>
  <c r="IS45" i="1"/>
  <c r="L45" i="1" s="1"/>
  <c r="IR45" i="1"/>
  <c r="IS44" i="1"/>
  <c r="IR44" i="1"/>
  <c r="L44" i="1" s="1"/>
  <c r="IS43" i="1"/>
  <c r="IR43" i="1"/>
  <c r="L43" i="1" s="1"/>
  <c r="IS42" i="1"/>
  <c r="IR42" i="1"/>
  <c r="L42" i="1" s="1"/>
  <c r="IS41" i="1"/>
  <c r="IR41" i="1"/>
  <c r="L41" i="1" s="1"/>
  <c r="IS40" i="1"/>
  <c r="IR40" i="1"/>
  <c r="L40" i="1" s="1"/>
  <c r="IS39" i="1"/>
  <c r="IR39" i="1"/>
  <c r="IS38" i="1"/>
  <c r="IR38" i="1"/>
  <c r="L38" i="1"/>
  <c r="IS37" i="1"/>
  <c r="L37" i="1" s="1"/>
  <c r="IR37" i="1"/>
  <c r="IS36" i="1"/>
  <c r="IR36" i="1"/>
  <c r="L36" i="1" s="1"/>
  <c r="IS33" i="1"/>
  <c r="IR33" i="1"/>
  <c r="IS32" i="1"/>
  <c r="IR32" i="1"/>
  <c r="L32" i="1"/>
  <c r="IS31" i="1"/>
  <c r="IR31" i="1"/>
  <c r="L31" i="1" s="1"/>
  <c r="IS30" i="1"/>
  <c r="IR30" i="1"/>
  <c r="L30" i="1" s="1"/>
  <c r="IS29" i="1"/>
  <c r="IR29" i="1"/>
  <c r="L29" i="1" s="1"/>
  <c r="IS28" i="1"/>
  <c r="IR28" i="1"/>
  <c r="IS27" i="1"/>
  <c r="IR27" i="1"/>
  <c r="IS26" i="1"/>
  <c r="IR26" i="1"/>
  <c r="L26" i="1" s="1"/>
  <c r="IS25" i="1"/>
  <c r="IR25" i="1"/>
  <c r="L25" i="1" s="1"/>
  <c r="IS24" i="1"/>
  <c r="IR24" i="1"/>
  <c r="L24" i="1" s="1"/>
  <c r="IS23" i="1"/>
  <c r="IR23" i="1"/>
  <c r="IS21" i="1"/>
  <c r="IR21" i="1"/>
  <c r="IS20" i="1"/>
  <c r="IR20" i="1"/>
  <c r="L20" i="1" s="1"/>
  <c r="IS17" i="1"/>
  <c r="IR17" i="1"/>
  <c r="L17" i="1" s="1"/>
  <c r="IS16" i="1"/>
  <c r="IR16" i="1"/>
  <c r="L16" i="1" s="1"/>
  <c r="IS15" i="1"/>
  <c r="IR15" i="1"/>
  <c r="IS14" i="1"/>
  <c r="IR14" i="1"/>
  <c r="L14" i="1"/>
  <c r="IS13" i="1"/>
  <c r="IR13" i="1"/>
  <c r="I8" i="1"/>
  <c r="G8" i="1"/>
  <c r="D8" i="1"/>
  <c r="I6" i="1"/>
  <c r="G6" i="1"/>
  <c r="D6" i="1"/>
  <c r="I4" i="1"/>
  <c r="G4" i="1"/>
  <c r="D4" i="1"/>
  <c r="I2" i="1"/>
  <c r="G2" i="1"/>
  <c r="D2" i="1"/>
  <c r="AW21" i="5" l="1"/>
  <c r="AV21" i="5" s="1"/>
  <c r="J21" i="5"/>
  <c r="BH21" i="5"/>
  <c r="AD21" i="5" s="1"/>
  <c r="BH80" i="5"/>
  <c r="AD80" i="5" s="1"/>
  <c r="J80" i="5"/>
  <c r="BH185" i="5"/>
  <c r="AD185" i="5" s="1"/>
  <c r="J185" i="5"/>
  <c r="AP30" i="5"/>
  <c r="AX30" i="5" s="1"/>
  <c r="L34" i="5"/>
  <c r="AP34" i="5"/>
  <c r="AX34" i="5" s="1"/>
  <c r="AS36" i="5"/>
  <c r="BI43" i="5"/>
  <c r="AE43" i="5" s="1"/>
  <c r="AO47" i="5"/>
  <c r="AP47" i="5"/>
  <c r="BI47" i="5" s="1"/>
  <c r="AE47" i="5" s="1"/>
  <c r="L73" i="5"/>
  <c r="L86" i="5"/>
  <c r="M86" i="5" s="1"/>
  <c r="BJ86" i="5"/>
  <c r="BJ93" i="5"/>
  <c r="L93" i="5"/>
  <c r="AO103" i="5"/>
  <c r="AW103" i="5" s="1"/>
  <c r="AP103" i="5"/>
  <c r="AX103" i="5" s="1"/>
  <c r="BJ103" i="5"/>
  <c r="Z103" i="5" s="1"/>
  <c r="L121" i="5"/>
  <c r="AO139" i="5"/>
  <c r="AW91" i="5"/>
  <c r="AV91" i="5" s="1"/>
  <c r="J91" i="5"/>
  <c r="BH91" i="5"/>
  <c r="AD91" i="5" s="1"/>
  <c r="BD98" i="5"/>
  <c r="AO98" i="5"/>
  <c r="C19" i="3"/>
  <c r="L21" i="1"/>
  <c r="L79" i="1"/>
  <c r="L89" i="1"/>
  <c r="L93" i="1"/>
  <c r="L120" i="1"/>
  <c r="L127" i="1"/>
  <c r="L145" i="1"/>
  <c r="L168" i="1"/>
  <c r="L157" i="1" s="1"/>
  <c r="C20" i="3"/>
  <c r="L24" i="5"/>
  <c r="M24" i="5" s="1"/>
  <c r="AO26" i="5"/>
  <c r="AX28" i="5"/>
  <c r="BD29" i="5"/>
  <c r="AU36" i="5"/>
  <c r="BD47" i="5"/>
  <c r="BD49" i="5"/>
  <c r="BJ49" i="5"/>
  <c r="AO52" i="5"/>
  <c r="BH52" i="5" s="1"/>
  <c r="AD52" i="5" s="1"/>
  <c r="BD56" i="5"/>
  <c r="AP62" i="5"/>
  <c r="BI64" i="5"/>
  <c r="AE64" i="5" s="1"/>
  <c r="AX66" i="5"/>
  <c r="AP79" i="5"/>
  <c r="BD79" i="5"/>
  <c r="AO79" i="5"/>
  <c r="K85" i="5"/>
  <c r="AP87" i="5"/>
  <c r="AX87" i="5" s="1"/>
  <c r="L87" i="5"/>
  <c r="AO87" i="5"/>
  <c r="BJ88" i="5"/>
  <c r="BH97" i="5"/>
  <c r="AD97" i="5" s="1"/>
  <c r="L103" i="5"/>
  <c r="AK103" i="5" s="1"/>
  <c r="AP139" i="5"/>
  <c r="J147" i="5"/>
  <c r="AU158" i="5"/>
  <c r="AO173" i="5"/>
  <c r="BJ173" i="5"/>
  <c r="BD173" i="5"/>
  <c r="AP184" i="5"/>
  <c r="AO201" i="5"/>
  <c r="AW201" i="5" s="1"/>
  <c r="BD201" i="5"/>
  <c r="AO25" i="5"/>
  <c r="BJ25" i="5"/>
  <c r="BJ89" i="5"/>
  <c r="L89" i="5"/>
  <c r="BD89" i="5"/>
  <c r="L15" i="1"/>
  <c r="L13" i="1"/>
  <c r="L12" i="1" s="1"/>
  <c r="L33" i="1"/>
  <c r="L63" i="1"/>
  <c r="L76" i="1"/>
  <c r="L110" i="1"/>
  <c r="L133" i="1"/>
  <c r="L158" i="1"/>
  <c r="L165" i="1"/>
  <c r="L174" i="1"/>
  <c r="L173" i="1" s="1"/>
  <c r="L204" i="1"/>
  <c r="L21" i="5"/>
  <c r="AK21" i="5" s="1"/>
  <c r="AP25" i="5"/>
  <c r="K25" i="5" s="1"/>
  <c r="AP26" i="5"/>
  <c r="AX26" i="5" s="1"/>
  <c r="BH28" i="5"/>
  <c r="AD28" i="5" s="1"/>
  <c r="BJ29" i="5"/>
  <c r="BD30" i="5"/>
  <c r="AP42" i="5"/>
  <c r="BD52" i="5"/>
  <c r="BH54" i="5"/>
  <c r="AD54" i="5" s="1"/>
  <c r="BJ66" i="5"/>
  <c r="AO69" i="5"/>
  <c r="BJ69" i="5"/>
  <c r="AP72" i="5"/>
  <c r="AO77" i="5"/>
  <c r="BD77" i="5"/>
  <c r="AP77" i="5"/>
  <c r="AX82" i="5"/>
  <c r="BJ85" i="5"/>
  <c r="L85" i="5"/>
  <c r="AP93" i="5"/>
  <c r="AX93" i="5" s="1"/>
  <c r="BI94" i="5"/>
  <c r="AE94" i="5" s="1"/>
  <c r="AX94" i="5"/>
  <c r="K94" i="5"/>
  <c r="AO97" i="5"/>
  <c r="J97" i="5" s="1"/>
  <c r="L97" i="5"/>
  <c r="BD97" i="5"/>
  <c r="AP97" i="5"/>
  <c r="BI97" i="5" s="1"/>
  <c r="AE97" i="5" s="1"/>
  <c r="L132" i="5"/>
  <c r="AK132" i="5" s="1"/>
  <c r="AO132" i="5"/>
  <c r="AK160" i="5"/>
  <c r="M160" i="5"/>
  <c r="AP165" i="5"/>
  <c r="AX165" i="5" s="1"/>
  <c r="AO165" i="5"/>
  <c r="L165" i="5"/>
  <c r="BJ165" i="5"/>
  <c r="AW168" i="5"/>
  <c r="J168" i="5"/>
  <c r="BH168" i="5"/>
  <c r="AB168" i="5" s="1"/>
  <c r="L173" i="5"/>
  <c r="M173" i="5" s="1"/>
  <c r="M172" i="5" s="1"/>
  <c r="BD184" i="5"/>
  <c r="L23" i="1"/>
  <c r="L46" i="1"/>
  <c r="L53" i="1"/>
  <c r="L67" i="1"/>
  <c r="L94" i="1"/>
  <c r="L117" i="1"/>
  <c r="L146" i="1"/>
  <c r="L144" i="1" s="1"/>
  <c r="L143" i="1" s="1"/>
  <c r="L153" i="1"/>
  <c r="L162" i="1"/>
  <c r="AP24" i="5"/>
  <c r="AX24" i="5" s="1"/>
  <c r="BD25" i="5"/>
  <c r="BD26" i="5"/>
  <c r="BJ30" i="5"/>
  <c r="AO33" i="5"/>
  <c r="AO34" i="5"/>
  <c r="J34" i="5" s="1"/>
  <c r="BD72" i="5"/>
  <c r="BI82" i="5"/>
  <c r="AE82" i="5" s="1"/>
  <c r="AO86" i="5"/>
  <c r="BD93" i="5"/>
  <c r="AP99" i="5"/>
  <c r="AX99" i="5" s="1"/>
  <c r="BD99" i="5"/>
  <c r="AO99" i="5"/>
  <c r="AP111" i="5"/>
  <c r="BI111" i="5" s="1"/>
  <c r="AE111" i="5" s="1"/>
  <c r="AO111" i="5"/>
  <c r="J111" i="5" s="1"/>
  <c r="AP146" i="5"/>
  <c r="BD146" i="5"/>
  <c r="AP201" i="5"/>
  <c r="K201" i="5" s="1"/>
  <c r="AP115" i="5"/>
  <c r="BD115" i="5"/>
  <c r="L134" i="1"/>
  <c r="L141" i="1"/>
  <c r="L129" i="1" s="1"/>
  <c r="L128" i="1" s="1"/>
  <c r="L150" i="1"/>
  <c r="L176" i="1"/>
  <c r="L191" i="1"/>
  <c r="L190" i="1" s="1"/>
  <c r="L201" i="1"/>
  <c r="BD24" i="5"/>
  <c r="AO44" i="5"/>
  <c r="BH44" i="5" s="1"/>
  <c r="AD44" i="5" s="1"/>
  <c r="AP86" i="5"/>
  <c r="BJ90" i="5"/>
  <c r="AP90" i="5"/>
  <c r="AO90" i="5"/>
  <c r="AW90" i="5" s="1"/>
  <c r="AK111" i="5"/>
  <c r="M111" i="5"/>
  <c r="AO128" i="5"/>
  <c r="AP128" i="5"/>
  <c r="AO134" i="5"/>
  <c r="BD134" i="5"/>
  <c r="K138" i="5"/>
  <c r="BI138" i="5"/>
  <c r="AE138" i="5" s="1"/>
  <c r="L146" i="5"/>
  <c r="AP150" i="5"/>
  <c r="BJ150" i="5"/>
  <c r="AO197" i="5"/>
  <c r="J197" i="5" s="1"/>
  <c r="AU199" i="5"/>
  <c r="BJ26" i="5"/>
  <c r="J30" i="5"/>
  <c r="BH30" i="5"/>
  <c r="AD30" i="5" s="1"/>
  <c r="C18" i="3"/>
  <c r="AX46" i="5"/>
  <c r="BI46" i="5"/>
  <c r="AE46" i="5" s="1"/>
  <c r="K66" i="5"/>
  <c r="BH70" i="5"/>
  <c r="AD70" i="5" s="1"/>
  <c r="BD82" i="5"/>
  <c r="AO82" i="5"/>
  <c r="BD86" i="5"/>
  <c r="L90" i="5"/>
  <c r="M90" i="5" s="1"/>
  <c r="L99" i="5"/>
  <c r="AW106" i="5"/>
  <c r="BD111" i="5"/>
  <c r="AP117" i="5"/>
  <c r="BI117" i="5" s="1"/>
  <c r="AE117" i="5" s="1"/>
  <c r="M135" i="5"/>
  <c r="K143" i="5"/>
  <c r="BJ146" i="5"/>
  <c r="L150" i="5"/>
  <c r="AK150" i="5" s="1"/>
  <c r="BI167" i="5"/>
  <c r="AC167" i="5" s="1"/>
  <c r="L28" i="1"/>
  <c r="L51" i="1"/>
  <c r="L58" i="1"/>
  <c r="L35" i="1" s="1"/>
  <c r="L34" i="1" s="1"/>
  <c r="L65" i="1"/>
  <c r="L72" i="1"/>
  <c r="L108" i="1"/>
  <c r="L115" i="1"/>
  <c r="L213" i="1"/>
  <c r="L211" i="1" s="1"/>
  <c r="AW26" i="5"/>
  <c r="BC26" i="5" s="1"/>
  <c r="L30" i="5"/>
  <c r="AK30" i="5" s="1"/>
  <c r="BJ34" i="5"/>
  <c r="Z34" i="5" s="1"/>
  <c r="BD48" i="5"/>
  <c r="AP54" i="5"/>
  <c r="L66" i="5"/>
  <c r="BH68" i="5"/>
  <c r="AD68" i="5" s="1"/>
  <c r="AO70" i="5"/>
  <c r="AW70" i="5" s="1"/>
  <c r="L70" i="5"/>
  <c r="AK70" i="5" s="1"/>
  <c r="AU75" i="5"/>
  <c r="AW84" i="5"/>
  <c r="J84" i="5"/>
  <c r="BD87" i="5"/>
  <c r="K89" i="5"/>
  <c r="L94" i="5"/>
  <c r="M94" i="5" s="1"/>
  <c r="BJ94" i="5"/>
  <c r="AP95" i="5"/>
  <c r="AX95" i="5" s="1"/>
  <c r="AO95" i="5"/>
  <c r="L95" i="5"/>
  <c r="M95" i="5" s="1"/>
  <c r="AO106" i="5"/>
  <c r="BD106" i="5"/>
  <c r="AO109" i="5"/>
  <c r="AP109" i="5"/>
  <c r="K109" i="5" s="1"/>
  <c r="AP134" i="5"/>
  <c r="BI134" i="5" s="1"/>
  <c r="AE134" i="5" s="1"/>
  <c r="BI149" i="5"/>
  <c r="AE149" i="5" s="1"/>
  <c r="K149" i="5"/>
  <c r="BD150" i="5"/>
  <c r="AO159" i="5"/>
  <c r="BH159" i="5" s="1"/>
  <c r="AB159" i="5" s="1"/>
  <c r="BD159" i="5"/>
  <c r="AP159" i="5"/>
  <c r="AO196" i="5"/>
  <c r="AP196" i="5"/>
  <c r="BD196" i="5"/>
  <c r="K102" i="5"/>
  <c r="BH135" i="5"/>
  <c r="AD135" i="5" s="1"/>
  <c r="BJ135" i="5"/>
  <c r="L141" i="5"/>
  <c r="BJ164" i="5"/>
  <c r="AX168" i="5"/>
  <c r="BD168" i="5"/>
  <c r="BI185" i="5"/>
  <c r="AE185" i="5" s="1"/>
  <c r="BD205" i="5"/>
  <c r="AO206" i="5"/>
  <c r="BH206" i="5" s="1"/>
  <c r="J213" i="5"/>
  <c r="BO214" i="5"/>
  <c r="F37" i="4" s="1"/>
  <c r="I37" i="4" s="1"/>
  <c r="L71" i="1"/>
  <c r="L77" i="1"/>
  <c r="L87" i="1"/>
  <c r="L97" i="1"/>
  <c r="L101" i="1"/>
  <c r="L99" i="1" s="1"/>
  <c r="L113" i="1"/>
  <c r="L104" i="1" s="1"/>
  <c r="L103" i="1" s="1"/>
  <c r="L123" i="1"/>
  <c r="L139" i="1"/>
  <c r="L151" i="1"/>
  <c r="L163" i="1"/>
  <c r="L179" i="1"/>
  <c r="L189" i="1"/>
  <c r="L188" i="1" s="1"/>
  <c r="L195" i="1"/>
  <c r="L200" i="1"/>
  <c r="L198" i="1" s="1"/>
  <c r="L210" i="1"/>
  <c r="L209" i="1" s="1"/>
  <c r="BI52" i="5"/>
  <c r="AE52" i="5" s="1"/>
  <c r="BH62" i="5"/>
  <c r="AD62" i="5" s="1"/>
  <c r="BH66" i="5"/>
  <c r="AD66" i="5" s="1"/>
  <c r="BI99" i="5"/>
  <c r="BI139" i="5"/>
  <c r="AE139" i="5" s="1"/>
  <c r="BJ178" i="5"/>
  <c r="L179" i="5"/>
  <c r="BJ179" i="5"/>
  <c r="BJ202" i="5"/>
  <c r="Z202" i="5" s="1"/>
  <c r="BI165" i="5"/>
  <c r="AC165" i="5" s="1"/>
  <c r="AX173" i="5"/>
  <c r="AS181" i="5"/>
  <c r="BJ197" i="5"/>
  <c r="BI206" i="5"/>
  <c r="L27" i="1"/>
  <c r="L39" i="1"/>
  <c r="L56" i="1"/>
  <c r="L69" i="1"/>
  <c r="L75" i="1"/>
  <c r="L74" i="1" s="1"/>
  <c r="L92" i="1"/>
  <c r="L118" i="1"/>
  <c r="L137" i="1"/>
  <c r="L149" i="1"/>
  <c r="L161" i="1"/>
  <c r="L185" i="1"/>
  <c r="L180" i="1" s="1"/>
  <c r="L193" i="1"/>
  <c r="L197" i="1"/>
  <c r="L192" i="1" s="1"/>
  <c r="C27" i="3"/>
  <c r="AU23" i="5"/>
  <c r="AW30" i="5"/>
  <c r="BC30" i="5" s="1"/>
  <c r="BJ82" i="5"/>
  <c r="BH86" i="5"/>
  <c r="AD86" i="5" s="1"/>
  <c r="BH94" i="5"/>
  <c r="AD94" i="5" s="1"/>
  <c r="BJ96" i="5"/>
  <c r="AU100" i="5"/>
  <c r="AP102" i="5"/>
  <c r="AO135" i="5"/>
  <c r="J135" i="5" s="1"/>
  <c r="AO178" i="5"/>
  <c r="AO202" i="5"/>
  <c r="L206" i="5"/>
  <c r="AK206" i="5" s="1"/>
  <c r="AX164" i="5"/>
  <c r="AV164" i="5" s="1"/>
  <c r="AU176" i="5"/>
  <c r="BD179" i="5"/>
  <c r="BJ192" i="5"/>
  <c r="AP205" i="5"/>
  <c r="BM211" i="5"/>
  <c r="F35" i="4" s="1"/>
  <c r="I35" i="4" s="1"/>
  <c r="L175" i="1"/>
  <c r="BH24" i="5"/>
  <c r="AD24" i="5" s="1"/>
  <c r="L22" i="1"/>
  <c r="AX16" i="5"/>
  <c r="K16" i="5"/>
  <c r="BI16" i="5"/>
  <c r="AE16" i="5" s="1"/>
  <c r="L19" i="1"/>
  <c r="F29" i="4"/>
  <c r="BJ14" i="5"/>
  <c r="L14" i="5"/>
  <c r="AX14" i="5"/>
  <c r="O14" i="5"/>
  <c r="AK34" i="5"/>
  <c r="M34" i="5"/>
  <c r="AK50" i="5"/>
  <c r="M50" i="5"/>
  <c r="AK53" i="5"/>
  <c r="M53" i="5"/>
  <c r="BI54" i="5"/>
  <c r="AE54" i="5" s="1"/>
  <c r="K54" i="5"/>
  <c r="AP71" i="5"/>
  <c r="AX71" i="5" s="1"/>
  <c r="AO71" i="5"/>
  <c r="AW71" i="5" s="1"/>
  <c r="BD71" i="5"/>
  <c r="BH72" i="5"/>
  <c r="AD72" i="5" s="1"/>
  <c r="J72" i="5"/>
  <c r="AK73" i="5"/>
  <c r="M73" i="5"/>
  <c r="M97" i="5"/>
  <c r="AK97" i="5"/>
  <c r="AO15" i="5"/>
  <c r="BJ15" i="5"/>
  <c r="BJ16" i="5"/>
  <c r="O20" i="5"/>
  <c r="M21" i="5"/>
  <c r="K24" i="5"/>
  <c r="AX25" i="5"/>
  <c r="BI25" i="5"/>
  <c r="AE25" i="5" s="1"/>
  <c r="M29" i="5"/>
  <c r="BH29" i="5"/>
  <c r="AD29" i="5" s="1"/>
  <c r="AX33" i="5"/>
  <c r="O33" i="5"/>
  <c r="BF33" i="5" s="1"/>
  <c r="BJ33" i="5"/>
  <c r="L33" i="5"/>
  <c r="BI33" i="5"/>
  <c r="AE33" i="5" s="1"/>
  <c r="K33" i="5"/>
  <c r="AW33" i="5"/>
  <c r="AX54" i="5"/>
  <c r="AP59" i="5"/>
  <c r="AO59" i="5"/>
  <c r="AW59" i="5" s="1"/>
  <c r="J14" i="5"/>
  <c r="AW14" i="5"/>
  <c r="AP15" i="5"/>
  <c r="AX15" i="5" s="1"/>
  <c r="AP17" i="5"/>
  <c r="BI17" i="5" s="1"/>
  <c r="AE17" i="5" s="1"/>
  <c r="BJ18" i="5"/>
  <c r="Z18" i="5" s="1"/>
  <c r="L18" i="5"/>
  <c r="O18" i="5"/>
  <c r="BF18" i="5" s="1"/>
  <c r="AO18" i="5"/>
  <c r="BC21" i="5"/>
  <c r="L22" i="5"/>
  <c r="AX37" i="5"/>
  <c r="AX40" i="5"/>
  <c r="O40" i="5"/>
  <c r="BF40" i="5" s="1"/>
  <c r="BJ40" i="5"/>
  <c r="L40" i="5"/>
  <c r="BI40" i="5"/>
  <c r="AE40" i="5" s="1"/>
  <c r="BH40" i="5"/>
  <c r="AD40" i="5" s="1"/>
  <c r="K40" i="5"/>
  <c r="BC58" i="5"/>
  <c r="BH65" i="5"/>
  <c r="AD65" i="5" s="1"/>
  <c r="J65" i="5"/>
  <c r="AW65" i="5"/>
  <c r="BH69" i="5"/>
  <c r="AD69" i="5" s="1"/>
  <c r="J69" i="5"/>
  <c r="AW69" i="5"/>
  <c r="M91" i="5"/>
  <c r="AK91" i="5"/>
  <c r="F14" i="3"/>
  <c r="F22" i="3" s="1"/>
  <c r="C29" i="3"/>
  <c r="F29" i="3" s="1"/>
  <c r="I27" i="4"/>
  <c r="K14" i="5"/>
  <c r="BH17" i="5"/>
  <c r="AD17" i="5" s="1"/>
  <c r="J17" i="5"/>
  <c r="BJ17" i="5"/>
  <c r="L17" i="5"/>
  <c r="AW17" i="5"/>
  <c r="AP18" i="5"/>
  <c r="K18" i="5" s="1"/>
  <c r="BD22" i="5"/>
  <c r="BJ31" i="5"/>
  <c r="AP37" i="5"/>
  <c r="AO37" i="5"/>
  <c r="BD37" i="5"/>
  <c r="AO38" i="5"/>
  <c r="BD38" i="5"/>
  <c r="L38" i="5"/>
  <c r="O44" i="5"/>
  <c r="BF44" i="5" s="1"/>
  <c r="BJ44" i="5"/>
  <c r="L44" i="5"/>
  <c r="AW44" i="5"/>
  <c r="J44" i="5"/>
  <c r="AK69" i="5"/>
  <c r="M69" i="5"/>
  <c r="BI70" i="5"/>
  <c r="AE70" i="5" s="1"/>
  <c r="K70" i="5"/>
  <c r="BD16" i="5"/>
  <c r="AO16" i="5"/>
  <c r="AW16" i="5" s="1"/>
  <c r="AS23" i="5"/>
  <c r="AP27" i="5"/>
  <c r="BI27" i="5" s="1"/>
  <c r="AE27" i="5" s="1"/>
  <c r="AO27" i="5"/>
  <c r="BH27" i="5" s="1"/>
  <c r="AD27" i="5" s="1"/>
  <c r="BJ27" i="5"/>
  <c r="AV30" i="5"/>
  <c r="AP31" i="5"/>
  <c r="BI31" i="5" s="1"/>
  <c r="AE31" i="5" s="1"/>
  <c r="AO31" i="5"/>
  <c r="BH31" i="5" s="1"/>
  <c r="AD31" i="5" s="1"/>
  <c r="BD31" i="5"/>
  <c r="L37" i="5"/>
  <c r="AO39" i="5"/>
  <c r="BH39" i="5" s="1"/>
  <c r="AD39" i="5" s="1"/>
  <c r="BD39" i="5"/>
  <c r="BD41" i="5"/>
  <c r="BJ41" i="5"/>
  <c r="AO41" i="5"/>
  <c r="BC54" i="5"/>
  <c r="BD57" i="5"/>
  <c r="AP57" i="5"/>
  <c r="AO57" i="5"/>
  <c r="AX70" i="5"/>
  <c r="BC70" i="5" s="1"/>
  <c r="AO81" i="5"/>
  <c r="AP81" i="5"/>
  <c r="AX81" i="5" s="1"/>
  <c r="BJ81" i="5"/>
  <c r="L81" i="5"/>
  <c r="BD81" i="5"/>
  <c r="M89" i="5"/>
  <c r="AK89" i="5"/>
  <c r="L15" i="5"/>
  <c r="K17" i="5"/>
  <c r="BI21" i="5"/>
  <c r="AE21" i="5" s="1"/>
  <c r="K21" i="5"/>
  <c r="BJ21" i="5"/>
  <c r="AK24" i="5"/>
  <c r="L25" i="5"/>
  <c r="L27" i="5"/>
  <c r="AX29" i="5"/>
  <c r="O29" i="5"/>
  <c r="BF29" i="5" s="1"/>
  <c r="BI29" i="5"/>
  <c r="AE29" i="5" s="1"/>
  <c r="K29" i="5"/>
  <c r="L31" i="5"/>
  <c r="AW32" i="5"/>
  <c r="BJ32" i="5"/>
  <c r="L32" i="5"/>
  <c r="BH32" i="5"/>
  <c r="AD32" i="5" s="1"/>
  <c r="J32" i="5"/>
  <c r="AX32" i="5"/>
  <c r="AW34" i="5"/>
  <c r="L41" i="5"/>
  <c r="K43" i="5"/>
  <c r="AP55" i="5"/>
  <c r="AX55" i="5" s="1"/>
  <c r="AO55" i="5"/>
  <c r="AW55" i="5" s="1"/>
  <c r="BD55" i="5"/>
  <c r="BH56" i="5"/>
  <c r="AD56" i="5" s="1"/>
  <c r="J56" i="5"/>
  <c r="L57" i="5"/>
  <c r="BI58" i="5"/>
  <c r="AE58" i="5" s="1"/>
  <c r="K58" i="5"/>
  <c r="AX58" i="5"/>
  <c r="BI79" i="5"/>
  <c r="AE79" i="5" s="1"/>
  <c r="K79" i="5"/>
  <c r="BH79" i="5"/>
  <c r="AD79" i="5" s="1"/>
  <c r="J79" i="5"/>
  <c r="AX79" i="5"/>
  <c r="O79" i="5"/>
  <c r="BF79" i="5" s="1"/>
  <c r="BJ79" i="5"/>
  <c r="L79" i="5"/>
  <c r="AW79" i="5"/>
  <c r="AS13" i="5"/>
  <c r="BH14" i="5"/>
  <c r="AD14" i="5" s="1"/>
  <c r="L16" i="5"/>
  <c r="BD17" i="5"/>
  <c r="BJ22" i="5"/>
  <c r="Z22" i="5" s="1"/>
  <c r="AW24" i="5"/>
  <c r="BI24" i="5"/>
  <c r="AE24" i="5" s="1"/>
  <c r="AW25" i="5"/>
  <c r="O27" i="5"/>
  <c r="BF27" i="5" s="1"/>
  <c r="AW28" i="5"/>
  <c r="BJ28" i="5"/>
  <c r="L28" i="5"/>
  <c r="O31" i="5"/>
  <c r="BF31" i="5" s="1"/>
  <c r="AP39" i="5"/>
  <c r="BI48" i="5"/>
  <c r="AE48" i="5" s="1"/>
  <c r="BD61" i="5"/>
  <c r="AP61" i="5"/>
  <c r="AO61" i="5"/>
  <c r="BJ61" i="5"/>
  <c r="L61" i="5"/>
  <c r="AV66" i="5"/>
  <c r="AW76" i="5"/>
  <c r="M77" i="5"/>
  <c r="AK77" i="5"/>
  <c r="AX98" i="5"/>
  <c r="BI98" i="5"/>
  <c r="AE98" i="5" s="1"/>
  <c r="K98" i="5"/>
  <c r="BJ98" i="5"/>
  <c r="BH98" i="5"/>
  <c r="AD98" i="5" s="1"/>
  <c r="O98" i="5"/>
  <c r="BF98" i="5" s="1"/>
  <c r="L98" i="5"/>
  <c r="J98" i="5"/>
  <c r="AW98" i="5"/>
  <c r="BI14" i="5"/>
  <c r="AE14" i="5" s="1"/>
  <c r="O17" i="5"/>
  <c r="BF17" i="5" s="1"/>
  <c r="BI22" i="5"/>
  <c r="K22" i="5"/>
  <c r="AO22" i="5"/>
  <c r="J22" i="5" s="1"/>
  <c r="J20" i="5" s="1"/>
  <c r="BJ24" i="5"/>
  <c r="O25" i="5"/>
  <c r="BF25" i="5" s="1"/>
  <c r="AK26" i="5"/>
  <c r="M26" i="5"/>
  <c r="AW29" i="5"/>
  <c r="M30" i="5"/>
  <c r="BI32" i="5"/>
  <c r="AE32" i="5" s="1"/>
  <c r="AP38" i="5"/>
  <c r="AW40" i="5"/>
  <c r="AP41" i="5"/>
  <c r="AX41" i="5" s="1"/>
  <c r="AK46" i="5"/>
  <c r="M46" i="5"/>
  <c r="AO50" i="5"/>
  <c r="AW50" i="5" s="1"/>
  <c r="BD50" i="5"/>
  <c r="AP50" i="5"/>
  <c r="BJ50" i="5"/>
  <c r="AO51" i="5"/>
  <c r="AP51" i="5"/>
  <c r="BD51" i="5"/>
  <c r="BH53" i="5"/>
  <c r="AD53" i="5" s="1"/>
  <c r="J53" i="5"/>
  <c r="AW53" i="5"/>
  <c r="BJ57" i="5"/>
  <c r="BD73" i="5"/>
  <c r="AP73" i="5"/>
  <c r="K73" i="5" s="1"/>
  <c r="AO73" i="5"/>
  <c r="BH78" i="5"/>
  <c r="AD78" i="5" s="1"/>
  <c r="AW78" i="5"/>
  <c r="J78" i="5"/>
  <c r="K93" i="5"/>
  <c r="K26" i="5"/>
  <c r="BI26" i="5"/>
  <c r="AE26" i="5" s="1"/>
  <c r="K30" i="5"/>
  <c r="BI30" i="5"/>
  <c r="AE30" i="5" s="1"/>
  <c r="K34" i="5"/>
  <c r="BI34" i="5"/>
  <c r="BJ39" i="5"/>
  <c r="L39" i="5"/>
  <c r="J39" i="5"/>
  <c r="L49" i="5"/>
  <c r="AV54" i="5"/>
  <c r="AX56" i="5"/>
  <c r="O56" i="5"/>
  <c r="BF56" i="5" s="1"/>
  <c r="AW56" i="5"/>
  <c r="BJ56" i="5"/>
  <c r="L56" i="5"/>
  <c r="BJ59" i="5"/>
  <c r="L59" i="5"/>
  <c r="BI59" i="5"/>
  <c r="AE59" i="5" s="1"/>
  <c r="K59" i="5"/>
  <c r="AX61" i="5"/>
  <c r="AK62" i="5"/>
  <c r="M62" i="5"/>
  <c r="BC66" i="5"/>
  <c r="AV70" i="5"/>
  <c r="AX72" i="5"/>
  <c r="O72" i="5"/>
  <c r="BF72" i="5" s="1"/>
  <c r="AW72" i="5"/>
  <c r="BJ72" i="5"/>
  <c r="L72" i="5"/>
  <c r="O81" i="5"/>
  <c r="BF81" i="5" s="1"/>
  <c r="AW81" i="5"/>
  <c r="BH81" i="5"/>
  <c r="AD81" i="5" s="1"/>
  <c r="J81" i="5"/>
  <c r="J90" i="5"/>
  <c r="BH112" i="5"/>
  <c r="AD112" i="5" s="1"/>
  <c r="AW112" i="5"/>
  <c r="BH137" i="5"/>
  <c r="AD137" i="5" s="1"/>
  <c r="J137" i="5"/>
  <c r="AW137" i="5"/>
  <c r="BJ137" i="5"/>
  <c r="O137" i="5"/>
  <c r="BF137" i="5" s="1"/>
  <c r="L137" i="5"/>
  <c r="BH42" i="5"/>
  <c r="AD42" i="5" s="1"/>
  <c r="BJ43" i="5"/>
  <c r="L43" i="5"/>
  <c r="BH43" i="5"/>
  <c r="AD43" i="5" s="1"/>
  <c r="J43" i="5"/>
  <c r="AW43" i="5"/>
  <c r="AP44" i="5"/>
  <c r="BI44" i="5" s="1"/>
  <c r="AE44" i="5" s="1"/>
  <c r="AO45" i="5"/>
  <c r="BJ45" i="5"/>
  <c r="BH49" i="5"/>
  <c r="AD49" i="5" s="1"/>
  <c r="AV58" i="5"/>
  <c r="AX60" i="5"/>
  <c r="O60" i="5"/>
  <c r="BF60" i="5" s="1"/>
  <c r="AW60" i="5"/>
  <c r="BJ60" i="5"/>
  <c r="L60" i="5"/>
  <c r="BJ63" i="5"/>
  <c r="L63" i="5"/>
  <c r="BI63" i="5"/>
  <c r="AE63" i="5" s="1"/>
  <c r="K63" i="5"/>
  <c r="AK66" i="5"/>
  <c r="M66" i="5"/>
  <c r="BJ76" i="5"/>
  <c r="L76" i="5"/>
  <c r="AP76" i="5"/>
  <c r="AX76" i="5" s="1"/>
  <c r="BD76" i="5"/>
  <c r="M85" i="5"/>
  <c r="AK85" i="5"/>
  <c r="BC94" i="5"/>
  <c r="AV94" i="5"/>
  <c r="O101" i="5"/>
  <c r="L101" i="5"/>
  <c r="BJ101" i="5"/>
  <c r="AX196" i="5"/>
  <c r="O196" i="5"/>
  <c r="BF196" i="5" s="1"/>
  <c r="BJ196" i="5"/>
  <c r="L196" i="5"/>
  <c r="BH196" i="5"/>
  <c r="AB196" i="5" s="1"/>
  <c r="J196" i="5"/>
  <c r="K196" i="5"/>
  <c r="BI196" i="5"/>
  <c r="AC196" i="5" s="1"/>
  <c r="AW196" i="5"/>
  <c r="AO42" i="5"/>
  <c r="AW42" i="5" s="1"/>
  <c r="BD42" i="5"/>
  <c r="AP45" i="5"/>
  <c r="AX48" i="5"/>
  <c r="O48" i="5"/>
  <c r="BF48" i="5" s="1"/>
  <c r="BJ48" i="5"/>
  <c r="L48" i="5"/>
  <c r="AO48" i="5"/>
  <c r="BH48" i="5" s="1"/>
  <c r="AD48" i="5" s="1"/>
  <c r="BH58" i="5"/>
  <c r="AD58" i="5" s="1"/>
  <c r="AP63" i="5"/>
  <c r="AX63" i="5" s="1"/>
  <c r="AO63" i="5"/>
  <c r="AW63" i="5" s="1"/>
  <c r="BD65" i="5"/>
  <c r="AP65" i="5"/>
  <c r="AX65" i="5" s="1"/>
  <c r="BJ83" i="5"/>
  <c r="L83" i="5"/>
  <c r="BI83" i="5"/>
  <c r="AE83" i="5" s="1"/>
  <c r="K83" i="5"/>
  <c r="BH83" i="5"/>
  <c r="AD83" i="5" s="1"/>
  <c r="J83" i="5"/>
  <c r="AX83" i="5"/>
  <c r="AV83" i="5" s="1"/>
  <c r="O83" i="5"/>
  <c r="BF83" i="5" s="1"/>
  <c r="AV103" i="5"/>
  <c r="BC103" i="5"/>
  <c r="BD151" i="5"/>
  <c r="AO151" i="5"/>
  <c r="L151" i="5"/>
  <c r="AP151" i="5"/>
  <c r="BJ151" i="5"/>
  <c r="BJ47" i="5"/>
  <c r="L47" i="5"/>
  <c r="BH47" i="5"/>
  <c r="AD47" i="5" s="1"/>
  <c r="J47" i="5"/>
  <c r="AW47" i="5"/>
  <c r="AX52" i="5"/>
  <c r="O52" i="5"/>
  <c r="BF52" i="5" s="1"/>
  <c r="BJ52" i="5"/>
  <c r="L52" i="5"/>
  <c r="AX53" i="5"/>
  <c r="AK54" i="5"/>
  <c r="M54" i="5"/>
  <c r="AX64" i="5"/>
  <c r="O64" i="5"/>
  <c r="BF64" i="5" s="1"/>
  <c r="AW64" i="5"/>
  <c r="BJ64" i="5"/>
  <c r="L64" i="5"/>
  <c r="BJ67" i="5"/>
  <c r="L67" i="5"/>
  <c r="BI67" i="5"/>
  <c r="AE67" i="5" s="1"/>
  <c r="M70" i="5"/>
  <c r="AS75" i="5"/>
  <c r="AX77" i="5"/>
  <c r="O77" i="5"/>
  <c r="BF77" i="5" s="1"/>
  <c r="AW77" i="5"/>
  <c r="BH77" i="5"/>
  <c r="AD77" i="5" s="1"/>
  <c r="J77" i="5"/>
  <c r="M93" i="5"/>
  <c r="AK93" i="5"/>
  <c r="AX107" i="5"/>
  <c r="AW107" i="5"/>
  <c r="L107" i="5"/>
  <c r="BI107" i="5"/>
  <c r="AE107" i="5" s="1"/>
  <c r="BH107" i="5"/>
  <c r="AD107" i="5" s="1"/>
  <c r="O107" i="5"/>
  <c r="BF107" i="5" s="1"/>
  <c r="K107" i="5"/>
  <c r="J107" i="5"/>
  <c r="L42" i="5"/>
  <c r="BD43" i="5"/>
  <c r="AO46" i="5"/>
  <c r="AW46" i="5" s="1"/>
  <c r="BD46" i="5"/>
  <c r="J48" i="5"/>
  <c r="AP49" i="5"/>
  <c r="BD53" i="5"/>
  <c r="AP53" i="5"/>
  <c r="K60" i="5"/>
  <c r="BH60" i="5"/>
  <c r="AD60" i="5" s="1"/>
  <c r="O63" i="5"/>
  <c r="BF63" i="5" s="1"/>
  <c r="L65" i="5"/>
  <c r="BJ65" i="5"/>
  <c r="AP67" i="5"/>
  <c r="K67" i="5" s="1"/>
  <c r="AO67" i="5"/>
  <c r="AW67" i="5" s="1"/>
  <c r="BD69" i="5"/>
  <c r="AP69" i="5"/>
  <c r="AW80" i="5"/>
  <c r="BH84" i="5"/>
  <c r="AD84" i="5" s="1"/>
  <c r="O15" i="5"/>
  <c r="BF15" i="5" s="1"/>
  <c r="O37" i="5"/>
  <c r="BH38" i="5"/>
  <c r="AD38" i="5" s="1"/>
  <c r="BJ38" i="5"/>
  <c r="O43" i="5"/>
  <c r="BF43" i="5" s="1"/>
  <c r="L45" i="5"/>
  <c r="K46" i="5"/>
  <c r="K48" i="5"/>
  <c r="BJ51" i="5"/>
  <c r="L51" i="5"/>
  <c r="BH51" i="5"/>
  <c r="AD51" i="5" s="1"/>
  <c r="J51" i="5"/>
  <c r="AW51" i="5"/>
  <c r="J52" i="5"/>
  <c r="AW52" i="5"/>
  <c r="BJ55" i="5"/>
  <c r="L55" i="5"/>
  <c r="BI55" i="5"/>
  <c r="AE55" i="5" s="1"/>
  <c r="K55" i="5"/>
  <c r="BH55" i="5"/>
  <c r="AD55" i="5" s="1"/>
  <c r="J55" i="5"/>
  <c r="AX57" i="5"/>
  <c r="AK58" i="5"/>
  <c r="M58" i="5"/>
  <c r="AX59" i="5"/>
  <c r="BI60" i="5"/>
  <c r="AE60" i="5" s="1"/>
  <c r="J64" i="5"/>
  <c r="AX68" i="5"/>
  <c r="O68" i="5"/>
  <c r="BF68" i="5" s="1"/>
  <c r="AW68" i="5"/>
  <c r="BJ68" i="5"/>
  <c r="L68" i="5"/>
  <c r="BJ71" i="5"/>
  <c r="L71" i="5"/>
  <c r="BI71" i="5"/>
  <c r="AE71" i="5" s="1"/>
  <c r="K71" i="5"/>
  <c r="AX73" i="5"/>
  <c r="AO76" i="5"/>
  <c r="K77" i="5"/>
  <c r="BI77" i="5"/>
  <c r="AE77" i="5" s="1"/>
  <c r="BJ80" i="5"/>
  <c r="L80" i="5"/>
  <c r="AP80" i="5"/>
  <c r="AX80" i="5" s="1"/>
  <c r="BD80" i="5"/>
  <c r="L84" i="5"/>
  <c r="AP84" i="5"/>
  <c r="BD84" i="5"/>
  <c r="BH90" i="5"/>
  <c r="AD90" i="5" s="1"/>
  <c r="AX97" i="5"/>
  <c r="AK99" i="5"/>
  <c r="M99" i="5"/>
  <c r="AO118" i="5"/>
  <c r="AW118" i="5" s="1"/>
  <c r="BD118" i="5"/>
  <c r="AP118" i="5"/>
  <c r="AX118" i="5" s="1"/>
  <c r="L78" i="5"/>
  <c r="L82" i="5"/>
  <c r="AK86" i="5"/>
  <c r="L88" i="5"/>
  <c r="BD88" i="5"/>
  <c r="AK90" i="5"/>
  <c r="BC91" i="5"/>
  <c r="L92" i="5"/>
  <c r="BD92" i="5"/>
  <c r="AK94" i="5"/>
  <c r="L96" i="5"/>
  <c r="BD96" i="5"/>
  <c r="K97" i="5"/>
  <c r="K106" i="5"/>
  <c r="BJ106" i="5"/>
  <c r="AX111" i="5"/>
  <c r="O111" i="5"/>
  <c r="BF111" i="5" s="1"/>
  <c r="BJ111" i="5"/>
  <c r="BH111" i="5"/>
  <c r="AD111" i="5" s="1"/>
  <c r="AW111" i="5"/>
  <c r="BD113" i="5"/>
  <c r="AO113" i="5"/>
  <c r="AP113" i="5"/>
  <c r="BJ113" i="5"/>
  <c r="L113" i="5"/>
  <c r="AO114" i="5"/>
  <c r="AW114" i="5" s="1"/>
  <c r="AP114" i="5"/>
  <c r="BD114" i="5"/>
  <c r="BJ118" i="5"/>
  <c r="L118" i="5"/>
  <c r="O118" i="5"/>
  <c r="BF118" i="5" s="1"/>
  <c r="J119" i="5"/>
  <c r="AP125" i="5"/>
  <c r="AX125" i="5" s="1"/>
  <c r="AO125" i="5"/>
  <c r="BH125" i="5" s="1"/>
  <c r="AD125" i="5" s="1"/>
  <c r="BD125" i="5"/>
  <c r="L125" i="5"/>
  <c r="BH133" i="5"/>
  <c r="AD133" i="5" s="1"/>
  <c r="J133" i="5"/>
  <c r="AW133" i="5"/>
  <c r="O133" i="5"/>
  <c r="BF133" i="5" s="1"/>
  <c r="L133" i="5"/>
  <c r="K133" i="5"/>
  <c r="AX133" i="5"/>
  <c r="BJ133" i="5"/>
  <c r="BI133" i="5"/>
  <c r="AE133" i="5" s="1"/>
  <c r="O41" i="5"/>
  <c r="BF41" i="5" s="1"/>
  <c r="O45" i="5"/>
  <c r="BF45" i="5" s="1"/>
  <c r="O49" i="5"/>
  <c r="BF49" i="5" s="1"/>
  <c r="O53" i="5"/>
  <c r="BF53" i="5" s="1"/>
  <c r="BD54" i="5"/>
  <c r="O57" i="5"/>
  <c r="BF57" i="5" s="1"/>
  <c r="BD58" i="5"/>
  <c r="O61" i="5"/>
  <c r="BF61" i="5" s="1"/>
  <c r="BD62" i="5"/>
  <c r="O65" i="5"/>
  <c r="BF65" i="5" s="1"/>
  <c r="BD66" i="5"/>
  <c r="O69" i="5"/>
  <c r="BF69" i="5" s="1"/>
  <c r="BD70" i="5"/>
  <c r="O73" i="5"/>
  <c r="BF73" i="5" s="1"/>
  <c r="K76" i="5"/>
  <c r="BI76" i="5"/>
  <c r="AE76" i="5" s="1"/>
  <c r="BJ84" i="5"/>
  <c r="AP101" i="5"/>
  <c r="BI101" i="5" s="1"/>
  <c r="AE101" i="5" s="1"/>
  <c r="AO101" i="5"/>
  <c r="BH101" i="5" s="1"/>
  <c r="AD101" i="5" s="1"/>
  <c r="BI109" i="5"/>
  <c r="AE109" i="5" s="1"/>
  <c r="J116" i="5"/>
  <c r="AW116" i="5"/>
  <c r="BH116" i="5"/>
  <c r="AD116" i="5" s="1"/>
  <c r="BD121" i="5"/>
  <c r="AO121" i="5"/>
  <c r="J121" i="5" s="1"/>
  <c r="AP121" i="5"/>
  <c r="AW124" i="5"/>
  <c r="J124" i="5"/>
  <c r="BH124" i="5"/>
  <c r="AD124" i="5" s="1"/>
  <c r="BH127" i="5"/>
  <c r="AD127" i="5" s="1"/>
  <c r="J127" i="5"/>
  <c r="AX127" i="5"/>
  <c r="L127" i="5"/>
  <c r="AW127" i="5"/>
  <c r="K127" i="5"/>
  <c r="BI127" i="5"/>
  <c r="AE127" i="5" s="1"/>
  <c r="O127" i="5"/>
  <c r="BF127" i="5" s="1"/>
  <c r="BJ142" i="5"/>
  <c r="L142" i="5"/>
  <c r="AW142" i="5"/>
  <c r="O142" i="5"/>
  <c r="BF142" i="5" s="1"/>
  <c r="AX142" i="5"/>
  <c r="BI87" i="5"/>
  <c r="AE87" i="5" s="1"/>
  <c r="K87" i="5"/>
  <c r="AO88" i="5"/>
  <c r="BI91" i="5"/>
  <c r="AE91" i="5" s="1"/>
  <c r="K91" i="5"/>
  <c r="AO92" i="5"/>
  <c r="AW92" i="5" s="1"/>
  <c r="BI95" i="5"/>
  <c r="AE95" i="5" s="1"/>
  <c r="K95" i="5"/>
  <c r="AO96" i="5"/>
  <c r="AK116" i="5"/>
  <c r="M116" i="5"/>
  <c r="AX117" i="5"/>
  <c r="AK120" i="5"/>
  <c r="M120" i="5"/>
  <c r="AK121" i="5"/>
  <c r="M121" i="5"/>
  <c r="AP142" i="5"/>
  <c r="BI142" i="5" s="1"/>
  <c r="AE142" i="5" s="1"/>
  <c r="AO142" i="5"/>
  <c r="BH142" i="5" s="1"/>
  <c r="AD142" i="5" s="1"/>
  <c r="BD142" i="5"/>
  <c r="AX171" i="5"/>
  <c r="O171" i="5"/>
  <c r="BF171" i="5" s="1"/>
  <c r="AW171" i="5"/>
  <c r="BJ171" i="5"/>
  <c r="Z171" i="5" s="1"/>
  <c r="L171" i="5"/>
  <c r="K171" i="5"/>
  <c r="BI171" i="5"/>
  <c r="J171" i="5"/>
  <c r="BH171" i="5"/>
  <c r="J42" i="5"/>
  <c r="J46" i="5"/>
  <c r="J50" i="5"/>
  <c r="J54" i="5"/>
  <c r="J58" i="5"/>
  <c r="J62" i="5"/>
  <c r="J66" i="5"/>
  <c r="J70" i="5"/>
  <c r="BI85" i="5"/>
  <c r="AE85" i="5" s="1"/>
  <c r="AW88" i="5"/>
  <c r="BI88" i="5"/>
  <c r="AE88" i="5" s="1"/>
  <c r="K88" i="5"/>
  <c r="BI89" i="5"/>
  <c r="AE89" i="5" s="1"/>
  <c r="BI92" i="5"/>
  <c r="AE92" i="5" s="1"/>
  <c r="K92" i="5"/>
  <c r="BI93" i="5"/>
  <c r="AE93" i="5" s="1"/>
  <c r="BI96" i="5"/>
  <c r="AE96" i="5" s="1"/>
  <c r="K96" i="5"/>
  <c r="AW97" i="5"/>
  <c r="BJ97" i="5"/>
  <c r="AW102" i="5"/>
  <c r="L102" i="5"/>
  <c r="BH102" i="5"/>
  <c r="AD102" i="5" s="1"/>
  <c r="BD103" i="5"/>
  <c r="AS105" i="5"/>
  <c r="J132" i="5"/>
  <c r="AW132" i="5"/>
  <c r="BH132" i="5"/>
  <c r="AD132" i="5" s="1"/>
  <c r="AO85" i="5"/>
  <c r="AO89" i="5"/>
  <c r="AO93" i="5"/>
  <c r="AW93" i="5" s="1"/>
  <c r="L106" i="5"/>
  <c r="BI106" i="5"/>
  <c r="AE106" i="5" s="1"/>
  <c r="J106" i="5"/>
  <c r="BH106" i="5"/>
  <c r="AD106" i="5" s="1"/>
  <c r="AX106" i="5"/>
  <c r="BC106" i="5" s="1"/>
  <c r="O106" i="5"/>
  <c r="AW108" i="5"/>
  <c r="BH108" i="5"/>
  <c r="AD108" i="5" s="1"/>
  <c r="AP112" i="5"/>
  <c r="AX112" i="5" s="1"/>
  <c r="BD112" i="5"/>
  <c r="BJ112" i="5"/>
  <c r="L112" i="5"/>
  <c r="BJ119" i="5"/>
  <c r="L119" i="5"/>
  <c r="AX119" i="5"/>
  <c r="AV119" i="5" s="1"/>
  <c r="O119" i="5"/>
  <c r="BF119" i="5" s="1"/>
  <c r="BI119" i="5"/>
  <c r="AE119" i="5" s="1"/>
  <c r="BH119" i="5"/>
  <c r="AD119" i="5" s="1"/>
  <c r="AX139" i="5"/>
  <c r="O139" i="5"/>
  <c r="BF139" i="5" s="1"/>
  <c r="AW139" i="5"/>
  <c r="L139" i="5"/>
  <c r="K139" i="5"/>
  <c r="J139" i="5"/>
  <c r="BH139" i="5"/>
  <c r="AD139" i="5" s="1"/>
  <c r="BJ139" i="5"/>
  <c r="AW99" i="5"/>
  <c r="BI112" i="5"/>
  <c r="AE112" i="5" s="1"/>
  <c r="AW113" i="5"/>
  <c r="AP120" i="5"/>
  <c r="AX120" i="5" s="1"/>
  <c r="BD120" i="5"/>
  <c r="BJ123" i="5"/>
  <c r="L123" i="5"/>
  <c r="BI123" i="5"/>
  <c r="AE123" i="5" s="1"/>
  <c r="K123" i="5"/>
  <c r="BH123" i="5"/>
  <c r="AD123" i="5" s="1"/>
  <c r="AX123" i="5"/>
  <c r="O123" i="5"/>
  <c r="BF123" i="5" s="1"/>
  <c r="AW123" i="5"/>
  <c r="BD126" i="5"/>
  <c r="L126" i="5"/>
  <c r="BJ126" i="5"/>
  <c r="AO126" i="5"/>
  <c r="AW126" i="5" s="1"/>
  <c r="AS130" i="5"/>
  <c r="BJ134" i="5"/>
  <c r="L134" i="5"/>
  <c r="AX134" i="5"/>
  <c r="AW134" i="5"/>
  <c r="K134" i="5"/>
  <c r="J134" i="5"/>
  <c r="AK136" i="5"/>
  <c r="M136" i="5"/>
  <c r="BJ138" i="5"/>
  <c r="L138" i="5"/>
  <c r="O138" i="5"/>
  <c r="BF138" i="5" s="1"/>
  <c r="AX138" i="5"/>
  <c r="AU105" i="5"/>
  <c r="AW109" i="5"/>
  <c r="BH109" i="5"/>
  <c r="AD109" i="5" s="1"/>
  <c r="J109" i="5"/>
  <c r="BJ110" i="5"/>
  <c r="L110" i="5"/>
  <c r="BI110" i="5"/>
  <c r="AE110" i="5" s="1"/>
  <c r="BH122" i="5"/>
  <c r="AD122" i="5" s="1"/>
  <c r="J122" i="5"/>
  <c r="BJ122" i="5"/>
  <c r="L122" i="5"/>
  <c r="AW122" i="5"/>
  <c r="AX131" i="5"/>
  <c r="O131" i="5"/>
  <c r="BH131" i="5"/>
  <c r="AD131" i="5" s="1"/>
  <c r="AW131" i="5"/>
  <c r="L131" i="5"/>
  <c r="BJ131" i="5"/>
  <c r="AU130" i="5"/>
  <c r="J140" i="5"/>
  <c r="AW140" i="5"/>
  <c r="BH143" i="5"/>
  <c r="J143" i="5"/>
  <c r="BH103" i="5"/>
  <c r="J103" i="5"/>
  <c r="BI103" i="5"/>
  <c r="AP108" i="5"/>
  <c r="AX108" i="5" s="1"/>
  <c r="BD108" i="5"/>
  <c r="AX109" i="5"/>
  <c r="BJ115" i="5"/>
  <c r="L115" i="5"/>
  <c r="AX115" i="5"/>
  <c r="O115" i="5"/>
  <c r="BF115" i="5" s="1"/>
  <c r="BD117" i="5"/>
  <c r="AO117" i="5"/>
  <c r="J117" i="5" s="1"/>
  <c r="BJ120" i="5"/>
  <c r="AX122" i="5"/>
  <c r="BJ124" i="5"/>
  <c r="BI131" i="5"/>
  <c r="AE131" i="5" s="1"/>
  <c r="AK140" i="5"/>
  <c r="M140" i="5"/>
  <c r="AK141" i="5"/>
  <c r="M141" i="5"/>
  <c r="AS145" i="5"/>
  <c r="AO148" i="5"/>
  <c r="AW148" i="5" s="1"/>
  <c r="BD148" i="5"/>
  <c r="AP148" i="5"/>
  <c r="AX148" i="5" s="1"/>
  <c r="AW160" i="5"/>
  <c r="J160" i="5"/>
  <c r="AP116" i="5"/>
  <c r="AX116" i="5" s="1"/>
  <c r="BD116" i="5"/>
  <c r="AP124" i="5"/>
  <c r="AX124" i="5" s="1"/>
  <c r="BD124" i="5"/>
  <c r="AX126" i="5"/>
  <c r="K126" i="5"/>
  <c r="AK146" i="5"/>
  <c r="M146" i="5"/>
  <c r="AK148" i="5"/>
  <c r="AO152" i="5"/>
  <c r="BH152" i="5" s="1"/>
  <c r="AD152" i="5" s="1"/>
  <c r="BD152" i="5"/>
  <c r="AP152" i="5"/>
  <c r="K152" i="5" s="1"/>
  <c r="BD155" i="5"/>
  <c r="AO155" i="5"/>
  <c r="AP155" i="5"/>
  <c r="BJ155" i="5"/>
  <c r="L155" i="5"/>
  <c r="AK165" i="5"/>
  <c r="M165" i="5"/>
  <c r="K99" i="5"/>
  <c r="K103" i="5"/>
  <c r="L108" i="5"/>
  <c r="L109" i="5"/>
  <c r="BD109" i="5"/>
  <c r="K110" i="5"/>
  <c r="AW110" i="5"/>
  <c r="BH114" i="5"/>
  <c r="AD114" i="5" s="1"/>
  <c r="J114" i="5"/>
  <c r="BJ114" i="5"/>
  <c r="L114" i="5"/>
  <c r="J115" i="5"/>
  <c r="AW115" i="5"/>
  <c r="L117" i="5"/>
  <c r="AO120" i="5"/>
  <c r="AW121" i="5"/>
  <c r="BI122" i="5"/>
  <c r="AE122" i="5" s="1"/>
  <c r="K131" i="5"/>
  <c r="BH134" i="5"/>
  <c r="AD134" i="5" s="1"/>
  <c r="BI141" i="5"/>
  <c r="AE141" i="5" s="1"/>
  <c r="K141" i="5"/>
  <c r="BH160" i="5"/>
  <c r="AB160" i="5" s="1"/>
  <c r="J113" i="5"/>
  <c r="BH113" i="5"/>
  <c r="AD113" i="5" s="1"/>
  <c r="J125" i="5"/>
  <c r="AW125" i="5"/>
  <c r="AW135" i="5"/>
  <c r="BD136" i="5"/>
  <c r="AP136" i="5"/>
  <c r="AO138" i="5"/>
  <c r="J138" i="5" s="1"/>
  <c r="BI146" i="5"/>
  <c r="AE146" i="5" s="1"/>
  <c r="K146" i="5"/>
  <c r="BH146" i="5"/>
  <c r="AD146" i="5" s="1"/>
  <c r="J146" i="5"/>
  <c r="AX146" i="5"/>
  <c r="O146" i="5"/>
  <c r="J152" i="5"/>
  <c r="BJ152" i="5"/>
  <c r="L152" i="5"/>
  <c r="O152" i="5"/>
  <c r="BF152" i="5" s="1"/>
  <c r="BJ154" i="5"/>
  <c r="L154" i="5"/>
  <c r="AP154" i="5"/>
  <c r="K154" i="5" s="1"/>
  <c r="BD154" i="5"/>
  <c r="AO154" i="5"/>
  <c r="BJ166" i="5"/>
  <c r="L166" i="5"/>
  <c r="O166" i="5"/>
  <c r="BF166" i="5" s="1"/>
  <c r="M182" i="5"/>
  <c r="AK182" i="5"/>
  <c r="M194" i="5"/>
  <c r="AK194" i="5"/>
  <c r="K120" i="5"/>
  <c r="BI124" i="5"/>
  <c r="AE124" i="5" s="1"/>
  <c r="BJ128" i="5"/>
  <c r="Z128" i="5" s="1"/>
  <c r="L128" i="5"/>
  <c r="BI128" i="5"/>
  <c r="BD132" i="5"/>
  <c r="AP132" i="5"/>
  <c r="AX143" i="5"/>
  <c r="O143" i="5"/>
  <c r="BF143" i="5" s="1"/>
  <c r="AW143" i="5"/>
  <c r="BJ143" i="5"/>
  <c r="Z143" i="5" s="1"/>
  <c r="L143" i="5"/>
  <c r="AW147" i="5"/>
  <c r="BI150" i="5"/>
  <c r="AE150" i="5" s="1"/>
  <c r="K150" i="5"/>
  <c r="BH150" i="5"/>
  <c r="AD150" i="5" s="1"/>
  <c r="AX150" i="5"/>
  <c r="O150" i="5"/>
  <c r="BF150" i="5" s="1"/>
  <c r="BH156" i="5"/>
  <c r="AX159" i="5"/>
  <c r="O159" i="5"/>
  <c r="AW159" i="5"/>
  <c r="BJ159" i="5"/>
  <c r="L159" i="5"/>
  <c r="K159" i="5"/>
  <c r="BI159" i="5"/>
  <c r="AC159" i="5" s="1"/>
  <c r="J159" i="5"/>
  <c r="BC164" i="5"/>
  <c r="L124" i="5"/>
  <c r="AX135" i="5"/>
  <c r="O135" i="5"/>
  <c r="BF135" i="5" s="1"/>
  <c r="BI135" i="5"/>
  <c r="AE135" i="5" s="1"/>
  <c r="BH141" i="5"/>
  <c r="AD141" i="5" s="1"/>
  <c r="J141" i="5"/>
  <c r="AW141" i="5"/>
  <c r="AX141" i="5"/>
  <c r="BJ147" i="5"/>
  <c r="L147" i="5"/>
  <c r="AP147" i="5"/>
  <c r="BD147" i="5"/>
  <c r="K156" i="5"/>
  <c r="BI156" i="5"/>
  <c r="BI161" i="5"/>
  <c r="AC161" i="5" s="1"/>
  <c r="AX163" i="5"/>
  <c r="O163" i="5"/>
  <c r="BF163" i="5" s="1"/>
  <c r="AW163" i="5"/>
  <c r="BJ163" i="5"/>
  <c r="L163" i="5"/>
  <c r="BI163" i="5"/>
  <c r="AC163" i="5" s="1"/>
  <c r="J163" i="5"/>
  <c r="BH163" i="5"/>
  <c r="AB163" i="5" s="1"/>
  <c r="AO188" i="5"/>
  <c r="BD188" i="5"/>
  <c r="AP188" i="5"/>
  <c r="BD140" i="5"/>
  <c r="AP140" i="5"/>
  <c r="BC149" i="5"/>
  <c r="AV149" i="5"/>
  <c r="BF175" i="5"/>
  <c r="O174" i="5"/>
  <c r="G30" i="2" s="1"/>
  <c r="AP177" i="5"/>
  <c r="BI177" i="5" s="1"/>
  <c r="AE177" i="5" s="1"/>
  <c r="AO177" i="5"/>
  <c r="J177" i="5" s="1"/>
  <c r="BD177" i="5"/>
  <c r="AP186" i="5"/>
  <c r="AX186" i="5" s="1"/>
  <c r="AO186" i="5"/>
  <c r="AW186" i="5" s="1"/>
  <c r="BD186" i="5"/>
  <c r="BJ186" i="5"/>
  <c r="Z186" i="5" s="1"/>
  <c r="O187" i="5"/>
  <c r="G33" i="2" s="1"/>
  <c r="BF188" i="5"/>
  <c r="BI125" i="5"/>
  <c r="AE125" i="5" s="1"/>
  <c r="K125" i="5"/>
  <c r="BJ125" i="5"/>
  <c r="M132" i="5"/>
  <c r="AO136" i="5"/>
  <c r="AP137" i="5"/>
  <c r="AX137" i="5" s="1"/>
  <c r="O148" i="5"/>
  <c r="BF148" i="5" s="1"/>
  <c r="BH148" i="5"/>
  <c r="AD148" i="5" s="1"/>
  <c r="M150" i="5"/>
  <c r="K163" i="5"/>
  <c r="AP170" i="5"/>
  <c r="AX170" i="5" s="1"/>
  <c r="AO170" i="5"/>
  <c r="AW170" i="5" s="1"/>
  <c r="BD170" i="5"/>
  <c r="BF177" i="5"/>
  <c r="L186" i="5"/>
  <c r="J180" i="5"/>
  <c r="AW180" i="5"/>
  <c r="BH180" i="5"/>
  <c r="J182" i="5"/>
  <c r="O182" i="5"/>
  <c r="BJ182" i="5"/>
  <c r="L149" i="5"/>
  <c r="BH151" i="5"/>
  <c r="AD151" i="5" s="1"/>
  <c r="BC168" i="5"/>
  <c r="AK169" i="5"/>
  <c r="M169" i="5"/>
  <c r="BJ170" i="5"/>
  <c r="L170" i="5"/>
  <c r="J170" i="5"/>
  <c r="BH177" i="5"/>
  <c r="AD177" i="5" s="1"/>
  <c r="AW177" i="5"/>
  <c r="L177" i="5"/>
  <c r="K177" i="5"/>
  <c r="BJ177" i="5"/>
  <c r="BC190" i="5"/>
  <c r="AV190" i="5"/>
  <c r="AS193" i="5"/>
  <c r="M198" i="5"/>
  <c r="AK198" i="5"/>
  <c r="BD141" i="5"/>
  <c r="AO156" i="5"/>
  <c r="AW156" i="5" s="1"/>
  <c r="BD156" i="5"/>
  <c r="AP166" i="5"/>
  <c r="AX166" i="5" s="1"/>
  <c r="AO166" i="5"/>
  <c r="AW166" i="5" s="1"/>
  <c r="AX184" i="5"/>
  <c r="AV184" i="5" s="1"/>
  <c r="O184" i="5"/>
  <c r="BF184" i="5" s="1"/>
  <c r="BJ184" i="5"/>
  <c r="L184" i="5"/>
  <c r="BH184" i="5"/>
  <c r="AD184" i="5" s="1"/>
  <c r="J184" i="5"/>
  <c r="K184" i="5"/>
  <c r="BI184" i="5"/>
  <c r="AE184" i="5" s="1"/>
  <c r="J192" i="5"/>
  <c r="J191" i="5" s="1"/>
  <c r="D35" i="2" s="1"/>
  <c r="AW192" i="5"/>
  <c r="BI202" i="5"/>
  <c r="K202" i="5"/>
  <c r="AX202" i="5"/>
  <c r="AP207" i="5"/>
  <c r="AX207" i="5" s="1"/>
  <c r="AO207" i="5"/>
  <c r="AW207" i="5" s="1"/>
  <c r="BD207" i="5"/>
  <c r="BJ207" i="5"/>
  <c r="Z207" i="5" s="1"/>
  <c r="K214" i="5"/>
  <c r="BI214" i="5"/>
  <c r="AO146" i="5"/>
  <c r="AW146" i="5" s="1"/>
  <c r="AO150" i="5"/>
  <c r="AW150" i="5" s="1"/>
  <c r="AK161" i="5"/>
  <c r="M161" i="5"/>
  <c r="AS158" i="5"/>
  <c r="AW162" i="5"/>
  <c r="BJ162" i="5"/>
  <c r="L162" i="5"/>
  <c r="J164" i="5"/>
  <c r="AX167" i="5"/>
  <c r="O167" i="5"/>
  <c r="BF167" i="5" s="1"/>
  <c r="AW167" i="5"/>
  <c r="BJ167" i="5"/>
  <c r="L167" i="5"/>
  <c r="M168" i="5"/>
  <c r="J173" i="5"/>
  <c r="J172" i="5" s="1"/>
  <c r="D29" i="2" s="1"/>
  <c r="AO195" i="5"/>
  <c r="BD195" i="5"/>
  <c r="AP195" i="5"/>
  <c r="BH197" i="5"/>
  <c r="AB197" i="5" s="1"/>
  <c r="AW197" i="5"/>
  <c r="J202" i="5"/>
  <c r="AO204" i="5"/>
  <c r="BD204" i="5"/>
  <c r="AP204" i="5"/>
  <c r="L207" i="5"/>
  <c r="AP211" i="5"/>
  <c r="AX211" i="5" s="1"/>
  <c r="AO211" i="5"/>
  <c r="AW211" i="5" s="1"/>
  <c r="BD211" i="5"/>
  <c r="L211" i="5"/>
  <c r="AX214" i="5"/>
  <c r="BJ153" i="5"/>
  <c r="L153" i="5"/>
  <c r="BH153" i="5"/>
  <c r="AD153" i="5" s="1"/>
  <c r="J153" i="5"/>
  <c r="AX153" i="5"/>
  <c r="AV153" i="5" s="1"/>
  <c r="O153" i="5"/>
  <c r="BF153" i="5" s="1"/>
  <c r="AX155" i="5"/>
  <c r="AX160" i="5"/>
  <c r="AP162" i="5"/>
  <c r="AX162" i="5" s="1"/>
  <c r="AO162" i="5"/>
  <c r="BH162" i="5" s="1"/>
  <c r="AB162" i="5" s="1"/>
  <c r="BH167" i="5"/>
  <c r="AB167" i="5" s="1"/>
  <c r="BI169" i="5"/>
  <c r="AC169" i="5" s="1"/>
  <c r="L174" i="5"/>
  <c r="F30" i="2" s="1"/>
  <c r="I30" i="2" s="1"/>
  <c r="AK175" i="5"/>
  <c r="AT174" i="5" s="1"/>
  <c r="M175" i="5"/>
  <c r="M174" i="5" s="1"/>
  <c r="AO183" i="5"/>
  <c r="BD183" i="5"/>
  <c r="AP183" i="5"/>
  <c r="BH192" i="5"/>
  <c r="AB192" i="5" s="1"/>
  <c r="K200" i="5"/>
  <c r="BI200" i="5"/>
  <c r="AC200" i="5" s="1"/>
  <c r="J155" i="5"/>
  <c r="BH155" i="5"/>
  <c r="AD155" i="5" s="1"/>
  <c r="L156" i="5"/>
  <c r="BJ156" i="5"/>
  <c r="Z156" i="5" s="1"/>
  <c r="K160" i="5"/>
  <c r="BI160" i="5"/>
  <c r="AC160" i="5" s="1"/>
  <c r="AW161" i="5"/>
  <c r="K164" i="5"/>
  <c r="BI164" i="5"/>
  <c r="AC164" i="5" s="1"/>
  <c r="AW165" i="5"/>
  <c r="K168" i="5"/>
  <c r="BI168" i="5"/>
  <c r="AC168" i="5" s="1"/>
  <c r="AW169" i="5"/>
  <c r="K173" i="5"/>
  <c r="K172" i="5" s="1"/>
  <c r="E29" i="2" s="1"/>
  <c r="BI173" i="5"/>
  <c r="AC173" i="5" s="1"/>
  <c r="AW175" i="5"/>
  <c r="AP182" i="5"/>
  <c r="K182" i="5" s="1"/>
  <c r="AO182" i="5"/>
  <c r="AW182" i="5" s="1"/>
  <c r="BD182" i="5"/>
  <c r="BJ183" i="5"/>
  <c r="AP194" i="5"/>
  <c r="AX194" i="5" s="1"/>
  <c r="AO194" i="5"/>
  <c r="AW194" i="5" s="1"/>
  <c r="BD194" i="5"/>
  <c r="BJ195" i="5"/>
  <c r="AP198" i="5"/>
  <c r="K198" i="5" s="1"/>
  <c r="AO198" i="5"/>
  <c r="AW198" i="5" s="1"/>
  <c r="BD198" i="5"/>
  <c r="AX205" i="5"/>
  <c r="BC205" i="5" s="1"/>
  <c r="O205" i="5"/>
  <c r="BF205" i="5" s="1"/>
  <c r="BJ205" i="5"/>
  <c r="Z205" i="5" s="1"/>
  <c r="L205" i="5"/>
  <c r="BH205" i="5"/>
  <c r="J205" i="5"/>
  <c r="AW155" i="5"/>
  <c r="O160" i="5"/>
  <c r="BF160" i="5" s="1"/>
  <c r="BD161" i="5"/>
  <c r="O164" i="5"/>
  <c r="BF164" i="5" s="1"/>
  <c r="BD165" i="5"/>
  <c r="O168" i="5"/>
  <c r="BF168" i="5" s="1"/>
  <c r="BD169" i="5"/>
  <c r="O173" i="5"/>
  <c r="BD175" i="5"/>
  <c r="BI192" i="5"/>
  <c r="AC192" i="5" s="1"/>
  <c r="K192" i="5"/>
  <c r="K191" i="5" s="1"/>
  <c r="E35" i="2" s="1"/>
  <c r="AX192" i="5"/>
  <c r="BJ200" i="5"/>
  <c r="AK216" i="5"/>
  <c r="AT215" i="5" s="1"/>
  <c r="M216" i="5"/>
  <c r="M215" i="5" s="1"/>
  <c r="L215" i="5"/>
  <c r="F42" i="2" s="1"/>
  <c r="I42" i="2" s="1"/>
  <c r="AW185" i="5"/>
  <c r="AX190" i="5"/>
  <c r="O190" i="5"/>
  <c r="BJ190" i="5"/>
  <c r="L190" i="5"/>
  <c r="BH190" i="5"/>
  <c r="AB190" i="5" s="1"/>
  <c r="J190" i="5"/>
  <c r="J189" i="5" s="1"/>
  <c r="D34" i="2" s="1"/>
  <c r="AO200" i="5"/>
  <c r="BD200" i="5"/>
  <c r="K206" i="5"/>
  <c r="AX206" i="5"/>
  <c r="AU212" i="5"/>
  <c r="AO214" i="5"/>
  <c r="BD214" i="5"/>
  <c r="AX179" i="5"/>
  <c r="O179" i="5"/>
  <c r="BF179" i="5" s="1"/>
  <c r="BH179" i="5"/>
  <c r="AD179" i="5" s="1"/>
  <c r="J179" i="5"/>
  <c r="AP180" i="5"/>
  <c r="BD180" i="5"/>
  <c r="AX201" i="5"/>
  <c r="O201" i="5"/>
  <c r="BF201" i="5" s="1"/>
  <c r="BJ201" i="5"/>
  <c r="Z201" i="5" s="1"/>
  <c r="L201" i="5"/>
  <c r="AS199" i="5"/>
  <c r="AP203" i="5"/>
  <c r="BI203" i="5" s="1"/>
  <c r="AO203" i="5"/>
  <c r="BH203" i="5" s="1"/>
  <c r="BD203" i="5"/>
  <c r="K161" i="5"/>
  <c r="K165" i="5"/>
  <c r="K169" i="5"/>
  <c r="K175" i="5"/>
  <c r="K174" i="5" s="1"/>
  <c r="E30" i="2" s="1"/>
  <c r="AP178" i="5"/>
  <c r="AW179" i="5"/>
  <c r="K185" i="5"/>
  <c r="AX185" i="5"/>
  <c r="BJ188" i="5"/>
  <c r="K190" i="5"/>
  <c r="K189" i="5" s="1"/>
  <c r="E34" i="2" s="1"/>
  <c r="BJ194" i="5"/>
  <c r="BI197" i="5"/>
  <c r="AC197" i="5" s="1"/>
  <c r="K197" i="5"/>
  <c r="AX197" i="5"/>
  <c r="BJ198" i="5"/>
  <c r="BI201" i="5"/>
  <c r="L203" i="5"/>
  <c r="AX213" i="5"/>
  <c r="O213" i="5"/>
  <c r="BJ213" i="5"/>
  <c r="L213" i="5"/>
  <c r="BI213" i="5"/>
  <c r="K213" i="5"/>
  <c r="K212" i="5" s="1"/>
  <c r="E41" i="2" s="1"/>
  <c r="AW213" i="5"/>
  <c r="L180" i="5"/>
  <c r="BJ180" i="5"/>
  <c r="Z180" i="5" s="1"/>
  <c r="L185" i="5"/>
  <c r="BJ185" i="5"/>
  <c r="O186" i="5"/>
  <c r="BF186" i="5" s="1"/>
  <c r="O191" i="5"/>
  <c r="G35" i="2" s="1"/>
  <c r="L192" i="5"/>
  <c r="O194" i="5"/>
  <c r="L197" i="5"/>
  <c r="O198" i="5"/>
  <c r="BF198" i="5" s="1"/>
  <c r="AX198" i="5"/>
  <c r="L202" i="5"/>
  <c r="O203" i="5"/>
  <c r="BF203" i="5" s="1"/>
  <c r="BJ206" i="5"/>
  <c r="Z206" i="5" s="1"/>
  <c r="O207" i="5"/>
  <c r="BF207" i="5" s="1"/>
  <c r="O211" i="5"/>
  <c r="AO216" i="5"/>
  <c r="J216" i="5" s="1"/>
  <c r="J215" i="5" s="1"/>
  <c r="D42" i="2" s="1"/>
  <c r="BH216" i="5"/>
  <c r="AP216" i="5"/>
  <c r="K216" i="5" s="1"/>
  <c r="K215" i="5" s="1"/>
  <c r="E42" i="2" s="1"/>
  <c r="BJ216" i="5"/>
  <c r="L178" i="5"/>
  <c r="L183" i="5"/>
  <c r="BD185" i="5"/>
  <c r="L188" i="5"/>
  <c r="BD192" i="5"/>
  <c r="J194" i="5"/>
  <c r="BH194" i="5"/>
  <c r="AB194" i="5" s="1"/>
  <c r="L195" i="5"/>
  <c r="L193" i="5" s="1"/>
  <c r="F36" i="2" s="1"/>
  <c r="I36" i="2" s="1"/>
  <c r="BD197" i="5"/>
  <c r="L200" i="5"/>
  <c r="BD202" i="5"/>
  <c r="L204" i="5"/>
  <c r="BJ204" i="5"/>
  <c r="Z204" i="5" s="1"/>
  <c r="BD206" i="5"/>
  <c r="L214" i="5"/>
  <c r="BJ214" i="5"/>
  <c r="BS216" i="5"/>
  <c r="F41" i="4" s="1"/>
  <c r="I41" i="4" s="1"/>
  <c r="I45" i="4" s="1"/>
  <c r="I24" i="3" s="1"/>
  <c r="K186" i="5"/>
  <c r="BI186" i="5"/>
  <c r="K194" i="5"/>
  <c r="BI194" i="5"/>
  <c r="AC194" i="5" s="1"/>
  <c r="BI207" i="5"/>
  <c r="BI211" i="5"/>
  <c r="O216" i="5"/>
  <c r="L208" i="1" l="1"/>
  <c r="L207" i="1"/>
  <c r="K42" i="5"/>
  <c r="AX42" i="5"/>
  <c r="BI42" i="5"/>
  <c r="AE42" i="5" s="1"/>
  <c r="K124" i="5"/>
  <c r="J166" i="5"/>
  <c r="J158" i="5" s="1"/>
  <c r="K117" i="5"/>
  <c r="J142" i="5"/>
  <c r="K80" i="5"/>
  <c r="BH34" i="5"/>
  <c r="AW95" i="5"/>
  <c r="J95" i="5"/>
  <c r="BH95" i="5"/>
  <c r="AD95" i="5" s="1"/>
  <c r="AX86" i="5"/>
  <c r="K86" i="5"/>
  <c r="BI86" i="5"/>
  <c r="AE86" i="5" s="1"/>
  <c r="BH99" i="5"/>
  <c r="J99" i="5"/>
  <c r="BH33" i="5"/>
  <c r="AD33" i="5" s="1"/>
  <c r="J33" i="5"/>
  <c r="AX31" i="5"/>
  <c r="K211" i="5"/>
  <c r="K210" i="5" s="1"/>
  <c r="J203" i="5"/>
  <c r="K128" i="5"/>
  <c r="AX128" i="5"/>
  <c r="BI72" i="5"/>
  <c r="AE72" i="5" s="1"/>
  <c r="K72" i="5"/>
  <c r="AW101" i="5"/>
  <c r="BC119" i="5"/>
  <c r="J16" i="5"/>
  <c r="AX44" i="5"/>
  <c r="AV44" i="5" s="1"/>
  <c r="K31" i="5"/>
  <c r="AW128" i="5"/>
  <c r="J128" i="5"/>
  <c r="BH128" i="5"/>
  <c r="K115" i="5"/>
  <c r="BI115" i="5"/>
  <c r="AE115" i="5" s="1"/>
  <c r="AV168" i="5"/>
  <c r="AW87" i="5"/>
  <c r="BH87" i="5"/>
  <c r="AD87" i="5" s="1"/>
  <c r="J87" i="5"/>
  <c r="AK173" i="5"/>
  <c r="AT172" i="5" s="1"/>
  <c r="L172" i="5"/>
  <c r="F29" i="2" s="1"/>
  <c r="I29" i="2" s="1"/>
  <c r="BH166" i="5"/>
  <c r="AB166" i="5" s="1"/>
  <c r="J162" i="5"/>
  <c r="AW22" i="5"/>
  <c r="BH46" i="5"/>
  <c r="AD46" i="5" s="1"/>
  <c r="AW202" i="5"/>
  <c r="BC202" i="5" s="1"/>
  <c r="BH202" i="5"/>
  <c r="M206" i="5"/>
  <c r="BH173" i="5"/>
  <c r="AB173" i="5" s="1"/>
  <c r="AW173" i="5"/>
  <c r="M87" i="5"/>
  <c r="AK87" i="5"/>
  <c r="AX62" i="5"/>
  <c r="K62" i="5"/>
  <c r="BI62" i="5"/>
  <c r="AE62" i="5" s="1"/>
  <c r="BC201" i="5"/>
  <c r="AW206" i="5"/>
  <c r="AV206" i="5" s="1"/>
  <c r="J201" i="5"/>
  <c r="K170" i="5"/>
  <c r="K108" i="5"/>
  <c r="AW152" i="5"/>
  <c r="BC152" i="5" s="1"/>
  <c r="BI108" i="5"/>
  <c r="AE108" i="5" s="1"/>
  <c r="K207" i="5"/>
  <c r="L181" i="5"/>
  <c r="F32" i="2" s="1"/>
  <c r="I32" i="2" s="1"/>
  <c r="BH201" i="5"/>
  <c r="AV202" i="5"/>
  <c r="BI170" i="5"/>
  <c r="AC170" i="5" s="1"/>
  <c r="BI152" i="5"/>
  <c r="AE152" i="5" s="1"/>
  <c r="K111" i="5"/>
  <c r="K47" i="5"/>
  <c r="AK95" i="5"/>
  <c r="BI198" i="5"/>
  <c r="AC198" i="5" s="1"/>
  <c r="BH211" i="5"/>
  <c r="BC184" i="5"/>
  <c r="M103" i="5"/>
  <c r="AW48" i="5"/>
  <c r="BC48" i="5" s="1"/>
  <c r="K44" i="5"/>
  <c r="AV26" i="5"/>
  <c r="BH178" i="5"/>
  <c r="AD178" i="5" s="1"/>
  <c r="J178" i="5"/>
  <c r="AW178" i="5"/>
  <c r="AW86" i="5"/>
  <c r="J86" i="5"/>
  <c r="J26" i="5"/>
  <c r="BH26" i="5"/>
  <c r="AD26" i="5" s="1"/>
  <c r="J206" i="5"/>
  <c r="BI154" i="5"/>
  <c r="AE154" i="5" s="1"/>
  <c r="BH121" i="5"/>
  <c r="AD121" i="5" s="1"/>
  <c r="AX18" i="5"/>
  <c r="K205" i="5"/>
  <c r="BI205" i="5"/>
  <c r="BH82" i="5"/>
  <c r="AD82" i="5" s="1"/>
  <c r="J82" i="5"/>
  <c r="AW82" i="5"/>
  <c r="BH165" i="5"/>
  <c r="AB165" i="5" s="1"/>
  <c r="J165" i="5"/>
  <c r="BH25" i="5"/>
  <c r="AD25" i="5" s="1"/>
  <c r="J25" i="5"/>
  <c r="C21" i="3"/>
  <c r="J211" i="5"/>
  <c r="J210" i="5" s="1"/>
  <c r="BI216" i="5"/>
  <c r="AX47" i="5"/>
  <c r="AX101" i="5"/>
  <c r="AX17" i="5"/>
  <c r="BI102" i="5"/>
  <c r="AE102" i="5" s="1"/>
  <c r="AX102" i="5"/>
  <c r="BC102" i="5" s="1"/>
  <c r="AK179" i="5"/>
  <c r="M179" i="5"/>
  <c r="K90" i="5"/>
  <c r="BI90" i="5"/>
  <c r="AE90" i="5" s="1"/>
  <c r="AX90" i="5"/>
  <c r="BC198" i="5"/>
  <c r="AV198" i="5"/>
  <c r="AV170" i="5"/>
  <c r="BC170" i="5"/>
  <c r="BC148" i="5"/>
  <c r="AV148" i="5"/>
  <c r="AV211" i="5"/>
  <c r="BC211" i="5"/>
  <c r="BC186" i="5"/>
  <c r="AV186" i="5"/>
  <c r="BC207" i="5"/>
  <c r="AV207" i="5"/>
  <c r="AV146" i="5"/>
  <c r="BC146" i="5"/>
  <c r="M128" i="5"/>
  <c r="AK128" i="5"/>
  <c r="M102" i="5"/>
  <c r="AK102" i="5"/>
  <c r="BC53" i="5"/>
  <c r="AV53" i="5"/>
  <c r="BH204" i="5"/>
  <c r="J204" i="5"/>
  <c r="BI140" i="5"/>
  <c r="AE140" i="5" s="1"/>
  <c r="K140" i="5"/>
  <c r="AX140" i="5"/>
  <c r="BC140" i="5" s="1"/>
  <c r="BC125" i="5"/>
  <c r="AV125" i="5"/>
  <c r="BH120" i="5"/>
  <c r="AD120" i="5" s="1"/>
  <c r="AW120" i="5"/>
  <c r="J120" i="5"/>
  <c r="M115" i="5"/>
  <c r="AK115" i="5"/>
  <c r="AW117" i="5"/>
  <c r="AK112" i="5"/>
  <c r="M112" i="5"/>
  <c r="BH85" i="5"/>
  <c r="AD85" i="5" s="1"/>
  <c r="J85" i="5"/>
  <c r="BC171" i="5"/>
  <c r="AV171" i="5"/>
  <c r="BC116" i="5"/>
  <c r="AV116" i="5"/>
  <c r="AX154" i="5"/>
  <c r="M96" i="5"/>
  <c r="AK96" i="5"/>
  <c r="M88" i="5"/>
  <c r="AK88" i="5"/>
  <c r="AX84" i="5"/>
  <c r="K84" i="5"/>
  <c r="M71" i="5"/>
  <c r="AK71" i="5"/>
  <c r="AK51" i="5"/>
  <c r="M51" i="5"/>
  <c r="AV80" i="5"/>
  <c r="BC80" i="5"/>
  <c r="M64" i="5"/>
  <c r="AK64" i="5"/>
  <c r="AK52" i="5"/>
  <c r="M52" i="5"/>
  <c r="AK47" i="5"/>
  <c r="M47" i="5"/>
  <c r="AK63" i="5"/>
  <c r="M63" i="5"/>
  <c r="M43" i="5"/>
  <c r="AK43" i="5"/>
  <c r="BI137" i="5"/>
  <c r="AE137" i="5" s="1"/>
  <c r="AK59" i="5"/>
  <c r="M59" i="5"/>
  <c r="AK49" i="5"/>
  <c r="M49" i="5"/>
  <c r="BC78" i="5"/>
  <c r="AV78" i="5"/>
  <c r="M25" i="5"/>
  <c r="L23" i="5"/>
  <c r="F15" i="2" s="1"/>
  <c r="I15" i="2" s="1"/>
  <c r="AK25" i="5"/>
  <c r="AW57" i="5"/>
  <c r="BH57" i="5"/>
  <c r="AD57" i="5" s="1"/>
  <c r="J57" i="5"/>
  <c r="M44" i="5"/>
  <c r="AK44" i="5"/>
  <c r="AW37" i="5"/>
  <c r="BH37" i="5"/>
  <c r="AD37" i="5" s="1"/>
  <c r="J37" i="5"/>
  <c r="AW27" i="5"/>
  <c r="M17" i="5"/>
  <c r="AK17" i="5"/>
  <c r="BI120" i="5"/>
  <c r="AE120" i="5" s="1"/>
  <c r="K209" i="5"/>
  <c r="E39" i="2" s="1"/>
  <c r="K208" i="5"/>
  <c r="E38" i="2" s="1"/>
  <c r="E40" i="2"/>
  <c r="AW183" i="5"/>
  <c r="BH183" i="5"/>
  <c r="AD183" i="5" s="1"/>
  <c r="J183" i="5"/>
  <c r="BH207" i="5"/>
  <c r="M200" i="5"/>
  <c r="L199" i="5"/>
  <c r="F37" i="2" s="1"/>
  <c r="I37" i="2" s="1"/>
  <c r="AK200" i="5"/>
  <c r="M188" i="5"/>
  <c r="M187" i="5" s="1"/>
  <c r="L187" i="5"/>
  <c r="F33" i="2" s="1"/>
  <c r="I33" i="2" s="1"/>
  <c r="AK188" i="5"/>
  <c r="AT187" i="5" s="1"/>
  <c r="BF194" i="5"/>
  <c r="O193" i="5"/>
  <c r="G36" i="2" s="1"/>
  <c r="AK180" i="5"/>
  <c r="M180" i="5"/>
  <c r="AW204" i="5"/>
  <c r="K180" i="5"/>
  <c r="AX180" i="5"/>
  <c r="AV180" i="5" s="1"/>
  <c r="BC206" i="5"/>
  <c r="L189" i="5"/>
  <c r="F34" i="2" s="1"/>
  <c r="I34" i="2" s="1"/>
  <c r="AK190" i="5"/>
  <c r="AT189" i="5" s="1"/>
  <c r="M190" i="5"/>
  <c r="M189" i="5" s="1"/>
  <c r="AV165" i="5"/>
  <c r="BC165" i="5"/>
  <c r="M211" i="5"/>
  <c r="M210" i="5" s="1"/>
  <c r="L210" i="5"/>
  <c r="AK211" i="5"/>
  <c r="AT210" i="5" s="1"/>
  <c r="M167" i="5"/>
  <c r="AK167" i="5"/>
  <c r="K162" i="5"/>
  <c r="K158" i="5" s="1"/>
  <c r="AV150" i="5"/>
  <c r="BC150" i="5"/>
  <c r="BC156" i="5"/>
  <c r="AV156" i="5"/>
  <c r="J176" i="5"/>
  <c r="D31" i="2" s="1"/>
  <c r="BH170" i="5"/>
  <c r="AB170" i="5" s="1"/>
  <c r="BF182" i="5"/>
  <c r="O181" i="5"/>
  <c r="G32" i="2" s="1"/>
  <c r="AV201" i="5"/>
  <c r="M163" i="5"/>
  <c r="AK163" i="5"/>
  <c r="AX152" i="5"/>
  <c r="AV143" i="5"/>
  <c r="BC143" i="5"/>
  <c r="K166" i="5"/>
  <c r="AK154" i="5"/>
  <c r="M154" i="5"/>
  <c r="AK152" i="5"/>
  <c r="M152" i="5"/>
  <c r="AK117" i="5"/>
  <c r="M117" i="5"/>
  <c r="BC110" i="5"/>
  <c r="AV110" i="5"/>
  <c r="BF131" i="5"/>
  <c r="O130" i="5"/>
  <c r="AV205" i="5"/>
  <c r="BH126" i="5"/>
  <c r="AD126" i="5" s="1"/>
  <c r="J126" i="5"/>
  <c r="BC99" i="5"/>
  <c r="AV99" i="5"/>
  <c r="AW85" i="5"/>
  <c r="BI118" i="5"/>
  <c r="AE118" i="5" s="1"/>
  <c r="AK113" i="5"/>
  <c r="M113" i="5"/>
  <c r="BC118" i="5"/>
  <c r="AV118" i="5"/>
  <c r="M84" i="5"/>
  <c r="AK84" i="5"/>
  <c r="M55" i="5"/>
  <c r="AK55" i="5"/>
  <c r="BI69" i="5"/>
  <c r="AE69" i="5" s="1"/>
  <c r="K69" i="5"/>
  <c r="BC46" i="5"/>
  <c r="AV46" i="5"/>
  <c r="M107" i="5"/>
  <c r="AK107" i="5"/>
  <c r="AX69" i="5"/>
  <c r="BC69" i="5" s="1"/>
  <c r="BI65" i="5"/>
  <c r="AE65" i="5" s="1"/>
  <c r="K65" i="5"/>
  <c r="M101" i="5"/>
  <c r="M100" i="5" s="1"/>
  <c r="L100" i="5"/>
  <c r="F20" i="2" s="1"/>
  <c r="I20" i="2" s="1"/>
  <c r="AK101" i="5"/>
  <c r="BC29" i="5"/>
  <c r="AV29" i="5"/>
  <c r="AK61" i="5"/>
  <c r="M61" i="5"/>
  <c r="M28" i="5"/>
  <c r="AK28" i="5"/>
  <c r="AK57" i="5"/>
  <c r="M57" i="5"/>
  <c r="AV32" i="5"/>
  <c r="BC32" i="5"/>
  <c r="BI57" i="5"/>
  <c r="AE57" i="5" s="1"/>
  <c r="K57" i="5"/>
  <c r="M37" i="5"/>
  <c r="L36" i="5"/>
  <c r="AK37" i="5"/>
  <c r="BI37" i="5"/>
  <c r="AE37" i="5" s="1"/>
  <c r="K37" i="5"/>
  <c r="J27" i="5"/>
  <c r="BC83" i="5"/>
  <c r="AK33" i="5"/>
  <c r="M33" i="5"/>
  <c r="K23" i="5"/>
  <c r="E15" i="2" s="1"/>
  <c r="AX67" i="5"/>
  <c r="BC67" i="5" s="1"/>
  <c r="L156" i="1"/>
  <c r="BC126" i="5"/>
  <c r="AV126" i="5"/>
  <c r="AV88" i="5"/>
  <c r="BC88" i="5"/>
  <c r="AK142" i="5"/>
  <c r="M142" i="5"/>
  <c r="AK48" i="5"/>
  <c r="M48" i="5"/>
  <c r="AV71" i="5"/>
  <c r="BC71" i="5"/>
  <c r="AK156" i="5"/>
  <c r="M156" i="5"/>
  <c r="BH198" i="5"/>
  <c r="AB198" i="5" s="1"/>
  <c r="BH186" i="5"/>
  <c r="AX203" i="5"/>
  <c r="AK192" i="5"/>
  <c r="AT191" i="5" s="1"/>
  <c r="M192" i="5"/>
  <c r="M191" i="5" s="1"/>
  <c r="L191" i="5"/>
  <c r="F35" i="2" s="1"/>
  <c r="I35" i="2" s="1"/>
  <c r="AV213" i="5"/>
  <c r="BC213" i="5"/>
  <c r="M203" i="5"/>
  <c r="AK203" i="5"/>
  <c r="AV197" i="5"/>
  <c r="BC197" i="5"/>
  <c r="BI162" i="5"/>
  <c r="AC162" i="5" s="1"/>
  <c r="AK184" i="5"/>
  <c r="M184" i="5"/>
  <c r="AX182" i="5"/>
  <c r="BC182" i="5" s="1"/>
  <c r="BI188" i="5"/>
  <c r="AE188" i="5" s="1"/>
  <c r="AX188" i="5"/>
  <c r="K188" i="5"/>
  <c r="K187" i="5" s="1"/>
  <c r="E33" i="2" s="1"/>
  <c r="M159" i="5"/>
  <c r="AK159" i="5"/>
  <c r="L158" i="5"/>
  <c r="J150" i="5"/>
  <c r="BI166" i="5"/>
  <c r="AC166" i="5" s="1"/>
  <c r="AV115" i="5"/>
  <c r="BC115" i="5"/>
  <c r="AK155" i="5"/>
  <c r="M155" i="5"/>
  <c r="AV140" i="5"/>
  <c r="AK110" i="5"/>
  <c r="M110" i="5"/>
  <c r="BC97" i="5"/>
  <c r="AV97" i="5"/>
  <c r="AV92" i="5"/>
  <c r="BC92" i="5"/>
  <c r="J92" i="5"/>
  <c r="BH92" i="5"/>
  <c r="AD92" i="5" s="1"/>
  <c r="AV142" i="5"/>
  <c r="BC142" i="5"/>
  <c r="AK125" i="5"/>
  <c r="M125" i="5"/>
  <c r="AK118" i="5"/>
  <c r="M118" i="5"/>
  <c r="J76" i="5"/>
  <c r="BH76" i="5"/>
  <c r="AD76" i="5" s="1"/>
  <c r="M68" i="5"/>
  <c r="AK68" i="5"/>
  <c r="BH50" i="5"/>
  <c r="AD50" i="5" s="1"/>
  <c r="BF37" i="5"/>
  <c r="O36" i="5"/>
  <c r="BI53" i="5"/>
  <c r="AE53" i="5" s="1"/>
  <c r="K53" i="5"/>
  <c r="AV107" i="5"/>
  <c r="BC107" i="5"/>
  <c r="BC77" i="5"/>
  <c r="AV77" i="5"/>
  <c r="J67" i="5"/>
  <c r="AV64" i="5"/>
  <c r="BC64" i="5"/>
  <c r="O100" i="5"/>
  <c r="G20" i="2" s="1"/>
  <c r="BF101" i="5"/>
  <c r="M60" i="5"/>
  <c r="AK60" i="5"/>
  <c r="AW45" i="5"/>
  <c r="BH45" i="5"/>
  <c r="AD45" i="5" s="1"/>
  <c r="J45" i="5"/>
  <c r="BC137" i="5"/>
  <c r="AV137" i="5"/>
  <c r="M72" i="5"/>
  <c r="AK72" i="5"/>
  <c r="M56" i="5"/>
  <c r="AK56" i="5"/>
  <c r="AW39" i="5"/>
  <c r="AW73" i="5"/>
  <c r="BH73" i="5"/>
  <c r="J73" i="5"/>
  <c r="AK16" i="5"/>
  <c r="M16" i="5"/>
  <c r="AK41" i="5"/>
  <c r="M41" i="5"/>
  <c r="M31" i="5"/>
  <c r="AK31" i="5"/>
  <c r="M18" i="5"/>
  <c r="AK18" i="5"/>
  <c r="O13" i="5"/>
  <c r="BF14" i="5"/>
  <c r="BH22" i="5"/>
  <c r="BI18" i="5"/>
  <c r="BC141" i="5"/>
  <c r="AV141" i="5"/>
  <c r="BH89" i="5"/>
  <c r="AD89" i="5" s="1"/>
  <c r="J89" i="5"/>
  <c r="BH96" i="5"/>
  <c r="AD96" i="5" s="1"/>
  <c r="J96" i="5"/>
  <c r="BC22" i="5"/>
  <c r="AV22" i="5"/>
  <c r="AV76" i="5"/>
  <c r="BC76" i="5"/>
  <c r="BI39" i="5"/>
  <c r="AE39" i="5" s="1"/>
  <c r="K39" i="5"/>
  <c r="AX39" i="5"/>
  <c r="BC24" i="5"/>
  <c r="AV24" i="5"/>
  <c r="M32" i="5"/>
  <c r="AK32" i="5"/>
  <c r="M27" i="5"/>
  <c r="AK27" i="5"/>
  <c r="AK15" i="5"/>
  <c r="M15" i="5"/>
  <c r="AV17" i="5"/>
  <c r="BC17" i="5"/>
  <c r="AK40" i="5"/>
  <c r="M40" i="5"/>
  <c r="J18" i="5"/>
  <c r="BH18" i="5"/>
  <c r="BC167" i="5"/>
  <c r="AV167" i="5"/>
  <c r="BH136" i="5"/>
  <c r="AD136" i="5" s="1"/>
  <c r="AW136" i="5"/>
  <c r="J136" i="5"/>
  <c r="J130" i="5" s="1"/>
  <c r="BI147" i="5"/>
  <c r="AE147" i="5" s="1"/>
  <c r="K147" i="5"/>
  <c r="AX147" i="5"/>
  <c r="BC147" i="5" s="1"/>
  <c r="BC153" i="5"/>
  <c r="BC122" i="5"/>
  <c r="AV122" i="5"/>
  <c r="M126" i="5"/>
  <c r="AK126" i="5"/>
  <c r="AK123" i="5"/>
  <c r="M123" i="5"/>
  <c r="L105" i="5"/>
  <c r="AK106" i="5"/>
  <c r="M106" i="5"/>
  <c r="AV124" i="5"/>
  <c r="BC124" i="5"/>
  <c r="BI113" i="5"/>
  <c r="AE113" i="5" s="1"/>
  <c r="AX113" i="5"/>
  <c r="BC113" i="5" s="1"/>
  <c r="K113" i="5"/>
  <c r="BI84" i="5"/>
  <c r="AE84" i="5" s="1"/>
  <c r="AV52" i="5"/>
  <c r="BC52" i="5"/>
  <c r="AV67" i="5"/>
  <c r="AK42" i="5"/>
  <c r="M42" i="5"/>
  <c r="BH67" i="5"/>
  <c r="AD67" i="5" s="1"/>
  <c r="AX151" i="5"/>
  <c r="K151" i="5"/>
  <c r="K145" i="5" s="1"/>
  <c r="BI151" i="5"/>
  <c r="AE151" i="5" s="1"/>
  <c r="AV63" i="5"/>
  <c r="BC63" i="5"/>
  <c r="K45" i="5"/>
  <c r="BI45" i="5"/>
  <c r="AE45" i="5" s="1"/>
  <c r="AK196" i="5"/>
  <c r="M196" i="5"/>
  <c r="J101" i="5"/>
  <c r="J100" i="5" s="1"/>
  <c r="D20" i="2" s="1"/>
  <c r="AX45" i="5"/>
  <c r="AX216" i="5"/>
  <c r="BI51" i="5"/>
  <c r="AE51" i="5" s="1"/>
  <c r="K51" i="5"/>
  <c r="AX51" i="5"/>
  <c r="AV51" i="5" s="1"/>
  <c r="K41" i="5"/>
  <c r="BI41" i="5"/>
  <c r="AE41" i="5" s="1"/>
  <c r="BH61" i="5"/>
  <c r="AD61" i="5" s="1"/>
  <c r="J61" i="5"/>
  <c r="AW61" i="5"/>
  <c r="AV28" i="5"/>
  <c r="BC28" i="5"/>
  <c r="AV34" i="5"/>
  <c r="BC34" i="5"/>
  <c r="K20" i="5"/>
  <c r="M81" i="5"/>
  <c r="AK81" i="5"/>
  <c r="O23" i="5"/>
  <c r="G15" i="2" s="1"/>
  <c r="AW31" i="5"/>
  <c r="K27" i="5"/>
  <c r="AV69" i="5"/>
  <c r="AV59" i="5"/>
  <c r="BC59" i="5"/>
  <c r="G14" i="2"/>
  <c r="AX27" i="5"/>
  <c r="AK185" i="5"/>
  <c r="M185" i="5"/>
  <c r="BI178" i="5"/>
  <c r="AE178" i="5" s="1"/>
  <c r="AX178" i="5"/>
  <c r="K178" i="5"/>
  <c r="BH214" i="5"/>
  <c r="J214" i="5"/>
  <c r="J212" i="5" s="1"/>
  <c r="D41" i="2" s="1"/>
  <c r="BI148" i="5"/>
  <c r="AE148" i="5" s="1"/>
  <c r="K148" i="5"/>
  <c r="BC131" i="5"/>
  <c r="AV131" i="5"/>
  <c r="BC139" i="5"/>
  <c r="AV139" i="5"/>
  <c r="K118" i="5"/>
  <c r="BC101" i="5"/>
  <c r="AV101" i="5"/>
  <c r="J198" i="5"/>
  <c r="J186" i="5"/>
  <c r="J181" i="5" s="1"/>
  <c r="D32" i="2" s="1"/>
  <c r="AV175" i="5"/>
  <c r="BC175" i="5"/>
  <c r="M162" i="5"/>
  <c r="AK162" i="5"/>
  <c r="AK149" i="5"/>
  <c r="M149" i="5"/>
  <c r="BC163" i="5"/>
  <c r="AV163" i="5"/>
  <c r="M166" i="5"/>
  <c r="AK166" i="5"/>
  <c r="AW138" i="5"/>
  <c r="K203" i="5"/>
  <c r="AW216" i="5"/>
  <c r="AK202" i="5"/>
  <c r="M202" i="5"/>
  <c r="O199" i="5"/>
  <c r="G37" i="2" s="1"/>
  <c r="J156" i="5"/>
  <c r="M201" i="5"/>
  <c r="AK201" i="5"/>
  <c r="AW203" i="5"/>
  <c r="AV161" i="5"/>
  <c r="BC161" i="5"/>
  <c r="AX195" i="5"/>
  <c r="BI195" i="5"/>
  <c r="AC195" i="5" s="1"/>
  <c r="K195" i="5"/>
  <c r="AV192" i="5"/>
  <c r="BC192" i="5"/>
  <c r="M177" i="5"/>
  <c r="L176" i="5"/>
  <c r="F31" i="2" s="1"/>
  <c r="I31" i="2" s="1"/>
  <c r="AK177" i="5"/>
  <c r="M170" i="5"/>
  <c r="AK170" i="5"/>
  <c r="BH182" i="5"/>
  <c r="AD182" i="5" s="1"/>
  <c r="M186" i="5"/>
  <c r="AK186" i="5"/>
  <c r="J148" i="5"/>
  <c r="AW188" i="5"/>
  <c r="BH188" i="5"/>
  <c r="AD188" i="5" s="1"/>
  <c r="J188" i="5"/>
  <c r="J187" i="5" s="1"/>
  <c r="D33" i="2" s="1"/>
  <c r="M147" i="5"/>
  <c r="AK147" i="5"/>
  <c r="BC159" i="5"/>
  <c r="AV159" i="5"/>
  <c r="BI132" i="5"/>
  <c r="AE132" i="5" s="1"/>
  <c r="K132" i="5"/>
  <c r="K130" i="5" s="1"/>
  <c r="AX132" i="5"/>
  <c r="BC132" i="5" s="1"/>
  <c r="K116" i="5"/>
  <c r="BI136" i="5"/>
  <c r="AE136" i="5" s="1"/>
  <c r="K136" i="5"/>
  <c r="AX136" i="5"/>
  <c r="BH117" i="5"/>
  <c r="AD117" i="5" s="1"/>
  <c r="M109" i="5"/>
  <c r="AK109" i="5"/>
  <c r="BI155" i="5"/>
  <c r="AE155" i="5" s="1"/>
  <c r="K155" i="5"/>
  <c r="M122" i="5"/>
  <c r="AK122" i="5"/>
  <c r="AV134" i="5"/>
  <c r="BC134" i="5"/>
  <c r="AW89" i="5"/>
  <c r="BC127" i="5"/>
  <c r="AV127" i="5"/>
  <c r="AX121" i="5"/>
  <c r="BC121" i="5" s="1"/>
  <c r="BI121" i="5"/>
  <c r="AE121" i="5" s="1"/>
  <c r="K121" i="5"/>
  <c r="J118" i="5"/>
  <c r="J105" i="5" s="1"/>
  <c r="M92" i="5"/>
  <c r="AK92" i="5"/>
  <c r="AK82" i="5"/>
  <c r="M82" i="5"/>
  <c r="J71" i="5"/>
  <c r="AV68" i="5"/>
  <c r="BC68" i="5"/>
  <c r="BI49" i="5"/>
  <c r="AE49" i="5" s="1"/>
  <c r="K49" i="5"/>
  <c r="AV106" i="5"/>
  <c r="AX49" i="5"/>
  <c r="AK151" i="5"/>
  <c r="M151" i="5"/>
  <c r="J63" i="5"/>
  <c r="AV60" i="5"/>
  <c r="BC60" i="5"/>
  <c r="K137" i="5"/>
  <c r="AV72" i="5"/>
  <c r="BC72" i="5"/>
  <c r="J59" i="5"/>
  <c r="AV56" i="5"/>
  <c r="BC56" i="5"/>
  <c r="AV40" i="5"/>
  <c r="BC40" i="5"/>
  <c r="BC98" i="5"/>
  <c r="AV98" i="5"/>
  <c r="BI61" i="5"/>
  <c r="AE61" i="5" s="1"/>
  <c r="K61" i="5"/>
  <c r="BH41" i="5"/>
  <c r="AD41" i="5" s="1"/>
  <c r="AW41" i="5"/>
  <c r="J41" i="5"/>
  <c r="AW18" i="5"/>
  <c r="AK38" i="5"/>
  <c r="M38" i="5"/>
  <c r="J31" i="5"/>
  <c r="BH16" i="5"/>
  <c r="AD16" i="5" s="1"/>
  <c r="AK14" i="5"/>
  <c r="M14" i="5"/>
  <c r="M13" i="5" s="1"/>
  <c r="L13" i="5"/>
  <c r="K114" i="5"/>
  <c r="BI114" i="5"/>
  <c r="AE114" i="5" s="1"/>
  <c r="AX114" i="5"/>
  <c r="BC114" i="5" s="1"/>
  <c r="AK83" i="5"/>
  <c r="M83" i="5"/>
  <c r="D40" i="2"/>
  <c r="J207" i="5"/>
  <c r="AK205" i="5"/>
  <c r="M205" i="5"/>
  <c r="M195" i="5"/>
  <c r="AK195" i="5"/>
  <c r="AT193" i="5" s="1"/>
  <c r="AV185" i="5"/>
  <c r="BC185" i="5"/>
  <c r="AV162" i="5"/>
  <c r="BC162" i="5"/>
  <c r="BC194" i="5"/>
  <c r="AV194" i="5"/>
  <c r="BI182" i="5"/>
  <c r="AE182" i="5" s="1"/>
  <c r="M124" i="5"/>
  <c r="AK124" i="5"/>
  <c r="O158" i="5"/>
  <c r="BF159" i="5"/>
  <c r="K112" i="5"/>
  <c r="AV166" i="5"/>
  <c r="BC166" i="5"/>
  <c r="AV152" i="5"/>
  <c r="BF146" i="5"/>
  <c r="O145" i="5"/>
  <c r="AK114" i="5"/>
  <c r="M114" i="5"/>
  <c r="AK108" i="5"/>
  <c r="M108" i="5"/>
  <c r="L145" i="5"/>
  <c r="BI116" i="5"/>
  <c r="AE116" i="5" s="1"/>
  <c r="BH138" i="5"/>
  <c r="AD138" i="5" s="1"/>
  <c r="AV123" i="5"/>
  <c r="BC123" i="5"/>
  <c r="BC108" i="5"/>
  <c r="AV108" i="5"/>
  <c r="AW96" i="5"/>
  <c r="J88" i="5"/>
  <c r="BH88" i="5"/>
  <c r="AD88" i="5" s="1"/>
  <c r="K142" i="5"/>
  <c r="M127" i="5"/>
  <c r="AK127" i="5"/>
  <c r="M133" i="5"/>
  <c r="AK133" i="5"/>
  <c r="BH118" i="5"/>
  <c r="AD118" i="5" s="1"/>
  <c r="AK78" i="5"/>
  <c r="M78" i="5"/>
  <c r="BH71" i="5"/>
  <c r="AD71" i="5" s="1"/>
  <c r="AV48" i="5"/>
  <c r="AV47" i="5"/>
  <c r="BC47" i="5"/>
  <c r="AW151" i="5"/>
  <c r="J151" i="5"/>
  <c r="J145" i="5" s="1"/>
  <c r="BC42" i="5"/>
  <c r="AV42" i="5"/>
  <c r="K101" i="5"/>
  <c r="K100" i="5" s="1"/>
  <c r="E20" i="2" s="1"/>
  <c r="BH63" i="5"/>
  <c r="AD63" i="5" s="1"/>
  <c r="AV43" i="5"/>
  <c r="BC43" i="5"/>
  <c r="M137" i="5"/>
  <c r="AK137" i="5"/>
  <c r="BC112" i="5"/>
  <c r="AV112" i="5"/>
  <c r="BH59" i="5"/>
  <c r="AD59" i="5" s="1"/>
  <c r="AK39" i="5"/>
  <c r="M39" i="5"/>
  <c r="BI38" i="5"/>
  <c r="AE38" i="5" s="1"/>
  <c r="AX38" i="5"/>
  <c r="K38" i="5"/>
  <c r="BC25" i="5"/>
  <c r="AV25" i="5"/>
  <c r="BC79" i="5"/>
  <c r="AV79" i="5"/>
  <c r="AV55" i="5"/>
  <c r="BC55" i="5"/>
  <c r="BI81" i="5"/>
  <c r="AE81" i="5" s="1"/>
  <c r="K81" i="5"/>
  <c r="K13" i="5"/>
  <c r="M22" i="5"/>
  <c r="M20" i="5" s="1"/>
  <c r="AK22" i="5"/>
  <c r="AT20" i="5" s="1"/>
  <c r="L20" i="5"/>
  <c r="K15" i="5"/>
  <c r="BI15" i="5"/>
  <c r="AE15" i="5" s="1"/>
  <c r="AK197" i="5"/>
  <c r="M197" i="5"/>
  <c r="O212" i="5"/>
  <c r="G41" i="2" s="1"/>
  <c r="BF213" i="5"/>
  <c r="BF173" i="5"/>
  <c r="O172" i="5"/>
  <c r="G29" i="2" s="1"/>
  <c r="M143" i="5"/>
  <c r="AK143" i="5"/>
  <c r="BC93" i="5"/>
  <c r="AV93" i="5"/>
  <c r="BC133" i="5"/>
  <c r="AV133" i="5"/>
  <c r="M76" i="5"/>
  <c r="AK76" i="5"/>
  <c r="L75" i="5"/>
  <c r="BC81" i="5"/>
  <c r="AV81" i="5"/>
  <c r="K193" i="5"/>
  <c r="E36" i="2" s="1"/>
  <c r="BF190" i="5"/>
  <c r="O189" i="5"/>
  <c r="G34" i="2" s="1"/>
  <c r="BF216" i="5"/>
  <c r="O215" i="5"/>
  <c r="G42" i="2" s="1"/>
  <c r="M204" i="5"/>
  <c r="AK204" i="5"/>
  <c r="M183" i="5"/>
  <c r="M181" i="5" s="1"/>
  <c r="AK183" i="5"/>
  <c r="AT181" i="5" s="1"/>
  <c r="L212" i="5"/>
  <c r="F41" i="2" s="1"/>
  <c r="I41" i="2" s="1"/>
  <c r="AK213" i="5"/>
  <c r="M213" i="5"/>
  <c r="M207" i="5"/>
  <c r="AK207" i="5"/>
  <c r="AW214" i="5"/>
  <c r="M214" i="5"/>
  <c r="AK214" i="5"/>
  <c r="AK178" i="5"/>
  <c r="M178" i="5"/>
  <c r="BF211" i="5"/>
  <c r="O210" i="5"/>
  <c r="AV179" i="5"/>
  <c r="BC179" i="5"/>
  <c r="AW200" i="5"/>
  <c r="BH200" i="5"/>
  <c r="AB200" i="5" s="1"/>
  <c r="J200" i="5"/>
  <c r="BI180" i="5"/>
  <c r="BC155" i="5"/>
  <c r="AV155" i="5"/>
  <c r="BC169" i="5"/>
  <c r="AV169" i="5"/>
  <c r="AX183" i="5"/>
  <c r="BI183" i="5"/>
  <c r="AE183" i="5" s="1"/>
  <c r="K183" i="5"/>
  <c r="K181" i="5" s="1"/>
  <c r="E32" i="2" s="1"/>
  <c r="M153" i="5"/>
  <c r="AK153" i="5"/>
  <c r="BI204" i="5"/>
  <c r="AX204" i="5"/>
  <c r="K204" i="5"/>
  <c r="K199" i="5" s="1"/>
  <c r="E37" i="2" s="1"/>
  <c r="AW195" i="5"/>
  <c r="BH195" i="5"/>
  <c r="AB195" i="5" s="1"/>
  <c r="C14" i="3" s="1"/>
  <c r="J195" i="5"/>
  <c r="J193" i="5" s="1"/>
  <c r="D36" i="2" s="1"/>
  <c r="AX177" i="5"/>
  <c r="AV177" i="5" s="1"/>
  <c r="O176" i="5"/>
  <c r="G31" i="2" s="1"/>
  <c r="BH154" i="5"/>
  <c r="AD154" i="5" s="1"/>
  <c r="J154" i="5"/>
  <c r="AW154" i="5"/>
  <c r="AV135" i="5"/>
  <c r="BC135" i="5"/>
  <c r="BC160" i="5"/>
  <c r="AV160" i="5"/>
  <c r="AK131" i="5"/>
  <c r="M131" i="5"/>
  <c r="L130" i="5"/>
  <c r="AV109" i="5"/>
  <c r="BC109" i="5"/>
  <c r="AK138" i="5"/>
  <c r="M138" i="5"/>
  <c r="M134" i="5"/>
  <c r="AK134" i="5"/>
  <c r="M139" i="5"/>
  <c r="AK139" i="5"/>
  <c r="AK119" i="5"/>
  <c r="M119" i="5"/>
  <c r="O105" i="5"/>
  <c r="BF106" i="5"/>
  <c r="BH93" i="5"/>
  <c r="AD93" i="5" s="1"/>
  <c r="J93" i="5"/>
  <c r="M171" i="5"/>
  <c r="AK171" i="5"/>
  <c r="BI80" i="5"/>
  <c r="AE80" i="5" s="1"/>
  <c r="AV111" i="5"/>
  <c r="BC111" i="5"/>
  <c r="BI73" i="5"/>
  <c r="M80" i="5"/>
  <c r="AK80" i="5"/>
  <c r="AK45" i="5"/>
  <c r="M45" i="5"/>
  <c r="AK65" i="5"/>
  <c r="M65" i="5"/>
  <c r="O75" i="5"/>
  <c r="M67" i="5"/>
  <c r="AK67" i="5"/>
  <c r="BC196" i="5"/>
  <c r="AV196" i="5"/>
  <c r="BI50" i="5"/>
  <c r="AE50" i="5" s="1"/>
  <c r="AX50" i="5"/>
  <c r="AV50" i="5" s="1"/>
  <c r="K50" i="5"/>
  <c r="D14" i="2"/>
  <c r="AK98" i="5"/>
  <c r="M98" i="5"/>
  <c r="AK79" i="5"/>
  <c r="M79" i="5"/>
  <c r="BC16" i="5"/>
  <c r="AV16" i="5"/>
  <c r="J38" i="5"/>
  <c r="AW38" i="5"/>
  <c r="BC65" i="5"/>
  <c r="AV65" i="5"/>
  <c r="AV14" i="5"/>
  <c r="BC14" i="5"/>
  <c r="BC33" i="5"/>
  <c r="AV33" i="5"/>
  <c r="BH15" i="5"/>
  <c r="AD15" i="5" s="1"/>
  <c r="AW15" i="5"/>
  <c r="J15" i="5"/>
  <c r="J13" i="5" s="1"/>
  <c r="L18" i="1"/>
  <c r="L73" i="1"/>
  <c r="L11" i="1"/>
  <c r="L217" i="1"/>
  <c r="AV62" i="5" l="1"/>
  <c r="BC62" i="5"/>
  <c r="BC44" i="5"/>
  <c r="AT23" i="5"/>
  <c r="BC87" i="5"/>
  <c r="AV87" i="5"/>
  <c r="AV132" i="5"/>
  <c r="BC86" i="5"/>
  <c r="AV86" i="5"/>
  <c r="AV173" i="5"/>
  <c r="BC173" i="5"/>
  <c r="C16" i="3"/>
  <c r="K75" i="5"/>
  <c r="K105" i="5"/>
  <c r="BC95" i="5"/>
  <c r="AV95" i="5"/>
  <c r="C17" i="3"/>
  <c r="M193" i="5"/>
  <c r="K176" i="5"/>
  <c r="E31" i="2" s="1"/>
  <c r="AV147" i="5"/>
  <c r="BC177" i="5"/>
  <c r="AT145" i="5"/>
  <c r="M212" i="5"/>
  <c r="M208" i="5" s="1"/>
  <c r="M145" i="5"/>
  <c r="M144" i="5" s="1"/>
  <c r="C15" i="3"/>
  <c r="AV102" i="5"/>
  <c r="BC90" i="5"/>
  <c r="AV90" i="5"/>
  <c r="BC128" i="5"/>
  <c r="AV128" i="5"/>
  <c r="J209" i="5"/>
  <c r="D39" i="2" s="1"/>
  <c r="BC82" i="5"/>
  <c r="AV82" i="5"/>
  <c r="J129" i="5"/>
  <c r="D23" i="2" s="1"/>
  <c r="D24" i="2"/>
  <c r="K74" i="5"/>
  <c r="E18" i="2" s="1"/>
  <c r="E19" i="2"/>
  <c r="K129" i="5"/>
  <c r="E23" i="2" s="1"/>
  <c r="E24" i="2"/>
  <c r="K144" i="5"/>
  <c r="E25" i="2" s="1"/>
  <c r="E26" i="2"/>
  <c r="K157" i="5"/>
  <c r="E27" i="2" s="1"/>
  <c r="E28" i="2"/>
  <c r="J104" i="5"/>
  <c r="D21" i="2" s="1"/>
  <c r="D22" i="2"/>
  <c r="J12" i="5"/>
  <c r="D11" i="2" s="1"/>
  <c r="D12" i="2"/>
  <c r="K104" i="5"/>
  <c r="E21" i="2" s="1"/>
  <c r="E22" i="2"/>
  <c r="O208" i="5"/>
  <c r="G38" i="2" s="1"/>
  <c r="O209" i="5"/>
  <c r="G39" i="2" s="1"/>
  <c r="G40" i="2"/>
  <c r="J144" i="5"/>
  <c r="D25" i="2" s="1"/>
  <c r="D26" i="2"/>
  <c r="J199" i="5"/>
  <c r="D37" i="2" s="1"/>
  <c r="BC45" i="5"/>
  <c r="AV45" i="5"/>
  <c r="K36" i="5"/>
  <c r="BC27" i="5"/>
  <c r="AV27" i="5"/>
  <c r="BC57" i="5"/>
  <c r="AV57" i="5"/>
  <c r="AV154" i="5"/>
  <c r="BC154" i="5"/>
  <c r="AT13" i="5"/>
  <c r="C28" i="3"/>
  <c r="J36" i="5"/>
  <c r="BC180" i="5"/>
  <c r="AT75" i="5"/>
  <c r="BC188" i="5"/>
  <c r="AV188" i="5"/>
  <c r="M12" i="5"/>
  <c r="C22" i="3"/>
  <c r="L129" i="5"/>
  <c r="F23" i="2" s="1"/>
  <c r="F24" i="2"/>
  <c r="I24" i="2" s="1"/>
  <c r="BC195" i="5"/>
  <c r="AV195" i="5"/>
  <c r="BC200" i="5"/>
  <c r="AV200" i="5"/>
  <c r="BC51" i="5"/>
  <c r="O19" i="5"/>
  <c r="G13" i="2" s="1"/>
  <c r="BC61" i="5"/>
  <c r="AV61" i="5"/>
  <c r="G12" i="2"/>
  <c r="O12" i="5"/>
  <c r="G11" i="2" s="1"/>
  <c r="AT36" i="5"/>
  <c r="AT100" i="5"/>
  <c r="BC204" i="5"/>
  <c r="AV204" i="5"/>
  <c r="AT199" i="5"/>
  <c r="AV120" i="5"/>
  <c r="BC120" i="5"/>
  <c r="AV114" i="5"/>
  <c r="BC151" i="5"/>
  <c r="AV151" i="5"/>
  <c r="O157" i="5"/>
  <c r="G27" i="2" s="1"/>
  <c r="G28" i="2"/>
  <c r="AV96" i="5"/>
  <c r="BC96" i="5"/>
  <c r="M130" i="5"/>
  <c r="M129" i="5" s="1"/>
  <c r="BC214" i="5"/>
  <c r="AV214" i="5"/>
  <c r="AV113" i="5"/>
  <c r="K12" i="5"/>
  <c r="E11" i="2" s="1"/>
  <c r="E12" i="2"/>
  <c r="L35" i="5"/>
  <c r="F16" i="2" s="1"/>
  <c r="F17" i="2"/>
  <c r="I17" i="2" s="1"/>
  <c r="BC37" i="5"/>
  <c r="AV37" i="5"/>
  <c r="M23" i="5"/>
  <c r="M19" i="5" s="1"/>
  <c r="F14" i="2"/>
  <c r="I14" i="2" s="1"/>
  <c r="L19" i="5"/>
  <c r="F13" i="2" s="1"/>
  <c r="AV41" i="5"/>
  <c r="BC41" i="5"/>
  <c r="AV138" i="5"/>
  <c r="BC138" i="5"/>
  <c r="BC31" i="5"/>
  <c r="AV31" i="5"/>
  <c r="M158" i="5"/>
  <c r="BC85" i="5"/>
  <c r="AV85" i="5"/>
  <c r="M209" i="5"/>
  <c r="BC183" i="5"/>
  <c r="AV183" i="5"/>
  <c r="AV49" i="5"/>
  <c r="BC49" i="5"/>
  <c r="BC178" i="5"/>
  <c r="AV178" i="5"/>
  <c r="AT130" i="5"/>
  <c r="L74" i="5"/>
  <c r="F18" i="2" s="1"/>
  <c r="F19" i="2"/>
  <c r="I19" i="2" s="1"/>
  <c r="BC89" i="5"/>
  <c r="AV89" i="5"/>
  <c r="AT176" i="5"/>
  <c r="E14" i="2"/>
  <c r="K19" i="5"/>
  <c r="E13" i="2" s="1"/>
  <c r="BC136" i="5"/>
  <c r="AV136" i="5"/>
  <c r="J75" i="5"/>
  <c r="M36" i="5"/>
  <c r="M35" i="5" s="1"/>
  <c r="M199" i="5"/>
  <c r="J157" i="5"/>
  <c r="D27" i="2" s="1"/>
  <c r="D28" i="2"/>
  <c r="BC50" i="5"/>
  <c r="AV182" i="5"/>
  <c r="O144" i="5"/>
  <c r="G25" i="2" s="1"/>
  <c r="G26" i="2"/>
  <c r="AV18" i="5"/>
  <c r="BC18" i="5"/>
  <c r="M176" i="5"/>
  <c r="BC216" i="5"/>
  <c r="AV216" i="5"/>
  <c r="AV121" i="5"/>
  <c r="AT105" i="5"/>
  <c r="BC73" i="5"/>
  <c r="AV73" i="5"/>
  <c r="G17" i="2"/>
  <c r="O35" i="5"/>
  <c r="G16" i="2" s="1"/>
  <c r="L157" i="5"/>
  <c r="F27" i="2" s="1"/>
  <c r="F28" i="2"/>
  <c r="I28" i="2" s="1"/>
  <c r="BC84" i="5"/>
  <c r="AV84" i="5"/>
  <c r="BC117" i="5"/>
  <c r="AV117" i="5"/>
  <c r="M105" i="5"/>
  <c r="M104" i="5" s="1"/>
  <c r="BC15" i="5"/>
  <c r="AV15" i="5"/>
  <c r="BC38" i="5"/>
  <c r="AV38" i="5"/>
  <c r="M75" i="5"/>
  <c r="M74" i="5" s="1"/>
  <c r="O74" i="5"/>
  <c r="G18" i="2" s="1"/>
  <c r="G19" i="2"/>
  <c r="O104" i="5"/>
  <c r="G21" i="2" s="1"/>
  <c r="G22" i="2"/>
  <c r="AT212" i="5"/>
  <c r="L144" i="5"/>
  <c r="F25" i="2" s="1"/>
  <c r="F26" i="2"/>
  <c r="I26" i="2" s="1"/>
  <c r="J208" i="5"/>
  <c r="D38" i="2" s="1"/>
  <c r="L217" i="5"/>
  <c r="F12" i="2"/>
  <c r="I12" i="2" s="1"/>
  <c r="L12" i="5"/>
  <c r="F11" i="2" s="1"/>
  <c r="BC203" i="5"/>
  <c r="AV203" i="5"/>
  <c r="L104" i="5"/>
  <c r="F21" i="2" s="1"/>
  <c r="F22" i="2"/>
  <c r="I22" i="2" s="1"/>
  <c r="AV39" i="5"/>
  <c r="BC39" i="5"/>
  <c r="AT158" i="5"/>
  <c r="J23" i="5"/>
  <c r="O129" i="5"/>
  <c r="G23" i="2" s="1"/>
  <c r="G24" i="2"/>
  <c r="L209" i="5"/>
  <c r="F39" i="2" s="1"/>
  <c r="L208" i="5"/>
  <c r="F38" i="2" s="1"/>
  <c r="F40" i="2"/>
  <c r="I40" i="2" s="1"/>
  <c r="F43" i="2" l="1"/>
  <c r="D15" i="2"/>
  <c r="J19" i="5"/>
  <c r="D13" i="2" s="1"/>
  <c r="M157" i="5"/>
  <c r="M217" i="5"/>
  <c r="J74" i="5"/>
  <c r="D18" i="2" s="1"/>
  <c r="D19" i="2"/>
  <c r="J35" i="5"/>
  <c r="D16" i="2" s="1"/>
  <c r="D17" i="2"/>
  <c r="F28" i="3"/>
  <c r="I28" i="3"/>
  <c r="K35" i="5"/>
  <c r="E16" i="2" s="1"/>
  <c r="E17" i="2"/>
  <c r="I29" i="3" l="1"/>
</calcChain>
</file>

<file path=xl/sharedStrings.xml><?xml version="1.0" encoding="utf-8"?>
<sst xmlns="http://schemas.openxmlformats.org/spreadsheetml/2006/main" count="4271" uniqueCount="704">
  <si>
    <t>Stavební rozpočet</t>
  </si>
  <si>
    <t>Název stavby:</t>
  </si>
  <si>
    <t>Doba výstavby:</t>
  </si>
  <si>
    <t>Objednatel:</t>
  </si>
  <si>
    <t>Druh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</si>
  <si>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</si>
  <si>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</si>
  <si>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</si>
  <si>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</si>
  <si>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</si>
  <si>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</si>
  <si>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</si>
  <si>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</si>
  <si>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</si>
  <si>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</si>
  <si>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</si>
  <si>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</si>
  <si>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</si>
  <si>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</si>
  <si>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Jednotková cena (Kč)</t>
  </si>
  <si>
    <t>Náklady celkem (Kč)</t>
  </si>
  <si>
    <t>GROUPCODE</t>
  </si>
  <si>
    <t>ISWORK</t>
  </si>
  <si>
    <t xml:space="preserve"> </t>
  </si>
  <si>
    <t>721-01</t>
  </si>
  <si>
    <t/>
  </si>
  <si>
    <t>Dešťová kanalizace</t>
  </si>
  <si>
    <t>721</t>
  </si>
  <si>
    <t>Vnitřní kanalizace</t>
  </si>
  <si>
    <t>72129S150VD</t>
  </si>
  <si>
    <t>Sanace kanalizačního potrubí rukávcem DN150</t>
  </si>
  <si>
    <t>m</t>
  </si>
  <si>
    <t>P</t>
  </si>
  <si>
    <t>721210823R00</t>
  </si>
  <si>
    <t>Demontáž střešní vpusti DN 125 mm</t>
  </si>
  <si>
    <t>kus</t>
  </si>
  <si>
    <t>721234121RT2</t>
  </si>
  <si>
    <t>Vtok střešní PP HL62/5 pro plochou střechu bez živičného pásu, záchytný koš, D 160 mm</t>
  </si>
  <si>
    <t>721234121STA</t>
  </si>
  <si>
    <t>Úprava střechy a izolace pro střešní vtok včetně napojení na krytinu</t>
  </si>
  <si>
    <t>soubor</t>
  </si>
  <si>
    <t>998721202R00</t>
  </si>
  <si>
    <t>Přesun hmot pro vnitřní kanalizaci, výšky do 12 m</t>
  </si>
  <si>
    <t>%</t>
  </si>
  <si>
    <t>721-02</t>
  </si>
  <si>
    <t>Svislá  kanalizace</t>
  </si>
  <si>
    <t>713</t>
  </si>
  <si>
    <t>Izolace tepelné</t>
  </si>
  <si>
    <t>713571115R00</t>
  </si>
  <si>
    <t>Požárně ochranná manžeta hl. 60mm, EI 60, D 110 mm</t>
  </si>
  <si>
    <t>998713202R00</t>
  </si>
  <si>
    <t>Přesun hmot pro izolace tepelné, výšky do 12 m</t>
  </si>
  <si>
    <t>721140935R00</t>
  </si>
  <si>
    <t>Oprava - přechod z plastových trub na litinu DN100</t>
  </si>
  <si>
    <t>721171808R00</t>
  </si>
  <si>
    <t>Demontáž potrubí z PVC do D 114 mm</t>
  </si>
  <si>
    <t>721176115R00</t>
  </si>
  <si>
    <t>Potrubí HT odpadní svislé D 110 x 2,7 mm</t>
  </si>
  <si>
    <t>721170962R00</t>
  </si>
  <si>
    <t>Provedení opravy vnitřní kanalizace, potrubí plastové, propojení dosavadního potrubí, D 63 mm</t>
  </si>
  <si>
    <t>721170965R00</t>
  </si>
  <si>
    <t>Provedení opravy vnitřní kanalizace, potrubí plastové, propojení dosavadního potrubí, D 110 mm</t>
  </si>
  <si>
    <t>721176105R00</t>
  </si>
  <si>
    <t>Potrubí HT připojovací, D 110 x 2,7 mm</t>
  </si>
  <si>
    <t>721177725R00</t>
  </si>
  <si>
    <t>Čisticí kus Wavin, odpadní svislé D 110</t>
  </si>
  <si>
    <t>721194109R00</t>
  </si>
  <si>
    <t>Vyvedení odpadních výpustek, D 110 x 2,3 mm</t>
  </si>
  <si>
    <t>721290111R00</t>
  </si>
  <si>
    <t>Zkouška těsnosti kanalizace  DN 125</t>
  </si>
  <si>
    <t>721290823R00</t>
  </si>
  <si>
    <t>Přesun vybouraných hmot - kanalizace, H 12 - 24 m</t>
  </si>
  <si>
    <t>t</t>
  </si>
  <si>
    <t>722-01</t>
  </si>
  <si>
    <t>Ležatý rozvod vody</t>
  </si>
  <si>
    <t>722</t>
  </si>
  <si>
    <t>Vnitřní vodovod</t>
  </si>
  <si>
    <t>722131934R00</t>
  </si>
  <si>
    <t>Oprava-propojení dosavadního potrubí závit. DN 32</t>
  </si>
  <si>
    <t>722170801R00</t>
  </si>
  <si>
    <t>Demontáž rozvodů vody z plastů do D 32</t>
  </si>
  <si>
    <t>722170804R00</t>
  </si>
  <si>
    <t>Demontáž rozvodů vody z plastů do D 63</t>
  </si>
  <si>
    <t>722178712UR00</t>
  </si>
  <si>
    <t>Potrubí PP-RCT vícevrstvé (Faser Hot, Basalt Plus) D 25x3,5 mm</t>
  </si>
  <si>
    <t>722178713UR00</t>
  </si>
  <si>
    <t>Potrubí PP-RCT vícevrstvé (Faser Hot, Basalt Plus) D 32x3,6 mm</t>
  </si>
  <si>
    <t>722178714UR00</t>
  </si>
  <si>
    <t>Potrubí PP-RCT vícevrstvé (Faser Hot, Basalt Plus), D 40x4,5 mm</t>
  </si>
  <si>
    <t>722178715UR00</t>
  </si>
  <si>
    <t>Potrubí PP-RCT vícevrstvé (Faser Hot, Basalt Plus),D 50x5,6 mm</t>
  </si>
  <si>
    <t>722181212RT8</t>
  </si>
  <si>
    <t>Izolace návleková MIRELON PRO tl. stěny 9 mm vnitřní průměr 25 mm</t>
  </si>
  <si>
    <t>722181212RV9</t>
  </si>
  <si>
    <t>Izolace návleková MIRELON PRO tl. stěny 9 mm vnitřní průměr 40 mm</t>
  </si>
  <si>
    <t>722181212RW6</t>
  </si>
  <si>
    <t>Izolace návleková MIRELON PRO tl. stěny 9 mm vnitřní průměr 50 mm</t>
  </si>
  <si>
    <t>722181215RT8</t>
  </si>
  <si>
    <t>Izolace návleková  MIRELON PRO tl. stěny 25 mm vnitřní průměr 25 mm</t>
  </si>
  <si>
    <t>722181215RU1</t>
  </si>
  <si>
    <t>Izolace návleková  MIRELON PRO tl. stěny 25 mm vnitřní průměr 32 mm</t>
  </si>
  <si>
    <t>722181215RV9</t>
  </si>
  <si>
    <t>Izolace návleková  MIRELON PRO tl. stěny 25 mm vnitřní průměr 40 mm</t>
  </si>
  <si>
    <t>722181215RW6</t>
  </si>
  <si>
    <t>Izolace návleková  MIRELON PRO tl. stěny 25 mm vnitřní průměr 50 mm</t>
  </si>
  <si>
    <t>722M240050VD</t>
  </si>
  <si>
    <t>Podpůrný žlab MERKUR M2 - 400/50 včetně spojovacích prvků</t>
  </si>
  <si>
    <t>722220231VD</t>
  </si>
  <si>
    <t>Přechodka dGK PPR PN 20 D 25 x G 1/2 s kovovým závitem</t>
  </si>
  <si>
    <t>722220233VD</t>
  </si>
  <si>
    <t>Přechodka dGK PPR PN 20 D 32 x G 1 s kovovým závitem</t>
  </si>
  <si>
    <t>722220234VD</t>
  </si>
  <si>
    <t>Přechodka dGK PPR PN 20 D 40 x G 5/4 s kovovým závitem</t>
  </si>
  <si>
    <t>722220235VD</t>
  </si>
  <si>
    <t>Přechodka dGK PPR PN 20 D 50 x G 6/4 s kovovým závitem</t>
  </si>
  <si>
    <t>722237221R00</t>
  </si>
  <si>
    <t>Kohout vodovodní kulový, 2x vnitřní závit, GIACOMINI R910, DN 15 mm</t>
  </si>
  <si>
    <t>722237223R00</t>
  </si>
  <si>
    <t>Kohout vodovodní kulový, 2x vnitřní závit, GIACOMINI R910, DN 25 mm</t>
  </si>
  <si>
    <t>722237224R00</t>
  </si>
  <si>
    <t>Kohout vodovodní kulový, 2x vnitřní závit, GIACOMINI R910, DN 32 mm</t>
  </si>
  <si>
    <t>722237225R00</t>
  </si>
  <si>
    <t>Kohout vodovodní kulový, 2x vnitřní závit, GIACOMINI R910, DN 40 mm</t>
  </si>
  <si>
    <t>722221116R00</t>
  </si>
  <si>
    <t>Kohout vypouštěcí kulový, IVAR.EURO N, DN 15 mm</t>
  </si>
  <si>
    <t>722239101R00</t>
  </si>
  <si>
    <t>Montáž vodovodních armatur 2závity, G 1/2</t>
  </si>
  <si>
    <t>25047-2820VD</t>
  </si>
  <si>
    <t>Automatický termostatický vyvažovací ventil CirCon DN15</t>
  </si>
  <si>
    <t>M</t>
  </si>
  <si>
    <t>722239104R00</t>
  </si>
  <si>
    <t>Montáž vodovodních armatur 2závity, G 5/4</t>
  </si>
  <si>
    <t>240RV281-5-4VD</t>
  </si>
  <si>
    <t>Bezpečnostní zpětný ventil RV281 - 5/4"</t>
  </si>
  <si>
    <t>722239105R00</t>
  </si>
  <si>
    <t>Montáž vodovodních armatur 2závity, G 6/4"</t>
  </si>
  <si>
    <t>240HS10S40VD</t>
  </si>
  <si>
    <t>Vodovodní filtrační stanice s redukčním ventilem HS10S, DN40, PN16</t>
  </si>
  <si>
    <t>722212445R00</t>
  </si>
  <si>
    <t>Označení sekčních a stoupačkových uzávěrů vody</t>
  </si>
  <si>
    <t>722280106R00</t>
  </si>
  <si>
    <t>Tlaková zkouška vodovodního potrubí D 32</t>
  </si>
  <si>
    <t>722280107R00</t>
  </si>
  <si>
    <t>Tlaková zkouška vodovodního potrubí D 40</t>
  </si>
  <si>
    <t>722280108R00</t>
  </si>
  <si>
    <t>Tlaková zkouška vodovodního potrubí D 50</t>
  </si>
  <si>
    <t>722223181R00</t>
  </si>
  <si>
    <t>Kohout vodovodní, kulový, výtokový, GIACOMINI R621, DN 15 mm</t>
  </si>
  <si>
    <t>722290821R00</t>
  </si>
  <si>
    <t>Přesun vybouraných hmot - vodovody, H do 6 m</t>
  </si>
  <si>
    <t>998722202R00</t>
  </si>
  <si>
    <t>Přesun hmot pro vnitřní vodovod, výšky do 12 m</t>
  </si>
  <si>
    <t>722-02</t>
  </si>
  <si>
    <t>Svislý rozvod vody</t>
  </si>
  <si>
    <t>722178711UR00</t>
  </si>
  <si>
    <t>Potrubí PP-RCT vícevrstvé (Faser Hot, Basalt Plus) D 20x2,8 mm</t>
  </si>
  <si>
    <t>722172912R00</t>
  </si>
  <si>
    <t>Provedení propojení plastového vodovodního potrubí polyfuzí, D 20 mm</t>
  </si>
  <si>
    <t>722181212RT7</t>
  </si>
  <si>
    <t>Izolace návleková MIRELON PRO tl. stěny 9 mm vnitřní průměr 22 mm</t>
  </si>
  <si>
    <t>722181212RU1</t>
  </si>
  <si>
    <t>Izolace návleková MIRELON PRO tl. stěny 9 mm vnitřní průměr 32 mm</t>
  </si>
  <si>
    <t>722220230VD</t>
  </si>
  <si>
    <t>Přechodka dGK PPR PN 20 D 20 x G 1/2 s kovovým závitem</t>
  </si>
  <si>
    <t>Kohout vod.kul.,2xvnitřní záv.GIACOMINI R910 DN 15</t>
  </si>
  <si>
    <t>722237621R00</t>
  </si>
  <si>
    <t>Ventil vod.zpět.,2xvnitř.závit GIACOMINI R60 DN 15</t>
  </si>
  <si>
    <t>722260811R00</t>
  </si>
  <si>
    <t>Demontáž vodoměrů závitových G 1/2</t>
  </si>
  <si>
    <t>722260921R00</t>
  </si>
  <si>
    <t>Zpětná montáž vodoměrů závitových G 1/2</t>
  </si>
  <si>
    <t>72226PLVODVD</t>
  </si>
  <si>
    <t>Plombování vodoměrů</t>
  </si>
  <si>
    <t>722290823R00</t>
  </si>
  <si>
    <t>Přesun vybouraných hmot - vodovody, H 12 - 24 m</t>
  </si>
  <si>
    <t>725</t>
  </si>
  <si>
    <t>Zařizovací předměty</t>
  </si>
  <si>
    <t>725110811R00</t>
  </si>
  <si>
    <t>Demontáž klozetů splachovacích</t>
  </si>
  <si>
    <t>725119305R00</t>
  </si>
  <si>
    <t>Montáž klozetových mís kombinovaných</t>
  </si>
  <si>
    <t>998725202R00</t>
  </si>
  <si>
    <t>Přesun hmot pro zařizovací předměty, výšky do 12 m</t>
  </si>
  <si>
    <t>723-01</t>
  </si>
  <si>
    <t>Páteřový rozvod plynu</t>
  </si>
  <si>
    <t>723</t>
  </si>
  <si>
    <t>Vnitřní plynovod</t>
  </si>
  <si>
    <t>723120805R00</t>
  </si>
  <si>
    <t>Demontáž potrubí svařovaného závitového DN 25-50</t>
  </si>
  <si>
    <t>723163105R00</t>
  </si>
  <si>
    <t>Potrubí z měděných plyn.trubek D 28 x 1,5 mm</t>
  </si>
  <si>
    <t>723163106RCH</t>
  </si>
  <si>
    <t>Potrubí z měděných plyn.trubek D 35 x 1,5 mm-chránička</t>
  </si>
  <si>
    <t>723235113R00</t>
  </si>
  <si>
    <t>Kohout kulový,vnitřní-vnitřní z. IVAR.KK G51 DN 25</t>
  </si>
  <si>
    <t>723190907R00</t>
  </si>
  <si>
    <t>Odvzdušnění a napuštění plynového potrubí</t>
  </si>
  <si>
    <t>723190901R00</t>
  </si>
  <si>
    <t>Uzavření nebo otevření plynového potrubí</t>
  </si>
  <si>
    <t>723190909R00</t>
  </si>
  <si>
    <t>Zkouška tlaková  plynového potrubí</t>
  </si>
  <si>
    <t>723RS200VD</t>
  </si>
  <si>
    <t>Výchozí revize plynoinstalace páteřového rozvodu</t>
  </si>
  <si>
    <t>723RP01100010VD</t>
  </si>
  <si>
    <t>Označení sekčních ventlů stoupaček</t>
  </si>
  <si>
    <t>723110950VD</t>
  </si>
  <si>
    <t>Protipožární ucpávka na plynovodním potrubí do DN50 - tmel Promaseal Gama</t>
  </si>
  <si>
    <t>723110970VD</t>
  </si>
  <si>
    <t>Označení plynovodu žlutou samolepící fólií</t>
  </si>
  <si>
    <t>723260801R00</t>
  </si>
  <si>
    <t>Demontáž plynoměrů PS 2, PS 6, PS 10</t>
  </si>
  <si>
    <t>723160831R00</t>
  </si>
  <si>
    <t>Demontáž rozpěrky přípojek plynoměru, G 1</t>
  </si>
  <si>
    <t>723160804R00</t>
  </si>
  <si>
    <t>Demontáž přípojek k plynoměru,závitových G 1</t>
  </si>
  <si>
    <t>pár</t>
  </si>
  <si>
    <t>723160204R00</t>
  </si>
  <si>
    <t>Přípojka k plynoměru, závitová bez ochozu G 1</t>
  </si>
  <si>
    <t>723160334R00</t>
  </si>
  <si>
    <t>Rozpěrka přípojky plynoměru G 1</t>
  </si>
  <si>
    <t>723261912R00</t>
  </si>
  <si>
    <t>Oprava - montáž plynoměrů PS-2, PS-6</t>
  </si>
  <si>
    <t>723PLOMBPLVD</t>
  </si>
  <si>
    <t>Zaplombování plynoměrů včetně plomby</t>
  </si>
  <si>
    <t>723RP011001VD</t>
  </si>
  <si>
    <t>D-M Úložná konstrukce pro upevnění plynoměru</t>
  </si>
  <si>
    <t>723110980VD</t>
  </si>
  <si>
    <t>Ochranné pospojování rozvodu plynu</t>
  </si>
  <si>
    <t>723235111R00</t>
  </si>
  <si>
    <t>Kohout kulový,vnitřní-vnitřní z. IVAR.KK G51 DN 15</t>
  </si>
  <si>
    <t>723290823R00</t>
  </si>
  <si>
    <t>Přesun vybouraných hmot - plynovody, H 12 - 24 m</t>
  </si>
  <si>
    <t>998723202R00</t>
  </si>
  <si>
    <t>Přesun hmot pro vnitřní plynovod, výšky do 12 m</t>
  </si>
  <si>
    <t>723-02</t>
  </si>
  <si>
    <t>Bytový rozvod plynu</t>
  </si>
  <si>
    <t>723120804R00</t>
  </si>
  <si>
    <t>Demontáž potrubí svařovaného závitového do DN 25</t>
  </si>
  <si>
    <t>723163102R00</t>
  </si>
  <si>
    <t>Potrubí z měděných plyn.trubek D 15 x 1,0 mm</t>
  </si>
  <si>
    <t>723163103RCH</t>
  </si>
  <si>
    <t>Potrubí z měděných plyn.trubek D 18 x 1,0 mm-chránička</t>
  </si>
  <si>
    <t>723190251R00</t>
  </si>
  <si>
    <t>Vyvedení a upevnění plynovodních výpustek DN 15</t>
  </si>
  <si>
    <t>725610810R00</t>
  </si>
  <si>
    <t>Demontáž plynového sporáku</t>
  </si>
  <si>
    <t>725610911R00</t>
  </si>
  <si>
    <t>Zpětná montáž plynových sporáků bez úpravy instalace</t>
  </si>
  <si>
    <t>110MRBM0049VD</t>
  </si>
  <si>
    <t>Hadice Merabell Gas Profi s ventilem s tepelnou pojistkou G1/2"– bajonet 150cm</t>
  </si>
  <si>
    <t>723RS100VD</t>
  </si>
  <si>
    <t>Výchozí revize plynoinstalace bytu</t>
  </si>
  <si>
    <t>723-04</t>
  </si>
  <si>
    <t>Přeložka HUP</t>
  </si>
  <si>
    <t>Demontáž potrubí svařovaného závitového DN 25 - 50 mm</t>
  </si>
  <si>
    <t>723150343R00</t>
  </si>
  <si>
    <t>Zhotovení redukce DN 50/32 mm</t>
  </si>
  <si>
    <t>723163106R00</t>
  </si>
  <si>
    <t>Potrubí z měděných plynových trubek D 35 x 1,5 mm</t>
  </si>
  <si>
    <t>723163107R00</t>
  </si>
  <si>
    <t>Potrubí z měděných plynových trubek D 42 x 1,5 mm-chránička</t>
  </si>
  <si>
    <t>723235114R00</t>
  </si>
  <si>
    <t>Kohout kulový, vnitřní - vnitřní závit IVAR.KK G51, DN 32 mm</t>
  </si>
  <si>
    <t>723MONHUPVD</t>
  </si>
  <si>
    <t>Montáž skříně HUP na fasádu</t>
  </si>
  <si>
    <t>110PLHUP553VD</t>
  </si>
  <si>
    <t>Plastová skříň HUP 500 x 500 x 300 mm</t>
  </si>
  <si>
    <t>760</t>
  </si>
  <si>
    <t>Související stavební práce</t>
  </si>
  <si>
    <t>34</t>
  </si>
  <si>
    <t>Stěny a příčky</t>
  </si>
  <si>
    <t>342263423DVD</t>
  </si>
  <si>
    <t>Demontáž stávajících revizních dvířek do instalační šachty</t>
  </si>
  <si>
    <t>342020110VD</t>
  </si>
  <si>
    <t>Montáž dělící stěny ze SDK mezi WC a instalační šachtou</t>
  </si>
  <si>
    <t>900020110VD</t>
  </si>
  <si>
    <t>Dělící stěna ze sádrokartonu mezi WC a instalační šachtou</t>
  </si>
  <si>
    <t>342263420R00</t>
  </si>
  <si>
    <t>Osazení revizních dvířek do SDK příček, do 0,55 m2</t>
  </si>
  <si>
    <t>76657900VD</t>
  </si>
  <si>
    <t>Aqualine Revizní dvířka, 72x72cm, bílá</t>
  </si>
  <si>
    <t>346244371R00</t>
  </si>
  <si>
    <t>Zazdívka rýh, potrubí, kapes cihlami tl. 14 cm</t>
  </si>
  <si>
    <t>m2</t>
  </si>
  <si>
    <t>767137803R00</t>
  </si>
  <si>
    <t>Demontáž příček sádrokartonových, desek do suti</t>
  </si>
  <si>
    <t>342264051RT4</t>
  </si>
  <si>
    <t>Podhled sádrokartonový na zavěšenou ocel. konstr.</t>
  </si>
  <si>
    <t>342264098R00</t>
  </si>
  <si>
    <t>Příplatek k podhledu sádrokart. za plochu do 10 m2</t>
  </si>
  <si>
    <t>342263410R00</t>
  </si>
  <si>
    <t>Osazení revizních dvířek do SDK příček, do 0,25 m2</t>
  </si>
  <si>
    <t>553476623</t>
  </si>
  <si>
    <t>Dvířka revizní do SDK 400 x 600 mm, tl. 12,5 mm, vlhké prostředí</t>
  </si>
  <si>
    <t>553476621</t>
  </si>
  <si>
    <t>Dvířka revizní do SDK 300 x 400 mm, tl. 12,5 mm, vlhké prostředí</t>
  </si>
  <si>
    <t>999281108R00</t>
  </si>
  <si>
    <t>Přesun hmot pro opravy a údržbu do výšky 12 m</t>
  </si>
  <si>
    <t>411</t>
  </si>
  <si>
    <t>konstrukce plošné</t>
  </si>
  <si>
    <t>4113837531BJVD</t>
  </si>
  <si>
    <t>Zabetonování prostupu v instalačním jádře mezi jednotlivými podlažími tl. 100 mm</t>
  </si>
  <si>
    <t>74</t>
  </si>
  <si>
    <t>Elektromontážní práce (silnoproud)</t>
  </si>
  <si>
    <t>740OCHPBYTVD</t>
  </si>
  <si>
    <t>Montáž a dodávka ochranného pospojování v bytě</t>
  </si>
  <si>
    <t>767</t>
  </si>
  <si>
    <t>Konstrukce doplňkové stavební (zámečnické)</t>
  </si>
  <si>
    <t>767884221RT4</t>
  </si>
  <si>
    <t>Konzola,2 upevňovací body,hmoždinka+vrut,ALK 27/18</t>
  </si>
  <si>
    <t>ks</t>
  </si>
  <si>
    <t>11022021000VD</t>
  </si>
  <si>
    <t>Nosník pozinkovaný 40/20 x 2 x 1000mm</t>
  </si>
  <si>
    <t>11035202101VD</t>
  </si>
  <si>
    <t>Konzolový držák nosníků pozinkovnaý otočený pro C 40</t>
  </si>
  <si>
    <t>998767203R00</t>
  </si>
  <si>
    <t>Přesun hmot pro zámečnické konstr., výšky do 24 m</t>
  </si>
  <si>
    <t>781</t>
  </si>
  <si>
    <t>Obklady (keramické)</t>
  </si>
  <si>
    <t>781101210R00</t>
  </si>
  <si>
    <t>Penetrace podkladu pod obklady</t>
  </si>
  <si>
    <t>781210131R00</t>
  </si>
  <si>
    <t>Obkládání stěn obkl. pórovin. do tmele do 300x300</t>
  </si>
  <si>
    <t>597813713</t>
  </si>
  <si>
    <t>Obkládačka 25x33 - nutno upřesnit dle skutečnosti v jednotlivých bytech</t>
  </si>
  <si>
    <t>781421902R00</t>
  </si>
  <si>
    <t>Oprava obkladů z obkladaček 300x150</t>
  </si>
  <si>
    <t>998781203R00</t>
  </si>
  <si>
    <t>Přesun hmot pro obklady keramické, výšky do 24 m</t>
  </si>
  <si>
    <t>784</t>
  </si>
  <si>
    <t>Malby</t>
  </si>
  <si>
    <t>784442001R00</t>
  </si>
  <si>
    <t>Malba disperzní interiér.HET Klasik,výška do 3,8 m</t>
  </si>
  <si>
    <t>95</t>
  </si>
  <si>
    <t>Různé dokončovací konstrukce a práce na pozemních stavbách</t>
  </si>
  <si>
    <t>952902110R00</t>
  </si>
  <si>
    <t>Čištění zametáním v místnostech a chodbách</t>
  </si>
  <si>
    <t>96</t>
  </si>
  <si>
    <t>Bourání konstrukcí</t>
  </si>
  <si>
    <t>962031143RDP</t>
  </si>
  <si>
    <t>Bourání dělících příček do tl. 100 mm</t>
  </si>
  <si>
    <t>97</t>
  </si>
  <si>
    <t>Prorážení otvorů a ostatní bourací práce</t>
  </si>
  <si>
    <t>972054341R00</t>
  </si>
  <si>
    <t>Vybourání otv. stropy ŽB pl. 0,25 m2, tl. 15 cm</t>
  </si>
  <si>
    <t>970051130R00</t>
  </si>
  <si>
    <t>Vrtání jádrové do ŽB do D 130 mm</t>
  </si>
  <si>
    <t>970054130R00</t>
  </si>
  <si>
    <t>Příp. za jádr. vrt. vodor. ve stěně ŽB do D 130 mm</t>
  </si>
  <si>
    <t>970057130R00</t>
  </si>
  <si>
    <t>Příp. za časté přem. str. jád. vrt. ŽB do D 130 mm</t>
  </si>
  <si>
    <t>970053130R00</t>
  </si>
  <si>
    <t>Příp. za jádr. vrt. ve H nad 1,5 m ŽB do D 130 mm</t>
  </si>
  <si>
    <t>S</t>
  </si>
  <si>
    <t>Přesuny sutí</t>
  </si>
  <si>
    <t>979097012R00</t>
  </si>
  <si>
    <t>Pronájem kontejneru 7 t</t>
  </si>
  <si>
    <t>den</t>
  </si>
  <si>
    <t>979011111R00</t>
  </si>
  <si>
    <t>Svislá doprava suti a vybour. hmot za 2.NP a 1.PP</t>
  </si>
  <si>
    <t>979011121R00</t>
  </si>
  <si>
    <t>Příplatek za každé další podlaží</t>
  </si>
  <si>
    <t>979082111R00</t>
  </si>
  <si>
    <t>Vnitrostaveništní doprava suti do 10 m</t>
  </si>
  <si>
    <t>979086213R00</t>
  </si>
  <si>
    <t>Nakládání vybouraných hmot na dopravní prostředek</t>
  </si>
  <si>
    <t>979081111RT2</t>
  </si>
  <si>
    <t>Odvoz suti a vybour. hmot na skládku do 1 km</t>
  </si>
  <si>
    <t>979081121RT2</t>
  </si>
  <si>
    <t>Příplatek k odvozu za každý další 1 km</t>
  </si>
  <si>
    <t>979990107R00</t>
  </si>
  <si>
    <t>Poplatek za skládku suti - směs betonu,cihel,dřeva</t>
  </si>
  <si>
    <t>VRN</t>
  </si>
  <si>
    <t>Vedlejší rozpočtové náklady</t>
  </si>
  <si>
    <t>VORN</t>
  </si>
  <si>
    <t>Vedlejší a ostatní rozpočtové náklady</t>
  </si>
  <si>
    <t>01VRN</t>
  </si>
  <si>
    <t>Průzkumy, geodetické a projektové práce</t>
  </si>
  <si>
    <t>011002VRN</t>
  </si>
  <si>
    <t>Průzkumy</t>
  </si>
  <si>
    <t>hod</t>
  </si>
  <si>
    <t>03VRN</t>
  </si>
  <si>
    <t>Zařízení staveniště</t>
  </si>
  <si>
    <t>030001VRN</t>
  </si>
  <si>
    <t>Soubor</t>
  </si>
  <si>
    <t>035002VRN</t>
  </si>
  <si>
    <t>Pronájem zařízení a místa</t>
  </si>
  <si>
    <t>07VRN</t>
  </si>
  <si>
    <t>Provozní vlivy</t>
  </si>
  <si>
    <t>070001VRN</t>
  </si>
  <si>
    <t>Celkem:</t>
  </si>
  <si>
    <t>13.06.2024</t>
  </si>
  <si>
    <t>Náklady (Kč) - dodávka</t>
  </si>
  <si>
    <t>Náklady (Kč) - Montáž</t>
  </si>
  <si>
    <t>Náklady (Kč) - celkem</t>
  </si>
  <si>
    <t>Celková hmotnost (t)</t>
  </si>
  <si>
    <t>F</t>
  </si>
  <si>
    <t>T</t>
  </si>
  <si>
    <t>IČO/DIČ:</t>
  </si>
  <si>
    <t>48393177/CZ48393177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</si>
  <si>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</si>
  <si>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</si>
  <si>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</si>
  <si>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</si>
  <si>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</si>
  <si>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</si>
  <si>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</si>
  <si>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</si>
  <si>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</si>
  <si>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</si>
  <si>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</si>
  <si>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</si>
  <si>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Montáž</t>
  </si>
  <si>
    <t>Bez pevné podl.</t>
  </si>
  <si>
    <t>Mimostav. doprava</t>
  </si>
  <si>
    <t>PSV</t>
  </si>
  <si>
    <t>Kulturní památka</t>
  </si>
  <si>
    <t>Územní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</si>
  <si>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</si>
  <si>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</si>
  <si>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</si>
  <si>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</si>
  <si>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</si>
  <si>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</si>
  <si>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</si>
  <si>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</si>
  <si>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</si>
  <si>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</si>
  <si>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</si>
  <si>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</si>
  <si>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</si>
  <si>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</si>
  <si>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</si>
  <si>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</si>
  <si>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</si>
  <si>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</si>
  <si>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</si>
  <si>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</si>
  <si>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</si>
  <si>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</si>
  <si>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</si>
  <si>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</si>
  <si>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rozpočtové náklady VRN</t>
  </si>
  <si>
    <t>Doplňkové náklady DN</t>
  </si>
  <si>
    <t>Kč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</si>
  <si>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</si>
  <si>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</si>
  <si>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</si>
  <si>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</si>
  <si>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</si>
  <si>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</si>
  <si>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</si>
  <si>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</si>
  <si>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</si>
  <si>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</si>
  <si>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</si>
  <si>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</si>
  <si>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</si>
  <si>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Oprava rozvodů kanalizace, vody a plynu Slunečná 1573/8 Havířov</t>
  </si>
  <si>
    <t>Společenstní vlastníků Slunečná 1573 Havířov Podle</t>
  </si>
  <si>
    <t>ETRACOM s.r.o.</t>
  </si>
  <si>
    <t> </t>
  </si>
  <si>
    <t>Ing. Radim Kyjonka</t>
  </si>
  <si>
    <t>Cena/MJ</t>
  </si>
  <si>
    <t>Sazba DPH</t>
  </si>
  <si>
    <t>Náklady (Kč)</t>
  </si>
  <si>
    <t>Hmotnost (t)</t>
  </si>
  <si>
    <t>Cenová</t>
  </si>
  <si>
    <t>VATTAX</t>
  </si>
  <si>
    <t>Rozměry</t>
  </si>
  <si>
    <t>(Kč)</t>
  </si>
  <si>
    <t>Dodávka</t>
  </si>
  <si>
    <t>Celkem</t>
  </si>
  <si>
    <t>Celkem vč. DPH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</si>
  <si>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</si>
  <si>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</si>
  <si>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</si>
  <si>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</si>
  <si>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</si>
  <si>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</si>
  <si>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</si>
  <si>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</si>
  <si>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</si>
  <si>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</si>
  <si>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</si>
  <si>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</si>
  <si>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</si>
  <si>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</si>
  <si>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</si>
  <si>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12</t>
  </si>
  <si>
    <t>RTS I / 2024</t>
  </si>
  <si>
    <t>7</t>
  </si>
  <si>
    <t>721_</t>
  </si>
  <si>
    <t>721-01_72_</t>
  </si>
  <si>
    <t>721-01_</t>
  </si>
  <si>
    <t>2</t>
  </si>
  <si>
    <t>3</t>
  </si>
  <si>
    <t>4</t>
  </si>
  <si>
    <t>5</t>
  </si>
  <si>
    <t>6</t>
  </si>
  <si>
    <t>713_</t>
  </si>
  <si>
    <t>721-02_71_</t>
  </si>
  <si>
    <t>721-02_</t>
  </si>
  <si>
    <t>8</t>
  </si>
  <si>
    <t>721-02_72_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</si>
  <si>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</si>
  <si>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</si>
  <si>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</si>
  <si>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</si>
  <si>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</si>
  <si>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</si>
  <si>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</si>
  <si>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</si>
  <si>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</si>
  <si>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</si>
  <si>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722_</t>
  </si>
  <si>
    <t>722-01_72_</t>
  </si>
  <si>
    <t>722-01_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</si>
  <si>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</si>
  <si>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</si>
  <si>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</si>
  <si>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</si>
  <si>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</si>
  <si>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</si>
  <si>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</si>
  <si>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</si>
  <si>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</si>
  <si>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</si>
  <si>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</si>
  <si>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</si>
  <si>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</si>
  <si>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</si>
  <si>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</si>
  <si>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</si>
  <si>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</si>
  <si>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</si>
  <si>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</si>
  <si>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</si>
  <si>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</si>
  <si>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</si>
  <si>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</si>
  <si>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</si>
  <si>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</si>
  <si>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</si>
  <si>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</si>
  <si>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</si>
  <si>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</si>
  <si>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</si>
  <si>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</si>
  <si>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</si>
  <si>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</si>
  <si>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</si>
  <si>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</si>
  <si>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</si>
  <si>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722-02_72_</t>
  </si>
  <si>
    <t>722-02_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</si>
  <si>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</si>
  <si>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</si>
  <si>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</si>
  <si>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</si>
  <si>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</si>
  <si>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</si>
  <si>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</si>
  <si>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</si>
  <si>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</si>
  <si>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</si>
  <si>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</si>
  <si>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</si>
  <si>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</si>
  <si>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</si>
  <si>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</si>
  <si>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</si>
  <si>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</si>
  <si>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</si>
  <si>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</si>
  <si>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77</t>
  </si>
  <si>
    <t>78</t>
  </si>
  <si>
    <t>79</t>
  </si>
  <si>
    <t>80</t>
  </si>
  <si>
    <t>725_</t>
  </si>
  <si>
    <t>81</t>
  </si>
  <si>
    <t>82</t>
  </si>
  <si>
    <t>83</t>
  </si>
  <si>
    <t>723_</t>
  </si>
  <si>
    <t>723-01_72_</t>
  </si>
  <si>
    <t>723-01_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</si>
  <si>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</si>
  <si>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</si>
  <si>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</si>
  <si>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</si>
  <si>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</si>
  <si>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</si>
  <si>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</si>
  <si>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</si>
  <si>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</si>
  <si>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</si>
  <si>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</si>
  <si>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</si>
  <si>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</si>
  <si>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</si>
  <si>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</si>
  <si>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</si>
  <si>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</si>
  <si>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</si>
  <si>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</si>
  <si>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</si>
  <si>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723-02_72_</t>
  </si>
  <si>
    <t>723-02_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</si>
  <si>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</si>
  <si>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</si>
  <si>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</si>
  <si>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</si>
  <si>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</si>
  <si>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</si>
  <si>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</si>
  <si>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</si>
  <si>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</si>
  <si>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</si>
  <si>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</si>
  <si>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</si>
  <si>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</si>
  <si>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723-04_72_</t>
  </si>
  <si>
    <t>723-04_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</si>
  <si>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</si>
  <si>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</si>
  <si>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</si>
  <si>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</si>
  <si>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</si>
  <si>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</si>
  <si>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</si>
  <si>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</si>
  <si>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</si>
  <si>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</si>
  <si>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</si>
  <si>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RTS I / 2023</t>
  </si>
  <si>
    <t>34_</t>
  </si>
  <si>
    <t>760_3_</t>
  </si>
  <si>
    <t>760_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</si>
  <si>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</si>
  <si>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</si>
  <si>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</si>
  <si>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</si>
  <si>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</si>
  <si>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</si>
  <si>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</si>
  <si>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</si>
  <si>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</si>
  <si>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</si>
  <si>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</si>
  <si>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</si>
  <si>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</si>
  <si>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411_</t>
  </si>
  <si>
    <t>760_4_</t>
  </si>
  <si>
    <t>144</t>
  </si>
  <si>
    <t>74_</t>
  </si>
  <si>
    <t>760_74_</t>
  </si>
  <si>
    <t>145</t>
  </si>
  <si>
    <t>767_</t>
  </si>
  <si>
    <t>760_76_</t>
  </si>
  <si>
    <t>146</t>
  </si>
  <si>
    <t>147</t>
  </si>
  <si>
    <t>148</t>
  </si>
  <si>
    <t>149</t>
  </si>
  <si>
    <t>781_</t>
  </si>
  <si>
    <t>760_78_</t>
  </si>
  <si>
    <t>150</t>
  </si>
  <si>
    <t>151</t>
  </si>
  <si>
    <t>152</t>
  </si>
  <si>
    <t>153</t>
  </si>
  <si>
    <t>154</t>
  </si>
  <si>
    <t>784_</t>
  </si>
  <si>
    <t>155</t>
  </si>
  <si>
    <t>95_</t>
  </si>
  <si>
    <t>760_9_</t>
  </si>
  <si>
    <t>156</t>
  </si>
  <si>
    <t>RTS II / 2023</t>
  </si>
  <si>
    <t>96_</t>
  </si>
  <si>
    <t>157</t>
  </si>
  <si>
    <t>97_</t>
  </si>
  <si>
    <t>158</t>
  </si>
  <si>
    <t>159</t>
  </si>
  <si>
    <t>160</t>
  </si>
  <si>
    <t>161</t>
  </si>
  <si>
    <t>162</t>
  </si>
  <si>
    <t>S_</t>
  </si>
  <si>
    <t>163</t>
  </si>
  <si>
    <t>164</t>
  </si>
  <si>
    <t>165</t>
  </si>
  <si>
    <t>166</t>
  </si>
  <si>
    <t>167</t>
  </si>
  <si>
    <t>168</t>
  </si>
  <si>
    <t>169</t>
  </si>
  <si>
    <t>170</t>
  </si>
  <si>
    <t>01VRN_</t>
  </si>
  <si>
    <t>VRN_Â _</t>
  </si>
  <si>
    <t>VRN_</t>
  </si>
  <si>
    <t>171</t>
  </si>
  <si>
    <t>03VRN_</t>
  </si>
  <si>
    <t>172</t>
  </si>
  <si>
    <t>173</t>
  </si>
  <si>
    <t>07VRN_</t>
  </si>
  <si>
    <t>Krycí list slepého rozpočtu</t>
  </si>
  <si>
    <t>Stavební rozpočet slepý - rekapitulace</t>
  </si>
  <si>
    <t>Stavební rozpočet slepý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</si>
</sst>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right" vertical="center"/>
    </xf>
    <xf numFmtId="4" fontId="3" fillId="3" borderId="17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1" fontId="2" fillId="0" borderId="7" xfId="0" applyNumberFormat="1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right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4" fontId="8" fillId="0" borderId="33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36" xfId="0" applyFont="1" applyBorder="1" applyAlignment="1">
      <alignment horizontal="left" vertical="center"/>
    </xf>
    <xf numFmtId="4" fontId="8" fillId="0" borderId="40" xfId="0" applyNumberFormat="1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4" fontId="8" fillId="0" borderId="31" xfId="0" applyNumberFormat="1" applyFont="1" applyBorder="1" applyAlignment="1">
      <alignment horizontal="right" vertical="center"/>
    </xf>
    <xf numFmtId="4" fontId="8" fillId="0" borderId="43" xfId="0" applyNumberFormat="1" applyFont="1" applyBorder="1" applyAlignment="1">
      <alignment horizontal="right" vertical="center"/>
    </xf>
    <xf numFmtId="4" fontId="7" fillId="3" borderId="30" xfId="0" applyNumberFormat="1" applyFont="1" applyFill="1" applyBorder="1" applyAlignment="1">
      <alignment horizontal="right" vertical="center"/>
    </xf>
    <xf numFmtId="4" fontId="7" fillId="3" borderId="35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3" fillId="0" borderId="60" xfId="0" applyFont="1" applyBorder="1" applyAlignment="1">
      <alignment horizontal="right" vertical="center"/>
    </xf>
    <xf numFmtId="4" fontId="2" fillId="0" borderId="33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4" fontId="2" fillId="0" borderId="64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68" xfId="0" applyFont="1" applyBorder="1" applyAlignment="1">
      <alignment horizontal="right" vertical="center"/>
    </xf>
    <xf numFmtId="4" fontId="3" fillId="0" borderId="68" xfId="0" applyNumberFormat="1" applyFont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79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3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4" fontId="3" fillId="3" borderId="16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3" borderId="45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4" fontId="7" fillId="0" borderId="69" xfId="0" applyNumberFormat="1" applyFont="1" applyBorder="1" applyAlignment="1">
      <alignment horizontal="right" vertical="center"/>
    </xf>
    <xf numFmtId="0" fontId="7" fillId="0" borderId="66" xfId="0" applyFont="1" applyBorder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tabSelected="1" workbookViewId="0">
      <selection activeCell="I26" sqref="I2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20" t="s">
        <v>701</v>
      </c>
      <c r="B1" s="95"/>
      <c r="C1" s="95"/>
      <c r="D1" s="95"/>
      <c r="E1" s="95"/>
      <c r="F1" s="95"/>
      <c r="G1" s="95"/>
      <c r="H1" s="95"/>
      <c r="I1" s="95"/>
    </row>
    <row r="2" spans="1:9" x14ac:dyDescent="0.25">
      <c r="A2" s="96" t="s">
        <v>1</v>
      </c>
      <c r="B2" s="97"/>
      <c r="C2" s="103" t="str">
        <f>'Stavební rozpočet'!D2</f>
        <v>Oprava rozvodů kanalizace, vody a plynu Slunečná 1573/8 Havířov</v>
      </c>
      <c r="D2" s="121"/>
      <c r="E2" s="106" t="s">
        <v>3</v>
      </c>
      <c r="F2" s="106" t="str">
        <f>'Stavební rozpočet'!J2</f>
        <v>Společenstní vlastníků Slunečná 1573 Havířov Podle</v>
      </c>
      <c r="G2" s="97"/>
      <c r="H2" s="106" t="s">
        <v>398</v>
      </c>
      <c r="I2" s="107" t="s">
        <v>25</v>
      </c>
    </row>
    <row r="3" spans="1:9" ht="15" customHeight="1" x14ac:dyDescent="0.25">
      <c r="A3" s="98"/>
      <c r="B3" s="99"/>
      <c r="C3" s="104"/>
      <c r="D3" s="104"/>
      <c r="E3" s="99"/>
      <c r="F3" s="99"/>
      <c r="G3" s="99"/>
      <c r="H3" s="99"/>
      <c r="I3" s="108"/>
    </row>
    <row r="4" spans="1:9" x14ac:dyDescent="0.25">
      <c r="A4" s="100" t="s">
        <v>4</v>
      </c>
      <c r="B4" s="99"/>
      <c r="C4" s="105" t="str">
        <f>'Stavební rozpočet'!D4</f>
        <v xml:space="preserve"> </v>
      </c>
      <c r="D4" s="99"/>
      <c r="E4" s="105" t="s">
        <v>6</v>
      </c>
      <c r="F4" s="105" t="str">
        <f>'Stavební rozpočet'!J4</f>
        <v>ETRACOM s.r.o.</v>
      </c>
      <c r="G4" s="99"/>
      <c r="H4" s="105" t="s">
        <v>398</v>
      </c>
      <c r="I4" s="108" t="s">
        <v>399</v>
      </c>
    </row>
    <row r="5" spans="1:9" ht="15" customHeight="1" x14ac:dyDescent="0.25">
      <c r="A5" s="98"/>
      <c r="B5" s="99"/>
      <c r="C5" s="99"/>
      <c r="D5" s="99"/>
      <c r="E5" s="99"/>
      <c r="F5" s="99"/>
      <c r="G5" s="99"/>
      <c r="H5" s="99"/>
      <c r="I5" s="108"/>
    </row>
    <row r="6" spans="1:9" x14ac:dyDescent="0.25">
      <c r="A6" s="100" t="s">
        <v>7</v>
      </c>
      <c r="B6" s="99"/>
      <c r="C6" s="105" t="str">
        <f>'Stavební rozpočet'!D6</f>
        <v xml:space="preserve"> </v>
      </c>
      <c r="D6" s="99"/>
      <c r="E6" s="105" t="s">
        <v>9</v>
      </c>
      <c r="F6" s="105" t="str">
        <f>'Stavební rozpočet'!J6</f>
        <v> </v>
      </c>
      <c r="G6" s="99"/>
      <c r="H6" s="105" t="s">
        <v>398</v>
      </c>
      <c r="I6" s="108" t="s">
        <v>25</v>
      </c>
    </row>
    <row r="7" spans="1:9" ht="15" customHeight="1" x14ac:dyDescent="0.25">
      <c r="A7" s="98"/>
      <c r="B7" s="99"/>
      <c r="C7" s="99"/>
      <c r="D7" s="99"/>
      <c r="E7" s="99"/>
      <c r="F7" s="99"/>
      <c r="G7" s="99"/>
      <c r="H7" s="99"/>
      <c r="I7" s="108"/>
    </row>
    <row r="8" spans="1:9" x14ac:dyDescent="0.25">
      <c r="A8" s="100" t="s">
        <v>5</v>
      </c>
      <c r="B8" s="99"/>
      <c r="C8" s="105" t="str">
        <f>'Stavební rozpočet'!H4</f>
        <v xml:space="preserve"> </v>
      </c>
      <c r="D8" s="99"/>
      <c r="E8" s="105" t="s">
        <v>8</v>
      </c>
      <c r="F8" s="105" t="str">
        <f>'Stavební rozpočet'!H6</f>
        <v xml:space="preserve"> </v>
      </c>
      <c r="G8" s="99"/>
      <c r="H8" s="99" t="s">
        <v>400</v>
      </c>
      <c r="I8" s="122">
        <v>173</v>
      </c>
    </row>
    <row r="9" spans="1:9" x14ac:dyDescent="0.25">
      <c r="A9" s="98"/>
      <c r="B9" s="99"/>
      <c r="C9" s="99"/>
      <c r="D9" s="99"/>
      <c r="E9" s="99"/>
      <c r="F9" s="99"/>
      <c r="G9" s="99"/>
      <c r="H9" s="99"/>
      <c r="I9" s="108"/>
    </row>
    <row r="10" spans="1:9" x14ac:dyDescent="0.25">
      <c r="A10" s="100" t="s">
        <v>10</v>
      </c>
      <c r="B10" s="99"/>
      <c r="C10" s="105" t="str">
        <f>'Stavební rozpočet'!D8</f>
        <v xml:space="preserve"> </v>
      </c>
      <c r="D10" s="99"/>
      <c r="E10" s="105" t="s">
        <v>12</v>
      </c>
      <c r="F10" s="105" t="str">
        <f>'Stavební rozpočet'!J8</f>
        <v>Ing. Radim Kyjonka</v>
      </c>
      <c r="G10" s="99"/>
      <c r="H10" s="99" t="s">
        <v>401</v>
      </c>
      <c r="I10" s="118" t="str">
        <f>'Stavební rozpočet'!H8</f>
        <v>13.06.2024</v>
      </c>
    </row>
    <row r="11" spans="1:9" x14ac:dyDescent="0.25">
      <c r="A11" s="101"/>
      <c r="B11" s="102"/>
      <c r="C11" s="102"/>
      <c r="D11" s="102"/>
      <c r="E11" s="102"/>
      <c r="F11" s="102"/>
      <c r="G11" s="102"/>
      <c r="H11" s="102"/>
      <c r="I11" s="109"/>
    </row>
    <row r="12" spans="1:9" ht="23.25" x14ac:dyDescent="0.25">
      <c r="A12" s="123" t="s">
        <v>402</v>
      </c>
      <c r="B12" s="123"/>
      <c r="C12" s="123"/>
      <c r="D12" s="123"/>
      <c r="E12" s="123"/>
      <c r="F12" s="123"/>
      <c r="G12" s="123"/>
      <c r="H12" s="123"/>
      <c r="I12" s="123"/>
    </row>
    <row r="13" spans="1:9" ht="26.25" customHeight="1" x14ac:dyDescent="0.25">
      <c r="A13" s="38" t="s">
        <v>403</v>
      </c>
      <c r="B13" s="124" t="s">
        <v>404</v>
      </c>
      <c r="C13" s="125"/>
      <c r="D13" s="39" t="s">
        <v>405</v>
      </c>
      <c r="E13" s="124" t="s">
        <v>406</v>
      </c>
      <c r="F13" s="125"/>
      <c r="G13" s="39" t="s">
        <v>407</v>
      </c>
      <c r="H13" s="124" t="s">
        <v>408</v>
      </c>
      <c r="I13" s="125"/>
    </row>
    <row r="14" spans="1:9" ht="15.75" x14ac:dyDescent="0.25">
      <c r="A14" s="40" t="s">
        <v>409</v>
      </c>
      <c r="B14" s="41" t="s">
        <v>410</v>
      </c>
      <c r="C14" s="42">
        <f>SUM('Stavební rozpočet'!AB12:AB216)</f>
        <v>0</v>
      </c>
      <c r="D14" s="132" t="s">
        <v>411</v>
      </c>
      <c r="E14" s="133"/>
      <c r="F14" s="42">
        <f>VORN!I15</f>
        <v>0</v>
      </c>
      <c r="G14" s="132" t="s">
        <v>382</v>
      </c>
      <c r="H14" s="133"/>
      <c r="I14" s="43">
        <f>VORN!I21</f>
        <v>0</v>
      </c>
    </row>
    <row r="15" spans="1:9" ht="15.75" x14ac:dyDescent="0.25">
      <c r="A15" s="44" t="s">
        <v>25</v>
      </c>
      <c r="B15" s="41" t="s">
        <v>412</v>
      </c>
      <c r="C15" s="42">
        <f>SUM('Stavební rozpočet'!AC12:AC216)</f>
        <v>0</v>
      </c>
      <c r="D15" s="132" t="s">
        <v>413</v>
      </c>
      <c r="E15" s="133"/>
      <c r="F15" s="42">
        <f>VORN!I16</f>
        <v>0</v>
      </c>
      <c r="G15" s="132" t="s">
        <v>414</v>
      </c>
      <c r="H15" s="133"/>
      <c r="I15" s="43">
        <f>VORN!I22</f>
        <v>0</v>
      </c>
    </row>
    <row r="16" spans="1:9" ht="15.75" x14ac:dyDescent="0.25">
      <c r="A16" s="40" t="s">
        <v>415</v>
      </c>
      <c r="B16" s="41" t="s">
        <v>410</v>
      </c>
      <c r="C16" s="42">
        <f>SUM('Stavební rozpočet'!AD12:AD216)</f>
        <v>0</v>
      </c>
      <c r="D16" s="132" t="s">
        <v>416</v>
      </c>
      <c r="E16" s="133"/>
      <c r="F16" s="42">
        <f>VORN!I17</f>
        <v>0</v>
      </c>
      <c r="G16" s="132" t="s">
        <v>417</v>
      </c>
      <c r="H16" s="133"/>
      <c r="I16" s="43">
        <f>VORN!I23</f>
        <v>0</v>
      </c>
    </row>
    <row r="17" spans="1:9" ht="15.75" x14ac:dyDescent="0.25">
      <c r="A17" s="44" t="s">
        <v>25</v>
      </c>
      <c r="B17" s="41" t="s">
        <v>412</v>
      </c>
      <c r="C17" s="42">
        <f>SUM('Stavební rozpočet'!AE12:AE216)</f>
        <v>0</v>
      </c>
      <c r="D17" s="132" t="s">
        <v>25</v>
      </c>
      <c r="E17" s="133"/>
      <c r="F17" s="43" t="s">
        <v>25</v>
      </c>
      <c r="G17" s="132" t="s">
        <v>388</v>
      </c>
      <c r="H17" s="133"/>
      <c r="I17" s="43">
        <f>VORN!I24</f>
        <v>0</v>
      </c>
    </row>
    <row r="18" spans="1:9" ht="15.75" x14ac:dyDescent="0.25">
      <c r="A18" s="40" t="s">
        <v>418</v>
      </c>
      <c r="B18" s="41" t="s">
        <v>410</v>
      </c>
      <c r="C18" s="42">
        <f>SUM('Stavební rozpočet'!AF12:AF216)</f>
        <v>0</v>
      </c>
      <c r="D18" s="132" t="s">
        <v>25</v>
      </c>
      <c r="E18" s="133"/>
      <c r="F18" s="43" t="s">
        <v>25</v>
      </c>
      <c r="G18" s="132" t="s">
        <v>419</v>
      </c>
      <c r="H18" s="133"/>
      <c r="I18" s="43">
        <f>VORN!I25</f>
        <v>0</v>
      </c>
    </row>
    <row r="19" spans="1:9" ht="15.75" x14ac:dyDescent="0.25">
      <c r="A19" s="44" t="s">
        <v>25</v>
      </c>
      <c r="B19" s="41" t="s">
        <v>412</v>
      </c>
      <c r="C19" s="42">
        <f>SUM('Stavební rozpočet'!AG12:AG216)</f>
        <v>0</v>
      </c>
      <c r="D19" s="132" t="s">
        <v>25</v>
      </c>
      <c r="E19" s="133"/>
      <c r="F19" s="43" t="s">
        <v>25</v>
      </c>
      <c r="G19" s="132" t="s">
        <v>420</v>
      </c>
      <c r="H19" s="133"/>
      <c r="I19" s="43">
        <f>VORN!I26</f>
        <v>0</v>
      </c>
    </row>
    <row r="20" spans="1:9" ht="15.75" x14ac:dyDescent="0.25">
      <c r="A20" s="126" t="s">
        <v>421</v>
      </c>
      <c r="B20" s="127"/>
      <c r="C20" s="42">
        <f>SUM('Stavební rozpočet'!AH12:AH216)</f>
        <v>0</v>
      </c>
      <c r="D20" s="132" t="s">
        <v>25</v>
      </c>
      <c r="E20" s="133"/>
      <c r="F20" s="43" t="s">
        <v>25</v>
      </c>
      <c r="G20" s="132" t="s">
        <v>25</v>
      </c>
      <c r="H20" s="133"/>
      <c r="I20" s="43" t="s">
        <v>25</v>
      </c>
    </row>
    <row r="21" spans="1:9" ht="15.75" x14ac:dyDescent="0.25">
      <c r="A21" s="128" t="s">
        <v>422</v>
      </c>
      <c r="B21" s="129"/>
      <c r="C21" s="45">
        <f>SUM('Stavební rozpočet'!Z12:Z216)</f>
        <v>0</v>
      </c>
      <c r="D21" s="134" t="s">
        <v>25</v>
      </c>
      <c r="E21" s="135"/>
      <c r="F21" s="46" t="s">
        <v>25</v>
      </c>
      <c r="G21" s="134" t="s">
        <v>25</v>
      </c>
      <c r="H21" s="135"/>
      <c r="I21" s="46" t="s">
        <v>25</v>
      </c>
    </row>
    <row r="22" spans="1:9" ht="16.5" customHeight="1" x14ac:dyDescent="0.25">
      <c r="A22" s="130" t="s">
        <v>423</v>
      </c>
      <c r="B22" s="131"/>
      <c r="C22" s="47">
        <f>ROUND(SUM(C14:C21),0)</f>
        <v>0</v>
      </c>
      <c r="D22" s="136" t="s">
        <v>424</v>
      </c>
      <c r="E22" s="131"/>
      <c r="F22" s="47">
        <f>SUM(F14:F21)</f>
        <v>0</v>
      </c>
      <c r="G22" s="136" t="s">
        <v>425</v>
      </c>
      <c r="H22" s="131"/>
      <c r="I22" s="47">
        <f>SUM(I14:I21)</f>
        <v>0</v>
      </c>
    </row>
    <row r="23" spans="1:9" ht="15.75" x14ac:dyDescent="0.25">
      <c r="D23" s="126" t="s">
        <v>426</v>
      </c>
      <c r="E23" s="127"/>
      <c r="F23" s="48">
        <v>0</v>
      </c>
      <c r="G23" s="137" t="s">
        <v>427</v>
      </c>
      <c r="H23" s="127"/>
      <c r="I23" s="42">
        <v>0</v>
      </c>
    </row>
    <row r="24" spans="1:9" ht="15.75" x14ac:dyDescent="0.25">
      <c r="G24" s="126" t="s">
        <v>428</v>
      </c>
      <c r="H24" s="127"/>
      <c r="I24" s="42">
        <f>vorn_sum</f>
        <v>0</v>
      </c>
    </row>
    <row r="25" spans="1:9" ht="15.75" x14ac:dyDescent="0.25">
      <c r="G25" s="126" t="s">
        <v>429</v>
      </c>
      <c r="H25" s="127"/>
      <c r="I25" s="42">
        <v>0</v>
      </c>
    </row>
    <row r="27" spans="1:9" ht="15.75" x14ac:dyDescent="0.25">
      <c r="A27" s="138" t="s">
        <v>430</v>
      </c>
      <c r="B27" s="139"/>
      <c r="C27" s="49">
        <f>ROUND(SUM('Stavební rozpočet'!AJ12:AJ216),0)</f>
        <v>0</v>
      </c>
    </row>
    <row r="28" spans="1:9" ht="15.75" x14ac:dyDescent="0.25">
      <c r="A28" s="140" t="s">
        <v>431</v>
      </c>
      <c r="B28" s="141"/>
      <c r="C28" s="50">
        <f>ROUND(SUM('Stavební rozpočet'!AK12:AK216),0)</f>
        <v>0</v>
      </c>
      <c r="D28" s="142" t="s">
        <v>432</v>
      </c>
      <c r="E28" s="139"/>
      <c r="F28" s="49">
        <f>ROUND(C28*(12/100),2)</f>
        <v>0</v>
      </c>
      <c r="G28" s="142" t="s">
        <v>433</v>
      </c>
      <c r="H28" s="139"/>
      <c r="I28" s="49">
        <f>ROUND(SUM(C27:C29),0)</f>
        <v>0</v>
      </c>
    </row>
    <row r="29" spans="1:9" ht="15.75" x14ac:dyDescent="0.25">
      <c r="A29" s="140" t="s">
        <v>434</v>
      </c>
      <c r="B29" s="141"/>
      <c r="C29" s="50">
        <f>ROUND(SUM('Stavební rozpočet'!AL12:AL216),0)</f>
        <v>0</v>
      </c>
      <c r="D29" s="143" t="s">
        <v>435</v>
      </c>
      <c r="E29" s="141"/>
      <c r="F29" s="50">
        <f>ROUND(C29*(21/100),2)</f>
        <v>0</v>
      </c>
      <c r="G29" s="143" t="s">
        <v>436</v>
      </c>
      <c r="H29" s="141"/>
      <c r="I29" s="50">
        <f>ROUND(SUM(F28:F29)+I28,0)</f>
        <v>0</v>
      </c>
    </row>
    <row r="31" spans="1:9" x14ac:dyDescent="0.25">
      <c r="A31" s="144" t="s">
        <v>437</v>
      </c>
      <c r="B31" s="145"/>
      <c r="C31" s="146"/>
      <c r="D31" s="153" t="s">
        <v>438</v>
      </c>
      <c r="E31" s="145"/>
      <c r="F31" s="146"/>
      <c r="G31" s="153" t="s">
        <v>439</v>
      </c>
      <c r="H31" s="145"/>
      <c r="I31" s="146"/>
    </row>
    <row r="32" spans="1:9" x14ac:dyDescent="0.25">
      <c r="A32" s="147" t="s">
        <v>25</v>
      </c>
      <c r="B32" s="148"/>
      <c r="C32" s="149"/>
      <c r="D32" s="154" t="s">
        <v>25</v>
      </c>
      <c r="E32" s="148"/>
      <c r="F32" s="149"/>
      <c r="G32" s="154" t="s">
        <v>25</v>
      </c>
      <c r="H32" s="148"/>
      <c r="I32" s="149"/>
    </row>
    <row r="33" spans="1:9" x14ac:dyDescent="0.25">
      <c r="A33" s="147" t="s">
        <v>25</v>
      </c>
      <c r="B33" s="148"/>
      <c r="C33" s="149"/>
      <c r="D33" s="154" t="s">
        <v>25</v>
      </c>
      <c r="E33" s="148"/>
      <c r="F33" s="149"/>
      <c r="G33" s="154" t="s">
        <v>25</v>
      </c>
      <c r="H33" s="148"/>
      <c r="I33" s="149"/>
    </row>
    <row r="34" spans="1:9" x14ac:dyDescent="0.25">
      <c r="A34" s="147" t="s">
        <v>25</v>
      </c>
      <c r="B34" s="148"/>
      <c r="C34" s="149"/>
      <c r="D34" s="154" t="s">
        <v>25</v>
      </c>
      <c r="E34" s="148"/>
      <c r="F34" s="149"/>
      <c r="G34" s="154" t="s">
        <v>25</v>
      </c>
      <c r="H34" s="148"/>
      <c r="I34" s="149"/>
    </row>
    <row r="35" spans="1:9" x14ac:dyDescent="0.25">
      <c r="A35" s="150" t="s">
        <v>440</v>
      </c>
      <c r="B35" s="151"/>
      <c r="C35" s="152"/>
      <c r="D35" s="155" t="s">
        <v>440</v>
      </c>
      <c r="E35" s="151"/>
      <c r="F35" s="152"/>
      <c r="G35" s="155" t="s">
        <v>440</v>
      </c>
      <c r="H35" s="151"/>
      <c r="I35" s="152"/>
    </row>
    <row r="36" spans="1:9" x14ac:dyDescent="0.25">
      <c r="A36" s="51" t="s">
        <v>441</v>
      </c>
    </row>
    <row r="37" spans="1:9" ht="12.75" customHeight="1" x14ac:dyDescent="0.25">
      <c r="A37" s="105" t="s">
        <v>25</v>
      </c>
      <c r="B37" s="99"/>
      <c r="C37" s="99"/>
      <c r="D37" s="99"/>
      <c r="E37" s="99"/>
      <c r="F37" s="99"/>
      <c r="G37" s="99"/>
      <c r="H37" s="99"/>
      <c r="I37" s="99"/>
    </row>
  </sheetData>
  <mergeCells count="83"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10:I11"/>
    <mergeCell ref="A12:I12"/>
    <mergeCell ref="B13:C13"/>
    <mergeCell ref="E13:F13"/>
    <mergeCell ref="H13:I13"/>
    <mergeCell ref="F10:G11"/>
    <mergeCell ref="H2:H3"/>
    <mergeCell ref="H4:H5"/>
    <mergeCell ref="H6:H7"/>
    <mergeCell ref="H8:H9"/>
    <mergeCell ref="H10:H11"/>
    <mergeCell ref="A10:B11"/>
    <mergeCell ref="E2:E3"/>
    <mergeCell ref="E4:E5"/>
    <mergeCell ref="E6:E7"/>
    <mergeCell ref="E8:E9"/>
    <mergeCell ref="E10:E11"/>
    <mergeCell ref="C2:D3"/>
    <mergeCell ref="C4:D5"/>
    <mergeCell ref="C6:D7"/>
    <mergeCell ref="C8:D9"/>
    <mergeCell ref="C10:D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3"/>
  <sheetViews>
    <sheetView workbookViewId="0">
      <pane ySplit="11" topLeftCell="A12" activePane="bottomLeft" state="frozen"/>
      <selection pane="bottomLeft" activeCell="A2" sqref="A2:B3"/>
    </sheetView>
  </sheetViews>
  <sheetFormatPr defaultColWidth="12.140625" defaultRowHeight="15" customHeight="1" x14ac:dyDescent="0.25"/>
  <cols>
    <col min="1" max="2" width="8.5703125" customWidth="1"/>
    <col min="3" max="3" width="56.28515625" customWidth="1"/>
    <col min="4" max="4" width="22.28515625" customWidth="1"/>
    <col min="5" max="5" width="21.42578125" customWidth="1"/>
    <col min="6" max="6" width="20.85546875" customWidth="1"/>
    <col min="7" max="7" width="21.7109375" customWidth="1"/>
    <col min="8" max="9" width="0" hidden="1" customWidth="1"/>
  </cols>
  <sheetData>
    <row r="1" spans="1:9" ht="54.75" customHeight="1" x14ac:dyDescent="0.25">
      <c r="A1" s="95" t="s">
        <v>702</v>
      </c>
      <c r="B1" s="95"/>
      <c r="C1" s="95"/>
      <c r="D1" s="95"/>
      <c r="E1" s="95"/>
      <c r="F1" s="95"/>
      <c r="G1" s="95"/>
    </row>
    <row r="2" spans="1:9" x14ac:dyDescent="0.25">
      <c r="A2" s="96" t="s">
        <v>1</v>
      </c>
      <c r="B2" s="97"/>
      <c r="C2" s="103" t="str">
        <f>'Stavební rozpočet'!D2</f>
        <v>Oprava rozvodů kanalizace, vody a plynu Slunečná 1573/8 Havířov</v>
      </c>
      <c r="D2" s="97" t="s">
        <v>2</v>
      </c>
      <c r="E2" s="97" t="s">
        <v>23</v>
      </c>
      <c r="F2" s="106" t="s">
        <v>3</v>
      </c>
      <c r="G2" s="117" t="str">
        <f>'Stavební rozpočet'!J2</f>
        <v>Společenstní vlastníků Slunečná 1573 Havířov Podle</v>
      </c>
    </row>
    <row r="3" spans="1:9" ht="25.5" customHeight="1" x14ac:dyDescent="0.25">
      <c r="A3" s="98"/>
      <c r="B3" s="99"/>
      <c r="C3" s="104"/>
      <c r="D3" s="99"/>
      <c r="E3" s="99"/>
      <c r="F3" s="99"/>
      <c r="G3" s="108"/>
    </row>
    <row r="4" spans="1:9" x14ac:dyDescent="0.25">
      <c r="A4" s="100" t="s">
        <v>4</v>
      </c>
      <c r="B4" s="99"/>
      <c r="C4" s="105" t="str">
        <f>'Stavební rozpočet'!D4</f>
        <v xml:space="preserve"> </v>
      </c>
      <c r="D4" s="99" t="s">
        <v>5</v>
      </c>
      <c r="E4" s="99" t="s">
        <v>23</v>
      </c>
      <c r="F4" s="105" t="s">
        <v>6</v>
      </c>
      <c r="G4" s="118" t="str">
        <f>'Stavební rozpočet'!J4</f>
        <v>ETRACOM s.r.o.</v>
      </c>
    </row>
    <row r="5" spans="1:9" ht="15" customHeight="1" x14ac:dyDescent="0.25">
      <c r="A5" s="98"/>
      <c r="B5" s="99"/>
      <c r="C5" s="99"/>
      <c r="D5" s="99"/>
      <c r="E5" s="99"/>
      <c r="F5" s="99"/>
      <c r="G5" s="108"/>
    </row>
    <row r="6" spans="1:9" x14ac:dyDescent="0.25">
      <c r="A6" s="100" t="s">
        <v>7</v>
      </c>
      <c r="B6" s="99"/>
      <c r="C6" s="105" t="str">
        <f>'Stavební rozpočet'!D6</f>
        <v xml:space="preserve"> </v>
      </c>
      <c r="D6" s="99" t="s">
        <v>8</v>
      </c>
      <c r="E6" s="99" t="s">
        <v>23</v>
      </c>
      <c r="F6" s="105" t="s">
        <v>9</v>
      </c>
      <c r="G6" s="118" t="str">
        <f>'Stavební rozpočet'!J6</f>
        <v> </v>
      </c>
    </row>
    <row r="7" spans="1:9" ht="15" customHeight="1" x14ac:dyDescent="0.25">
      <c r="A7" s="98"/>
      <c r="B7" s="99"/>
      <c r="C7" s="99"/>
      <c r="D7" s="99"/>
      <c r="E7" s="99"/>
      <c r="F7" s="99"/>
      <c r="G7" s="108"/>
    </row>
    <row r="8" spans="1:9" x14ac:dyDescent="0.25">
      <c r="A8" s="100" t="s">
        <v>12</v>
      </c>
      <c r="B8" s="99"/>
      <c r="C8" s="105" t="str">
        <f>'Stavební rozpočet'!J8</f>
        <v>Ing. Radim Kyjonka</v>
      </c>
      <c r="D8" s="99" t="s">
        <v>11</v>
      </c>
      <c r="E8" s="99" t="s">
        <v>391</v>
      </c>
      <c r="F8" s="99" t="s">
        <v>11</v>
      </c>
      <c r="G8" s="118" t="str">
        <f>'Stavební rozpočet'!H8</f>
        <v>13.06.2024</v>
      </c>
    </row>
    <row r="9" spans="1:9" x14ac:dyDescent="0.25">
      <c r="A9" s="115"/>
      <c r="B9" s="116"/>
      <c r="C9" s="116"/>
      <c r="D9" s="116"/>
      <c r="E9" s="116"/>
      <c r="F9" s="116"/>
      <c r="G9" s="119"/>
    </row>
    <row r="10" spans="1:9" x14ac:dyDescent="0.25">
      <c r="A10" s="26" t="s">
        <v>14</v>
      </c>
      <c r="B10" s="27" t="s">
        <v>15</v>
      </c>
      <c r="C10" s="28" t="s">
        <v>16</v>
      </c>
      <c r="D10" s="29" t="s">
        <v>392</v>
      </c>
      <c r="E10" s="29" t="s">
        <v>393</v>
      </c>
      <c r="F10" s="29" t="s">
        <v>394</v>
      </c>
      <c r="G10" s="30" t="s">
        <v>395</v>
      </c>
    </row>
    <row r="11" spans="1:9" x14ac:dyDescent="0.25">
      <c r="A11" s="31" t="s">
        <v>24</v>
      </c>
      <c r="B11" s="32" t="s">
        <v>25</v>
      </c>
      <c r="C11" s="32" t="s">
        <v>26</v>
      </c>
      <c r="D11" s="33">
        <f>'Stavební rozpočet'!J12</f>
        <v>0</v>
      </c>
      <c r="E11" s="33">
        <f>'Stavební rozpočet'!K12</f>
        <v>0</v>
      </c>
      <c r="F11" s="33">
        <f>'Stavební rozpočet'!L12</f>
        <v>0</v>
      </c>
      <c r="G11" s="34">
        <f>'Stavební rozpočet'!O12</f>
        <v>2.351E-2</v>
      </c>
      <c r="H11" s="35" t="s">
        <v>396</v>
      </c>
      <c r="I11" s="19">
        <f t="shared" ref="I11:I42" si="0">IF(H11="F",0,F11)</f>
        <v>0</v>
      </c>
    </row>
    <row r="12" spans="1:9" x14ac:dyDescent="0.25">
      <c r="A12" s="1" t="s">
        <v>24</v>
      </c>
      <c r="B12" s="2" t="s">
        <v>27</v>
      </c>
      <c r="C12" s="2" t="s">
        <v>28</v>
      </c>
      <c r="D12" s="19">
        <f>'Stavební rozpočet'!J13</f>
        <v>0</v>
      </c>
      <c r="E12" s="19">
        <f>'Stavební rozpočet'!K13</f>
        <v>0</v>
      </c>
      <c r="F12" s="19">
        <f>'Stavební rozpočet'!L13</f>
        <v>0</v>
      </c>
      <c r="G12" s="20">
        <f>'Stavební rozpočet'!O13</f>
        <v>2.351E-2</v>
      </c>
      <c r="H12" s="35" t="s">
        <v>397</v>
      </c>
      <c r="I12" s="19">
        <f t="shared" si="0"/>
        <v>0</v>
      </c>
    </row>
    <row r="13" spans="1:9" x14ac:dyDescent="0.25">
      <c r="A13" s="1" t="s">
        <v>44</v>
      </c>
      <c r="B13" s="2" t="s">
        <v>25</v>
      </c>
      <c r="C13" s="2" t="s">
        <v>45</v>
      </c>
      <c r="D13" s="19">
        <f>'Stavební rozpočet'!J19</f>
        <v>0</v>
      </c>
      <c r="E13" s="19">
        <f>'Stavební rozpočet'!K19</f>
        <v>0</v>
      </c>
      <c r="F13" s="19">
        <f>'Stavební rozpočet'!L19</f>
        <v>0</v>
      </c>
      <c r="G13" s="20">
        <f>'Stavební rozpočet'!O19</f>
        <v>0.48347999999999997</v>
      </c>
      <c r="H13" s="35" t="s">
        <v>396</v>
      </c>
      <c r="I13" s="19">
        <f t="shared" si="0"/>
        <v>0</v>
      </c>
    </row>
    <row r="14" spans="1:9" x14ac:dyDescent="0.25">
      <c r="A14" s="1" t="s">
        <v>44</v>
      </c>
      <c r="B14" s="2" t="s">
        <v>46</v>
      </c>
      <c r="C14" s="2" t="s">
        <v>47</v>
      </c>
      <c r="D14" s="19">
        <f>'Stavební rozpočet'!J20</f>
        <v>0</v>
      </c>
      <c r="E14" s="19">
        <f>'Stavební rozpočet'!K20</f>
        <v>0</v>
      </c>
      <c r="F14" s="19">
        <f>'Stavební rozpočet'!L20</f>
        <v>0</v>
      </c>
      <c r="G14" s="20">
        <f>'Stavební rozpočet'!O20</f>
        <v>6.0000000000000006E-4</v>
      </c>
      <c r="H14" s="35" t="s">
        <v>397</v>
      </c>
      <c r="I14" s="19">
        <f t="shared" si="0"/>
        <v>0</v>
      </c>
    </row>
    <row r="15" spans="1:9" x14ac:dyDescent="0.25">
      <c r="A15" s="1" t="s">
        <v>44</v>
      </c>
      <c r="B15" s="2" t="s">
        <v>27</v>
      </c>
      <c r="C15" s="2" t="s">
        <v>28</v>
      </c>
      <c r="D15" s="19">
        <f>'Stavební rozpočet'!J23</f>
        <v>0</v>
      </c>
      <c r="E15" s="19">
        <f>'Stavební rozpočet'!K23</f>
        <v>0</v>
      </c>
      <c r="F15" s="19">
        <f>'Stavební rozpočet'!L23</f>
        <v>0</v>
      </c>
      <c r="G15" s="20">
        <f>'Stavební rozpočet'!O23</f>
        <v>0.48287999999999998</v>
      </c>
      <c r="H15" s="35" t="s">
        <v>397</v>
      </c>
      <c r="I15" s="19">
        <f t="shared" si="0"/>
        <v>0</v>
      </c>
    </row>
    <row r="16" spans="1:9" x14ac:dyDescent="0.25">
      <c r="A16" s="1" t="s">
        <v>73</v>
      </c>
      <c r="B16" s="2" t="s">
        <v>25</v>
      </c>
      <c r="C16" s="2" t="s">
        <v>74</v>
      </c>
      <c r="D16" s="19">
        <f>'Stavební rozpočet'!J35</f>
        <v>0</v>
      </c>
      <c r="E16" s="19">
        <f>'Stavební rozpočet'!K35</f>
        <v>0</v>
      </c>
      <c r="F16" s="19">
        <f>'Stavební rozpočet'!L35</f>
        <v>0</v>
      </c>
      <c r="G16" s="20">
        <f>'Stavební rozpočet'!O35</f>
        <v>0.22232999999999997</v>
      </c>
      <c r="H16" s="35" t="s">
        <v>396</v>
      </c>
      <c r="I16" s="19">
        <f t="shared" si="0"/>
        <v>0</v>
      </c>
    </row>
    <row r="17" spans="1:9" x14ac:dyDescent="0.25">
      <c r="A17" s="1" t="s">
        <v>73</v>
      </c>
      <c r="B17" s="2" t="s">
        <v>75</v>
      </c>
      <c r="C17" s="2" t="s">
        <v>76</v>
      </c>
      <c r="D17" s="19">
        <f>'Stavební rozpočet'!J36</f>
        <v>0</v>
      </c>
      <c r="E17" s="19">
        <f>'Stavební rozpočet'!K36</f>
        <v>0</v>
      </c>
      <c r="F17" s="19">
        <f>'Stavební rozpočet'!L36</f>
        <v>0</v>
      </c>
      <c r="G17" s="20">
        <f>'Stavební rozpočet'!O36</f>
        <v>0.22232999999999997</v>
      </c>
      <c r="H17" s="35" t="s">
        <v>397</v>
      </c>
      <c r="I17" s="19">
        <f t="shared" si="0"/>
        <v>0</v>
      </c>
    </row>
    <row r="18" spans="1:9" x14ac:dyDescent="0.25">
      <c r="A18" s="1" t="s">
        <v>152</v>
      </c>
      <c r="B18" s="2" t="s">
        <v>25</v>
      </c>
      <c r="C18" s="2" t="s">
        <v>153</v>
      </c>
      <c r="D18" s="19">
        <f>'Stavební rozpočet'!J74</f>
        <v>0</v>
      </c>
      <c r="E18" s="19">
        <f>'Stavební rozpočet'!K74</f>
        <v>0</v>
      </c>
      <c r="F18" s="19">
        <f>'Stavební rozpočet'!L74</f>
        <v>0</v>
      </c>
      <c r="G18" s="20">
        <f>'Stavební rozpočet'!O74</f>
        <v>0.56042000000000003</v>
      </c>
      <c r="H18" s="35" t="s">
        <v>396</v>
      </c>
      <c r="I18" s="19">
        <f t="shared" si="0"/>
        <v>0</v>
      </c>
    </row>
    <row r="19" spans="1:9" x14ac:dyDescent="0.25">
      <c r="A19" s="1" t="s">
        <v>152</v>
      </c>
      <c r="B19" s="2" t="s">
        <v>75</v>
      </c>
      <c r="C19" s="2" t="s">
        <v>76</v>
      </c>
      <c r="D19" s="19">
        <f>'Stavební rozpočet'!J75</f>
        <v>0</v>
      </c>
      <c r="E19" s="19">
        <f>'Stavební rozpočet'!K75</f>
        <v>0</v>
      </c>
      <c r="F19" s="19">
        <f>'Stavební rozpočet'!L75</f>
        <v>0</v>
      </c>
      <c r="G19" s="20">
        <f>'Stavební rozpočet'!O75</f>
        <v>0.30614000000000002</v>
      </c>
      <c r="H19" s="35" t="s">
        <v>397</v>
      </c>
      <c r="I19" s="19">
        <f t="shared" si="0"/>
        <v>0</v>
      </c>
    </row>
    <row r="20" spans="1:9" x14ac:dyDescent="0.25">
      <c r="A20" s="1" t="s">
        <v>152</v>
      </c>
      <c r="B20" s="2" t="s">
        <v>175</v>
      </c>
      <c r="C20" s="2" t="s">
        <v>176</v>
      </c>
      <c r="D20" s="19">
        <f>'Stavební rozpočet'!J100</f>
        <v>0</v>
      </c>
      <c r="E20" s="19">
        <f>'Stavební rozpočet'!K100</f>
        <v>0</v>
      </c>
      <c r="F20" s="19">
        <f>'Stavební rozpočet'!L100</f>
        <v>0</v>
      </c>
      <c r="G20" s="20">
        <f>'Stavební rozpočet'!O100</f>
        <v>0.25428000000000001</v>
      </c>
      <c r="H20" s="35" t="s">
        <v>397</v>
      </c>
      <c r="I20" s="19">
        <f t="shared" si="0"/>
        <v>0</v>
      </c>
    </row>
    <row r="21" spans="1:9" x14ac:dyDescent="0.25">
      <c r="A21" s="1" t="s">
        <v>183</v>
      </c>
      <c r="B21" s="2" t="s">
        <v>25</v>
      </c>
      <c r="C21" s="2" t="s">
        <v>184</v>
      </c>
      <c r="D21" s="19">
        <f>'Stavební rozpočet'!J104</f>
        <v>0</v>
      </c>
      <c r="E21" s="19">
        <f>'Stavební rozpočet'!K104</f>
        <v>0</v>
      </c>
      <c r="F21" s="19">
        <f>'Stavební rozpočet'!L104</f>
        <v>0</v>
      </c>
      <c r="G21" s="20">
        <f>'Stavební rozpočet'!O104</f>
        <v>0.47950000000000004</v>
      </c>
      <c r="H21" s="35" t="s">
        <v>396</v>
      </c>
      <c r="I21" s="19">
        <f t="shared" si="0"/>
        <v>0</v>
      </c>
    </row>
    <row r="22" spans="1:9" x14ac:dyDescent="0.25">
      <c r="A22" s="1" t="s">
        <v>183</v>
      </c>
      <c r="B22" s="2" t="s">
        <v>185</v>
      </c>
      <c r="C22" s="2" t="s">
        <v>186</v>
      </c>
      <c r="D22" s="19">
        <f>'Stavební rozpočet'!J105</f>
        <v>0</v>
      </c>
      <c r="E22" s="19">
        <f>'Stavební rozpočet'!K105</f>
        <v>0</v>
      </c>
      <c r="F22" s="19">
        <f>'Stavební rozpočet'!L105</f>
        <v>0</v>
      </c>
      <c r="G22" s="20">
        <f>'Stavební rozpočet'!O105</f>
        <v>0.47950000000000004</v>
      </c>
      <c r="H22" s="35" t="s">
        <v>397</v>
      </c>
      <c r="I22" s="19">
        <f t="shared" si="0"/>
        <v>0</v>
      </c>
    </row>
    <row r="23" spans="1:9" x14ac:dyDescent="0.25">
      <c r="A23" s="1" t="s">
        <v>234</v>
      </c>
      <c r="B23" s="2" t="s">
        <v>25</v>
      </c>
      <c r="C23" s="2" t="s">
        <v>235</v>
      </c>
      <c r="D23" s="19">
        <f>'Stavební rozpočet'!J129</f>
        <v>0</v>
      </c>
      <c r="E23" s="19">
        <f>'Stavební rozpočet'!K129</f>
        <v>0</v>
      </c>
      <c r="F23" s="19">
        <f>'Stavební rozpočet'!L129</f>
        <v>0</v>
      </c>
      <c r="G23" s="20">
        <f>'Stavební rozpočet'!O129</f>
        <v>0.96949800000000008</v>
      </c>
      <c r="H23" s="35" t="s">
        <v>396</v>
      </c>
      <c r="I23" s="19">
        <f t="shared" si="0"/>
        <v>0</v>
      </c>
    </row>
    <row r="24" spans="1:9" x14ac:dyDescent="0.25">
      <c r="A24" s="1" t="s">
        <v>234</v>
      </c>
      <c r="B24" s="2" t="s">
        <v>185</v>
      </c>
      <c r="C24" s="2" t="s">
        <v>186</v>
      </c>
      <c r="D24" s="19">
        <f>'Stavební rozpočet'!J130</f>
        <v>0</v>
      </c>
      <c r="E24" s="19">
        <f>'Stavební rozpočet'!K130</f>
        <v>0</v>
      </c>
      <c r="F24" s="19">
        <f>'Stavební rozpočet'!L130</f>
        <v>0</v>
      </c>
      <c r="G24" s="20">
        <f>'Stavební rozpočet'!O130</f>
        <v>0.96949800000000008</v>
      </c>
      <c r="H24" s="35" t="s">
        <v>397</v>
      </c>
      <c r="I24" s="19">
        <f t="shared" si="0"/>
        <v>0</v>
      </c>
    </row>
    <row r="25" spans="1:9" x14ac:dyDescent="0.25">
      <c r="A25" s="1" t="s">
        <v>252</v>
      </c>
      <c r="B25" s="2" t="s">
        <v>25</v>
      </c>
      <c r="C25" s="2" t="s">
        <v>253</v>
      </c>
      <c r="D25" s="19">
        <f>'Stavební rozpočet'!J144</f>
        <v>0</v>
      </c>
      <c r="E25" s="19">
        <f>'Stavební rozpočet'!K144</f>
        <v>0</v>
      </c>
      <c r="F25" s="19">
        <f>'Stavební rozpočet'!L144</f>
        <v>0</v>
      </c>
      <c r="G25" s="20">
        <f>'Stavební rozpočet'!O144</f>
        <v>2.4910000000000002E-2</v>
      </c>
      <c r="H25" s="35" t="s">
        <v>396</v>
      </c>
      <c r="I25" s="19">
        <f t="shared" si="0"/>
        <v>0</v>
      </c>
    </row>
    <row r="26" spans="1:9" x14ac:dyDescent="0.25">
      <c r="A26" s="1" t="s">
        <v>252</v>
      </c>
      <c r="B26" s="2" t="s">
        <v>185</v>
      </c>
      <c r="C26" s="2" t="s">
        <v>186</v>
      </c>
      <c r="D26" s="19">
        <f>'Stavební rozpočet'!J145</f>
        <v>0</v>
      </c>
      <c r="E26" s="19">
        <f>'Stavební rozpočet'!K145</f>
        <v>0</v>
      </c>
      <c r="F26" s="19">
        <f>'Stavební rozpočet'!L145</f>
        <v>0</v>
      </c>
      <c r="G26" s="20">
        <f>'Stavební rozpočet'!O145</f>
        <v>2.4910000000000002E-2</v>
      </c>
      <c r="H26" s="35" t="s">
        <v>397</v>
      </c>
      <c r="I26" s="19">
        <f t="shared" si="0"/>
        <v>0</v>
      </c>
    </row>
    <row r="27" spans="1:9" x14ac:dyDescent="0.25">
      <c r="A27" s="1" t="s">
        <v>267</v>
      </c>
      <c r="B27" s="2" t="s">
        <v>25</v>
      </c>
      <c r="C27" s="2" t="s">
        <v>268</v>
      </c>
      <c r="D27" s="19">
        <f>'Stavební rozpočet'!J157</f>
        <v>0</v>
      </c>
      <c r="E27" s="19">
        <f>'Stavební rozpočet'!K157</f>
        <v>0</v>
      </c>
      <c r="F27" s="19">
        <f>'Stavební rozpočet'!L157</f>
        <v>0</v>
      </c>
      <c r="G27" s="20">
        <f>'Stavební rozpočet'!O157</f>
        <v>5.3989940000000001</v>
      </c>
      <c r="H27" s="35" t="s">
        <v>396</v>
      </c>
      <c r="I27" s="19">
        <f t="shared" si="0"/>
        <v>0</v>
      </c>
    </row>
    <row r="28" spans="1:9" x14ac:dyDescent="0.25">
      <c r="A28" s="1" t="s">
        <v>267</v>
      </c>
      <c r="B28" s="2" t="s">
        <v>269</v>
      </c>
      <c r="C28" s="2" t="s">
        <v>270</v>
      </c>
      <c r="D28" s="19">
        <f>'Stavební rozpočet'!J158</f>
        <v>0</v>
      </c>
      <c r="E28" s="19">
        <f>'Stavební rozpočet'!K158</f>
        <v>0</v>
      </c>
      <c r="F28" s="19">
        <f>'Stavební rozpočet'!L158</f>
        <v>0</v>
      </c>
      <c r="G28" s="20">
        <f>'Stavební rozpočet'!O158</f>
        <v>0.48662100000000003</v>
      </c>
      <c r="H28" s="35" t="s">
        <v>397</v>
      </c>
      <c r="I28" s="19">
        <f t="shared" si="0"/>
        <v>0</v>
      </c>
    </row>
    <row r="29" spans="1:9" x14ac:dyDescent="0.25">
      <c r="A29" s="1" t="s">
        <v>267</v>
      </c>
      <c r="B29" s="2" t="s">
        <v>298</v>
      </c>
      <c r="C29" s="2" t="s">
        <v>299</v>
      </c>
      <c r="D29" s="19">
        <f>'Stavební rozpočet'!J172</f>
        <v>0</v>
      </c>
      <c r="E29" s="19">
        <f>'Stavební rozpočet'!K172</f>
        <v>0</v>
      </c>
      <c r="F29" s="19">
        <f>'Stavební rozpočet'!L172</f>
        <v>0</v>
      </c>
      <c r="G29" s="20">
        <f>'Stavební rozpočet'!O172</f>
        <v>0</v>
      </c>
      <c r="H29" s="35" t="s">
        <v>397</v>
      </c>
      <c r="I29" s="19">
        <f t="shared" si="0"/>
        <v>0</v>
      </c>
    </row>
    <row r="30" spans="1:9" x14ac:dyDescent="0.25">
      <c r="A30" s="1" t="s">
        <v>267</v>
      </c>
      <c r="B30" s="2" t="s">
        <v>302</v>
      </c>
      <c r="C30" s="2" t="s">
        <v>303</v>
      </c>
      <c r="D30" s="19">
        <f>'Stavební rozpočet'!J174</f>
        <v>0</v>
      </c>
      <c r="E30" s="19">
        <f>'Stavební rozpočet'!K174</f>
        <v>0</v>
      </c>
      <c r="F30" s="19">
        <f>'Stavební rozpočet'!L174</f>
        <v>0</v>
      </c>
      <c r="G30" s="20">
        <f>'Stavební rozpočet'!O174</f>
        <v>0</v>
      </c>
      <c r="H30" s="35" t="s">
        <v>397</v>
      </c>
      <c r="I30" s="19">
        <f t="shared" si="0"/>
        <v>0</v>
      </c>
    </row>
    <row r="31" spans="1:9" x14ac:dyDescent="0.25">
      <c r="A31" s="1" t="s">
        <v>267</v>
      </c>
      <c r="B31" s="2" t="s">
        <v>306</v>
      </c>
      <c r="C31" s="2" t="s">
        <v>307</v>
      </c>
      <c r="D31" s="19">
        <f>'Stavební rozpočet'!J176</f>
        <v>0</v>
      </c>
      <c r="E31" s="19">
        <f>'Stavební rozpočet'!K176</f>
        <v>0</v>
      </c>
      <c r="F31" s="19">
        <f>'Stavební rozpočet'!L176</f>
        <v>0</v>
      </c>
      <c r="G31" s="20">
        <f>'Stavební rozpočet'!O176</f>
        <v>5.7600000000000004E-3</v>
      </c>
      <c r="H31" s="35" t="s">
        <v>397</v>
      </c>
      <c r="I31" s="19">
        <f t="shared" si="0"/>
        <v>0</v>
      </c>
    </row>
    <row r="32" spans="1:9" x14ac:dyDescent="0.25">
      <c r="A32" s="1" t="s">
        <v>267</v>
      </c>
      <c r="B32" s="2" t="s">
        <v>317</v>
      </c>
      <c r="C32" s="2" t="s">
        <v>318</v>
      </c>
      <c r="D32" s="19">
        <f>'Stavební rozpočet'!J181</f>
        <v>0</v>
      </c>
      <c r="E32" s="19">
        <f>'Stavební rozpočet'!K181</f>
        <v>0</v>
      </c>
      <c r="F32" s="19">
        <f>'Stavební rozpočet'!L181</f>
        <v>0</v>
      </c>
      <c r="G32" s="20">
        <f>'Stavební rozpočet'!O181</f>
        <v>0.68994199999999994</v>
      </c>
      <c r="H32" s="35" t="s">
        <v>397</v>
      </c>
      <c r="I32" s="19">
        <f t="shared" si="0"/>
        <v>0</v>
      </c>
    </row>
    <row r="33" spans="1:9" x14ac:dyDescent="0.25">
      <c r="A33" s="1" t="s">
        <v>267</v>
      </c>
      <c r="B33" s="2" t="s">
        <v>329</v>
      </c>
      <c r="C33" s="2" t="s">
        <v>330</v>
      </c>
      <c r="D33" s="19">
        <f>'Stavební rozpočet'!J187</f>
        <v>0</v>
      </c>
      <c r="E33" s="19">
        <f>'Stavební rozpočet'!K187</f>
        <v>0</v>
      </c>
      <c r="F33" s="19">
        <f>'Stavební rozpočet'!L187</f>
        <v>0</v>
      </c>
      <c r="G33" s="20">
        <f>'Stavební rozpočet'!O187</f>
        <v>1.7940000000000001E-2</v>
      </c>
      <c r="H33" s="35" t="s">
        <v>397</v>
      </c>
      <c r="I33" s="19">
        <f t="shared" si="0"/>
        <v>0</v>
      </c>
    </row>
    <row r="34" spans="1:9" x14ac:dyDescent="0.25">
      <c r="A34" s="1" t="s">
        <v>267</v>
      </c>
      <c r="B34" s="2" t="s">
        <v>333</v>
      </c>
      <c r="C34" s="2" t="s">
        <v>334</v>
      </c>
      <c r="D34" s="19">
        <f>'Stavební rozpočet'!J189</f>
        <v>0</v>
      </c>
      <c r="E34" s="19">
        <f>'Stavební rozpočet'!K189</f>
        <v>0</v>
      </c>
      <c r="F34" s="19">
        <f>'Stavební rozpočet'!L189</f>
        <v>0</v>
      </c>
      <c r="G34" s="20">
        <f>'Stavební rozpočet'!O189</f>
        <v>0</v>
      </c>
      <c r="H34" s="35" t="s">
        <v>397</v>
      </c>
      <c r="I34" s="19">
        <f t="shared" si="0"/>
        <v>0</v>
      </c>
    </row>
    <row r="35" spans="1:9" x14ac:dyDescent="0.25">
      <c r="A35" s="1" t="s">
        <v>267</v>
      </c>
      <c r="B35" s="2" t="s">
        <v>337</v>
      </c>
      <c r="C35" s="2" t="s">
        <v>338</v>
      </c>
      <c r="D35" s="19">
        <f>'Stavební rozpočet'!J191</f>
        <v>0</v>
      </c>
      <c r="E35" s="19">
        <f>'Stavební rozpočet'!K191</f>
        <v>0</v>
      </c>
      <c r="F35" s="19">
        <f>'Stavební rozpočet'!L191</f>
        <v>0</v>
      </c>
      <c r="G35" s="20">
        <f>'Stavební rozpočet'!O191</f>
        <v>3.0255270000000003</v>
      </c>
      <c r="H35" s="35" t="s">
        <v>397</v>
      </c>
      <c r="I35" s="19">
        <f t="shared" si="0"/>
        <v>0</v>
      </c>
    </row>
    <row r="36" spans="1:9" x14ac:dyDescent="0.25">
      <c r="A36" s="1" t="s">
        <v>267</v>
      </c>
      <c r="B36" s="2" t="s">
        <v>341</v>
      </c>
      <c r="C36" s="2" t="s">
        <v>342</v>
      </c>
      <c r="D36" s="19">
        <f>'Stavební rozpočet'!J193</f>
        <v>0</v>
      </c>
      <c r="E36" s="19">
        <f>'Stavební rozpočet'!K193</f>
        <v>0</v>
      </c>
      <c r="F36" s="19">
        <f>'Stavební rozpočet'!L193</f>
        <v>0</v>
      </c>
      <c r="G36" s="20">
        <f>'Stavební rozpočet'!O193</f>
        <v>1.1732039999999999</v>
      </c>
      <c r="H36" s="35" t="s">
        <v>397</v>
      </c>
      <c r="I36" s="19">
        <f t="shared" si="0"/>
        <v>0</v>
      </c>
    </row>
    <row r="37" spans="1:9" x14ac:dyDescent="0.25">
      <c r="A37" s="1" t="s">
        <v>267</v>
      </c>
      <c r="B37" s="2" t="s">
        <v>353</v>
      </c>
      <c r="C37" s="2" t="s">
        <v>354</v>
      </c>
      <c r="D37" s="19">
        <f>'Stavební rozpočet'!J199</f>
        <v>0</v>
      </c>
      <c r="E37" s="19">
        <f>'Stavební rozpočet'!K199</f>
        <v>0</v>
      </c>
      <c r="F37" s="19">
        <f>'Stavební rozpočet'!L199</f>
        <v>0</v>
      </c>
      <c r="G37" s="20">
        <f>'Stavební rozpočet'!O199</f>
        <v>0</v>
      </c>
      <c r="H37" s="35" t="s">
        <v>397</v>
      </c>
      <c r="I37" s="19">
        <f t="shared" si="0"/>
        <v>0</v>
      </c>
    </row>
    <row r="38" spans="1:9" x14ac:dyDescent="0.25">
      <c r="A38" s="1" t="s">
        <v>372</v>
      </c>
      <c r="B38" s="2" t="s">
        <v>25</v>
      </c>
      <c r="C38" s="2" t="s">
        <v>373</v>
      </c>
      <c r="D38" s="19">
        <f>'Stavební rozpočet'!J208</f>
        <v>0</v>
      </c>
      <c r="E38" s="19">
        <f>'Stavební rozpočet'!K208</f>
        <v>0</v>
      </c>
      <c r="F38" s="19">
        <f>'Stavební rozpočet'!L208</f>
        <v>0</v>
      </c>
      <c r="G38" s="20">
        <f>'Stavební rozpočet'!O208</f>
        <v>0</v>
      </c>
      <c r="H38" s="35" t="s">
        <v>396</v>
      </c>
      <c r="I38" s="19">
        <f t="shared" si="0"/>
        <v>0</v>
      </c>
    </row>
    <row r="39" spans="1:9" x14ac:dyDescent="0.25">
      <c r="A39" s="1" t="s">
        <v>372</v>
      </c>
      <c r="B39" s="2" t="s">
        <v>374</v>
      </c>
      <c r="C39" s="2" t="s">
        <v>375</v>
      </c>
      <c r="D39" s="19">
        <f>'Stavební rozpočet'!J209</f>
        <v>0</v>
      </c>
      <c r="E39" s="19">
        <f>'Stavební rozpočet'!K209</f>
        <v>0</v>
      </c>
      <c r="F39" s="19">
        <f>'Stavební rozpočet'!L209</f>
        <v>0</v>
      </c>
      <c r="G39" s="20">
        <f>'Stavební rozpočet'!O209</f>
        <v>0</v>
      </c>
      <c r="H39" s="35" t="s">
        <v>396</v>
      </c>
      <c r="I39" s="19">
        <f t="shared" si="0"/>
        <v>0</v>
      </c>
    </row>
    <row r="40" spans="1:9" x14ac:dyDescent="0.25">
      <c r="A40" s="1" t="s">
        <v>372</v>
      </c>
      <c r="B40" s="2" t="s">
        <v>376</v>
      </c>
      <c r="C40" s="2" t="s">
        <v>377</v>
      </c>
      <c r="D40" s="19">
        <f>'Stavební rozpočet'!J210</f>
        <v>0</v>
      </c>
      <c r="E40" s="19">
        <f>'Stavební rozpočet'!K210</f>
        <v>0</v>
      </c>
      <c r="F40" s="19">
        <f>'Stavební rozpočet'!L210</f>
        <v>0</v>
      </c>
      <c r="G40" s="20">
        <f>'Stavební rozpočet'!O210</f>
        <v>0</v>
      </c>
      <c r="H40" s="35" t="s">
        <v>397</v>
      </c>
      <c r="I40" s="19">
        <f t="shared" si="0"/>
        <v>0</v>
      </c>
    </row>
    <row r="41" spans="1:9" x14ac:dyDescent="0.25">
      <c r="A41" s="1" t="s">
        <v>372</v>
      </c>
      <c r="B41" s="2" t="s">
        <v>381</v>
      </c>
      <c r="C41" s="2" t="s">
        <v>382</v>
      </c>
      <c r="D41" s="19">
        <f>'Stavební rozpočet'!J212</f>
        <v>0</v>
      </c>
      <c r="E41" s="19">
        <f>'Stavební rozpočet'!K212</f>
        <v>0</v>
      </c>
      <c r="F41" s="19">
        <f>'Stavební rozpočet'!L212</f>
        <v>0</v>
      </c>
      <c r="G41" s="20">
        <f>'Stavební rozpočet'!O212</f>
        <v>0</v>
      </c>
      <c r="H41" s="35" t="s">
        <v>397</v>
      </c>
      <c r="I41" s="19">
        <f t="shared" si="0"/>
        <v>0</v>
      </c>
    </row>
    <row r="42" spans="1:9" x14ac:dyDescent="0.25">
      <c r="A42" s="5" t="s">
        <v>372</v>
      </c>
      <c r="B42" s="6" t="s">
        <v>387</v>
      </c>
      <c r="C42" s="6" t="s">
        <v>388</v>
      </c>
      <c r="D42" s="23">
        <f>'Stavební rozpočet'!J215</f>
        <v>0</v>
      </c>
      <c r="E42" s="23">
        <f>'Stavební rozpočet'!K215</f>
        <v>0</v>
      </c>
      <c r="F42" s="23">
        <f>'Stavební rozpočet'!L215</f>
        <v>0</v>
      </c>
      <c r="G42" s="24">
        <f>'Stavební rozpočet'!O215</f>
        <v>0</v>
      </c>
      <c r="H42" s="35" t="s">
        <v>397</v>
      </c>
      <c r="I42" s="19">
        <f t="shared" si="0"/>
        <v>0</v>
      </c>
    </row>
    <row r="43" spans="1:9" x14ac:dyDescent="0.25">
      <c r="E43" s="36" t="s">
        <v>390</v>
      </c>
      <c r="F43" s="37">
        <f>ROUND(SUM(I11:I42),0)</f>
        <v>0</v>
      </c>
    </row>
  </sheetData>
  <mergeCells count="25">
    <mergeCell ref="G2:G3"/>
    <mergeCell ref="G4:G5"/>
    <mergeCell ref="G6:G7"/>
    <mergeCell ref="G8:G9"/>
    <mergeCell ref="C8:C9"/>
    <mergeCell ref="E2:E3"/>
    <mergeCell ref="E4:E5"/>
    <mergeCell ref="E6:E7"/>
    <mergeCell ref="E8:E9"/>
    <mergeCell ref="A1:G1"/>
    <mergeCell ref="A2:B3"/>
    <mergeCell ref="A4:B5"/>
    <mergeCell ref="A6:B7"/>
    <mergeCell ref="A8:B9"/>
    <mergeCell ref="D2:D3"/>
    <mergeCell ref="D4:D5"/>
    <mergeCell ref="D6:D7"/>
    <mergeCell ref="D8:D9"/>
    <mergeCell ref="F2:F3"/>
    <mergeCell ref="F4:F5"/>
    <mergeCell ref="F6:F7"/>
    <mergeCell ref="F8:F9"/>
    <mergeCell ref="C2:C3"/>
    <mergeCell ref="C4:C5"/>
    <mergeCell ref="C6:C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17"/>
  <sheetViews>
    <sheetView workbookViewId="0">
      <selection sqref="A1:L1"/>
    </sheetView>
  </sheetViews>
  <sheetFormatPr defaultColWidth="12.140625" defaultRowHeight="15" customHeight="1" x14ac:dyDescent="0.25"/>
  <cols>
    <col min="1" max="1" width="4.28515625" customWidth="1"/>
    <col min="2" max="2" width="7.85546875" customWidth="1"/>
    <col min="3" max="3" width="17.140625" customWidth="1"/>
    <col min="4" max="4" width="39.7109375" customWidth="1"/>
    <col min="5" max="5" width="11.42578125" customWidth="1"/>
    <col min="6" max="6" width="6.7109375" customWidth="1"/>
    <col min="7" max="8" width="11.42578125" customWidth="1"/>
    <col min="9" max="9" width="7" customWidth="1"/>
    <col min="10" max="10" width="9.7109375" customWidth="1"/>
    <col min="11" max="11" width="21.140625" customWidth="1"/>
    <col min="12" max="12" width="20.42578125" customWidth="1"/>
    <col min="230" max="231" width="12.140625" hidden="1"/>
    <col min="251" max="254" width="12.140625" hidden="1"/>
  </cols>
  <sheetData>
    <row r="1" spans="1:253" ht="54.75" customHeight="1" x14ac:dyDescent="0.25">
      <c r="A1" s="95" t="s">
        <v>703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253" x14ac:dyDescent="0.25">
      <c r="A2" s="96" t="s">
        <v>1</v>
      </c>
      <c r="B2" s="97"/>
      <c r="C2" s="97"/>
      <c r="D2" s="103" t="str">
        <f>'Stavební rozpočet'!D2</f>
        <v>Oprava rozvodů kanalizace, vody a plynu Slunečná 1573/8 Havířov</v>
      </c>
      <c r="E2" s="97" t="s">
        <v>2</v>
      </c>
      <c r="F2" s="97"/>
      <c r="G2" s="106" t="str">
        <f>'Stavební rozpočet'!H2</f>
        <v xml:space="preserve"> </v>
      </c>
      <c r="H2" s="106" t="s">
        <v>3</v>
      </c>
      <c r="I2" s="106" t="str">
        <f>'Stavební rozpočet'!J2</f>
        <v>Společenstní vlastníků Slunečná 1573 Havířov Podle</v>
      </c>
      <c r="J2" s="97"/>
      <c r="K2" s="97"/>
      <c r="L2" s="107"/>
    </row>
    <row r="3" spans="1:253" ht="15" customHeight="1" x14ac:dyDescent="0.25">
      <c r="A3" s="98"/>
      <c r="B3" s="99"/>
      <c r="C3" s="99"/>
      <c r="D3" s="104"/>
      <c r="E3" s="99"/>
      <c r="F3" s="99"/>
      <c r="G3" s="99"/>
      <c r="H3" s="99"/>
      <c r="I3" s="99"/>
      <c r="J3" s="99"/>
      <c r="K3" s="99"/>
      <c r="L3" s="108"/>
    </row>
    <row r="4" spans="1:253" x14ac:dyDescent="0.25">
      <c r="A4" s="100" t="s">
        <v>4</v>
      </c>
      <c r="B4" s="99"/>
      <c r="C4" s="99"/>
      <c r="D4" s="105" t="str">
        <f>'Stavební rozpočet'!D4</f>
        <v xml:space="preserve"> </v>
      </c>
      <c r="E4" s="99" t="s">
        <v>5</v>
      </c>
      <c r="F4" s="99"/>
      <c r="G4" s="105" t="str">
        <f>'Stavební rozpočet'!H4</f>
        <v xml:space="preserve"> </v>
      </c>
      <c r="H4" s="105" t="s">
        <v>6</v>
      </c>
      <c r="I4" s="105" t="str">
        <f>'Stavební rozpočet'!J4</f>
        <v>ETRACOM s.r.o.</v>
      </c>
      <c r="J4" s="99"/>
      <c r="K4" s="99"/>
      <c r="L4" s="108"/>
    </row>
    <row r="5" spans="1:253" ht="15" customHeight="1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108"/>
    </row>
    <row r="6" spans="1:253" x14ac:dyDescent="0.25">
      <c r="A6" s="100" t="s">
        <v>7</v>
      </c>
      <c r="B6" s="99"/>
      <c r="C6" s="99"/>
      <c r="D6" s="105" t="str">
        <f>'Stavební rozpočet'!D6</f>
        <v xml:space="preserve"> </v>
      </c>
      <c r="E6" s="99" t="s">
        <v>8</v>
      </c>
      <c r="F6" s="99"/>
      <c r="G6" s="105" t="str">
        <f>'Stavební rozpočet'!H6</f>
        <v xml:space="preserve"> </v>
      </c>
      <c r="H6" s="105" t="s">
        <v>9</v>
      </c>
      <c r="I6" s="105" t="str">
        <f>'Stavební rozpočet'!J6</f>
        <v> </v>
      </c>
      <c r="J6" s="99"/>
      <c r="K6" s="99"/>
      <c r="L6" s="108"/>
    </row>
    <row r="7" spans="1:253" ht="15" customHeight="1" x14ac:dyDescent="0.25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108"/>
    </row>
    <row r="8" spans="1:253" x14ac:dyDescent="0.25">
      <c r="A8" s="100" t="s">
        <v>10</v>
      </c>
      <c r="B8" s="99"/>
      <c r="C8" s="99"/>
      <c r="D8" s="105" t="str">
        <f>'Stavební rozpočet'!D8</f>
        <v xml:space="preserve"> </v>
      </c>
      <c r="E8" s="99" t="s">
        <v>11</v>
      </c>
      <c r="F8" s="99"/>
      <c r="G8" s="105" t="str">
        <f>'Stavební rozpočet'!H8</f>
        <v>13.06.2024</v>
      </c>
      <c r="H8" s="105" t="s">
        <v>12</v>
      </c>
      <c r="I8" s="105" t="str">
        <f>'Stavební rozpočet'!J8</f>
        <v>Ing. Radim Kyjonka</v>
      </c>
      <c r="J8" s="99"/>
      <c r="K8" s="99"/>
      <c r="L8" s="108"/>
    </row>
    <row r="9" spans="1:253" x14ac:dyDescent="0.25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9"/>
    </row>
    <row r="10" spans="1:253" x14ac:dyDescent="0.25">
      <c r="A10" s="7" t="s">
        <v>13</v>
      </c>
      <c r="B10" s="7" t="s">
        <v>14</v>
      </c>
      <c r="C10" s="7" t="s">
        <v>15</v>
      </c>
      <c r="D10" s="92" t="s">
        <v>16</v>
      </c>
      <c r="E10" s="93"/>
      <c r="F10" s="93"/>
      <c r="G10" s="93"/>
      <c r="H10" s="94"/>
      <c r="I10" s="7" t="s">
        <v>17</v>
      </c>
      <c r="J10" s="7" t="s">
        <v>18</v>
      </c>
      <c r="K10" s="7" t="s">
        <v>19</v>
      </c>
      <c r="L10" s="8" t="s">
        <v>20</v>
      </c>
      <c r="HV10" s="9" t="s">
        <v>21</v>
      </c>
      <c r="HW10" s="9" t="s">
        <v>22</v>
      </c>
    </row>
    <row r="11" spans="1:253" x14ac:dyDescent="0.25">
      <c r="A11" s="10" t="s">
        <v>23</v>
      </c>
      <c r="B11" s="11" t="s">
        <v>24</v>
      </c>
      <c r="C11" s="11" t="s">
        <v>25</v>
      </c>
      <c r="D11" s="110" t="s">
        <v>26</v>
      </c>
      <c r="E11" s="111"/>
      <c r="F11" s="111"/>
      <c r="G11" s="111"/>
      <c r="H11" s="111"/>
      <c r="I11" s="11" t="s">
        <v>23</v>
      </c>
      <c r="J11" s="12" t="s">
        <v>23</v>
      </c>
      <c r="K11" s="12" t="s">
        <v>23</v>
      </c>
      <c r="L11" s="13">
        <f>L12</f>
        <v>0</v>
      </c>
    </row>
    <row r="12" spans="1:253" x14ac:dyDescent="0.25">
      <c r="A12" s="14" t="s">
        <v>23</v>
      </c>
      <c r="B12" s="15" t="s">
        <v>24</v>
      </c>
      <c r="C12" s="15" t="s">
        <v>27</v>
      </c>
      <c r="D12" s="112" t="s">
        <v>28</v>
      </c>
      <c r="E12" s="113"/>
      <c r="F12" s="113"/>
      <c r="G12" s="113"/>
      <c r="H12" s="113"/>
      <c r="I12" s="15" t="s">
        <v>23</v>
      </c>
      <c r="J12" s="16" t="s">
        <v>23</v>
      </c>
      <c r="K12" s="16" t="s">
        <v>23</v>
      </c>
      <c r="L12" s="17">
        <f>SUM(L13:L17)</f>
        <v>0</v>
      </c>
    </row>
    <row r="13" spans="1:253" x14ac:dyDescent="0.25">
      <c r="A13" s="18">
        <v>1</v>
      </c>
      <c r="B13" s="2" t="s">
        <v>24</v>
      </c>
      <c r="C13" s="2" t="s">
        <v>29</v>
      </c>
      <c r="D13" s="105" t="s">
        <v>30</v>
      </c>
      <c r="E13" s="99"/>
      <c r="F13" s="99"/>
      <c r="G13" s="99"/>
      <c r="H13" s="99"/>
      <c r="I13" s="2" t="s">
        <v>31</v>
      </c>
      <c r="J13" s="19">
        <v>15</v>
      </c>
      <c r="K13" s="19"/>
      <c r="L13" s="20">
        <f>IR13*J13+IS13*J13</f>
        <v>0</v>
      </c>
      <c r="HV13" s="2" t="s">
        <v>27</v>
      </c>
      <c r="HW13" s="2" t="s">
        <v>32</v>
      </c>
      <c r="IR13" s="21">
        <f>K13*0.625</f>
        <v>0</v>
      </c>
      <c r="IS13" s="21">
        <f>K13*(1-0.625)</f>
        <v>0</v>
      </c>
    </row>
    <row r="14" spans="1:253" x14ac:dyDescent="0.25">
      <c r="A14" s="18">
        <v>2</v>
      </c>
      <c r="B14" s="2" t="s">
        <v>24</v>
      </c>
      <c r="C14" s="2" t="s">
        <v>33</v>
      </c>
      <c r="D14" s="105" t="s">
        <v>34</v>
      </c>
      <c r="E14" s="99"/>
      <c r="F14" s="99"/>
      <c r="G14" s="99"/>
      <c r="H14" s="99"/>
      <c r="I14" s="2" t="s">
        <v>35</v>
      </c>
      <c r="J14" s="19">
        <v>1</v>
      </c>
      <c r="K14" s="19"/>
      <c r="L14" s="20">
        <f>IR14*J14+IS14*J14</f>
        <v>0</v>
      </c>
      <c r="HV14" s="2" t="s">
        <v>27</v>
      </c>
      <c r="HW14" s="2" t="s">
        <v>32</v>
      </c>
      <c r="IR14" s="21">
        <f>K14*0</f>
        <v>0</v>
      </c>
      <c r="IS14" s="21">
        <f>K14*(1-0)</f>
        <v>0</v>
      </c>
    </row>
    <row r="15" spans="1:253" x14ac:dyDescent="0.25">
      <c r="A15" s="18">
        <v>3</v>
      </c>
      <c r="B15" s="2" t="s">
        <v>24</v>
      </c>
      <c r="C15" s="2" t="s">
        <v>36</v>
      </c>
      <c r="D15" s="105" t="s">
        <v>37</v>
      </c>
      <c r="E15" s="99"/>
      <c r="F15" s="99"/>
      <c r="G15" s="99"/>
      <c r="H15" s="99"/>
      <c r="I15" s="2" t="s">
        <v>35</v>
      </c>
      <c r="J15" s="19">
        <v>1</v>
      </c>
      <c r="K15" s="19"/>
      <c r="L15" s="20">
        <f>IR15*J15+IS15*J15</f>
        <v>0</v>
      </c>
      <c r="HV15" s="2" t="s">
        <v>27</v>
      </c>
      <c r="HW15" s="2" t="s">
        <v>32</v>
      </c>
      <c r="IR15" s="21">
        <f>K15*0.865099352</f>
        <v>0</v>
      </c>
      <c r="IS15" s="21">
        <f>K15*(1-0.865099352)</f>
        <v>0</v>
      </c>
    </row>
    <row r="16" spans="1:253" x14ac:dyDescent="0.25">
      <c r="A16" s="18">
        <v>4</v>
      </c>
      <c r="B16" s="2" t="s">
        <v>24</v>
      </c>
      <c r="C16" s="2" t="s">
        <v>38</v>
      </c>
      <c r="D16" s="105" t="s">
        <v>39</v>
      </c>
      <c r="E16" s="99"/>
      <c r="F16" s="99"/>
      <c r="G16" s="99"/>
      <c r="H16" s="99"/>
      <c r="I16" s="2" t="s">
        <v>40</v>
      </c>
      <c r="J16" s="19">
        <v>1</v>
      </c>
      <c r="K16" s="19"/>
      <c r="L16" s="20">
        <f>IR16*J16+IS16*J16</f>
        <v>0</v>
      </c>
      <c r="HV16" s="2" t="s">
        <v>27</v>
      </c>
      <c r="HW16" s="2" t="s">
        <v>32</v>
      </c>
      <c r="IR16" s="21">
        <f>K16*0.865097778</f>
        <v>0</v>
      </c>
      <c r="IS16" s="21">
        <f>K16*(1-0.865097778)</f>
        <v>0</v>
      </c>
    </row>
    <row r="17" spans="1:253" x14ac:dyDescent="0.25">
      <c r="A17" s="18">
        <v>5</v>
      </c>
      <c r="B17" s="2" t="s">
        <v>24</v>
      </c>
      <c r="C17" s="2" t="s">
        <v>41</v>
      </c>
      <c r="D17" s="105" t="s">
        <v>42</v>
      </c>
      <c r="E17" s="99"/>
      <c r="F17" s="99"/>
      <c r="G17" s="99"/>
      <c r="H17" s="99"/>
      <c r="I17" s="2" t="s">
        <v>43</v>
      </c>
      <c r="J17" s="19">
        <v>961</v>
      </c>
      <c r="K17" s="19"/>
      <c r="L17" s="20">
        <f>IR17*J17+IS17*J17</f>
        <v>0</v>
      </c>
      <c r="HV17" s="2" t="s">
        <v>27</v>
      </c>
      <c r="HW17" s="2" t="s">
        <v>32</v>
      </c>
      <c r="IR17" s="21">
        <f>K17*0</f>
        <v>0</v>
      </c>
      <c r="IS17" s="21">
        <f>K17*(1-0)</f>
        <v>0</v>
      </c>
    </row>
    <row r="18" spans="1:253" x14ac:dyDescent="0.25">
      <c r="A18" s="14" t="s">
        <v>23</v>
      </c>
      <c r="B18" s="15" t="s">
        <v>44</v>
      </c>
      <c r="C18" s="15" t="s">
        <v>25</v>
      </c>
      <c r="D18" s="112" t="s">
        <v>45</v>
      </c>
      <c r="E18" s="113"/>
      <c r="F18" s="113"/>
      <c r="G18" s="113"/>
      <c r="H18" s="113"/>
      <c r="I18" s="15" t="s">
        <v>23</v>
      </c>
      <c r="J18" s="16" t="s">
        <v>23</v>
      </c>
      <c r="K18" s="16"/>
      <c r="L18" s="17">
        <f>L19+L22</f>
        <v>0</v>
      </c>
    </row>
    <row r="19" spans="1:253" x14ac:dyDescent="0.25">
      <c r="A19" s="14" t="s">
        <v>23</v>
      </c>
      <c r="B19" s="15" t="s">
        <v>44</v>
      </c>
      <c r="C19" s="15" t="s">
        <v>46</v>
      </c>
      <c r="D19" s="112" t="s">
        <v>47</v>
      </c>
      <c r="E19" s="113"/>
      <c r="F19" s="113"/>
      <c r="G19" s="113"/>
      <c r="H19" s="113"/>
      <c r="I19" s="15" t="s">
        <v>23</v>
      </c>
      <c r="J19" s="16" t="s">
        <v>23</v>
      </c>
      <c r="K19" s="16"/>
      <c r="L19" s="17">
        <f>SUM(L20:L21)</f>
        <v>0</v>
      </c>
    </row>
    <row r="20" spans="1:253" x14ac:dyDescent="0.25">
      <c r="A20" s="18">
        <v>6</v>
      </c>
      <c r="B20" s="2" t="s">
        <v>44</v>
      </c>
      <c r="C20" s="2" t="s">
        <v>48</v>
      </c>
      <c r="D20" s="105" t="s">
        <v>49</v>
      </c>
      <c r="E20" s="99"/>
      <c r="F20" s="99"/>
      <c r="G20" s="99"/>
      <c r="H20" s="99"/>
      <c r="I20" s="2" t="s">
        <v>35</v>
      </c>
      <c r="J20" s="19">
        <v>12</v>
      </c>
      <c r="K20" s="19"/>
      <c r="L20" s="20">
        <f>IR20*J20+IS20*J20</f>
        <v>0</v>
      </c>
      <c r="HV20" s="2" t="s">
        <v>46</v>
      </c>
      <c r="HW20" s="2" t="s">
        <v>32</v>
      </c>
      <c r="IR20" s="21">
        <f>K20*0.832962963</f>
        <v>0</v>
      </c>
      <c r="IS20" s="21">
        <f>K20*(1-0.832962963)</f>
        <v>0</v>
      </c>
    </row>
    <row r="21" spans="1:253" x14ac:dyDescent="0.25">
      <c r="A21" s="18">
        <v>7</v>
      </c>
      <c r="B21" s="2" t="s">
        <v>44</v>
      </c>
      <c r="C21" s="2" t="s">
        <v>50</v>
      </c>
      <c r="D21" s="105" t="s">
        <v>51</v>
      </c>
      <c r="E21" s="99"/>
      <c r="F21" s="99"/>
      <c r="G21" s="99"/>
      <c r="H21" s="99"/>
      <c r="I21" s="2" t="s">
        <v>43</v>
      </c>
      <c r="J21" s="19">
        <v>238</v>
      </c>
      <c r="K21" s="19"/>
      <c r="L21" s="20">
        <f>IR21*J21+IS21*J21</f>
        <v>0</v>
      </c>
      <c r="HV21" s="2" t="s">
        <v>46</v>
      </c>
      <c r="HW21" s="2" t="s">
        <v>32</v>
      </c>
      <c r="IR21" s="21">
        <f>K21*0</f>
        <v>0</v>
      </c>
      <c r="IS21" s="21">
        <f>K21*(1-0)</f>
        <v>0</v>
      </c>
    </row>
    <row r="22" spans="1:253" x14ac:dyDescent="0.25">
      <c r="A22" s="14" t="s">
        <v>23</v>
      </c>
      <c r="B22" s="15" t="s">
        <v>44</v>
      </c>
      <c r="C22" s="15" t="s">
        <v>27</v>
      </c>
      <c r="D22" s="112" t="s">
        <v>28</v>
      </c>
      <c r="E22" s="113"/>
      <c r="F22" s="113"/>
      <c r="G22" s="113"/>
      <c r="H22" s="113"/>
      <c r="I22" s="15" t="s">
        <v>23</v>
      </c>
      <c r="J22" s="16" t="s">
        <v>23</v>
      </c>
      <c r="K22" s="16"/>
      <c r="L22" s="17">
        <f>SUM(L23:L33)</f>
        <v>0</v>
      </c>
    </row>
    <row r="23" spans="1:253" x14ac:dyDescent="0.25">
      <c r="A23" s="18">
        <v>8</v>
      </c>
      <c r="B23" s="2" t="s">
        <v>44</v>
      </c>
      <c r="C23" s="2" t="s">
        <v>52</v>
      </c>
      <c r="D23" s="105" t="s">
        <v>53</v>
      </c>
      <c r="E23" s="99"/>
      <c r="F23" s="99"/>
      <c r="G23" s="99"/>
      <c r="H23" s="99"/>
      <c r="I23" s="2" t="s">
        <v>35</v>
      </c>
      <c r="J23" s="19">
        <v>3</v>
      </c>
      <c r="K23" s="19"/>
      <c r="L23" s="20">
        <f t="shared" ref="L23:L33" si="0">IR23*J23+IS23*J23</f>
        <v>0</v>
      </c>
      <c r="HV23" s="2" t="s">
        <v>27</v>
      </c>
      <c r="HW23" s="2" t="s">
        <v>32</v>
      </c>
      <c r="IR23" s="21">
        <f>K23*0.809885787</f>
        <v>0</v>
      </c>
      <c r="IS23" s="21">
        <f>K23*(1-0.809885787)</f>
        <v>0</v>
      </c>
    </row>
    <row r="24" spans="1:253" x14ac:dyDescent="0.25">
      <c r="A24" s="18">
        <v>9</v>
      </c>
      <c r="B24" s="2" t="s">
        <v>44</v>
      </c>
      <c r="C24" s="2" t="s">
        <v>54</v>
      </c>
      <c r="D24" s="105" t="s">
        <v>55</v>
      </c>
      <c r="E24" s="99"/>
      <c r="F24" s="99"/>
      <c r="G24" s="99"/>
      <c r="H24" s="99"/>
      <c r="I24" s="2" t="s">
        <v>31</v>
      </c>
      <c r="J24" s="19">
        <v>45</v>
      </c>
      <c r="K24" s="19"/>
      <c r="L24" s="20">
        <f t="shared" si="0"/>
        <v>0</v>
      </c>
      <c r="HV24" s="2" t="s">
        <v>27</v>
      </c>
      <c r="HW24" s="2" t="s">
        <v>32</v>
      </c>
      <c r="IR24" s="21">
        <f>K24*0</f>
        <v>0</v>
      </c>
      <c r="IS24" s="21">
        <f>K24*(1-0)</f>
        <v>0</v>
      </c>
    </row>
    <row r="25" spans="1:253" x14ac:dyDescent="0.25">
      <c r="A25" s="18">
        <v>10</v>
      </c>
      <c r="B25" s="2" t="s">
        <v>44</v>
      </c>
      <c r="C25" s="2" t="s">
        <v>56</v>
      </c>
      <c r="D25" s="105" t="s">
        <v>57</v>
      </c>
      <c r="E25" s="99"/>
      <c r="F25" s="99"/>
      <c r="G25" s="99"/>
      <c r="H25" s="99"/>
      <c r="I25" s="2" t="s">
        <v>31</v>
      </c>
      <c r="J25" s="19">
        <v>45</v>
      </c>
      <c r="K25" s="19"/>
      <c r="L25" s="20">
        <f t="shared" si="0"/>
        <v>0</v>
      </c>
      <c r="HV25" s="2" t="s">
        <v>27</v>
      </c>
      <c r="HW25" s="2" t="s">
        <v>32</v>
      </c>
      <c r="IR25" s="21">
        <f>K25*0.431783977</f>
        <v>0</v>
      </c>
      <c r="IS25" s="21">
        <f>K25*(1-0.431783977)</f>
        <v>0</v>
      </c>
    </row>
    <row r="26" spans="1:253" x14ac:dyDescent="0.25">
      <c r="A26" s="18">
        <v>11</v>
      </c>
      <c r="B26" s="2" t="s">
        <v>44</v>
      </c>
      <c r="C26" s="2" t="s">
        <v>58</v>
      </c>
      <c r="D26" s="105" t="s">
        <v>59</v>
      </c>
      <c r="E26" s="99"/>
      <c r="F26" s="99"/>
      <c r="G26" s="99"/>
      <c r="H26" s="99"/>
      <c r="I26" s="2" t="s">
        <v>35</v>
      </c>
      <c r="J26" s="19">
        <v>24</v>
      </c>
      <c r="K26" s="19"/>
      <c r="L26" s="20">
        <f t="shared" si="0"/>
        <v>0</v>
      </c>
      <c r="HV26" s="2" t="s">
        <v>27</v>
      </c>
      <c r="HW26" s="2" t="s">
        <v>32</v>
      </c>
      <c r="IR26" s="21">
        <f>K26*0.24925</f>
        <v>0</v>
      </c>
      <c r="IS26" s="21">
        <f>K26*(1-0.24925)</f>
        <v>0</v>
      </c>
    </row>
    <row r="27" spans="1:253" x14ac:dyDescent="0.25">
      <c r="A27" s="18">
        <v>12</v>
      </c>
      <c r="B27" s="2" t="s">
        <v>44</v>
      </c>
      <c r="C27" s="2" t="s">
        <v>60</v>
      </c>
      <c r="D27" s="105" t="s">
        <v>61</v>
      </c>
      <c r="E27" s="99"/>
      <c r="F27" s="99"/>
      <c r="G27" s="99"/>
      <c r="H27" s="99"/>
      <c r="I27" s="2" t="s">
        <v>35</v>
      </c>
      <c r="J27" s="19">
        <v>3</v>
      </c>
      <c r="K27" s="19"/>
      <c r="L27" s="20">
        <f t="shared" si="0"/>
        <v>0</v>
      </c>
      <c r="HV27" s="2" t="s">
        <v>27</v>
      </c>
      <c r="HW27" s="2" t="s">
        <v>32</v>
      </c>
      <c r="IR27" s="21">
        <f>K27*0.225160643</f>
        <v>0</v>
      </c>
      <c r="IS27" s="21">
        <f>K27*(1-0.225160643)</f>
        <v>0</v>
      </c>
    </row>
    <row r="28" spans="1:253" x14ac:dyDescent="0.25">
      <c r="A28" s="18">
        <v>13</v>
      </c>
      <c r="B28" s="2" t="s">
        <v>44</v>
      </c>
      <c r="C28" s="2" t="s">
        <v>62</v>
      </c>
      <c r="D28" s="105" t="s">
        <v>63</v>
      </c>
      <c r="E28" s="99"/>
      <c r="F28" s="99"/>
      <c r="G28" s="99"/>
      <c r="H28" s="99"/>
      <c r="I28" s="2" t="s">
        <v>31</v>
      </c>
      <c r="J28" s="19">
        <v>6</v>
      </c>
      <c r="K28" s="19"/>
      <c r="L28" s="20">
        <f t="shared" si="0"/>
        <v>0</v>
      </c>
      <c r="HV28" s="2" t="s">
        <v>27</v>
      </c>
      <c r="HW28" s="2" t="s">
        <v>32</v>
      </c>
      <c r="IR28" s="21">
        <f>K28*0.317436677</f>
        <v>0</v>
      </c>
      <c r="IS28" s="21">
        <f>K28*(1-0.317436677)</f>
        <v>0</v>
      </c>
    </row>
    <row r="29" spans="1:253" x14ac:dyDescent="0.25">
      <c r="A29" s="18">
        <v>14</v>
      </c>
      <c r="B29" s="2" t="s">
        <v>44</v>
      </c>
      <c r="C29" s="2" t="s">
        <v>64</v>
      </c>
      <c r="D29" s="105" t="s">
        <v>65</v>
      </c>
      <c r="E29" s="99"/>
      <c r="F29" s="99"/>
      <c r="G29" s="99"/>
      <c r="H29" s="99"/>
      <c r="I29" s="2" t="s">
        <v>35</v>
      </c>
      <c r="J29" s="19">
        <v>3</v>
      </c>
      <c r="K29" s="19"/>
      <c r="L29" s="20">
        <f t="shared" si="0"/>
        <v>0</v>
      </c>
      <c r="HV29" s="2" t="s">
        <v>27</v>
      </c>
      <c r="HW29" s="2" t="s">
        <v>32</v>
      </c>
      <c r="IR29" s="21">
        <f>K29*0.609469212</f>
        <v>0</v>
      </c>
      <c r="IS29" s="21">
        <f>K29*(1-0.609469212)</f>
        <v>0</v>
      </c>
    </row>
    <row r="30" spans="1:253" x14ac:dyDescent="0.25">
      <c r="A30" s="18">
        <v>15</v>
      </c>
      <c r="B30" s="2" t="s">
        <v>44</v>
      </c>
      <c r="C30" s="2" t="s">
        <v>66</v>
      </c>
      <c r="D30" s="105" t="s">
        <v>67</v>
      </c>
      <c r="E30" s="99"/>
      <c r="F30" s="99"/>
      <c r="G30" s="99"/>
      <c r="H30" s="99"/>
      <c r="I30" s="2" t="s">
        <v>35</v>
      </c>
      <c r="J30" s="19">
        <v>12</v>
      </c>
      <c r="K30" s="19"/>
      <c r="L30" s="20">
        <f t="shared" si="0"/>
        <v>0</v>
      </c>
      <c r="HV30" s="2" t="s">
        <v>27</v>
      </c>
      <c r="HW30" s="2" t="s">
        <v>32</v>
      </c>
      <c r="IR30" s="21">
        <f>K30*0</f>
        <v>0</v>
      </c>
      <c r="IS30" s="21">
        <f>K30*(1-0)</f>
        <v>0</v>
      </c>
    </row>
    <row r="31" spans="1:253" x14ac:dyDescent="0.25">
      <c r="A31" s="18">
        <v>16</v>
      </c>
      <c r="B31" s="2" t="s">
        <v>44</v>
      </c>
      <c r="C31" s="2" t="s">
        <v>68</v>
      </c>
      <c r="D31" s="105" t="s">
        <v>69</v>
      </c>
      <c r="E31" s="99"/>
      <c r="F31" s="99"/>
      <c r="G31" s="99"/>
      <c r="H31" s="99"/>
      <c r="I31" s="2" t="s">
        <v>31</v>
      </c>
      <c r="J31" s="19">
        <v>51</v>
      </c>
      <c r="K31" s="19"/>
      <c r="L31" s="20">
        <f t="shared" si="0"/>
        <v>0</v>
      </c>
      <c r="HV31" s="2" t="s">
        <v>27</v>
      </c>
      <c r="HW31" s="2" t="s">
        <v>32</v>
      </c>
      <c r="IR31" s="21">
        <f>K31*0.029225352</f>
        <v>0</v>
      </c>
      <c r="IS31" s="21">
        <f>K31*(1-0.029225352)</f>
        <v>0</v>
      </c>
    </row>
    <row r="32" spans="1:253" x14ac:dyDescent="0.25">
      <c r="A32" s="18">
        <v>17</v>
      </c>
      <c r="B32" s="2" t="s">
        <v>44</v>
      </c>
      <c r="C32" s="2" t="s">
        <v>70</v>
      </c>
      <c r="D32" s="105" t="s">
        <v>71</v>
      </c>
      <c r="E32" s="99"/>
      <c r="F32" s="99"/>
      <c r="G32" s="99"/>
      <c r="H32" s="99"/>
      <c r="I32" s="2" t="s">
        <v>72</v>
      </c>
      <c r="J32" s="19">
        <v>0.1</v>
      </c>
      <c r="K32" s="19"/>
      <c r="L32" s="20">
        <f t="shared" si="0"/>
        <v>0</v>
      </c>
      <c r="HV32" s="2" t="s">
        <v>27</v>
      </c>
      <c r="HW32" s="2" t="s">
        <v>32</v>
      </c>
      <c r="IR32" s="21">
        <f>K32*0</f>
        <v>0</v>
      </c>
      <c r="IS32" s="21">
        <f>K32*(1-0)</f>
        <v>0</v>
      </c>
    </row>
    <row r="33" spans="1:253" x14ac:dyDescent="0.25">
      <c r="A33" s="18">
        <v>18</v>
      </c>
      <c r="B33" s="2" t="s">
        <v>44</v>
      </c>
      <c r="C33" s="2" t="s">
        <v>41</v>
      </c>
      <c r="D33" s="105" t="s">
        <v>42</v>
      </c>
      <c r="E33" s="99"/>
      <c r="F33" s="99"/>
      <c r="G33" s="99"/>
      <c r="H33" s="99"/>
      <c r="I33" s="2" t="s">
        <v>43</v>
      </c>
      <c r="J33" s="19">
        <v>645</v>
      </c>
      <c r="K33" s="19"/>
      <c r="L33" s="20">
        <f t="shared" si="0"/>
        <v>0</v>
      </c>
      <c r="HV33" s="2" t="s">
        <v>27</v>
      </c>
      <c r="HW33" s="2" t="s">
        <v>32</v>
      </c>
      <c r="IR33" s="21">
        <f>K33*0</f>
        <v>0</v>
      </c>
      <c r="IS33" s="21">
        <f>K33*(1-0)</f>
        <v>0</v>
      </c>
    </row>
    <row r="34" spans="1:253" x14ac:dyDescent="0.25">
      <c r="A34" s="14" t="s">
        <v>23</v>
      </c>
      <c r="B34" s="15" t="s">
        <v>73</v>
      </c>
      <c r="C34" s="15" t="s">
        <v>25</v>
      </c>
      <c r="D34" s="112" t="s">
        <v>74</v>
      </c>
      <c r="E34" s="113"/>
      <c r="F34" s="113"/>
      <c r="G34" s="113"/>
      <c r="H34" s="113"/>
      <c r="I34" s="15" t="s">
        <v>23</v>
      </c>
      <c r="J34" s="16" t="s">
        <v>23</v>
      </c>
      <c r="K34" s="16"/>
      <c r="L34" s="17">
        <f>L35</f>
        <v>0</v>
      </c>
    </row>
    <row r="35" spans="1:253" x14ac:dyDescent="0.25">
      <c r="A35" s="14" t="s">
        <v>23</v>
      </c>
      <c r="B35" s="15" t="s">
        <v>73</v>
      </c>
      <c r="C35" s="15" t="s">
        <v>75</v>
      </c>
      <c r="D35" s="112" t="s">
        <v>76</v>
      </c>
      <c r="E35" s="113"/>
      <c r="F35" s="113"/>
      <c r="G35" s="113"/>
      <c r="H35" s="113"/>
      <c r="I35" s="15" t="s">
        <v>23</v>
      </c>
      <c r="J35" s="16" t="s">
        <v>23</v>
      </c>
      <c r="K35" s="16"/>
      <c r="L35" s="17">
        <f>SUM(L36:L72)</f>
        <v>0</v>
      </c>
    </row>
    <row r="36" spans="1:253" x14ac:dyDescent="0.25">
      <c r="A36" s="18">
        <v>19</v>
      </c>
      <c r="B36" s="2" t="s">
        <v>73</v>
      </c>
      <c r="C36" s="2" t="s">
        <v>77</v>
      </c>
      <c r="D36" s="105" t="s">
        <v>78</v>
      </c>
      <c r="E36" s="99"/>
      <c r="F36" s="99"/>
      <c r="G36" s="99"/>
      <c r="H36" s="99"/>
      <c r="I36" s="2" t="s">
        <v>35</v>
      </c>
      <c r="J36" s="19">
        <v>1</v>
      </c>
      <c r="K36" s="19"/>
      <c r="L36" s="20">
        <f t="shared" ref="L36:L72" si="1">IR36*J36+IS36*J36</f>
        <v>0</v>
      </c>
      <c r="HV36" s="2" t="s">
        <v>75</v>
      </c>
      <c r="HW36" s="2" t="s">
        <v>32</v>
      </c>
      <c r="IR36" s="21">
        <f>K36*0.385389102</f>
        <v>0</v>
      </c>
      <c r="IS36" s="21">
        <f>K36*(1-0.385389102)</f>
        <v>0</v>
      </c>
    </row>
    <row r="37" spans="1:253" x14ac:dyDescent="0.25">
      <c r="A37" s="18">
        <v>20</v>
      </c>
      <c r="B37" s="2" t="s">
        <v>73</v>
      </c>
      <c r="C37" s="2" t="s">
        <v>79</v>
      </c>
      <c r="D37" s="105" t="s">
        <v>80</v>
      </c>
      <c r="E37" s="99"/>
      <c r="F37" s="99"/>
      <c r="G37" s="99"/>
      <c r="H37" s="99"/>
      <c r="I37" s="2" t="s">
        <v>31</v>
      </c>
      <c r="J37" s="19">
        <v>58</v>
      </c>
      <c r="K37" s="19"/>
      <c r="L37" s="20">
        <f t="shared" si="1"/>
        <v>0</v>
      </c>
      <c r="HV37" s="2" t="s">
        <v>75</v>
      </c>
      <c r="HW37" s="2" t="s">
        <v>32</v>
      </c>
      <c r="IR37" s="21">
        <f>K37*0</f>
        <v>0</v>
      </c>
      <c r="IS37" s="21">
        <f>K37*(1-0)</f>
        <v>0</v>
      </c>
    </row>
    <row r="38" spans="1:253" x14ac:dyDescent="0.25">
      <c r="A38" s="18">
        <v>21</v>
      </c>
      <c r="B38" s="2" t="s">
        <v>73</v>
      </c>
      <c r="C38" s="2" t="s">
        <v>81</v>
      </c>
      <c r="D38" s="105" t="s">
        <v>82</v>
      </c>
      <c r="E38" s="99"/>
      <c r="F38" s="99"/>
      <c r="G38" s="99"/>
      <c r="H38" s="99"/>
      <c r="I38" s="2" t="s">
        <v>31</v>
      </c>
      <c r="J38" s="19">
        <v>94</v>
      </c>
      <c r="K38" s="19"/>
      <c r="L38" s="20">
        <f t="shared" si="1"/>
        <v>0</v>
      </c>
      <c r="HV38" s="2" t="s">
        <v>75</v>
      </c>
      <c r="HW38" s="2" t="s">
        <v>32</v>
      </c>
      <c r="IR38" s="21">
        <f>K38*0</f>
        <v>0</v>
      </c>
      <c r="IS38" s="21">
        <f>K38*(1-0)</f>
        <v>0</v>
      </c>
    </row>
    <row r="39" spans="1:253" x14ac:dyDescent="0.25">
      <c r="A39" s="18">
        <v>22</v>
      </c>
      <c r="B39" s="2" t="s">
        <v>73</v>
      </c>
      <c r="C39" s="2" t="s">
        <v>83</v>
      </c>
      <c r="D39" s="105" t="s">
        <v>84</v>
      </c>
      <c r="E39" s="99"/>
      <c r="F39" s="99"/>
      <c r="G39" s="99"/>
      <c r="H39" s="99"/>
      <c r="I39" s="2" t="s">
        <v>31</v>
      </c>
      <c r="J39" s="19">
        <v>46</v>
      </c>
      <c r="K39" s="19"/>
      <c r="L39" s="20">
        <f t="shared" si="1"/>
        <v>0</v>
      </c>
      <c r="HV39" s="2" t="s">
        <v>75</v>
      </c>
      <c r="HW39" s="2" t="s">
        <v>32</v>
      </c>
      <c r="IR39" s="21">
        <f>K39*0.5345917</f>
        <v>0</v>
      </c>
      <c r="IS39" s="21">
        <f>K39*(1-0.5345917)</f>
        <v>0</v>
      </c>
    </row>
    <row r="40" spans="1:253" x14ac:dyDescent="0.25">
      <c r="A40" s="18">
        <v>23</v>
      </c>
      <c r="B40" s="2" t="s">
        <v>73</v>
      </c>
      <c r="C40" s="2" t="s">
        <v>85</v>
      </c>
      <c r="D40" s="105" t="s">
        <v>86</v>
      </c>
      <c r="E40" s="99"/>
      <c r="F40" s="99"/>
      <c r="G40" s="99"/>
      <c r="H40" s="99"/>
      <c r="I40" s="2" t="s">
        <v>31</v>
      </c>
      <c r="J40" s="19">
        <v>14</v>
      </c>
      <c r="K40" s="19"/>
      <c r="L40" s="20">
        <f t="shared" si="1"/>
        <v>0</v>
      </c>
      <c r="HV40" s="2" t="s">
        <v>75</v>
      </c>
      <c r="HW40" s="2" t="s">
        <v>32</v>
      </c>
      <c r="IR40" s="21">
        <f>K40*0.61214</f>
        <v>0</v>
      </c>
      <c r="IS40" s="21">
        <f>K40*(1-0.61214)</f>
        <v>0</v>
      </c>
    </row>
    <row r="41" spans="1:253" x14ac:dyDescent="0.25">
      <c r="A41" s="18">
        <v>24</v>
      </c>
      <c r="B41" s="2" t="s">
        <v>73</v>
      </c>
      <c r="C41" s="2" t="s">
        <v>87</v>
      </c>
      <c r="D41" s="105" t="s">
        <v>88</v>
      </c>
      <c r="E41" s="99"/>
      <c r="F41" s="99"/>
      <c r="G41" s="99"/>
      <c r="H41" s="99"/>
      <c r="I41" s="2" t="s">
        <v>31</v>
      </c>
      <c r="J41" s="19">
        <v>60</v>
      </c>
      <c r="K41" s="19"/>
      <c r="L41" s="20">
        <f t="shared" si="1"/>
        <v>0</v>
      </c>
      <c r="HV41" s="2" t="s">
        <v>75</v>
      </c>
      <c r="HW41" s="2" t="s">
        <v>32</v>
      </c>
      <c r="IR41" s="21">
        <f>K41*0.708832685</f>
        <v>0</v>
      </c>
      <c r="IS41" s="21">
        <f>K41*(1-0.708832685)</f>
        <v>0</v>
      </c>
    </row>
    <row r="42" spans="1:253" x14ac:dyDescent="0.25">
      <c r="A42" s="18">
        <v>25</v>
      </c>
      <c r="B42" s="2" t="s">
        <v>73</v>
      </c>
      <c r="C42" s="2" t="s">
        <v>89</v>
      </c>
      <c r="D42" s="105" t="s">
        <v>90</v>
      </c>
      <c r="E42" s="99"/>
      <c r="F42" s="99"/>
      <c r="G42" s="99"/>
      <c r="H42" s="99"/>
      <c r="I42" s="2" t="s">
        <v>31</v>
      </c>
      <c r="J42" s="19">
        <v>34</v>
      </c>
      <c r="K42" s="19"/>
      <c r="L42" s="20">
        <f t="shared" si="1"/>
        <v>0</v>
      </c>
      <c r="HV42" s="2" t="s">
        <v>75</v>
      </c>
      <c r="HW42" s="2" t="s">
        <v>32</v>
      </c>
      <c r="IR42" s="21">
        <f>K42*0.707279412</f>
        <v>0</v>
      </c>
      <c r="IS42" s="21">
        <f>K42*(1-0.707279412)</f>
        <v>0</v>
      </c>
    </row>
    <row r="43" spans="1:253" x14ac:dyDescent="0.25">
      <c r="A43" s="18">
        <v>26</v>
      </c>
      <c r="B43" s="2" t="s">
        <v>73</v>
      </c>
      <c r="C43" s="2" t="s">
        <v>91</v>
      </c>
      <c r="D43" s="105" t="s">
        <v>92</v>
      </c>
      <c r="E43" s="99"/>
      <c r="F43" s="99"/>
      <c r="G43" s="99"/>
      <c r="H43" s="99"/>
      <c r="I43" s="2" t="s">
        <v>31</v>
      </c>
      <c r="J43" s="19">
        <v>10</v>
      </c>
      <c r="K43" s="19"/>
      <c r="L43" s="20">
        <f t="shared" si="1"/>
        <v>0</v>
      </c>
      <c r="HV43" s="2" t="s">
        <v>75</v>
      </c>
      <c r="HW43" s="2" t="s">
        <v>32</v>
      </c>
      <c r="IR43" s="21">
        <f>K43*0.262525701</f>
        <v>0</v>
      </c>
      <c r="IS43" s="21">
        <f>K43*(1-0.262525701)</f>
        <v>0</v>
      </c>
    </row>
    <row r="44" spans="1:253" x14ac:dyDescent="0.25">
      <c r="A44" s="18">
        <v>27</v>
      </c>
      <c r="B44" s="2" t="s">
        <v>73</v>
      </c>
      <c r="C44" s="2" t="s">
        <v>93</v>
      </c>
      <c r="D44" s="105" t="s">
        <v>94</v>
      </c>
      <c r="E44" s="99"/>
      <c r="F44" s="99"/>
      <c r="G44" s="99"/>
      <c r="H44" s="99"/>
      <c r="I44" s="2" t="s">
        <v>31</v>
      </c>
      <c r="J44" s="19">
        <v>28</v>
      </c>
      <c r="K44" s="19"/>
      <c r="L44" s="20">
        <f t="shared" si="1"/>
        <v>0</v>
      </c>
      <c r="HV44" s="2" t="s">
        <v>75</v>
      </c>
      <c r="HW44" s="2" t="s">
        <v>32</v>
      </c>
      <c r="IR44" s="21">
        <f>K44*0.274235808</f>
        <v>0</v>
      </c>
      <c r="IS44" s="21">
        <f>K44*(1-0.274235808)</f>
        <v>0</v>
      </c>
    </row>
    <row r="45" spans="1:253" x14ac:dyDescent="0.25">
      <c r="A45" s="18">
        <v>28</v>
      </c>
      <c r="B45" s="2" t="s">
        <v>73</v>
      </c>
      <c r="C45" s="2" t="s">
        <v>95</v>
      </c>
      <c r="D45" s="105" t="s">
        <v>96</v>
      </c>
      <c r="E45" s="99"/>
      <c r="F45" s="99"/>
      <c r="G45" s="99"/>
      <c r="H45" s="99"/>
      <c r="I45" s="2" t="s">
        <v>31</v>
      </c>
      <c r="J45" s="19">
        <v>22</v>
      </c>
      <c r="K45" s="19"/>
      <c r="L45" s="20">
        <f t="shared" si="1"/>
        <v>0</v>
      </c>
      <c r="HV45" s="2" t="s">
        <v>75</v>
      </c>
      <c r="HW45" s="2" t="s">
        <v>32</v>
      </c>
      <c r="IR45" s="21">
        <f>K45*0.290355731</f>
        <v>0</v>
      </c>
      <c r="IS45" s="21">
        <f>K45*(1-0.290355731)</f>
        <v>0</v>
      </c>
    </row>
    <row r="46" spans="1:253" x14ac:dyDescent="0.25">
      <c r="A46" s="18">
        <v>29</v>
      </c>
      <c r="B46" s="2" t="s">
        <v>73</v>
      </c>
      <c r="C46" s="2" t="s">
        <v>97</v>
      </c>
      <c r="D46" s="105" t="s">
        <v>98</v>
      </c>
      <c r="E46" s="99"/>
      <c r="F46" s="99"/>
      <c r="G46" s="99"/>
      <c r="H46" s="99"/>
      <c r="I46" s="2" t="s">
        <v>31</v>
      </c>
      <c r="J46" s="19">
        <v>36</v>
      </c>
      <c r="K46" s="19"/>
      <c r="L46" s="20">
        <f t="shared" si="1"/>
        <v>0</v>
      </c>
      <c r="HV46" s="2" t="s">
        <v>75</v>
      </c>
      <c r="HW46" s="2" t="s">
        <v>32</v>
      </c>
      <c r="IR46" s="21">
        <f>K46*0.547804133</f>
        <v>0</v>
      </c>
      <c r="IS46" s="21">
        <f>K46*(1-0.547804133)</f>
        <v>0</v>
      </c>
    </row>
    <row r="47" spans="1:253" x14ac:dyDescent="0.25">
      <c r="A47" s="18">
        <v>30</v>
      </c>
      <c r="B47" s="2" t="s">
        <v>73</v>
      </c>
      <c r="C47" s="2" t="s">
        <v>99</v>
      </c>
      <c r="D47" s="105" t="s">
        <v>100</v>
      </c>
      <c r="E47" s="99"/>
      <c r="F47" s="99"/>
      <c r="G47" s="99"/>
      <c r="H47" s="99"/>
      <c r="I47" s="2" t="s">
        <v>31</v>
      </c>
      <c r="J47" s="19">
        <v>14</v>
      </c>
      <c r="K47" s="19"/>
      <c r="L47" s="20">
        <f t="shared" si="1"/>
        <v>0</v>
      </c>
      <c r="HV47" s="2" t="s">
        <v>75</v>
      </c>
      <c r="HW47" s="2" t="s">
        <v>32</v>
      </c>
      <c r="IR47" s="21">
        <f>K47*0.551556886</f>
        <v>0</v>
      </c>
      <c r="IS47" s="21">
        <f>K47*(1-0.551556886)</f>
        <v>0</v>
      </c>
    </row>
    <row r="48" spans="1:253" x14ac:dyDescent="0.25">
      <c r="A48" s="18">
        <v>31</v>
      </c>
      <c r="B48" s="2" t="s">
        <v>73</v>
      </c>
      <c r="C48" s="2" t="s">
        <v>101</v>
      </c>
      <c r="D48" s="105" t="s">
        <v>102</v>
      </c>
      <c r="E48" s="99"/>
      <c r="F48" s="99"/>
      <c r="G48" s="99"/>
      <c r="H48" s="99"/>
      <c r="I48" s="2" t="s">
        <v>31</v>
      </c>
      <c r="J48" s="19">
        <v>32</v>
      </c>
      <c r="K48" s="19"/>
      <c r="L48" s="20">
        <f t="shared" si="1"/>
        <v>0</v>
      </c>
      <c r="HV48" s="2" t="s">
        <v>75</v>
      </c>
      <c r="HW48" s="2" t="s">
        <v>32</v>
      </c>
      <c r="IR48" s="21">
        <f>K48*0.551111111</f>
        <v>0</v>
      </c>
      <c r="IS48" s="21">
        <f>K48*(1-0.551111111)</f>
        <v>0</v>
      </c>
    </row>
    <row r="49" spans="1:253" x14ac:dyDescent="0.25">
      <c r="A49" s="18">
        <v>32</v>
      </c>
      <c r="B49" s="2" t="s">
        <v>73</v>
      </c>
      <c r="C49" s="2" t="s">
        <v>103</v>
      </c>
      <c r="D49" s="105" t="s">
        <v>104</v>
      </c>
      <c r="E49" s="99"/>
      <c r="F49" s="99"/>
      <c r="G49" s="99"/>
      <c r="H49" s="99"/>
      <c r="I49" s="2" t="s">
        <v>31</v>
      </c>
      <c r="J49" s="19">
        <v>12</v>
      </c>
      <c r="K49" s="19"/>
      <c r="L49" s="20">
        <f t="shared" si="1"/>
        <v>0</v>
      </c>
      <c r="HV49" s="2" t="s">
        <v>75</v>
      </c>
      <c r="HW49" s="2" t="s">
        <v>32</v>
      </c>
      <c r="IR49" s="21">
        <f>K49*0.585866051</f>
        <v>0</v>
      </c>
      <c r="IS49" s="21">
        <f>K49*(1-0.585866051)</f>
        <v>0</v>
      </c>
    </row>
    <row r="50" spans="1:253" x14ac:dyDescent="0.25">
      <c r="A50" s="18">
        <v>33</v>
      </c>
      <c r="B50" s="2" t="s">
        <v>73</v>
      </c>
      <c r="C50" s="2" t="s">
        <v>105</v>
      </c>
      <c r="D50" s="105" t="s">
        <v>106</v>
      </c>
      <c r="E50" s="99"/>
      <c r="F50" s="99"/>
      <c r="G50" s="99"/>
      <c r="H50" s="99"/>
      <c r="I50" s="2" t="s">
        <v>31</v>
      </c>
      <c r="J50" s="19">
        <v>8</v>
      </c>
      <c r="K50" s="19"/>
      <c r="L50" s="20">
        <f t="shared" si="1"/>
        <v>0</v>
      </c>
      <c r="HV50" s="2" t="s">
        <v>75</v>
      </c>
      <c r="HW50" s="2" t="s">
        <v>32</v>
      </c>
      <c r="IR50" s="21">
        <f>K50*1</f>
        <v>0</v>
      </c>
      <c r="IS50" s="21">
        <f>K50*(1-1)</f>
        <v>0</v>
      </c>
    </row>
    <row r="51" spans="1:253" x14ac:dyDescent="0.25">
      <c r="A51" s="18">
        <v>34</v>
      </c>
      <c r="B51" s="2" t="s">
        <v>73</v>
      </c>
      <c r="C51" s="2" t="s">
        <v>107</v>
      </c>
      <c r="D51" s="105" t="s">
        <v>108</v>
      </c>
      <c r="E51" s="99"/>
      <c r="F51" s="99"/>
      <c r="G51" s="99"/>
      <c r="H51" s="99"/>
      <c r="I51" s="2" t="s">
        <v>35</v>
      </c>
      <c r="J51" s="19">
        <v>32</v>
      </c>
      <c r="K51" s="19"/>
      <c r="L51" s="20">
        <f t="shared" si="1"/>
        <v>0</v>
      </c>
      <c r="HV51" s="2" t="s">
        <v>75</v>
      </c>
      <c r="HW51" s="2" t="s">
        <v>32</v>
      </c>
      <c r="IR51" s="21">
        <f>K51*1</f>
        <v>0</v>
      </c>
      <c r="IS51" s="21">
        <f>K51*(1-1)</f>
        <v>0</v>
      </c>
    </row>
    <row r="52" spans="1:253" x14ac:dyDescent="0.25">
      <c r="A52" s="18">
        <v>35</v>
      </c>
      <c r="B52" s="2" t="s">
        <v>73</v>
      </c>
      <c r="C52" s="2" t="s">
        <v>109</v>
      </c>
      <c r="D52" s="105" t="s">
        <v>110</v>
      </c>
      <c r="E52" s="99"/>
      <c r="F52" s="99"/>
      <c r="G52" s="99"/>
      <c r="H52" s="99"/>
      <c r="I52" s="2" t="s">
        <v>35</v>
      </c>
      <c r="J52" s="19">
        <v>3</v>
      </c>
      <c r="K52" s="19"/>
      <c r="L52" s="20">
        <f t="shared" si="1"/>
        <v>0</v>
      </c>
      <c r="HV52" s="2" t="s">
        <v>75</v>
      </c>
      <c r="HW52" s="2" t="s">
        <v>32</v>
      </c>
      <c r="IR52" s="21">
        <f>K52*1</f>
        <v>0</v>
      </c>
      <c r="IS52" s="21">
        <f>K52*(1-1)</f>
        <v>0</v>
      </c>
    </row>
    <row r="53" spans="1:253" x14ac:dyDescent="0.25">
      <c r="A53" s="18">
        <v>36</v>
      </c>
      <c r="B53" s="2" t="s">
        <v>73</v>
      </c>
      <c r="C53" s="2" t="s">
        <v>111</v>
      </c>
      <c r="D53" s="105" t="s">
        <v>112</v>
      </c>
      <c r="E53" s="99"/>
      <c r="F53" s="99"/>
      <c r="G53" s="99"/>
      <c r="H53" s="99"/>
      <c r="I53" s="2" t="s">
        <v>35</v>
      </c>
      <c r="J53" s="19">
        <v>14</v>
      </c>
      <c r="K53" s="19"/>
      <c r="L53" s="20">
        <f t="shared" si="1"/>
        <v>0</v>
      </c>
      <c r="HV53" s="2" t="s">
        <v>75</v>
      </c>
      <c r="HW53" s="2" t="s">
        <v>32</v>
      </c>
      <c r="IR53" s="21">
        <f>K53*1</f>
        <v>0</v>
      </c>
      <c r="IS53" s="21">
        <f>K53*(1-1)</f>
        <v>0</v>
      </c>
    </row>
    <row r="54" spans="1:253" x14ac:dyDescent="0.25">
      <c r="A54" s="18">
        <v>37</v>
      </c>
      <c r="B54" s="2" t="s">
        <v>73</v>
      </c>
      <c r="C54" s="2" t="s">
        <v>113</v>
      </c>
      <c r="D54" s="105" t="s">
        <v>114</v>
      </c>
      <c r="E54" s="99"/>
      <c r="F54" s="99"/>
      <c r="G54" s="99"/>
      <c r="H54" s="99"/>
      <c r="I54" s="2" t="s">
        <v>35</v>
      </c>
      <c r="J54" s="19">
        <v>7</v>
      </c>
      <c r="K54" s="19"/>
      <c r="L54" s="20">
        <f t="shared" si="1"/>
        <v>0</v>
      </c>
      <c r="HV54" s="2" t="s">
        <v>75</v>
      </c>
      <c r="HW54" s="2" t="s">
        <v>32</v>
      </c>
      <c r="IR54" s="21">
        <f>K54*1</f>
        <v>0</v>
      </c>
      <c r="IS54" s="21">
        <f>K54*(1-1)</f>
        <v>0</v>
      </c>
    </row>
    <row r="55" spans="1:253" x14ac:dyDescent="0.25">
      <c r="A55" s="18">
        <v>38</v>
      </c>
      <c r="B55" s="2" t="s">
        <v>73</v>
      </c>
      <c r="C55" s="2" t="s">
        <v>115</v>
      </c>
      <c r="D55" s="105" t="s">
        <v>116</v>
      </c>
      <c r="E55" s="99"/>
      <c r="F55" s="99"/>
      <c r="G55" s="99"/>
      <c r="H55" s="99"/>
      <c r="I55" s="2" t="s">
        <v>35</v>
      </c>
      <c r="J55" s="19">
        <v>11</v>
      </c>
      <c r="K55" s="19"/>
      <c r="L55" s="20">
        <f t="shared" si="1"/>
        <v>0</v>
      </c>
      <c r="HV55" s="2" t="s">
        <v>75</v>
      </c>
      <c r="HW55" s="2" t="s">
        <v>32</v>
      </c>
      <c r="IR55" s="21">
        <f>K55*0.747749667</f>
        <v>0</v>
      </c>
      <c r="IS55" s="21">
        <f>K55*(1-0.747749667)</f>
        <v>0</v>
      </c>
    </row>
    <row r="56" spans="1:253" x14ac:dyDescent="0.25">
      <c r="A56" s="18">
        <v>39</v>
      </c>
      <c r="B56" s="2" t="s">
        <v>73</v>
      </c>
      <c r="C56" s="2" t="s">
        <v>117</v>
      </c>
      <c r="D56" s="105" t="s">
        <v>118</v>
      </c>
      <c r="E56" s="99"/>
      <c r="F56" s="99"/>
      <c r="G56" s="99"/>
      <c r="H56" s="99"/>
      <c r="I56" s="2" t="s">
        <v>35</v>
      </c>
      <c r="J56" s="19">
        <v>1</v>
      </c>
      <c r="K56" s="19"/>
      <c r="L56" s="20">
        <f t="shared" si="1"/>
        <v>0</v>
      </c>
      <c r="HV56" s="2" t="s">
        <v>75</v>
      </c>
      <c r="HW56" s="2" t="s">
        <v>32</v>
      </c>
      <c r="IR56" s="21">
        <f>K56*0.831870968</f>
        <v>0</v>
      </c>
      <c r="IS56" s="21">
        <f>K56*(1-0.831870968)</f>
        <v>0</v>
      </c>
    </row>
    <row r="57" spans="1:253" x14ac:dyDescent="0.25">
      <c r="A57" s="18">
        <v>40</v>
      </c>
      <c r="B57" s="2" t="s">
        <v>73</v>
      </c>
      <c r="C57" s="2" t="s">
        <v>119</v>
      </c>
      <c r="D57" s="105" t="s">
        <v>120</v>
      </c>
      <c r="E57" s="99"/>
      <c r="F57" s="99"/>
      <c r="G57" s="99"/>
      <c r="H57" s="99"/>
      <c r="I57" s="2" t="s">
        <v>35</v>
      </c>
      <c r="J57" s="19">
        <v>7</v>
      </c>
      <c r="K57" s="19"/>
      <c r="L57" s="20">
        <f t="shared" si="1"/>
        <v>0</v>
      </c>
      <c r="HV57" s="2" t="s">
        <v>75</v>
      </c>
      <c r="HW57" s="2" t="s">
        <v>32</v>
      </c>
      <c r="IR57" s="21">
        <f>K57*0.856629526</f>
        <v>0</v>
      </c>
      <c r="IS57" s="21">
        <f>K57*(1-0.856629526)</f>
        <v>0</v>
      </c>
    </row>
    <row r="58" spans="1:253" x14ac:dyDescent="0.25">
      <c r="A58" s="18">
        <v>41</v>
      </c>
      <c r="B58" s="2" t="s">
        <v>73</v>
      </c>
      <c r="C58" s="2" t="s">
        <v>121</v>
      </c>
      <c r="D58" s="105" t="s">
        <v>122</v>
      </c>
      <c r="E58" s="99"/>
      <c r="F58" s="99"/>
      <c r="G58" s="99"/>
      <c r="H58" s="99"/>
      <c r="I58" s="2" t="s">
        <v>35</v>
      </c>
      <c r="J58" s="19">
        <v>2</v>
      </c>
      <c r="K58" s="19"/>
      <c r="L58" s="20">
        <f t="shared" si="1"/>
        <v>0</v>
      </c>
      <c r="HV58" s="2" t="s">
        <v>75</v>
      </c>
      <c r="HW58" s="2" t="s">
        <v>32</v>
      </c>
      <c r="IR58" s="21">
        <f>K58*0.878339372</f>
        <v>0</v>
      </c>
      <c r="IS58" s="21">
        <f>K58*(1-0.878339372)</f>
        <v>0</v>
      </c>
    </row>
    <row r="59" spans="1:253" x14ac:dyDescent="0.25">
      <c r="A59" s="18">
        <v>42</v>
      </c>
      <c r="B59" s="2" t="s">
        <v>73</v>
      </c>
      <c r="C59" s="2" t="s">
        <v>123</v>
      </c>
      <c r="D59" s="105" t="s">
        <v>124</v>
      </c>
      <c r="E59" s="99"/>
      <c r="F59" s="99"/>
      <c r="G59" s="99"/>
      <c r="H59" s="99"/>
      <c r="I59" s="2" t="s">
        <v>35</v>
      </c>
      <c r="J59" s="19">
        <v>12</v>
      </c>
      <c r="K59" s="19"/>
      <c r="L59" s="20">
        <f t="shared" si="1"/>
        <v>0</v>
      </c>
      <c r="HV59" s="2" t="s">
        <v>75</v>
      </c>
      <c r="HW59" s="2" t="s">
        <v>32</v>
      </c>
      <c r="IR59" s="21">
        <f>K59*0.826161539</f>
        <v>0</v>
      </c>
      <c r="IS59" s="21">
        <f>K59*(1-0.826161539)</f>
        <v>0</v>
      </c>
    </row>
    <row r="60" spans="1:253" x14ac:dyDescent="0.25">
      <c r="A60" s="18">
        <v>43</v>
      </c>
      <c r="B60" s="2" t="s">
        <v>73</v>
      </c>
      <c r="C60" s="2" t="s">
        <v>125</v>
      </c>
      <c r="D60" s="105" t="s">
        <v>126</v>
      </c>
      <c r="E60" s="99"/>
      <c r="F60" s="99"/>
      <c r="G60" s="99"/>
      <c r="H60" s="99"/>
      <c r="I60" s="2" t="s">
        <v>35</v>
      </c>
      <c r="J60" s="19">
        <v>3</v>
      </c>
      <c r="K60" s="19"/>
      <c r="L60" s="20">
        <f t="shared" si="1"/>
        <v>0</v>
      </c>
      <c r="HV60" s="2" t="s">
        <v>75</v>
      </c>
      <c r="HW60" s="2" t="s">
        <v>32</v>
      </c>
      <c r="IR60" s="21">
        <f>K60*0.039716312</f>
        <v>0</v>
      </c>
      <c r="IS60" s="21">
        <f>K60*(1-0.039716312)</f>
        <v>0</v>
      </c>
    </row>
    <row r="61" spans="1:253" x14ac:dyDescent="0.25">
      <c r="A61" s="18">
        <v>44</v>
      </c>
      <c r="B61" s="2" t="s">
        <v>73</v>
      </c>
      <c r="C61" s="2" t="s">
        <v>127</v>
      </c>
      <c r="D61" s="105" t="s">
        <v>128</v>
      </c>
      <c r="E61" s="99"/>
      <c r="F61" s="99"/>
      <c r="G61" s="99"/>
      <c r="H61" s="99"/>
      <c r="I61" s="2" t="s">
        <v>35</v>
      </c>
      <c r="J61" s="19">
        <v>3</v>
      </c>
      <c r="K61" s="19"/>
      <c r="L61" s="20">
        <f t="shared" si="1"/>
        <v>0</v>
      </c>
      <c r="HV61" s="2" t="s">
        <v>75</v>
      </c>
      <c r="HW61" s="2" t="s">
        <v>129</v>
      </c>
      <c r="IR61" s="21">
        <f>K61*1</f>
        <v>0</v>
      </c>
      <c r="IS61" s="21">
        <f>K61*(1-1)</f>
        <v>0</v>
      </c>
    </row>
    <row r="62" spans="1:253" x14ac:dyDescent="0.25">
      <c r="A62" s="18">
        <v>45</v>
      </c>
      <c r="B62" s="2" t="s">
        <v>73</v>
      </c>
      <c r="C62" s="2" t="s">
        <v>130</v>
      </c>
      <c r="D62" s="105" t="s">
        <v>131</v>
      </c>
      <c r="E62" s="99"/>
      <c r="F62" s="99"/>
      <c r="G62" s="99"/>
      <c r="H62" s="99"/>
      <c r="I62" s="2" t="s">
        <v>35</v>
      </c>
      <c r="J62" s="19">
        <v>1</v>
      </c>
      <c r="K62" s="19"/>
      <c r="L62" s="20">
        <f t="shared" si="1"/>
        <v>0</v>
      </c>
      <c r="HV62" s="2" t="s">
        <v>75</v>
      </c>
      <c r="HW62" s="2" t="s">
        <v>32</v>
      </c>
      <c r="IR62" s="21">
        <f>K62*0.063272727</f>
        <v>0</v>
      </c>
      <c r="IS62" s="21">
        <f>K62*(1-0.063272727)</f>
        <v>0</v>
      </c>
    </row>
    <row r="63" spans="1:253" x14ac:dyDescent="0.25">
      <c r="A63" s="18">
        <v>46</v>
      </c>
      <c r="B63" s="2" t="s">
        <v>73</v>
      </c>
      <c r="C63" s="2" t="s">
        <v>132</v>
      </c>
      <c r="D63" s="105" t="s">
        <v>133</v>
      </c>
      <c r="E63" s="99"/>
      <c r="F63" s="99"/>
      <c r="G63" s="99"/>
      <c r="H63" s="99"/>
      <c r="I63" s="2" t="s">
        <v>35</v>
      </c>
      <c r="J63" s="19">
        <v>1</v>
      </c>
      <c r="K63" s="19"/>
      <c r="L63" s="20">
        <f t="shared" si="1"/>
        <v>0</v>
      </c>
      <c r="HV63" s="2" t="s">
        <v>75</v>
      </c>
      <c r="HW63" s="2" t="s">
        <v>129</v>
      </c>
      <c r="IR63" s="21">
        <f>K63*1</f>
        <v>0</v>
      </c>
      <c r="IS63" s="21">
        <f>K63*(1-1)</f>
        <v>0</v>
      </c>
    </row>
    <row r="64" spans="1:253" x14ac:dyDescent="0.25">
      <c r="A64" s="18">
        <v>47</v>
      </c>
      <c r="B64" s="2" t="s">
        <v>73</v>
      </c>
      <c r="C64" s="2" t="s">
        <v>134</v>
      </c>
      <c r="D64" s="105" t="s">
        <v>135</v>
      </c>
      <c r="E64" s="99"/>
      <c r="F64" s="99"/>
      <c r="G64" s="99"/>
      <c r="H64" s="99"/>
      <c r="I64" s="2" t="s">
        <v>35</v>
      </c>
      <c r="J64" s="19">
        <v>1</v>
      </c>
      <c r="K64" s="19"/>
      <c r="L64" s="20">
        <f t="shared" si="1"/>
        <v>0</v>
      </c>
      <c r="HV64" s="2" t="s">
        <v>75</v>
      </c>
      <c r="HW64" s="2" t="s">
        <v>32</v>
      </c>
      <c r="IR64" s="21">
        <f>K64*0.066388889</f>
        <v>0</v>
      </c>
      <c r="IS64" s="21">
        <f>K64*(1-0.066388889)</f>
        <v>0</v>
      </c>
    </row>
    <row r="65" spans="1:253" x14ac:dyDescent="0.25">
      <c r="A65" s="18">
        <v>48</v>
      </c>
      <c r="B65" s="2" t="s">
        <v>73</v>
      </c>
      <c r="C65" s="2" t="s">
        <v>136</v>
      </c>
      <c r="D65" s="105" t="s">
        <v>137</v>
      </c>
      <c r="E65" s="99"/>
      <c r="F65" s="99"/>
      <c r="G65" s="99"/>
      <c r="H65" s="99"/>
      <c r="I65" s="2" t="s">
        <v>35</v>
      </c>
      <c r="J65" s="19">
        <v>1</v>
      </c>
      <c r="K65" s="19"/>
      <c r="L65" s="20">
        <f t="shared" si="1"/>
        <v>0</v>
      </c>
      <c r="HV65" s="2" t="s">
        <v>75</v>
      </c>
      <c r="HW65" s="2" t="s">
        <v>129</v>
      </c>
      <c r="IR65" s="21">
        <f>K65*1</f>
        <v>0</v>
      </c>
      <c r="IS65" s="21">
        <f>K65*(1-1)</f>
        <v>0</v>
      </c>
    </row>
    <row r="66" spans="1:253" x14ac:dyDescent="0.25">
      <c r="A66" s="18">
        <v>49</v>
      </c>
      <c r="B66" s="2" t="s">
        <v>73</v>
      </c>
      <c r="C66" s="2" t="s">
        <v>138</v>
      </c>
      <c r="D66" s="105" t="s">
        <v>139</v>
      </c>
      <c r="E66" s="99"/>
      <c r="F66" s="99"/>
      <c r="G66" s="99"/>
      <c r="H66" s="99"/>
      <c r="I66" s="2" t="s">
        <v>40</v>
      </c>
      <c r="J66" s="19">
        <v>4</v>
      </c>
      <c r="K66" s="19"/>
      <c r="L66" s="20">
        <f t="shared" si="1"/>
        <v>0</v>
      </c>
      <c r="HV66" s="2" t="s">
        <v>75</v>
      </c>
      <c r="HW66" s="2" t="s">
        <v>32</v>
      </c>
      <c r="IR66" s="21">
        <f>K66*0.644836019</f>
        <v>0</v>
      </c>
      <c r="IS66" s="21">
        <f>K66*(1-0.644836019)</f>
        <v>0</v>
      </c>
    </row>
    <row r="67" spans="1:253" x14ac:dyDescent="0.25">
      <c r="A67" s="18">
        <v>50</v>
      </c>
      <c r="B67" s="2" t="s">
        <v>73</v>
      </c>
      <c r="C67" s="2" t="s">
        <v>140</v>
      </c>
      <c r="D67" s="105" t="s">
        <v>141</v>
      </c>
      <c r="E67" s="99"/>
      <c r="F67" s="99"/>
      <c r="G67" s="99"/>
      <c r="H67" s="99"/>
      <c r="I67" s="2" t="s">
        <v>31</v>
      </c>
      <c r="J67" s="19">
        <v>60</v>
      </c>
      <c r="K67" s="19"/>
      <c r="L67" s="20">
        <f t="shared" si="1"/>
        <v>0</v>
      </c>
      <c r="HV67" s="2" t="s">
        <v>75</v>
      </c>
      <c r="HW67" s="2" t="s">
        <v>32</v>
      </c>
      <c r="IR67" s="21">
        <f>K67*0.015294118</f>
        <v>0</v>
      </c>
      <c r="IS67" s="21">
        <f>K67*(1-0.015294118)</f>
        <v>0</v>
      </c>
    </row>
    <row r="68" spans="1:253" x14ac:dyDescent="0.25">
      <c r="A68" s="18">
        <v>51</v>
      </c>
      <c r="B68" s="2" t="s">
        <v>73</v>
      </c>
      <c r="C68" s="2" t="s">
        <v>142</v>
      </c>
      <c r="D68" s="105" t="s">
        <v>143</v>
      </c>
      <c r="E68" s="99"/>
      <c r="F68" s="99"/>
      <c r="G68" s="99"/>
      <c r="H68" s="99"/>
      <c r="I68" s="2" t="s">
        <v>31</v>
      </c>
      <c r="J68" s="19">
        <v>60</v>
      </c>
      <c r="K68" s="19"/>
      <c r="L68" s="20">
        <f t="shared" si="1"/>
        <v>0</v>
      </c>
      <c r="HV68" s="2" t="s">
        <v>75</v>
      </c>
      <c r="HW68" s="2" t="s">
        <v>32</v>
      </c>
      <c r="IR68" s="21">
        <f>K68*0.017572762</f>
        <v>0</v>
      </c>
      <c r="IS68" s="21">
        <f>K68*(1-0.017572762)</f>
        <v>0</v>
      </c>
    </row>
    <row r="69" spans="1:253" x14ac:dyDescent="0.25">
      <c r="A69" s="18">
        <v>52</v>
      </c>
      <c r="B69" s="2" t="s">
        <v>73</v>
      </c>
      <c r="C69" s="2" t="s">
        <v>144</v>
      </c>
      <c r="D69" s="105" t="s">
        <v>145</v>
      </c>
      <c r="E69" s="99"/>
      <c r="F69" s="99"/>
      <c r="G69" s="99"/>
      <c r="H69" s="99"/>
      <c r="I69" s="2" t="s">
        <v>31</v>
      </c>
      <c r="J69" s="19">
        <v>34</v>
      </c>
      <c r="K69" s="19"/>
      <c r="L69" s="20">
        <f t="shared" si="1"/>
        <v>0</v>
      </c>
      <c r="HV69" s="2" t="s">
        <v>75</v>
      </c>
      <c r="HW69" s="2" t="s">
        <v>32</v>
      </c>
      <c r="IR69" s="21">
        <f>K69*0.020316944</f>
        <v>0</v>
      </c>
      <c r="IS69" s="21">
        <f>K69*(1-0.020316944)</f>
        <v>0</v>
      </c>
    </row>
    <row r="70" spans="1:253" x14ac:dyDescent="0.25">
      <c r="A70" s="18">
        <v>53</v>
      </c>
      <c r="B70" s="2" t="s">
        <v>73</v>
      </c>
      <c r="C70" s="2" t="s">
        <v>146</v>
      </c>
      <c r="D70" s="105" t="s">
        <v>147</v>
      </c>
      <c r="E70" s="99"/>
      <c r="F70" s="99"/>
      <c r="G70" s="99"/>
      <c r="H70" s="99"/>
      <c r="I70" s="2" t="s">
        <v>35</v>
      </c>
      <c r="J70" s="19">
        <v>2</v>
      </c>
      <c r="K70" s="19"/>
      <c r="L70" s="20">
        <f t="shared" si="1"/>
        <v>0</v>
      </c>
      <c r="HV70" s="2" t="s">
        <v>75</v>
      </c>
      <c r="HW70" s="2" t="s">
        <v>32</v>
      </c>
      <c r="IR70" s="21">
        <f>K70*0.872302206</f>
        <v>0</v>
      </c>
      <c r="IS70" s="21">
        <f>K70*(1-0.872302206)</f>
        <v>0</v>
      </c>
    </row>
    <row r="71" spans="1:253" x14ac:dyDescent="0.25">
      <c r="A71" s="18">
        <v>54</v>
      </c>
      <c r="B71" s="2" t="s">
        <v>73</v>
      </c>
      <c r="C71" s="2" t="s">
        <v>148</v>
      </c>
      <c r="D71" s="105" t="s">
        <v>149</v>
      </c>
      <c r="E71" s="99"/>
      <c r="F71" s="99"/>
      <c r="G71" s="99"/>
      <c r="H71" s="99"/>
      <c r="I71" s="2" t="s">
        <v>72</v>
      </c>
      <c r="J71" s="19">
        <v>0.2</v>
      </c>
      <c r="K71" s="19"/>
      <c r="L71" s="20">
        <f t="shared" si="1"/>
        <v>0</v>
      </c>
      <c r="HV71" s="2" t="s">
        <v>75</v>
      </c>
      <c r="HW71" s="2" t="s">
        <v>32</v>
      </c>
      <c r="IR71" s="21">
        <f>K71*0</f>
        <v>0</v>
      </c>
      <c r="IS71" s="21">
        <f>K71*(1-0)</f>
        <v>0</v>
      </c>
    </row>
    <row r="72" spans="1:253" x14ac:dyDescent="0.25">
      <c r="A72" s="18">
        <v>55</v>
      </c>
      <c r="B72" s="2" t="s">
        <v>73</v>
      </c>
      <c r="C72" s="2" t="s">
        <v>150</v>
      </c>
      <c r="D72" s="105" t="s">
        <v>151</v>
      </c>
      <c r="E72" s="99"/>
      <c r="F72" s="99"/>
      <c r="G72" s="99"/>
      <c r="H72" s="99"/>
      <c r="I72" s="2" t="s">
        <v>43</v>
      </c>
      <c r="J72" s="19">
        <v>2358</v>
      </c>
      <c r="K72" s="19"/>
      <c r="L72" s="20">
        <f t="shared" si="1"/>
        <v>0</v>
      </c>
      <c r="HV72" s="2" t="s">
        <v>75</v>
      </c>
      <c r="HW72" s="2" t="s">
        <v>32</v>
      </c>
      <c r="IR72" s="21">
        <f>K72*0</f>
        <v>0</v>
      </c>
      <c r="IS72" s="21">
        <f>K72*(1-0)</f>
        <v>0</v>
      </c>
    </row>
    <row r="73" spans="1:253" x14ac:dyDescent="0.25">
      <c r="A73" s="14" t="s">
        <v>23</v>
      </c>
      <c r="B73" s="15" t="s">
        <v>152</v>
      </c>
      <c r="C73" s="15" t="s">
        <v>25</v>
      </c>
      <c r="D73" s="112" t="s">
        <v>153</v>
      </c>
      <c r="E73" s="113"/>
      <c r="F73" s="113"/>
      <c r="G73" s="113"/>
      <c r="H73" s="113"/>
      <c r="I73" s="15" t="s">
        <v>23</v>
      </c>
      <c r="J73" s="16" t="s">
        <v>23</v>
      </c>
      <c r="K73" s="16"/>
      <c r="L73" s="17">
        <f>L74+L99</f>
        <v>0</v>
      </c>
    </row>
    <row r="74" spans="1:253" x14ac:dyDescent="0.25">
      <c r="A74" s="14" t="s">
        <v>23</v>
      </c>
      <c r="B74" s="15" t="s">
        <v>152</v>
      </c>
      <c r="C74" s="15" t="s">
        <v>75</v>
      </c>
      <c r="D74" s="112" t="s">
        <v>76</v>
      </c>
      <c r="E74" s="113"/>
      <c r="F74" s="113"/>
      <c r="G74" s="113"/>
      <c r="H74" s="113"/>
      <c r="I74" s="15" t="s">
        <v>23</v>
      </c>
      <c r="J74" s="16" t="s">
        <v>23</v>
      </c>
      <c r="K74" s="16"/>
      <c r="L74" s="17">
        <f>SUM(L75:L98)</f>
        <v>0</v>
      </c>
    </row>
    <row r="75" spans="1:253" x14ac:dyDescent="0.25">
      <c r="A75" s="18">
        <v>56</v>
      </c>
      <c r="B75" s="2" t="s">
        <v>152</v>
      </c>
      <c r="C75" s="2" t="s">
        <v>79</v>
      </c>
      <c r="D75" s="105" t="s">
        <v>80</v>
      </c>
      <c r="E75" s="99"/>
      <c r="F75" s="99"/>
      <c r="G75" s="99"/>
      <c r="H75" s="99"/>
      <c r="I75" s="2" t="s">
        <v>31</v>
      </c>
      <c r="J75" s="19">
        <v>137</v>
      </c>
      <c r="K75" s="19"/>
      <c r="L75" s="20">
        <f t="shared" ref="L75:L98" si="2">IR75*J75+IS75*J75</f>
        <v>0</v>
      </c>
      <c r="HV75" s="2" t="s">
        <v>75</v>
      </c>
      <c r="HW75" s="2" t="s">
        <v>32</v>
      </c>
      <c r="IR75" s="21">
        <f>K75*0</f>
        <v>0</v>
      </c>
      <c r="IS75" s="21">
        <f>K75*(1-0)</f>
        <v>0</v>
      </c>
    </row>
    <row r="76" spans="1:253" x14ac:dyDescent="0.25">
      <c r="A76" s="18">
        <v>57</v>
      </c>
      <c r="B76" s="2" t="s">
        <v>152</v>
      </c>
      <c r="C76" s="2" t="s">
        <v>81</v>
      </c>
      <c r="D76" s="105" t="s">
        <v>82</v>
      </c>
      <c r="E76" s="99"/>
      <c r="F76" s="99"/>
      <c r="G76" s="99"/>
      <c r="H76" s="99"/>
      <c r="I76" s="2" t="s">
        <v>31</v>
      </c>
      <c r="J76" s="19">
        <v>20</v>
      </c>
      <c r="K76" s="19"/>
      <c r="L76" s="20">
        <f t="shared" si="2"/>
        <v>0</v>
      </c>
      <c r="HV76" s="2" t="s">
        <v>75</v>
      </c>
      <c r="HW76" s="2" t="s">
        <v>32</v>
      </c>
      <c r="IR76" s="21">
        <f>K76*0</f>
        <v>0</v>
      </c>
      <c r="IS76" s="21">
        <f>K76*(1-0)</f>
        <v>0</v>
      </c>
    </row>
    <row r="77" spans="1:253" x14ac:dyDescent="0.25">
      <c r="A77" s="18">
        <v>58</v>
      </c>
      <c r="B77" s="2" t="s">
        <v>152</v>
      </c>
      <c r="C77" s="2" t="s">
        <v>154</v>
      </c>
      <c r="D77" s="105" t="s">
        <v>155</v>
      </c>
      <c r="E77" s="99"/>
      <c r="F77" s="99"/>
      <c r="G77" s="99"/>
      <c r="H77" s="99"/>
      <c r="I77" s="2" t="s">
        <v>31</v>
      </c>
      <c r="J77" s="19">
        <v>36</v>
      </c>
      <c r="K77" s="19"/>
      <c r="L77" s="20">
        <f t="shared" si="2"/>
        <v>0</v>
      </c>
      <c r="HV77" s="2" t="s">
        <v>75</v>
      </c>
      <c r="HW77" s="2" t="s">
        <v>32</v>
      </c>
      <c r="IR77" s="21">
        <f>K77*0.469022801</f>
        <v>0</v>
      </c>
      <c r="IS77" s="21">
        <f>K77*(1-0.469022801)</f>
        <v>0</v>
      </c>
    </row>
    <row r="78" spans="1:253" x14ac:dyDescent="0.25">
      <c r="A78" s="18">
        <v>59</v>
      </c>
      <c r="B78" s="2" t="s">
        <v>152</v>
      </c>
      <c r="C78" s="2" t="s">
        <v>83</v>
      </c>
      <c r="D78" s="105" t="s">
        <v>84</v>
      </c>
      <c r="E78" s="99"/>
      <c r="F78" s="99"/>
      <c r="G78" s="99"/>
      <c r="H78" s="99"/>
      <c r="I78" s="2" t="s">
        <v>31</v>
      </c>
      <c r="J78" s="19">
        <v>54</v>
      </c>
      <c r="K78" s="19"/>
      <c r="L78" s="20">
        <f t="shared" si="2"/>
        <v>0</v>
      </c>
      <c r="HV78" s="2" t="s">
        <v>75</v>
      </c>
      <c r="HW78" s="2" t="s">
        <v>32</v>
      </c>
      <c r="IR78" s="21">
        <f>K78*0.5345917</f>
        <v>0</v>
      </c>
      <c r="IS78" s="21">
        <f>K78*(1-0.5345917)</f>
        <v>0</v>
      </c>
    </row>
    <row r="79" spans="1:253" x14ac:dyDescent="0.25">
      <c r="A79" s="18">
        <v>60</v>
      </c>
      <c r="B79" s="2" t="s">
        <v>152</v>
      </c>
      <c r="C79" s="2" t="s">
        <v>85</v>
      </c>
      <c r="D79" s="105" t="s">
        <v>86</v>
      </c>
      <c r="E79" s="99"/>
      <c r="F79" s="99"/>
      <c r="G79" s="99"/>
      <c r="H79" s="99"/>
      <c r="I79" s="2" t="s">
        <v>31</v>
      </c>
      <c r="J79" s="19">
        <v>38</v>
      </c>
      <c r="K79" s="19"/>
      <c r="L79" s="20">
        <f t="shared" si="2"/>
        <v>0</v>
      </c>
      <c r="HV79" s="2" t="s">
        <v>75</v>
      </c>
      <c r="HW79" s="2" t="s">
        <v>32</v>
      </c>
      <c r="IR79" s="21">
        <f>K79*0.61214</f>
        <v>0</v>
      </c>
      <c r="IS79" s="21">
        <f>K79*(1-0.61214)</f>
        <v>0</v>
      </c>
    </row>
    <row r="80" spans="1:253" x14ac:dyDescent="0.25">
      <c r="A80" s="18">
        <v>61</v>
      </c>
      <c r="B80" s="2" t="s">
        <v>152</v>
      </c>
      <c r="C80" s="2" t="s">
        <v>87</v>
      </c>
      <c r="D80" s="105" t="s">
        <v>88</v>
      </c>
      <c r="E80" s="99"/>
      <c r="F80" s="99"/>
      <c r="G80" s="99"/>
      <c r="H80" s="99"/>
      <c r="I80" s="2" t="s">
        <v>31</v>
      </c>
      <c r="J80" s="19">
        <v>18</v>
      </c>
      <c r="K80" s="19"/>
      <c r="L80" s="20">
        <f t="shared" si="2"/>
        <v>0</v>
      </c>
      <c r="HV80" s="2" t="s">
        <v>75</v>
      </c>
      <c r="HW80" s="2" t="s">
        <v>32</v>
      </c>
      <c r="IR80" s="21">
        <f>K80*0.708832685</f>
        <v>0</v>
      </c>
      <c r="IS80" s="21">
        <f>K80*(1-0.708832685)</f>
        <v>0</v>
      </c>
    </row>
    <row r="81" spans="1:253" x14ac:dyDescent="0.25">
      <c r="A81" s="18">
        <v>62</v>
      </c>
      <c r="B81" s="2" t="s">
        <v>152</v>
      </c>
      <c r="C81" s="2" t="s">
        <v>156</v>
      </c>
      <c r="D81" s="105" t="s">
        <v>157</v>
      </c>
      <c r="E81" s="99"/>
      <c r="F81" s="99"/>
      <c r="G81" s="99"/>
      <c r="H81" s="99"/>
      <c r="I81" s="2" t="s">
        <v>35</v>
      </c>
      <c r="J81" s="19">
        <v>24</v>
      </c>
      <c r="K81" s="19"/>
      <c r="L81" s="20">
        <f t="shared" si="2"/>
        <v>0</v>
      </c>
      <c r="HV81" s="2" t="s">
        <v>75</v>
      </c>
      <c r="HW81" s="2" t="s">
        <v>32</v>
      </c>
      <c r="IR81" s="21">
        <f>K81*0</f>
        <v>0</v>
      </c>
      <c r="IS81" s="21">
        <f>K81*(1-0)</f>
        <v>0</v>
      </c>
    </row>
    <row r="82" spans="1:253" x14ac:dyDescent="0.25">
      <c r="A82" s="18">
        <v>63</v>
      </c>
      <c r="B82" s="2" t="s">
        <v>152</v>
      </c>
      <c r="C82" s="2" t="s">
        <v>158</v>
      </c>
      <c r="D82" s="105" t="s">
        <v>159</v>
      </c>
      <c r="E82" s="99"/>
      <c r="F82" s="99"/>
      <c r="G82" s="99"/>
      <c r="H82" s="99"/>
      <c r="I82" s="2" t="s">
        <v>31</v>
      </c>
      <c r="J82" s="19">
        <v>36</v>
      </c>
      <c r="K82" s="19"/>
      <c r="L82" s="20">
        <f t="shared" si="2"/>
        <v>0</v>
      </c>
      <c r="HV82" s="2" t="s">
        <v>75</v>
      </c>
      <c r="HW82" s="2" t="s">
        <v>32</v>
      </c>
      <c r="IR82" s="21">
        <f>K82*0.248758415</f>
        <v>0</v>
      </c>
      <c r="IS82" s="21">
        <f>K82*(1-0.248758415)</f>
        <v>0</v>
      </c>
    </row>
    <row r="83" spans="1:253" x14ac:dyDescent="0.25">
      <c r="A83" s="18">
        <v>64</v>
      </c>
      <c r="B83" s="2" t="s">
        <v>152</v>
      </c>
      <c r="C83" s="2" t="s">
        <v>91</v>
      </c>
      <c r="D83" s="105" t="s">
        <v>92</v>
      </c>
      <c r="E83" s="99"/>
      <c r="F83" s="99"/>
      <c r="G83" s="99"/>
      <c r="H83" s="99"/>
      <c r="I83" s="2" t="s">
        <v>31</v>
      </c>
      <c r="J83" s="19">
        <v>10</v>
      </c>
      <c r="K83" s="19"/>
      <c r="L83" s="20">
        <f t="shared" si="2"/>
        <v>0</v>
      </c>
      <c r="HV83" s="2" t="s">
        <v>75</v>
      </c>
      <c r="HW83" s="2" t="s">
        <v>32</v>
      </c>
      <c r="IR83" s="21">
        <f>K83*0.262525701</f>
        <v>0</v>
      </c>
      <c r="IS83" s="21">
        <f>K83*(1-0.262525701)</f>
        <v>0</v>
      </c>
    </row>
    <row r="84" spans="1:253" x14ac:dyDescent="0.25">
      <c r="A84" s="18">
        <v>65</v>
      </c>
      <c r="B84" s="2" t="s">
        <v>152</v>
      </c>
      <c r="C84" s="2" t="s">
        <v>160</v>
      </c>
      <c r="D84" s="105" t="s">
        <v>161</v>
      </c>
      <c r="E84" s="99"/>
      <c r="F84" s="99"/>
      <c r="G84" s="99"/>
      <c r="H84" s="99"/>
      <c r="I84" s="2" t="s">
        <v>31</v>
      </c>
      <c r="J84" s="19">
        <v>18</v>
      </c>
      <c r="K84" s="19"/>
      <c r="L84" s="20">
        <f t="shared" si="2"/>
        <v>0</v>
      </c>
      <c r="HV84" s="2" t="s">
        <v>75</v>
      </c>
      <c r="HW84" s="2" t="s">
        <v>32</v>
      </c>
      <c r="IR84" s="21">
        <f>K84*0.261477833</f>
        <v>0</v>
      </c>
      <c r="IS84" s="21">
        <f>K84*(1-0.261477833)</f>
        <v>0</v>
      </c>
    </row>
    <row r="85" spans="1:253" x14ac:dyDescent="0.25">
      <c r="A85" s="18">
        <v>66</v>
      </c>
      <c r="B85" s="2" t="s">
        <v>152</v>
      </c>
      <c r="C85" s="2" t="s">
        <v>93</v>
      </c>
      <c r="D85" s="105" t="s">
        <v>94</v>
      </c>
      <c r="E85" s="99"/>
      <c r="F85" s="99"/>
      <c r="G85" s="99"/>
      <c r="H85" s="99"/>
      <c r="I85" s="2" t="s">
        <v>31</v>
      </c>
      <c r="J85" s="19">
        <v>9</v>
      </c>
      <c r="K85" s="19"/>
      <c r="L85" s="20">
        <f t="shared" si="2"/>
        <v>0</v>
      </c>
      <c r="HV85" s="2" t="s">
        <v>75</v>
      </c>
      <c r="HW85" s="2" t="s">
        <v>32</v>
      </c>
      <c r="IR85" s="21">
        <f>K85*0.274235808</f>
        <v>0</v>
      </c>
      <c r="IS85" s="21">
        <f>K85*(1-0.274235808)</f>
        <v>0</v>
      </c>
    </row>
    <row r="86" spans="1:253" x14ac:dyDescent="0.25">
      <c r="A86" s="18">
        <v>67</v>
      </c>
      <c r="B86" s="2" t="s">
        <v>152</v>
      </c>
      <c r="C86" s="2" t="s">
        <v>97</v>
      </c>
      <c r="D86" s="105" t="s">
        <v>98</v>
      </c>
      <c r="E86" s="99"/>
      <c r="F86" s="99"/>
      <c r="G86" s="99"/>
      <c r="H86" s="99"/>
      <c r="I86" s="2" t="s">
        <v>31</v>
      </c>
      <c r="J86" s="19">
        <v>44</v>
      </c>
      <c r="K86" s="19"/>
      <c r="L86" s="20">
        <f t="shared" si="2"/>
        <v>0</v>
      </c>
      <c r="HV86" s="2" t="s">
        <v>75</v>
      </c>
      <c r="HW86" s="2" t="s">
        <v>32</v>
      </c>
      <c r="IR86" s="21">
        <f>K86*0.547804133</f>
        <v>0</v>
      </c>
      <c r="IS86" s="21">
        <f>K86*(1-0.547804133)</f>
        <v>0</v>
      </c>
    </row>
    <row r="87" spans="1:253" x14ac:dyDescent="0.25">
      <c r="A87" s="18">
        <v>68</v>
      </c>
      <c r="B87" s="2" t="s">
        <v>152</v>
      </c>
      <c r="C87" s="2" t="s">
        <v>99</v>
      </c>
      <c r="D87" s="105" t="s">
        <v>100</v>
      </c>
      <c r="E87" s="99"/>
      <c r="F87" s="99"/>
      <c r="G87" s="99"/>
      <c r="H87" s="99"/>
      <c r="I87" s="2" t="s">
        <v>31</v>
      </c>
      <c r="J87" s="19">
        <v>18</v>
      </c>
      <c r="K87" s="19"/>
      <c r="L87" s="20">
        <f t="shared" si="2"/>
        <v>0</v>
      </c>
      <c r="HV87" s="2" t="s">
        <v>75</v>
      </c>
      <c r="HW87" s="2" t="s">
        <v>32</v>
      </c>
      <c r="IR87" s="21">
        <f>K87*0.551556886</f>
        <v>0</v>
      </c>
      <c r="IS87" s="21">
        <f>K87*(1-0.551556886)</f>
        <v>0</v>
      </c>
    </row>
    <row r="88" spans="1:253" x14ac:dyDescent="0.25">
      <c r="A88" s="18">
        <v>69</v>
      </c>
      <c r="B88" s="2" t="s">
        <v>152</v>
      </c>
      <c r="C88" s="2" t="s">
        <v>101</v>
      </c>
      <c r="D88" s="105" t="s">
        <v>102</v>
      </c>
      <c r="E88" s="99"/>
      <c r="F88" s="99"/>
      <c r="G88" s="99"/>
      <c r="H88" s="99"/>
      <c r="I88" s="2" t="s">
        <v>31</v>
      </c>
      <c r="J88" s="19">
        <v>9</v>
      </c>
      <c r="K88" s="19"/>
      <c r="L88" s="20">
        <f t="shared" si="2"/>
        <v>0</v>
      </c>
      <c r="HV88" s="2" t="s">
        <v>75</v>
      </c>
      <c r="HW88" s="2" t="s">
        <v>32</v>
      </c>
      <c r="IR88" s="21">
        <f>K88*0.551111111</f>
        <v>0</v>
      </c>
      <c r="IS88" s="21">
        <f>K88*(1-0.551111111)</f>
        <v>0</v>
      </c>
    </row>
    <row r="89" spans="1:253" x14ac:dyDescent="0.25">
      <c r="A89" s="18">
        <v>70</v>
      </c>
      <c r="B89" s="2" t="s">
        <v>152</v>
      </c>
      <c r="C89" s="2" t="s">
        <v>162</v>
      </c>
      <c r="D89" s="105" t="s">
        <v>163</v>
      </c>
      <c r="E89" s="99"/>
      <c r="F89" s="99"/>
      <c r="G89" s="99"/>
      <c r="H89" s="99"/>
      <c r="I89" s="2" t="s">
        <v>35</v>
      </c>
      <c r="J89" s="19">
        <v>48</v>
      </c>
      <c r="K89" s="19"/>
      <c r="L89" s="20">
        <f t="shared" si="2"/>
        <v>0</v>
      </c>
      <c r="HV89" s="2" t="s">
        <v>75</v>
      </c>
      <c r="HW89" s="2" t="s">
        <v>32</v>
      </c>
      <c r="IR89" s="21">
        <f>K89*1</f>
        <v>0</v>
      </c>
      <c r="IS89" s="21">
        <f>K89*(1-1)</f>
        <v>0</v>
      </c>
    </row>
    <row r="90" spans="1:253" x14ac:dyDescent="0.25">
      <c r="A90" s="18">
        <v>71</v>
      </c>
      <c r="B90" s="2" t="s">
        <v>152</v>
      </c>
      <c r="C90" s="2" t="s">
        <v>115</v>
      </c>
      <c r="D90" s="105" t="s">
        <v>164</v>
      </c>
      <c r="E90" s="99"/>
      <c r="F90" s="99"/>
      <c r="G90" s="99"/>
      <c r="H90" s="99"/>
      <c r="I90" s="2" t="s">
        <v>35</v>
      </c>
      <c r="J90" s="19">
        <v>24</v>
      </c>
      <c r="K90" s="19"/>
      <c r="L90" s="20">
        <f t="shared" si="2"/>
        <v>0</v>
      </c>
      <c r="HV90" s="2" t="s">
        <v>75</v>
      </c>
      <c r="HW90" s="2" t="s">
        <v>32</v>
      </c>
      <c r="IR90" s="21">
        <f>K90*0.747749667</f>
        <v>0</v>
      </c>
      <c r="IS90" s="21">
        <f>K90*(1-0.747749667)</f>
        <v>0</v>
      </c>
    </row>
    <row r="91" spans="1:253" x14ac:dyDescent="0.25">
      <c r="A91" s="18">
        <v>72</v>
      </c>
      <c r="B91" s="2" t="s">
        <v>152</v>
      </c>
      <c r="C91" s="2" t="s">
        <v>165</v>
      </c>
      <c r="D91" s="105" t="s">
        <v>166</v>
      </c>
      <c r="E91" s="99"/>
      <c r="F91" s="99"/>
      <c r="G91" s="99"/>
      <c r="H91" s="99"/>
      <c r="I91" s="2" t="s">
        <v>35</v>
      </c>
      <c r="J91" s="19">
        <v>24</v>
      </c>
      <c r="K91" s="19"/>
      <c r="L91" s="20">
        <f t="shared" si="2"/>
        <v>0</v>
      </c>
      <c r="HV91" s="2" t="s">
        <v>75</v>
      </c>
      <c r="HW91" s="2" t="s">
        <v>32</v>
      </c>
      <c r="IR91" s="21">
        <f>K91*0.720177253</f>
        <v>0</v>
      </c>
      <c r="IS91" s="21">
        <f>K91*(1-0.720177253)</f>
        <v>0</v>
      </c>
    </row>
    <row r="92" spans="1:253" x14ac:dyDescent="0.25">
      <c r="A92" s="18">
        <v>73</v>
      </c>
      <c r="B92" s="2" t="s">
        <v>152</v>
      </c>
      <c r="C92" s="2" t="s">
        <v>167</v>
      </c>
      <c r="D92" s="105" t="s">
        <v>168</v>
      </c>
      <c r="E92" s="99"/>
      <c r="F92" s="99"/>
      <c r="G92" s="99"/>
      <c r="H92" s="99"/>
      <c r="I92" s="2" t="s">
        <v>35</v>
      </c>
      <c r="J92" s="19">
        <v>28</v>
      </c>
      <c r="K92" s="19"/>
      <c r="L92" s="20">
        <f t="shared" si="2"/>
        <v>0</v>
      </c>
      <c r="HV92" s="2" t="s">
        <v>75</v>
      </c>
      <c r="HW92" s="2" t="s">
        <v>32</v>
      </c>
      <c r="IR92" s="21">
        <f>K92*0</f>
        <v>0</v>
      </c>
      <c r="IS92" s="21">
        <f>K92*(1-0)</f>
        <v>0</v>
      </c>
    </row>
    <row r="93" spans="1:253" x14ac:dyDescent="0.25">
      <c r="A93" s="18">
        <v>74</v>
      </c>
      <c r="B93" s="2" t="s">
        <v>152</v>
      </c>
      <c r="C93" s="2" t="s">
        <v>169</v>
      </c>
      <c r="D93" s="105" t="s">
        <v>170</v>
      </c>
      <c r="E93" s="99"/>
      <c r="F93" s="99"/>
      <c r="G93" s="99"/>
      <c r="H93" s="99"/>
      <c r="I93" s="2" t="s">
        <v>35</v>
      </c>
      <c r="J93" s="19">
        <v>29</v>
      </c>
      <c r="K93" s="19"/>
      <c r="L93" s="20">
        <f t="shared" si="2"/>
        <v>0</v>
      </c>
      <c r="HV93" s="2" t="s">
        <v>75</v>
      </c>
      <c r="HW93" s="2" t="s">
        <v>32</v>
      </c>
      <c r="IR93" s="21">
        <f>K93*0.035569217</f>
        <v>0</v>
      </c>
      <c r="IS93" s="21">
        <f>K93*(1-0.035569217)</f>
        <v>0</v>
      </c>
    </row>
    <row r="94" spans="1:253" x14ac:dyDescent="0.25">
      <c r="A94" s="18">
        <v>75</v>
      </c>
      <c r="B94" s="2" t="s">
        <v>152</v>
      </c>
      <c r="C94" s="2" t="s">
        <v>171</v>
      </c>
      <c r="D94" s="105" t="s">
        <v>172</v>
      </c>
      <c r="E94" s="99"/>
      <c r="F94" s="99"/>
      <c r="G94" s="99"/>
      <c r="H94" s="99"/>
      <c r="I94" s="2" t="s">
        <v>35</v>
      </c>
      <c r="J94" s="19">
        <v>29</v>
      </c>
      <c r="K94" s="19"/>
      <c r="L94" s="20">
        <f t="shared" si="2"/>
        <v>0</v>
      </c>
      <c r="HV94" s="2" t="s">
        <v>75</v>
      </c>
      <c r="HW94" s="2" t="s">
        <v>32</v>
      </c>
      <c r="IR94" s="21">
        <f>K94*0.166666667</f>
        <v>0</v>
      </c>
      <c r="IS94" s="21">
        <f>K94*(1-0.166666667)</f>
        <v>0</v>
      </c>
    </row>
    <row r="95" spans="1:253" x14ac:dyDescent="0.25">
      <c r="A95" s="18">
        <v>76</v>
      </c>
      <c r="B95" s="2" t="s">
        <v>152</v>
      </c>
      <c r="C95" s="2" t="s">
        <v>140</v>
      </c>
      <c r="D95" s="105" t="s">
        <v>141</v>
      </c>
      <c r="E95" s="99"/>
      <c r="F95" s="99"/>
      <c r="G95" s="99"/>
      <c r="H95" s="99"/>
      <c r="I95" s="2" t="s">
        <v>31</v>
      </c>
      <c r="J95" s="19">
        <v>128</v>
      </c>
      <c r="K95" s="19"/>
      <c r="L95" s="20">
        <f t="shared" si="2"/>
        <v>0</v>
      </c>
      <c r="HV95" s="2" t="s">
        <v>75</v>
      </c>
      <c r="HW95" s="2" t="s">
        <v>32</v>
      </c>
      <c r="IR95" s="21">
        <f>K95*0.015294118</f>
        <v>0</v>
      </c>
      <c r="IS95" s="21">
        <f>K95*(1-0.015294118)</f>
        <v>0</v>
      </c>
    </row>
    <row r="96" spans="1:253" x14ac:dyDescent="0.25">
      <c r="A96" s="18">
        <v>77</v>
      </c>
      <c r="B96" s="2" t="s">
        <v>152</v>
      </c>
      <c r="C96" s="2" t="s">
        <v>142</v>
      </c>
      <c r="D96" s="105" t="s">
        <v>143</v>
      </c>
      <c r="E96" s="99"/>
      <c r="F96" s="99"/>
      <c r="G96" s="99"/>
      <c r="H96" s="99"/>
      <c r="I96" s="2" t="s">
        <v>31</v>
      </c>
      <c r="J96" s="19">
        <v>18</v>
      </c>
      <c r="K96" s="19"/>
      <c r="L96" s="20">
        <f t="shared" si="2"/>
        <v>0</v>
      </c>
      <c r="HV96" s="2" t="s">
        <v>75</v>
      </c>
      <c r="HW96" s="2" t="s">
        <v>32</v>
      </c>
      <c r="IR96" s="21">
        <f>K96*0.017572762</f>
        <v>0</v>
      </c>
      <c r="IS96" s="21">
        <f>K96*(1-0.017572762)</f>
        <v>0</v>
      </c>
    </row>
    <row r="97" spans="1:253" x14ac:dyDescent="0.25">
      <c r="A97" s="18">
        <v>78</v>
      </c>
      <c r="B97" s="2" t="s">
        <v>152</v>
      </c>
      <c r="C97" s="2" t="s">
        <v>173</v>
      </c>
      <c r="D97" s="105" t="s">
        <v>174</v>
      </c>
      <c r="E97" s="99"/>
      <c r="F97" s="99"/>
      <c r="G97" s="99"/>
      <c r="H97" s="99"/>
      <c r="I97" s="2" t="s">
        <v>72</v>
      </c>
      <c r="J97" s="19">
        <v>0.1</v>
      </c>
      <c r="K97" s="19"/>
      <c r="L97" s="20">
        <f t="shared" si="2"/>
        <v>0</v>
      </c>
      <c r="HV97" s="2" t="s">
        <v>75</v>
      </c>
      <c r="HW97" s="2" t="s">
        <v>32</v>
      </c>
      <c r="IR97" s="21">
        <f>K97*0</f>
        <v>0</v>
      </c>
      <c r="IS97" s="21">
        <f>K97*(1-0)</f>
        <v>0</v>
      </c>
    </row>
    <row r="98" spans="1:253" x14ac:dyDescent="0.25">
      <c r="A98" s="18">
        <v>79</v>
      </c>
      <c r="B98" s="2" t="s">
        <v>152</v>
      </c>
      <c r="C98" s="2" t="s">
        <v>150</v>
      </c>
      <c r="D98" s="105" t="s">
        <v>151</v>
      </c>
      <c r="E98" s="99"/>
      <c r="F98" s="99"/>
      <c r="G98" s="99"/>
      <c r="H98" s="99"/>
      <c r="I98" s="2" t="s">
        <v>43</v>
      </c>
      <c r="J98" s="19">
        <v>1240</v>
      </c>
      <c r="K98" s="19"/>
      <c r="L98" s="20">
        <f t="shared" si="2"/>
        <v>0</v>
      </c>
      <c r="HV98" s="2" t="s">
        <v>75</v>
      </c>
      <c r="HW98" s="2" t="s">
        <v>32</v>
      </c>
      <c r="IR98" s="21">
        <f>K98*0</f>
        <v>0</v>
      </c>
      <c r="IS98" s="21">
        <f>K98*(1-0)</f>
        <v>0</v>
      </c>
    </row>
    <row r="99" spans="1:253" x14ac:dyDescent="0.25">
      <c r="A99" s="14" t="s">
        <v>23</v>
      </c>
      <c r="B99" s="15" t="s">
        <v>152</v>
      </c>
      <c r="C99" s="15" t="s">
        <v>175</v>
      </c>
      <c r="D99" s="112" t="s">
        <v>176</v>
      </c>
      <c r="E99" s="113"/>
      <c r="F99" s="113"/>
      <c r="G99" s="113"/>
      <c r="H99" s="113"/>
      <c r="I99" s="15" t="s">
        <v>23</v>
      </c>
      <c r="J99" s="16" t="s">
        <v>23</v>
      </c>
      <c r="K99" s="16"/>
      <c r="L99" s="17">
        <f>SUM(L100:L102)</f>
        <v>0</v>
      </c>
    </row>
    <row r="100" spans="1:253" x14ac:dyDescent="0.25">
      <c r="A100" s="18">
        <v>80</v>
      </c>
      <c r="B100" s="2" t="s">
        <v>152</v>
      </c>
      <c r="C100" s="2" t="s">
        <v>177</v>
      </c>
      <c r="D100" s="105" t="s">
        <v>178</v>
      </c>
      <c r="E100" s="99"/>
      <c r="F100" s="99"/>
      <c r="G100" s="99"/>
      <c r="H100" s="99"/>
      <c r="I100" s="2" t="s">
        <v>40</v>
      </c>
      <c r="J100" s="19">
        <v>12</v>
      </c>
      <c r="K100" s="19"/>
      <c r="L100" s="20">
        <f>IR100*J100+IS100*J100</f>
        <v>0</v>
      </c>
      <c r="HV100" s="2" t="s">
        <v>175</v>
      </c>
      <c r="HW100" s="2" t="s">
        <v>32</v>
      </c>
      <c r="IR100" s="21">
        <f>K100*0</f>
        <v>0</v>
      </c>
      <c r="IS100" s="21">
        <f>K100*(1-0)</f>
        <v>0</v>
      </c>
    </row>
    <row r="101" spans="1:253" x14ac:dyDescent="0.25">
      <c r="A101" s="18">
        <v>81</v>
      </c>
      <c r="B101" s="2" t="s">
        <v>152</v>
      </c>
      <c r="C101" s="2" t="s">
        <v>179</v>
      </c>
      <c r="D101" s="105" t="s">
        <v>180</v>
      </c>
      <c r="E101" s="99"/>
      <c r="F101" s="99"/>
      <c r="G101" s="99"/>
      <c r="H101" s="99"/>
      <c r="I101" s="2" t="s">
        <v>40</v>
      </c>
      <c r="J101" s="19">
        <v>12</v>
      </c>
      <c r="K101" s="19"/>
      <c r="L101" s="20">
        <f>IR101*J101+IS101*J101</f>
        <v>0</v>
      </c>
      <c r="HV101" s="2" t="s">
        <v>175</v>
      </c>
      <c r="HW101" s="2" t="s">
        <v>32</v>
      </c>
      <c r="IR101" s="21">
        <f>K101*0.460774648</f>
        <v>0</v>
      </c>
      <c r="IS101" s="21">
        <f>K101*(1-0.460774648)</f>
        <v>0</v>
      </c>
    </row>
    <row r="102" spans="1:253" x14ac:dyDescent="0.25">
      <c r="A102" s="18">
        <v>82</v>
      </c>
      <c r="B102" s="2" t="s">
        <v>152</v>
      </c>
      <c r="C102" s="2" t="s">
        <v>181</v>
      </c>
      <c r="D102" s="105" t="s">
        <v>182</v>
      </c>
      <c r="E102" s="99"/>
      <c r="F102" s="99"/>
      <c r="G102" s="99"/>
      <c r="H102" s="99"/>
      <c r="I102" s="2" t="s">
        <v>43</v>
      </c>
      <c r="J102" s="19">
        <v>212</v>
      </c>
      <c r="K102" s="19"/>
      <c r="L102" s="20">
        <f>IR102*J102+IS102*J102</f>
        <v>0</v>
      </c>
      <c r="HV102" s="2" t="s">
        <v>175</v>
      </c>
      <c r="HW102" s="2" t="s">
        <v>32</v>
      </c>
      <c r="IR102" s="21">
        <f>K102*0</f>
        <v>0</v>
      </c>
      <c r="IS102" s="21">
        <f>K102*(1-0)</f>
        <v>0</v>
      </c>
    </row>
    <row r="103" spans="1:253" x14ac:dyDescent="0.25">
      <c r="A103" s="14" t="s">
        <v>23</v>
      </c>
      <c r="B103" s="15" t="s">
        <v>183</v>
      </c>
      <c r="C103" s="15" t="s">
        <v>25</v>
      </c>
      <c r="D103" s="112" t="s">
        <v>184</v>
      </c>
      <c r="E103" s="113"/>
      <c r="F103" s="113"/>
      <c r="G103" s="113"/>
      <c r="H103" s="113"/>
      <c r="I103" s="15" t="s">
        <v>23</v>
      </c>
      <c r="J103" s="16" t="s">
        <v>23</v>
      </c>
      <c r="K103" s="16"/>
      <c r="L103" s="17">
        <f>L104</f>
        <v>0</v>
      </c>
    </row>
    <row r="104" spans="1:253" x14ac:dyDescent="0.25">
      <c r="A104" s="14" t="s">
        <v>23</v>
      </c>
      <c r="B104" s="15" t="s">
        <v>183</v>
      </c>
      <c r="C104" s="15" t="s">
        <v>185</v>
      </c>
      <c r="D104" s="112" t="s">
        <v>186</v>
      </c>
      <c r="E104" s="113"/>
      <c r="F104" s="113"/>
      <c r="G104" s="113"/>
      <c r="H104" s="113"/>
      <c r="I104" s="15" t="s">
        <v>23</v>
      </c>
      <c r="J104" s="16" t="s">
        <v>23</v>
      </c>
      <c r="K104" s="16"/>
      <c r="L104" s="17">
        <f>SUM(L105:L127)</f>
        <v>0</v>
      </c>
    </row>
    <row r="105" spans="1:253" x14ac:dyDescent="0.25">
      <c r="A105" s="18">
        <v>83</v>
      </c>
      <c r="B105" s="2" t="s">
        <v>183</v>
      </c>
      <c r="C105" s="2" t="s">
        <v>187</v>
      </c>
      <c r="D105" s="105" t="s">
        <v>188</v>
      </c>
      <c r="E105" s="99"/>
      <c r="F105" s="99"/>
      <c r="G105" s="99"/>
      <c r="H105" s="99"/>
      <c r="I105" s="2" t="s">
        <v>31</v>
      </c>
      <c r="J105" s="19">
        <v>52</v>
      </c>
      <c r="K105" s="19"/>
      <c r="L105" s="20">
        <f t="shared" ref="L105:L127" si="3">IR105*J105+IS105*J105</f>
        <v>0</v>
      </c>
      <c r="HV105" s="2" t="s">
        <v>185</v>
      </c>
      <c r="HW105" s="2" t="s">
        <v>32</v>
      </c>
      <c r="IR105" s="21">
        <f>K105*0.894491772</f>
        <v>0</v>
      </c>
      <c r="IS105" s="21">
        <f>K105*(1-0.894491772)</f>
        <v>0</v>
      </c>
    </row>
    <row r="106" spans="1:253" x14ac:dyDescent="0.25">
      <c r="A106" s="18">
        <v>84</v>
      </c>
      <c r="B106" s="2" t="s">
        <v>183</v>
      </c>
      <c r="C106" s="2" t="s">
        <v>189</v>
      </c>
      <c r="D106" s="105" t="s">
        <v>190</v>
      </c>
      <c r="E106" s="99"/>
      <c r="F106" s="99"/>
      <c r="G106" s="99"/>
      <c r="H106" s="99"/>
      <c r="I106" s="2" t="s">
        <v>31</v>
      </c>
      <c r="J106" s="19">
        <v>52</v>
      </c>
      <c r="K106" s="19"/>
      <c r="L106" s="20">
        <f t="shared" si="3"/>
        <v>0</v>
      </c>
      <c r="HV106" s="2" t="s">
        <v>185</v>
      </c>
      <c r="HW106" s="2" t="s">
        <v>32</v>
      </c>
      <c r="IR106" s="21">
        <f>K106*0.775022891</f>
        <v>0</v>
      </c>
      <c r="IS106" s="21">
        <f>K106*(1-0.775022891)</f>
        <v>0</v>
      </c>
    </row>
    <row r="107" spans="1:253" x14ac:dyDescent="0.25">
      <c r="A107" s="18">
        <v>85</v>
      </c>
      <c r="B107" s="2" t="s">
        <v>183</v>
      </c>
      <c r="C107" s="2" t="s">
        <v>191</v>
      </c>
      <c r="D107" s="105" t="s">
        <v>192</v>
      </c>
      <c r="E107" s="99"/>
      <c r="F107" s="99"/>
      <c r="G107" s="99"/>
      <c r="H107" s="99"/>
      <c r="I107" s="2" t="s">
        <v>31</v>
      </c>
      <c r="J107" s="19">
        <v>7.2</v>
      </c>
      <c r="K107" s="19"/>
      <c r="L107" s="20">
        <f t="shared" si="3"/>
        <v>0</v>
      </c>
      <c r="HV107" s="2" t="s">
        <v>185</v>
      </c>
      <c r="HW107" s="2" t="s">
        <v>32</v>
      </c>
      <c r="IR107" s="21">
        <f>K107*0.817498489</f>
        <v>0</v>
      </c>
      <c r="IS107" s="21">
        <f>K107*(1-0.817498489)</f>
        <v>0</v>
      </c>
    </row>
    <row r="108" spans="1:253" x14ac:dyDescent="0.25">
      <c r="A108" s="18">
        <v>86</v>
      </c>
      <c r="B108" s="2" t="s">
        <v>183</v>
      </c>
      <c r="C108" s="2" t="s">
        <v>193</v>
      </c>
      <c r="D108" s="105" t="s">
        <v>194</v>
      </c>
      <c r="E108" s="99"/>
      <c r="F108" s="99"/>
      <c r="G108" s="99"/>
      <c r="H108" s="99"/>
      <c r="I108" s="2" t="s">
        <v>35</v>
      </c>
      <c r="J108" s="19">
        <v>15</v>
      </c>
      <c r="K108" s="19"/>
      <c r="L108" s="20">
        <f t="shared" si="3"/>
        <v>0</v>
      </c>
      <c r="HV108" s="2" t="s">
        <v>185</v>
      </c>
      <c r="HW108" s="2" t="s">
        <v>32</v>
      </c>
      <c r="IR108" s="21">
        <f>K108*0.865696798</f>
        <v>0</v>
      </c>
      <c r="IS108" s="21">
        <f>K108*(1-0.865696798)</f>
        <v>0</v>
      </c>
    </row>
    <row r="109" spans="1:253" x14ac:dyDescent="0.25">
      <c r="A109" s="18">
        <v>87</v>
      </c>
      <c r="B109" s="2" t="s">
        <v>183</v>
      </c>
      <c r="C109" s="2" t="s">
        <v>195</v>
      </c>
      <c r="D109" s="105" t="s">
        <v>196</v>
      </c>
      <c r="E109" s="99"/>
      <c r="F109" s="99"/>
      <c r="G109" s="99"/>
      <c r="H109" s="99"/>
      <c r="I109" s="2" t="s">
        <v>31</v>
      </c>
      <c r="J109" s="19">
        <v>78</v>
      </c>
      <c r="K109" s="19"/>
      <c r="L109" s="20">
        <f t="shared" si="3"/>
        <v>0</v>
      </c>
      <c r="HV109" s="2" t="s">
        <v>185</v>
      </c>
      <c r="HW109" s="2" t="s">
        <v>32</v>
      </c>
      <c r="IR109" s="21">
        <f>K109*0</f>
        <v>0</v>
      </c>
      <c r="IS109" s="21">
        <f>K109*(1-0)</f>
        <v>0</v>
      </c>
    </row>
    <row r="110" spans="1:253" x14ac:dyDescent="0.25">
      <c r="A110" s="18">
        <v>88</v>
      </c>
      <c r="B110" s="2" t="s">
        <v>183</v>
      </c>
      <c r="C110" s="2" t="s">
        <v>197</v>
      </c>
      <c r="D110" s="105" t="s">
        <v>198</v>
      </c>
      <c r="E110" s="99"/>
      <c r="F110" s="99"/>
      <c r="G110" s="99"/>
      <c r="H110" s="99"/>
      <c r="I110" s="2" t="s">
        <v>35</v>
      </c>
      <c r="J110" s="19">
        <v>4</v>
      </c>
      <c r="K110" s="19"/>
      <c r="L110" s="20">
        <f t="shared" si="3"/>
        <v>0</v>
      </c>
      <c r="HV110" s="2" t="s">
        <v>185</v>
      </c>
      <c r="HW110" s="2" t="s">
        <v>32</v>
      </c>
      <c r="IR110" s="21">
        <f>K110*0</f>
        <v>0</v>
      </c>
      <c r="IS110" s="21">
        <f>K110*(1-0)</f>
        <v>0</v>
      </c>
    </row>
    <row r="111" spans="1:253" x14ac:dyDescent="0.25">
      <c r="A111" s="18">
        <v>89</v>
      </c>
      <c r="B111" s="2" t="s">
        <v>183</v>
      </c>
      <c r="C111" s="2" t="s">
        <v>199</v>
      </c>
      <c r="D111" s="105" t="s">
        <v>200</v>
      </c>
      <c r="E111" s="99"/>
      <c r="F111" s="99"/>
      <c r="G111" s="99"/>
      <c r="H111" s="99"/>
      <c r="I111" s="2" t="s">
        <v>35</v>
      </c>
      <c r="J111" s="19">
        <v>4</v>
      </c>
      <c r="K111" s="19"/>
      <c r="L111" s="20">
        <f t="shared" si="3"/>
        <v>0</v>
      </c>
      <c r="HV111" s="2" t="s">
        <v>185</v>
      </c>
      <c r="HW111" s="2" t="s">
        <v>32</v>
      </c>
      <c r="IR111" s="21">
        <f>K111*0</f>
        <v>0</v>
      </c>
      <c r="IS111" s="21">
        <f>K111*(1-0)</f>
        <v>0</v>
      </c>
    </row>
    <row r="112" spans="1:253" x14ac:dyDescent="0.25">
      <c r="A112" s="18">
        <v>90</v>
      </c>
      <c r="B112" s="2" t="s">
        <v>183</v>
      </c>
      <c r="C112" s="2" t="s">
        <v>201</v>
      </c>
      <c r="D112" s="105" t="s">
        <v>202</v>
      </c>
      <c r="E112" s="99"/>
      <c r="F112" s="99"/>
      <c r="G112" s="99"/>
      <c r="H112" s="99"/>
      <c r="I112" s="2" t="s">
        <v>40</v>
      </c>
      <c r="J112" s="19">
        <v>4</v>
      </c>
      <c r="K112" s="19"/>
      <c r="L112" s="20">
        <f t="shared" si="3"/>
        <v>0</v>
      </c>
      <c r="HV112" s="2" t="s">
        <v>185</v>
      </c>
      <c r="HW112" s="2" t="s">
        <v>32</v>
      </c>
      <c r="IR112" s="21">
        <f>K112*0</f>
        <v>0</v>
      </c>
      <c r="IS112" s="21">
        <f>K112*(1-0)</f>
        <v>0</v>
      </c>
    </row>
    <row r="113" spans="1:253" x14ac:dyDescent="0.25">
      <c r="A113" s="18">
        <v>91</v>
      </c>
      <c r="B113" s="2" t="s">
        <v>183</v>
      </c>
      <c r="C113" s="2" t="s">
        <v>203</v>
      </c>
      <c r="D113" s="105" t="s">
        <v>204</v>
      </c>
      <c r="E113" s="99"/>
      <c r="F113" s="99"/>
      <c r="G113" s="99"/>
      <c r="H113" s="99"/>
      <c r="I113" s="2" t="s">
        <v>35</v>
      </c>
      <c r="J113" s="19">
        <v>3</v>
      </c>
      <c r="K113" s="19"/>
      <c r="L113" s="20">
        <f t="shared" si="3"/>
        <v>0</v>
      </c>
      <c r="HV113" s="2" t="s">
        <v>185</v>
      </c>
      <c r="HW113" s="2" t="s">
        <v>32</v>
      </c>
      <c r="IR113" s="21">
        <f>K113*0.133333333</f>
        <v>0</v>
      </c>
      <c r="IS113" s="21">
        <f>K113*(1-0.133333333)</f>
        <v>0</v>
      </c>
    </row>
    <row r="114" spans="1:253" x14ac:dyDescent="0.25">
      <c r="A114" s="18">
        <v>92</v>
      </c>
      <c r="B114" s="2" t="s">
        <v>183</v>
      </c>
      <c r="C114" s="2" t="s">
        <v>205</v>
      </c>
      <c r="D114" s="105" t="s">
        <v>206</v>
      </c>
      <c r="E114" s="99"/>
      <c r="F114" s="99"/>
      <c r="G114" s="99"/>
      <c r="H114" s="99"/>
      <c r="I114" s="2" t="s">
        <v>35</v>
      </c>
      <c r="J114" s="19">
        <v>12</v>
      </c>
      <c r="K114" s="19"/>
      <c r="L114" s="20">
        <f t="shared" si="3"/>
        <v>0</v>
      </c>
      <c r="HV114" s="2" t="s">
        <v>185</v>
      </c>
      <c r="HW114" s="2" t="s">
        <v>32</v>
      </c>
      <c r="IR114" s="21">
        <f>K114*0.5</f>
        <v>0</v>
      </c>
      <c r="IS114" s="21">
        <f>K114*(1-0.5)</f>
        <v>0</v>
      </c>
    </row>
    <row r="115" spans="1:253" x14ac:dyDescent="0.25">
      <c r="A115" s="18">
        <v>93</v>
      </c>
      <c r="B115" s="2" t="s">
        <v>183</v>
      </c>
      <c r="C115" s="2" t="s">
        <v>207</v>
      </c>
      <c r="D115" s="105" t="s">
        <v>208</v>
      </c>
      <c r="E115" s="99"/>
      <c r="F115" s="99"/>
      <c r="G115" s="99"/>
      <c r="H115" s="99"/>
      <c r="I115" s="2" t="s">
        <v>31</v>
      </c>
      <c r="J115" s="19">
        <v>52</v>
      </c>
      <c r="K115" s="19"/>
      <c r="L115" s="20">
        <f t="shared" si="3"/>
        <v>0</v>
      </c>
      <c r="HV115" s="2" t="s">
        <v>185</v>
      </c>
      <c r="HW115" s="2" t="s">
        <v>32</v>
      </c>
      <c r="IR115" s="21">
        <f>K115*0.5</f>
        <v>0</v>
      </c>
      <c r="IS115" s="21">
        <f>K115*(1-0.5)</f>
        <v>0</v>
      </c>
    </row>
    <row r="116" spans="1:253" x14ac:dyDescent="0.25">
      <c r="A116" s="18">
        <v>94</v>
      </c>
      <c r="B116" s="2" t="s">
        <v>183</v>
      </c>
      <c r="C116" s="2" t="s">
        <v>209</v>
      </c>
      <c r="D116" s="105" t="s">
        <v>210</v>
      </c>
      <c r="E116" s="99"/>
      <c r="F116" s="99"/>
      <c r="G116" s="99"/>
      <c r="H116" s="99"/>
      <c r="I116" s="2" t="s">
        <v>35</v>
      </c>
      <c r="J116" s="19">
        <v>12</v>
      </c>
      <c r="K116" s="19"/>
      <c r="L116" s="20">
        <f t="shared" si="3"/>
        <v>0</v>
      </c>
      <c r="HV116" s="2" t="s">
        <v>185</v>
      </c>
      <c r="HW116" s="2" t="s">
        <v>32</v>
      </c>
      <c r="IR116" s="21">
        <f>K116*0.235086207</f>
        <v>0</v>
      </c>
      <c r="IS116" s="21">
        <f>K116*(1-0.235086207)</f>
        <v>0</v>
      </c>
    </row>
    <row r="117" spans="1:253" x14ac:dyDescent="0.25">
      <c r="A117" s="18">
        <v>95</v>
      </c>
      <c r="B117" s="2" t="s">
        <v>183</v>
      </c>
      <c r="C117" s="2" t="s">
        <v>211</v>
      </c>
      <c r="D117" s="105" t="s">
        <v>212</v>
      </c>
      <c r="E117" s="99"/>
      <c r="F117" s="99"/>
      <c r="G117" s="99"/>
      <c r="H117" s="99"/>
      <c r="I117" s="2" t="s">
        <v>35</v>
      </c>
      <c r="J117" s="19">
        <v>12</v>
      </c>
      <c r="K117" s="19"/>
      <c r="L117" s="20">
        <f t="shared" si="3"/>
        <v>0</v>
      </c>
      <c r="HV117" s="2" t="s">
        <v>185</v>
      </c>
      <c r="HW117" s="2" t="s">
        <v>32</v>
      </c>
      <c r="IR117" s="21">
        <f>K117*0</f>
        <v>0</v>
      </c>
      <c r="IS117" s="21">
        <f>K117*(1-0)</f>
        <v>0</v>
      </c>
    </row>
    <row r="118" spans="1:253" x14ac:dyDescent="0.25">
      <c r="A118" s="18">
        <v>96</v>
      </c>
      <c r="B118" s="2" t="s">
        <v>183</v>
      </c>
      <c r="C118" s="2" t="s">
        <v>213</v>
      </c>
      <c r="D118" s="105" t="s">
        <v>214</v>
      </c>
      <c r="E118" s="99"/>
      <c r="F118" s="99"/>
      <c r="G118" s="99"/>
      <c r="H118" s="99"/>
      <c r="I118" s="2" t="s">
        <v>215</v>
      </c>
      <c r="J118" s="19">
        <v>12</v>
      </c>
      <c r="K118" s="19"/>
      <c r="L118" s="20">
        <f t="shared" si="3"/>
        <v>0</v>
      </c>
      <c r="HV118" s="2" t="s">
        <v>185</v>
      </c>
      <c r="HW118" s="2" t="s">
        <v>32</v>
      </c>
      <c r="IR118" s="21">
        <f>K118*0</f>
        <v>0</v>
      </c>
      <c r="IS118" s="21">
        <f>K118*(1-0)</f>
        <v>0</v>
      </c>
    </row>
    <row r="119" spans="1:253" x14ac:dyDescent="0.25">
      <c r="A119" s="18">
        <v>97</v>
      </c>
      <c r="B119" s="2" t="s">
        <v>183</v>
      </c>
      <c r="C119" s="2" t="s">
        <v>216</v>
      </c>
      <c r="D119" s="105" t="s">
        <v>217</v>
      </c>
      <c r="E119" s="99"/>
      <c r="F119" s="99"/>
      <c r="G119" s="99"/>
      <c r="H119" s="99"/>
      <c r="I119" s="2" t="s">
        <v>40</v>
      </c>
      <c r="J119" s="19">
        <v>12</v>
      </c>
      <c r="K119" s="19"/>
      <c r="L119" s="20">
        <f t="shared" si="3"/>
        <v>0</v>
      </c>
      <c r="HV119" s="2" t="s">
        <v>185</v>
      </c>
      <c r="HW119" s="2" t="s">
        <v>32</v>
      </c>
      <c r="IR119" s="21">
        <f>K119*0.500447005</f>
        <v>0</v>
      </c>
      <c r="IS119" s="21">
        <f>K119*(1-0.500447005)</f>
        <v>0</v>
      </c>
    </row>
    <row r="120" spans="1:253" x14ac:dyDescent="0.25">
      <c r="A120" s="18">
        <v>98</v>
      </c>
      <c r="B120" s="2" t="s">
        <v>183</v>
      </c>
      <c r="C120" s="2" t="s">
        <v>218</v>
      </c>
      <c r="D120" s="105" t="s">
        <v>219</v>
      </c>
      <c r="E120" s="99"/>
      <c r="F120" s="99"/>
      <c r="G120" s="99"/>
      <c r="H120" s="99"/>
      <c r="I120" s="2" t="s">
        <v>40</v>
      </c>
      <c r="J120" s="19">
        <v>12</v>
      </c>
      <c r="K120" s="19"/>
      <c r="L120" s="20">
        <f t="shared" si="3"/>
        <v>0</v>
      </c>
      <c r="HV120" s="2" t="s">
        <v>185</v>
      </c>
      <c r="HW120" s="2" t="s">
        <v>32</v>
      </c>
      <c r="IR120" s="21">
        <f>K120*0.068863636</f>
        <v>0</v>
      </c>
      <c r="IS120" s="21">
        <f>K120*(1-0.068863636)</f>
        <v>0</v>
      </c>
    </row>
    <row r="121" spans="1:253" x14ac:dyDescent="0.25">
      <c r="A121" s="18">
        <v>99</v>
      </c>
      <c r="B121" s="2" t="s">
        <v>183</v>
      </c>
      <c r="C121" s="2" t="s">
        <v>220</v>
      </c>
      <c r="D121" s="105" t="s">
        <v>221</v>
      </c>
      <c r="E121" s="99"/>
      <c r="F121" s="99"/>
      <c r="G121" s="99"/>
      <c r="H121" s="99"/>
      <c r="I121" s="2" t="s">
        <v>35</v>
      </c>
      <c r="J121" s="19">
        <v>12</v>
      </c>
      <c r="K121" s="19"/>
      <c r="L121" s="20">
        <f t="shared" si="3"/>
        <v>0</v>
      </c>
      <c r="HV121" s="2" t="s">
        <v>185</v>
      </c>
      <c r="HW121" s="2" t="s">
        <v>32</v>
      </c>
      <c r="IR121" s="21">
        <f>K121*0.264121622</f>
        <v>0</v>
      </c>
      <c r="IS121" s="21">
        <f>K121*(1-0.264121622)</f>
        <v>0</v>
      </c>
    </row>
    <row r="122" spans="1:253" x14ac:dyDescent="0.25">
      <c r="A122" s="18">
        <v>100</v>
      </c>
      <c r="B122" s="2" t="s">
        <v>183</v>
      </c>
      <c r="C122" s="2" t="s">
        <v>222</v>
      </c>
      <c r="D122" s="105" t="s">
        <v>223</v>
      </c>
      <c r="E122" s="99"/>
      <c r="F122" s="99"/>
      <c r="G122" s="99"/>
      <c r="H122" s="99"/>
      <c r="I122" s="2" t="s">
        <v>35</v>
      </c>
      <c r="J122" s="19">
        <v>12</v>
      </c>
      <c r="K122" s="19"/>
      <c r="L122" s="20">
        <f t="shared" si="3"/>
        <v>0</v>
      </c>
      <c r="HV122" s="2" t="s">
        <v>185</v>
      </c>
      <c r="HW122" s="2" t="s">
        <v>32</v>
      </c>
      <c r="IR122" s="21">
        <f>K122*0.125</f>
        <v>0</v>
      </c>
      <c r="IS122" s="21">
        <f>K122*(1-0.125)</f>
        <v>0</v>
      </c>
    </row>
    <row r="123" spans="1:253" x14ac:dyDescent="0.25">
      <c r="A123" s="18">
        <v>101</v>
      </c>
      <c r="B123" s="2" t="s">
        <v>183</v>
      </c>
      <c r="C123" s="2" t="s">
        <v>224</v>
      </c>
      <c r="D123" s="105" t="s">
        <v>225</v>
      </c>
      <c r="E123" s="99"/>
      <c r="F123" s="99"/>
      <c r="G123" s="99"/>
      <c r="H123" s="99"/>
      <c r="I123" s="2" t="s">
        <v>40</v>
      </c>
      <c r="J123" s="19">
        <v>12</v>
      </c>
      <c r="K123" s="19"/>
      <c r="L123" s="20">
        <f t="shared" si="3"/>
        <v>0</v>
      </c>
      <c r="HV123" s="2" t="s">
        <v>185</v>
      </c>
      <c r="HW123" s="2" t="s">
        <v>32</v>
      </c>
      <c r="IR123" s="21">
        <f>K123*0.692307692</f>
        <v>0</v>
      </c>
      <c r="IS123" s="21">
        <f>K123*(1-0.692307692)</f>
        <v>0</v>
      </c>
    </row>
    <row r="124" spans="1:253" x14ac:dyDescent="0.25">
      <c r="A124" s="18">
        <v>102</v>
      </c>
      <c r="B124" s="2" t="s">
        <v>183</v>
      </c>
      <c r="C124" s="2" t="s">
        <v>226</v>
      </c>
      <c r="D124" s="105" t="s">
        <v>227</v>
      </c>
      <c r="E124" s="99"/>
      <c r="F124" s="99"/>
      <c r="G124" s="99"/>
      <c r="H124" s="99"/>
      <c r="I124" s="2" t="s">
        <v>40</v>
      </c>
      <c r="J124" s="19">
        <v>3</v>
      </c>
      <c r="K124" s="19"/>
      <c r="L124" s="20">
        <f t="shared" si="3"/>
        <v>0</v>
      </c>
      <c r="HV124" s="2" t="s">
        <v>185</v>
      </c>
      <c r="HW124" s="2" t="s">
        <v>32</v>
      </c>
      <c r="IR124" s="21">
        <f>K124*0.391304348</f>
        <v>0</v>
      </c>
      <c r="IS124" s="21">
        <f>K124*(1-0.391304348)</f>
        <v>0</v>
      </c>
    </row>
    <row r="125" spans="1:253" x14ac:dyDescent="0.25">
      <c r="A125" s="18">
        <v>103</v>
      </c>
      <c r="B125" s="2" t="s">
        <v>183</v>
      </c>
      <c r="C125" s="2" t="s">
        <v>228</v>
      </c>
      <c r="D125" s="105" t="s">
        <v>229</v>
      </c>
      <c r="E125" s="99"/>
      <c r="F125" s="99"/>
      <c r="G125" s="99"/>
      <c r="H125" s="99"/>
      <c r="I125" s="2" t="s">
        <v>35</v>
      </c>
      <c r="J125" s="19">
        <v>12</v>
      </c>
      <c r="K125" s="19"/>
      <c r="L125" s="20">
        <f t="shared" si="3"/>
        <v>0</v>
      </c>
      <c r="HV125" s="2" t="s">
        <v>185</v>
      </c>
      <c r="HW125" s="2" t="s">
        <v>32</v>
      </c>
      <c r="IR125" s="21">
        <f>K125*0.791002004</f>
        <v>0</v>
      </c>
      <c r="IS125" s="21">
        <f>K125*(1-0.791002004)</f>
        <v>0</v>
      </c>
    </row>
    <row r="126" spans="1:253" x14ac:dyDescent="0.25">
      <c r="A126" s="18">
        <v>104</v>
      </c>
      <c r="B126" s="2" t="s">
        <v>183</v>
      </c>
      <c r="C126" s="2" t="s">
        <v>230</v>
      </c>
      <c r="D126" s="105" t="s">
        <v>231</v>
      </c>
      <c r="E126" s="99"/>
      <c r="F126" s="99"/>
      <c r="G126" s="99"/>
      <c r="H126" s="99"/>
      <c r="I126" s="2" t="s">
        <v>72</v>
      </c>
      <c r="J126" s="19">
        <v>0.2</v>
      </c>
      <c r="K126" s="19"/>
      <c r="L126" s="20">
        <f t="shared" si="3"/>
        <v>0</v>
      </c>
      <c r="HV126" s="2" t="s">
        <v>185</v>
      </c>
      <c r="HW126" s="2" t="s">
        <v>32</v>
      </c>
      <c r="IR126" s="21">
        <f>K126*0</f>
        <v>0</v>
      </c>
      <c r="IS126" s="21">
        <f>K126*(1-0)</f>
        <v>0</v>
      </c>
    </row>
    <row r="127" spans="1:253" x14ac:dyDescent="0.25">
      <c r="A127" s="18">
        <v>105</v>
      </c>
      <c r="B127" s="2" t="s">
        <v>183</v>
      </c>
      <c r="C127" s="2" t="s">
        <v>232</v>
      </c>
      <c r="D127" s="105" t="s">
        <v>233</v>
      </c>
      <c r="E127" s="99"/>
      <c r="F127" s="99"/>
      <c r="G127" s="99"/>
      <c r="H127" s="99"/>
      <c r="I127" s="2" t="s">
        <v>43</v>
      </c>
      <c r="J127" s="19">
        <v>1561</v>
      </c>
      <c r="K127" s="19"/>
      <c r="L127" s="20">
        <f t="shared" si="3"/>
        <v>0</v>
      </c>
      <c r="HV127" s="2" t="s">
        <v>185</v>
      </c>
      <c r="HW127" s="2" t="s">
        <v>32</v>
      </c>
      <c r="IR127" s="21">
        <f>K127*0</f>
        <v>0</v>
      </c>
      <c r="IS127" s="21">
        <f>K127*(1-0)</f>
        <v>0</v>
      </c>
    </row>
    <row r="128" spans="1:253" x14ac:dyDescent="0.25">
      <c r="A128" s="14" t="s">
        <v>23</v>
      </c>
      <c r="B128" s="15" t="s">
        <v>234</v>
      </c>
      <c r="C128" s="15" t="s">
        <v>25</v>
      </c>
      <c r="D128" s="112" t="s">
        <v>235</v>
      </c>
      <c r="E128" s="113"/>
      <c r="F128" s="113"/>
      <c r="G128" s="113"/>
      <c r="H128" s="113"/>
      <c r="I128" s="15" t="s">
        <v>23</v>
      </c>
      <c r="J128" s="16" t="s">
        <v>23</v>
      </c>
      <c r="K128" s="16"/>
      <c r="L128" s="17">
        <f>L129</f>
        <v>0</v>
      </c>
    </row>
    <row r="129" spans="1:253" x14ac:dyDescent="0.25">
      <c r="A129" s="14" t="s">
        <v>23</v>
      </c>
      <c r="B129" s="15" t="s">
        <v>234</v>
      </c>
      <c r="C129" s="15" t="s">
        <v>185</v>
      </c>
      <c r="D129" s="112" t="s">
        <v>186</v>
      </c>
      <c r="E129" s="113"/>
      <c r="F129" s="113"/>
      <c r="G129" s="113"/>
      <c r="H129" s="113"/>
      <c r="I129" s="15" t="s">
        <v>23</v>
      </c>
      <c r="J129" s="16" t="s">
        <v>23</v>
      </c>
      <c r="K129" s="16"/>
      <c r="L129" s="17">
        <f>SUM(L130:L142)</f>
        <v>0</v>
      </c>
    </row>
    <row r="130" spans="1:253" x14ac:dyDescent="0.25">
      <c r="A130" s="18">
        <v>106</v>
      </c>
      <c r="B130" s="2" t="s">
        <v>234</v>
      </c>
      <c r="C130" s="2" t="s">
        <v>236</v>
      </c>
      <c r="D130" s="105" t="s">
        <v>237</v>
      </c>
      <c r="E130" s="99"/>
      <c r="F130" s="99"/>
      <c r="G130" s="99"/>
      <c r="H130" s="99"/>
      <c r="I130" s="2" t="s">
        <v>31</v>
      </c>
      <c r="J130" s="19">
        <v>42</v>
      </c>
      <c r="K130" s="19"/>
      <c r="L130" s="20">
        <f t="shared" ref="L130:L142" si="4">IR130*J130+IS130*J130</f>
        <v>0</v>
      </c>
      <c r="HV130" s="2" t="s">
        <v>185</v>
      </c>
      <c r="HW130" s="2" t="s">
        <v>32</v>
      </c>
      <c r="IR130" s="21">
        <f>K130*0.784810127</f>
        <v>0</v>
      </c>
      <c r="IS130" s="21">
        <f>K130*(1-0.784810127)</f>
        <v>0</v>
      </c>
    </row>
    <row r="131" spans="1:253" x14ac:dyDescent="0.25">
      <c r="A131" s="18">
        <v>107</v>
      </c>
      <c r="B131" s="2" t="s">
        <v>234</v>
      </c>
      <c r="C131" s="2" t="s">
        <v>238</v>
      </c>
      <c r="D131" s="105" t="s">
        <v>239</v>
      </c>
      <c r="E131" s="99"/>
      <c r="F131" s="99"/>
      <c r="G131" s="99"/>
      <c r="H131" s="99"/>
      <c r="I131" s="2" t="s">
        <v>31</v>
      </c>
      <c r="J131" s="19">
        <v>42</v>
      </c>
      <c r="K131" s="19"/>
      <c r="L131" s="20">
        <f t="shared" si="4"/>
        <v>0</v>
      </c>
      <c r="HV131" s="2" t="s">
        <v>185</v>
      </c>
      <c r="HW131" s="2" t="s">
        <v>32</v>
      </c>
      <c r="IR131" s="21">
        <f>K131*0.62369062</f>
        <v>0</v>
      </c>
      <c r="IS131" s="21">
        <f>K131*(1-0.62369062)</f>
        <v>0</v>
      </c>
    </row>
    <row r="132" spans="1:253" x14ac:dyDescent="0.25">
      <c r="A132" s="18">
        <v>108</v>
      </c>
      <c r="B132" s="2" t="s">
        <v>234</v>
      </c>
      <c r="C132" s="2" t="s">
        <v>240</v>
      </c>
      <c r="D132" s="105" t="s">
        <v>241</v>
      </c>
      <c r="E132" s="99"/>
      <c r="F132" s="99"/>
      <c r="G132" s="99"/>
      <c r="H132" s="99"/>
      <c r="I132" s="2" t="s">
        <v>31</v>
      </c>
      <c r="J132" s="19">
        <v>1.8</v>
      </c>
      <c r="K132" s="19"/>
      <c r="L132" s="20">
        <f t="shared" si="4"/>
        <v>0</v>
      </c>
      <c r="HV132" s="2" t="s">
        <v>185</v>
      </c>
      <c r="HW132" s="2" t="s">
        <v>32</v>
      </c>
      <c r="IR132" s="21">
        <f>K132*0.674456522</f>
        <v>0</v>
      </c>
      <c r="IS132" s="21">
        <f>K132*(1-0.674456522)</f>
        <v>0</v>
      </c>
    </row>
    <row r="133" spans="1:253" x14ac:dyDescent="0.25">
      <c r="A133" s="18">
        <v>109</v>
      </c>
      <c r="B133" s="2" t="s">
        <v>234</v>
      </c>
      <c r="C133" s="2" t="s">
        <v>242</v>
      </c>
      <c r="D133" s="105" t="s">
        <v>243</v>
      </c>
      <c r="E133" s="99"/>
      <c r="F133" s="99"/>
      <c r="G133" s="99"/>
      <c r="H133" s="99"/>
      <c r="I133" s="2" t="s">
        <v>35</v>
      </c>
      <c r="J133" s="19">
        <v>12</v>
      </c>
      <c r="K133" s="19"/>
      <c r="L133" s="20">
        <f t="shared" si="4"/>
        <v>0</v>
      </c>
      <c r="HV133" s="2" t="s">
        <v>185</v>
      </c>
      <c r="HW133" s="2" t="s">
        <v>32</v>
      </c>
      <c r="IR133" s="21">
        <f>K133*0.369529715</f>
        <v>0</v>
      </c>
      <c r="IS133" s="21">
        <f>K133*(1-0.369529715)</f>
        <v>0</v>
      </c>
    </row>
    <row r="134" spans="1:253" x14ac:dyDescent="0.25">
      <c r="A134" s="18">
        <v>110</v>
      </c>
      <c r="B134" s="2" t="s">
        <v>234</v>
      </c>
      <c r="C134" s="2" t="s">
        <v>197</v>
      </c>
      <c r="D134" s="105" t="s">
        <v>198</v>
      </c>
      <c r="E134" s="99"/>
      <c r="F134" s="99"/>
      <c r="G134" s="99"/>
      <c r="H134" s="99"/>
      <c r="I134" s="2" t="s">
        <v>35</v>
      </c>
      <c r="J134" s="19">
        <v>12</v>
      </c>
      <c r="K134" s="19"/>
      <c r="L134" s="20">
        <f t="shared" si="4"/>
        <v>0</v>
      </c>
      <c r="HV134" s="2" t="s">
        <v>185</v>
      </c>
      <c r="HW134" s="2" t="s">
        <v>32</v>
      </c>
      <c r="IR134" s="21">
        <f>K134*0</f>
        <v>0</v>
      </c>
      <c r="IS134" s="21">
        <f>K134*(1-0)</f>
        <v>0</v>
      </c>
    </row>
    <row r="135" spans="1:253" x14ac:dyDescent="0.25">
      <c r="A135" s="18">
        <v>111</v>
      </c>
      <c r="B135" s="2" t="s">
        <v>234</v>
      </c>
      <c r="C135" s="2" t="s">
        <v>195</v>
      </c>
      <c r="D135" s="105" t="s">
        <v>196</v>
      </c>
      <c r="E135" s="99"/>
      <c r="F135" s="99"/>
      <c r="G135" s="99"/>
      <c r="H135" s="99"/>
      <c r="I135" s="2" t="s">
        <v>31</v>
      </c>
      <c r="J135" s="19">
        <v>42</v>
      </c>
      <c r="K135" s="19"/>
      <c r="L135" s="20">
        <f t="shared" si="4"/>
        <v>0</v>
      </c>
      <c r="HV135" s="2" t="s">
        <v>185</v>
      </c>
      <c r="HW135" s="2" t="s">
        <v>32</v>
      </c>
      <c r="IR135" s="21">
        <f>K135*0</f>
        <v>0</v>
      </c>
      <c r="IS135" s="21">
        <f>K135*(1-0)</f>
        <v>0</v>
      </c>
    </row>
    <row r="136" spans="1:253" x14ac:dyDescent="0.25">
      <c r="A136" s="18">
        <v>112</v>
      </c>
      <c r="B136" s="2" t="s">
        <v>234</v>
      </c>
      <c r="C136" s="2" t="s">
        <v>199</v>
      </c>
      <c r="D136" s="105" t="s">
        <v>200</v>
      </c>
      <c r="E136" s="99"/>
      <c r="F136" s="99"/>
      <c r="G136" s="99"/>
      <c r="H136" s="99"/>
      <c r="I136" s="2" t="s">
        <v>35</v>
      </c>
      <c r="J136" s="19">
        <v>12</v>
      </c>
      <c r="K136" s="19"/>
      <c r="L136" s="20">
        <f t="shared" si="4"/>
        <v>0</v>
      </c>
      <c r="HV136" s="2" t="s">
        <v>185</v>
      </c>
      <c r="HW136" s="2" t="s">
        <v>32</v>
      </c>
      <c r="IR136" s="21">
        <f>K136*0</f>
        <v>0</v>
      </c>
      <c r="IS136" s="21">
        <f>K136*(1-0)</f>
        <v>0</v>
      </c>
    </row>
    <row r="137" spans="1:253" x14ac:dyDescent="0.25">
      <c r="A137" s="18">
        <v>113</v>
      </c>
      <c r="B137" s="2" t="s">
        <v>234</v>
      </c>
      <c r="C137" s="2" t="s">
        <v>244</v>
      </c>
      <c r="D137" s="105" t="s">
        <v>245</v>
      </c>
      <c r="E137" s="99"/>
      <c r="F137" s="99"/>
      <c r="G137" s="99"/>
      <c r="H137" s="99"/>
      <c r="I137" s="2" t="s">
        <v>40</v>
      </c>
      <c r="J137" s="19">
        <v>12</v>
      </c>
      <c r="K137" s="19"/>
      <c r="L137" s="20">
        <f t="shared" si="4"/>
        <v>0</v>
      </c>
      <c r="HV137" s="2" t="s">
        <v>185</v>
      </c>
      <c r="HW137" s="2" t="s">
        <v>32</v>
      </c>
      <c r="IR137" s="21">
        <f>K137*0</f>
        <v>0</v>
      </c>
      <c r="IS137" s="21">
        <f>K137*(1-0)</f>
        <v>0</v>
      </c>
    </row>
    <row r="138" spans="1:253" x14ac:dyDescent="0.25">
      <c r="A138" s="18">
        <v>114</v>
      </c>
      <c r="B138" s="2" t="s">
        <v>234</v>
      </c>
      <c r="C138" s="2" t="s">
        <v>246</v>
      </c>
      <c r="D138" s="105" t="s">
        <v>247</v>
      </c>
      <c r="E138" s="99"/>
      <c r="F138" s="99"/>
      <c r="G138" s="99"/>
      <c r="H138" s="99"/>
      <c r="I138" s="2" t="s">
        <v>35</v>
      </c>
      <c r="J138" s="19">
        <v>12</v>
      </c>
      <c r="K138" s="19"/>
      <c r="L138" s="20">
        <f t="shared" si="4"/>
        <v>0</v>
      </c>
      <c r="HV138" s="2" t="s">
        <v>185</v>
      </c>
      <c r="HW138" s="2" t="s">
        <v>32</v>
      </c>
      <c r="IR138" s="21">
        <f>K138*0.042227171</f>
        <v>0</v>
      </c>
      <c r="IS138" s="21">
        <f>K138*(1-0.042227171)</f>
        <v>0</v>
      </c>
    </row>
    <row r="139" spans="1:253" x14ac:dyDescent="0.25">
      <c r="A139" s="18">
        <v>115</v>
      </c>
      <c r="B139" s="2" t="s">
        <v>234</v>
      </c>
      <c r="C139" s="2" t="s">
        <v>248</v>
      </c>
      <c r="D139" s="105" t="s">
        <v>249</v>
      </c>
      <c r="E139" s="99"/>
      <c r="F139" s="99"/>
      <c r="G139" s="99"/>
      <c r="H139" s="99"/>
      <c r="I139" s="2" t="s">
        <v>40</v>
      </c>
      <c r="J139" s="19">
        <v>12</v>
      </c>
      <c r="K139" s="19"/>
      <c r="L139" s="20">
        <f t="shared" si="4"/>
        <v>0</v>
      </c>
      <c r="HV139" s="2" t="s">
        <v>185</v>
      </c>
      <c r="HW139" s="2" t="s">
        <v>129</v>
      </c>
      <c r="IR139" s="21">
        <f>K139*1</f>
        <v>0</v>
      </c>
      <c r="IS139" s="21">
        <f>K139*(1-1)</f>
        <v>0</v>
      </c>
    </row>
    <row r="140" spans="1:253" x14ac:dyDescent="0.25">
      <c r="A140" s="18">
        <v>116</v>
      </c>
      <c r="B140" s="2" t="s">
        <v>234</v>
      </c>
      <c r="C140" s="2" t="s">
        <v>250</v>
      </c>
      <c r="D140" s="105" t="s">
        <v>251</v>
      </c>
      <c r="E140" s="99"/>
      <c r="F140" s="99"/>
      <c r="G140" s="99"/>
      <c r="H140" s="99"/>
      <c r="I140" s="2" t="s">
        <v>40</v>
      </c>
      <c r="J140" s="19">
        <v>12</v>
      </c>
      <c r="K140" s="19"/>
      <c r="L140" s="20">
        <f t="shared" si="4"/>
        <v>0</v>
      </c>
      <c r="HV140" s="2" t="s">
        <v>185</v>
      </c>
      <c r="HW140" s="2" t="s">
        <v>32</v>
      </c>
      <c r="IR140" s="21">
        <f>K140*0</f>
        <v>0</v>
      </c>
      <c r="IS140" s="21">
        <f>K140*(1-0)</f>
        <v>0</v>
      </c>
    </row>
    <row r="141" spans="1:253" x14ac:dyDescent="0.25">
      <c r="A141" s="18">
        <v>117</v>
      </c>
      <c r="B141" s="2" t="s">
        <v>234</v>
      </c>
      <c r="C141" s="2" t="s">
        <v>230</v>
      </c>
      <c r="D141" s="105" t="s">
        <v>231</v>
      </c>
      <c r="E141" s="99"/>
      <c r="F141" s="99"/>
      <c r="G141" s="99"/>
      <c r="H141" s="99"/>
      <c r="I141" s="2" t="s">
        <v>72</v>
      </c>
      <c r="J141" s="19">
        <v>0.1</v>
      </c>
      <c r="K141" s="19"/>
      <c r="L141" s="20">
        <f t="shared" si="4"/>
        <v>0</v>
      </c>
      <c r="HV141" s="2" t="s">
        <v>185</v>
      </c>
      <c r="HW141" s="2" t="s">
        <v>32</v>
      </c>
      <c r="IR141" s="21">
        <f>K141*0</f>
        <v>0</v>
      </c>
      <c r="IS141" s="21">
        <f>K141*(1-0)</f>
        <v>0</v>
      </c>
    </row>
    <row r="142" spans="1:253" x14ac:dyDescent="0.25">
      <c r="A142" s="18">
        <v>118</v>
      </c>
      <c r="B142" s="2" t="s">
        <v>234</v>
      </c>
      <c r="C142" s="2" t="s">
        <v>232</v>
      </c>
      <c r="D142" s="105" t="s">
        <v>233</v>
      </c>
      <c r="E142" s="99"/>
      <c r="F142" s="99"/>
      <c r="G142" s="99"/>
      <c r="H142" s="99"/>
      <c r="I142" s="2" t="s">
        <v>43</v>
      </c>
      <c r="J142" s="19">
        <v>611</v>
      </c>
      <c r="K142" s="19"/>
      <c r="L142" s="20">
        <f t="shared" si="4"/>
        <v>0</v>
      </c>
      <c r="HV142" s="2" t="s">
        <v>185</v>
      </c>
      <c r="HW142" s="2" t="s">
        <v>32</v>
      </c>
      <c r="IR142" s="21">
        <f>K142*0</f>
        <v>0</v>
      </c>
      <c r="IS142" s="21">
        <f>K142*(1-0)</f>
        <v>0</v>
      </c>
    </row>
    <row r="143" spans="1:253" x14ac:dyDescent="0.25">
      <c r="A143" s="14" t="s">
        <v>23</v>
      </c>
      <c r="B143" s="15" t="s">
        <v>252</v>
      </c>
      <c r="C143" s="15" t="s">
        <v>25</v>
      </c>
      <c r="D143" s="112" t="s">
        <v>253</v>
      </c>
      <c r="E143" s="113"/>
      <c r="F143" s="113"/>
      <c r="G143" s="113"/>
      <c r="H143" s="113"/>
      <c r="I143" s="15" t="s">
        <v>23</v>
      </c>
      <c r="J143" s="16" t="s">
        <v>23</v>
      </c>
      <c r="K143" s="16"/>
      <c r="L143" s="17">
        <f>L144</f>
        <v>0</v>
      </c>
    </row>
    <row r="144" spans="1:253" x14ac:dyDescent="0.25">
      <c r="A144" s="14" t="s">
        <v>23</v>
      </c>
      <c r="B144" s="15" t="s">
        <v>252</v>
      </c>
      <c r="C144" s="15" t="s">
        <v>185</v>
      </c>
      <c r="D144" s="112" t="s">
        <v>186</v>
      </c>
      <c r="E144" s="113"/>
      <c r="F144" s="113"/>
      <c r="G144" s="113"/>
      <c r="H144" s="113"/>
      <c r="I144" s="15" t="s">
        <v>23</v>
      </c>
      <c r="J144" s="16" t="s">
        <v>23</v>
      </c>
      <c r="K144" s="16"/>
      <c r="L144" s="17">
        <f>SUM(L145:L155)</f>
        <v>0</v>
      </c>
    </row>
    <row r="145" spans="1:253" x14ac:dyDescent="0.25">
      <c r="A145" s="18">
        <v>119</v>
      </c>
      <c r="B145" s="2" t="s">
        <v>252</v>
      </c>
      <c r="C145" s="2" t="s">
        <v>187</v>
      </c>
      <c r="D145" s="105" t="s">
        <v>254</v>
      </c>
      <c r="E145" s="99"/>
      <c r="F145" s="99"/>
      <c r="G145" s="99"/>
      <c r="H145" s="99"/>
      <c r="I145" s="2" t="s">
        <v>31</v>
      </c>
      <c r="J145" s="19">
        <v>2</v>
      </c>
      <c r="K145" s="19"/>
      <c r="L145" s="20">
        <f t="shared" ref="L145:L155" si="5">IR145*J145+IS145*J145</f>
        <v>0</v>
      </c>
      <c r="HV145" s="2" t="s">
        <v>185</v>
      </c>
      <c r="HW145" s="2" t="s">
        <v>32</v>
      </c>
      <c r="IR145" s="21">
        <f>K145*0.894491772</f>
        <v>0</v>
      </c>
      <c r="IS145" s="21">
        <f>K145*(1-0.894491772)</f>
        <v>0</v>
      </c>
    </row>
    <row r="146" spans="1:253" x14ac:dyDescent="0.25">
      <c r="A146" s="18">
        <v>120</v>
      </c>
      <c r="B146" s="2" t="s">
        <v>252</v>
      </c>
      <c r="C146" s="2" t="s">
        <v>255</v>
      </c>
      <c r="D146" s="105" t="s">
        <v>256</v>
      </c>
      <c r="E146" s="99"/>
      <c r="F146" s="99"/>
      <c r="G146" s="99"/>
      <c r="H146" s="99"/>
      <c r="I146" s="2" t="s">
        <v>35</v>
      </c>
      <c r="J146" s="19">
        <v>2</v>
      </c>
      <c r="K146" s="19"/>
      <c r="L146" s="20">
        <f t="shared" si="5"/>
        <v>0</v>
      </c>
      <c r="HV146" s="2" t="s">
        <v>185</v>
      </c>
      <c r="HW146" s="2" t="s">
        <v>32</v>
      </c>
      <c r="IR146" s="21">
        <f>K146*0.521187047</f>
        <v>0</v>
      </c>
      <c r="IS146" s="21">
        <f>K146*(1-0.521187047)</f>
        <v>0</v>
      </c>
    </row>
    <row r="147" spans="1:253" x14ac:dyDescent="0.25">
      <c r="A147" s="18">
        <v>121</v>
      </c>
      <c r="B147" s="2" t="s">
        <v>252</v>
      </c>
      <c r="C147" s="2" t="s">
        <v>257</v>
      </c>
      <c r="D147" s="105" t="s">
        <v>258</v>
      </c>
      <c r="E147" s="99"/>
      <c r="F147" s="99"/>
      <c r="G147" s="99"/>
      <c r="H147" s="99"/>
      <c r="I147" s="2" t="s">
        <v>31</v>
      </c>
      <c r="J147" s="19">
        <v>5</v>
      </c>
      <c r="K147" s="19"/>
      <c r="L147" s="20">
        <f t="shared" si="5"/>
        <v>0</v>
      </c>
      <c r="HV147" s="2" t="s">
        <v>185</v>
      </c>
      <c r="HW147" s="2" t="s">
        <v>32</v>
      </c>
      <c r="IR147" s="21">
        <f>K147*0.815683794</f>
        <v>0</v>
      </c>
      <c r="IS147" s="21">
        <f>K147*(1-0.815683794)</f>
        <v>0</v>
      </c>
    </row>
    <row r="148" spans="1:253" x14ac:dyDescent="0.25">
      <c r="A148" s="18">
        <v>122</v>
      </c>
      <c r="B148" s="2" t="s">
        <v>252</v>
      </c>
      <c r="C148" s="2" t="s">
        <v>259</v>
      </c>
      <c r="D148" s="105" t="s">
        <v>260</v>
      </c>
      <c r="E148" s="99"/>
      <c r="F148" s="99"/>
      <c r="G148" s="99"/>
      <c r="H148" s="99"/>
      <c r="I148" s="2" t="s">
        <v>31</v>
      </c>
      <c r="J148" s="19">
        <v>1</v>
      </c>
      <c r="K148" s="19"/>
      <c r="L148" s="20">
        <f t="shared" si="5"/>
        <v>0</v>
      </c>
      <c r="HV148" s="2" t="s">
        <v>185</v>
      </c>
      <c r="HW148" s="2" t="s">
        <v>32</v>
      </c>
      <c r="IR148" s="21">
        <f>K148*0.832367448</f>
        <v>0</v>
      </c>
      <c r="IS148" s="21">
        <f>K148*(1-0.832367448)</f>
        <v>0</v>
      </c>
    </row>
    <row r="149" spans="1:253" x14ac:dyDescent="0.25">
      <c r="A149" s="18">
        <v>123</v>
      </c>
      <c r="B149" s="2" t="s">
        <v>252</v>
      </c>
      <c r="C149" s="2" t="s">
        <v>197</v>
      </c>
      <c r="D149" s="105" t="s">
        <v>198</v>
      </c>
      <c r="E149" s="99"/>
      <c r="F149" s="99"/>
      <c r="G149" s="99"/>
      <c r="H149" s="99"/>
      <c r="I149" s="2" t="s">
        <v>35</v>
      </c>
      <c r="J149" s="19">
        <v>2</v>
      </c>
      <c r="K149" s="19"/>
      <c r="L149" s="20">
        <f t="shared" si="5"/>
        <v>0</v>
      </c>
      <c r="HV149" s="2" t="s">
        <v>185</v>
      </c>
      <c r="HW149" s="2" t="s">
        <v>32</v>
      </c>
      <c r="IR149" s="21">
        <f>K149*0</f>
        <v>0</v>
      </c>
      <c r="IS149" s="21">
        <f>K149*(1-0)</f>
        <v>0</v>
      </c>
    </row>
    <row r="150" spans="1:253" x14ac:dyDescent="0.25">
      <c r="A150" s="18">
        <v>124</v>
      </c>
      <c r="B150" s="2" t="s">
        <v>252</v>
      </c>
      <c r="C150" s="2" t="s">
        <v>195</v>
      </c>
      <c r="D150" s="105" t="s">
        <v>196</v>
      </c>
      <c r="E150" s="99"/>
      <c r="F150" s="99"/>
      <c r="G150" s="99"/>
      <c r="H150" s="99"/>
      <c r="I150" s="2" t="s">
        <v>31</v>
      </c>
      <c r="J150" s="19">
        <v>24</v>
      </c>
      <c r="K150" s="19"/>
      <c r="L150" s="20">
        <f t="shared" si="5"/>
        <v>0</v>
      </c>
      <c r="HV150" s="2" t="s">
        <v>185</v>
      </c>
      <c r="HW150" s="2" t="s">
        <v>32</v>
      </c>
      <c r="IR150" s="21">
        <f>K150*0</f>
        <v>0</v>
      </c>
      <c r="IS150" s="21">
        <f>K150*(1-0)</f>
        <v>0</v>
      </c>
    </row>
    <row r="151" spans="1:253" x14ac:dyDescent="0.25">
      <c r="A151" s="18">
        <v>125</v>
      </c>
      <c r="B151" s="2" t="s">
        <v>252</v>
      </c>
      <c r="C151" s="2" t="s">
        <v>199</v>
      </c>
      <c r="D151" s="105" t="s">
        <v>200</v>
      </c>
      <c r="E151" s="99"/>
      <c r="F151" s="99"/>
      <c r="G151" s="99"/>
      <c r="H151" s="99"/>
      <c r="I151" s="2" t="s">
        <v>35</v>
      </c>
      <c r="J151" s="19">
        <v>1</v>
      </c>
      <c r="K151" s="19"/>
      <c r="L151" s="20">
        <f t="shared" si="5"/>
        <v>0</v>
      </c>
      <c r="HV151" s="2" t="s">
        <v>185</v>
      </c>
      <c r="HW151" s="2" t="s">
        <v>32</v>
      </c>
      <c r="IR151" s="21">
        <f>K151*0</f>
        <v>0</v>
      </c>
      <c r="IS151" s="21">
        <f>K151*(1-0)</f>
        <v>0</v>
      </c>
    </row>
    <row r="152" spans="1:253" x14ac:dyDescent="0.25">
      <c r="A152" s="18">
        <v>126</v>
      </c>
      <c r="B152" s="2" t="s">
        <v>252</v>
      </c>
      <c r="C152" s="2" t="s">
        <v>261</v>
      </c>
      <c r="D152" s="105" t="s">
        <v>262</v>
      </c>
      <c r="E152" s="99"/>
      <c r="F152" s="99"/>
      <c r="G152" s="99"/>
      <c r="H152" s="99"/>
      <c r="I152" s="2" t="s">
        <v>35</v>
      </c>
      <c r="J152" s="19">
        <v>2</v>
      </c>
      <c r="K152" s="19"/>
      <c r="L152" s="20">
        <f t="shared" si="5"/>
        <v>0</v>
      </c>
      <c r="HV152" s="2" t="s">
        <v>185</v>
      </c>
      <c r="HW152" s="2" t="s">
        <v>32</v>
      </c>
      <c r="IR152" s="21">
        <f>K152*0.894242804</f>
        <v>0</v>
      </c>
      <c r="IS152" s="21">
        <f>K152*(1-0.894242804)</f>
        <v>0</v>
      </c>
    </row>
    <row r="153" spans="1:253" x14ac:dyDescent="0.25">
      <c r="A153" s="18">
        <v>127</v>
      </c>
      <c r="B153" s="2" t="s">
        <v>252</v>
      </c>
      <c r="C153" s="2" t="s">
        <v>263</v>
      </c>
      <c r="D153" s="105" t="s">
        <v>264</v>
      </c>
      <c r="E153" s="99"/>
      <c r="F153" s="99"/>
      <c r="G153" s="99"/>
      <c r="H153" s="99"/>
      <c r="I153" s="2" t="s">
        <v>35</v>
      </c>
      <c r="J153" s="19">
        <v>1</v>
      </c>
      <c r="K153" s="19"/>
      <c r="L153" s="20">
        <f t="shared" si="5"/>
        <v>0</v>
      </c>
      <c r="HV153" s="2" t="s">
        <v>185</v>
      </c>
      <c r="HW153" s="2" t="s">
        <v>32</v>
      </c>
      <c r="IR153" s="21">
        <f>K153*0.333333333</f>
        <v>0</v>
      </c>
      <c r="IS153" s="21">
        <f>K153*(1-0.333333333)</f>
        <v>0</v>
      </c>
    </row>
    <row r="154" spans="1:253" x14ac:dyDescent="0.25">
      <c r="A154" s="18">
        <v>128</v>
      </c>
      <c r="B154" s="2" t="s">
        <v>252</v>
      </c>
      <c r="C154" s="2" t="s">
        <v>265</v>
      </c>
      <c r="D154" s="105" t="s">
        <v>266</v>
      </c>
      <c r="E154" s="99"/>
      <c r="F154" s="99"/>
      <c r="G154" s="99"/>
      <c r="H154" s="99"/>
      <c r="I154" s="2" t="s">
        <v>35</v>
      </c>
      <c r="J154" s="19">
        <v>1</v>
      </c>
      <c r="K154" s="19"/>
      <c r="L154" s="20">
        <f t="shared" si="5"/>
        <v>0</v>
      </c>
      <c r="HV154" s="2" t="s">
        <v>185</v>
      </c>
      <c r="HW154" s="2" t="s">
        <v>129</v>
      </c>
      <c r="IR154" s="21">
        <f>K154*1</f>
        <v>0</v>
      </c>
      <c r="IS154" s="21">
        <f>K154*(1-1)</f>
        <v>0</v>
      </c>
    </row>
    <row r="155" spans="1:253" x14ac:dyDescent="0.25">
      <c r="A155" s="18">
        <v>129</v>
      </c>
      <c r="B155" s="2" t="s">
        <v>252</v>
      </c>
      <c r="C155" s="2" t="s">
        <v>232</v>
      </c>
      <c r="D155" s="105" t="s">
        <v>233</v>
      </c>
      <c r="E155" s="99"/>
      <c r="F155" s="99"/>
      <c r="G155" s="99"/>
      <c r="H155" s="99"/>
      <c r="I155" s="2" t="s">
        <v>43</v>
      </c>
      <c r="J155" s="19">
        <v>240</v>
      </c>
      <c r="K155" s="19"/>
      <c r="L155" s="20">
        <f t="shared" si="5"/>
        <v>0</v>
      </c>
      <c r="HV155" s="2" t="s">
        <v>185</v>
      </c>
      <c r="HW155" s="2" t="s">
        <v>32</v>
      </c>
      <c r="IR155" s="21">
        <f>K155*0</f>
        <v>0</v>
      </c>
      <c r="IS155" s="21">
        <f>K155*(1-0)</f>
        <v>0</v>
      </c>
    </row>
    <row r="156" spans="1:253" x14ac:dyDescent="0.25">
      <c r="A156" s="14" t="s">
        <v>23</v>
      </c>
      <c r="B156" s="15" t="s">
        <v>267</v>
      </c>
      <c r="C156" s="15" t="s">
        <v>25</v>
      </c>
      <c r="D156" s="112" t="s">
        <v>268</v>
      </c>
      <c r="E156" s="113"/>
      <c r="F156" s="113"/>
      <c r="G156" s="113"/>
      <c r="H156" s="113"/>
      <c r="I156" s="15" t="s">
        <v>23</v>
      </c>
      <c r="J156" s="16" t="s">
        <v>23</v>
      </c>
      <c r="K156" s="16"/>
      <c r="L156" s="17">
        <f>L157+L171+L173+L175+L180+L186+L188+L190+L192+L198</f>
        <v>0</v>
      </c>
    </row>
    <row r="157" spans="1:253" x14ac:dyDescent="0.25">
      <c r="A157" s="14" t="s">
        <v>23</v>
      </c>
      <c r="B157" s="15" t="s">
        <v>267</v>
      </c>
      <c r="C157" s="15" t="s">
        <v>269</v>
      </c>
      <c r="D157" s="112" t="s">
        <v>270</v>
      </c>
      <c r="E157" s="113"/>
      <c r="F157" s="113"/>
      <c r="G157" s="113"/>
      <c r="H157" s="113"/>
      <c r="I157" s="15" t="s">
        <v>23</v>
      </c>
      <c r="J157" s="16" t="s">
        <v>23</v>
      </c>
      <c r="K157" s="16"/>
      <c r="L157" s="17">
        <f>SUM(L158:L170)</f>
        <v>0</v>
      </c>
    </row>
    <row r="158" spans="1:253" x14ac:dyDescent="0.25">
      <c r="A158" s="18">
        <v>130</v>
      </c>
      <c r="B158" s="2" t="s">
        <v>267</v>
      </c>
      <c r="C158" s="2" t="s">
        <v>271</v>
      </c>
      <c r="D158" s="105" t="s">
        <v>272</v>
      </c>
      <c r="E158" s="99"/>
      <c r="F158" s="99"/>
      <c r="G158" s="99"/>
      <c r="H158" s="99"/>
      <c r="I158" s="2" t="s">
        <v>40</v>
      </c>
      <c r="J158" s="19">
        <v>12</v>
      </c>
      <c r="K158" s="19"/>
      <c r="L158" s="20">
        <f t="shared" ref="L158:L170" si="6">IR158*J158+IS158*J158</f>
        <v>0</v>
      </c>
      <c r="HV158" s="2" t="s">
        <v>269</v>
      </c>
      <c r="HW158" s="2" t="s">
        <v>32</v>
      </c>
      <c r="IR158" s="21">
        <f>K158*0</f>
        <v>0</v>
      </c>
      <c r="IS158" s="21">
        <f>K158*(1-0)</f>
        <v>0</v>
      </c>
    </row>
    <row r="159" spans="1:253" x14ac:dyDescent="0.25">
      <c r="A159" s="18">
        <v>131</v>
      </c>
      <c r="B159" s="2" t="s">
        <v>267</v>
      </c>
      <c r="C159" s="2" t="s">
        <v>273</v>
      </c>
      <c r="D159" s="105" t="s">
        <v>274</v>
      </c>
      <c r="E159" s="99"/>
      <c r="F159" s="99"/>
      <c r="G159" s="99"/>
      <c r="H159" s="99"/>
      <c r="I159" s="2" t="s">
        <v>40</v>
      </c>
      <c r="J159" s="19">
        <v>12</v>
      </c>
      <c r="K159" s="19"/>
      <c r="L159" s="20">
        <f t="shared" si="6"/>
        <v>0</v>
      </c>
      <c r="HV159" s="2" t="s">
        <v>269</v>
      </c>
      <c r="HW159" s="2" t="s">
        <v>32</v>
      </c>
      <c r="IR159" s="21">
        <f>K159*0</f>
        <v>0</v>
      </c>
      <c r="IS159" s="21">
        <f>K159*(1-0)</f>
        <v>0</v>
      </c>
    </row>
    <row r="160" spans="1:253" x14ac:dyDescent="0.25">
      <c r="A160" s="18">
        <v>132</v>
      </c>
      <c r="B160" s="2" t="s">
        <v>267</v>
      </c>
      <c r="C160" s="2" t="s">
        <v>275</v>
      </c>
      <c r="D160" s="105" t="s">
        <v>276</v>
      </c>
      <c r="E160" s="99"/>
      <c r="F160" s="99"/>
      <c r="G160" s="99"/>
      <c r="H160" s="99"/>
      <c r="I160" s="2" t="s">
        <v>35</v>
      </c>
      <c r="J160" s="19">
        <v>12</v>
      </c>
      <c r="K160" s="19"/>
      <c r="L160" s="20">
        <f t="shared" si="6"/>
        <v>0</v>
      </c>
      <c r="HV160" s="2" t="s">
        <v>269</v>
      </c>
      <c r="HW160" s="2" t="s">
        <v>129</v>
      </c>
      <c r="IR160" s="21">
        <f>K160*1</f>
        <v>0</v>
      </c>
      <c r="IS160" s="21">
        <f>K160*(1-1)</f>
        <v>0</v>
      </c>
    </row>
    <row r="161" spans="1:253" x14ac:dyDescent="0.25">
      <c r="A161" s="18">
        <v>133</v>
      </c>
      <c r="B161" s="2" t="s">
        <v>267</v>
      </c>
      <c r="C161" s="2" t="s">
        <v>277</v>
      </c>
      <c r="D161" s="105" t="s">
        <v>278</v>
      </c>
      <c r="E161" s="99"/>
      <c r="F161" s="99"/>
      <c r="G161" s="99"/>
      <c r="H161" s="99"/>
      <c r="I161" s="2" t="s">
        <v>35</v>
      </c>
      <c r="J161" s="19">
        <v>12</v>
      </c>
      <c r="K161" s="19"/>
      <c r="L161" s="20">
        <f t="shared" si="6"/>
        <v>0</v>
      </c>
      <c r="HV161" s="2" t="s">
        <v>269</v>
      </c>
      <c r="HW161" s="2" t="s">
        <v>32</v>
      </c>
      <c r="IR161" s="21">
        <f>K161*0.024893964</f>
        <v>0</v>
      </c>
      <c r="IS161" s="21">
        <f>K161*(1-0.024893964)</f>
        <v>0</v>
      </c>
    </row>
    <row r="162" spans="1:253" x14ac:dyDescent="0.25">
      <c r="A162" s="18">
        <v>134</v>
      </c>
      <c r="B162" s="2" t="s">
        <v>267</v>
      </c>
      <c r="C162" s="2" t="s">
        <v>279</v>
      </c>
      <c r="D162" s="105" t="s">
        <v>280</v>
      </c>
      <c r="E162" s="99"/>
      <c r="F162" s="99"/>
      <c r="G162" s="99"/>
      <c r="H162" s="99"/>
      <c r="I162" s="2" t="s">
        <v>35</v>
      </c>
      <c r="J162" s="19">
        <v>12</v>
      </c>
      <c r="K162" s="19"/>
      <c r="L162" s="20">
        <f t="shared" si="6"/>
        <v>0</v>
      </c>
      <c r="HV162" s="2" t="s">
        <v>269</v>
      </c>
      <c r="HW162" s="2" t="s">
        <v>129</v>
      </c>
      <c r="IR162" s="21">
        <f>K162*1</f>
        <v>0</v>
      </c>
      <c r="IS162" s="21">
        <f>K162*(1-1)</f>
        <v>0</v>
      </c>
    </row>
    <row r="163" spans="1:253" x14ac:dyDescent="0.25">
      <c r="A163" s="18">
        <v>135</v>
      </c>
      <c r="B163" s="2" t="s">
        <v>267</v>
      </c>
      <c r="C163" s="2" t="s">
        <v>281</v>
      </c>
      <c r="D163" s="105" t="s">
        <v>282</v>
      </c>
      <c r="E163" s="99"/>
      <c r="F163" s="99"/>
      <c r="G163" s="99"/>
      <c r="H163" s="99"/>
      <c r="I163" s="2" t="s">
        <v>283</v>
      </c>
      <c r="J163" s="19">
        <v>1.2</v>
      </c>
      <c r="K163" s="19"/>
      <c r="L163" s="20">
        <f t="shared" si="6"/>
        <v>0</v>
      </c>
      <c r="HV163" s="2" t="s">
        <v>269</v>
      </c>
      <c r="HW163" s="2" t="s">
        <v>32</v>
      </c>
      <c r="IR163" s="21">
        <f>K163*0.512663357</f>
        <v>0</v>
      </c>
      <c r="IS163" s="21">
        <f>K163*(1-0.512663357)</f>
        <v>0</v>
      </c>
    </row>
    <row r="164" spans="1:253" x14ac:dyDescent="0.25">
      <c r="A164" s="18">
        <v>136</v>
      </c>
      <c r="B164" s="2" t="s">
        <v>267</v>
      </c>
      <c r="C164" s="2" t="s">
        <v>284</v>
      </c>
      <c r="D164" s="105" t="s">
        <v>285</v>
      </c>
      <c r="E164" s="99"/>
      <c r="F164" s="99"/>
      <c r="G164" s="99"/>
      <c r="H164" s="99"/>
      <c r="I164" s="2" t="s">
        <v>283</v>
      </c>
      <c r="J164" s="19">
        <v>6.5</v>
      </c>
      <c r="K164" s="19"/>
      <c r="L164" s="20">
        <f t="shared" si="6"/>
        <v>0</v>
      </c>
      <c r="HV164" s="2" t="s">
        <v>269</v>
      </c>
      <c r="HW164" s="2" t="s">
        <v>32</v>
      </c>
      <c r="IR164" s="21">
        <f>K164*0</f>
        <v>0</v>
      </c>
      <c r="IS164" s="21">
        <f>K164*(1-0)</f>
        <v>0</v>
      </c>
    </row>
    <row r="165" spans="1:253" x14ac:dyDescent="0.25">
      <c r="A165" s="18">
        <v>137</v>
      </c>
      <c r="B165" s="2" t="s">
        <v>267</v>
      </c>
      <c r="C165" s="2" t="s">
        <v>286</v>
      </c>
      <c r="D165" s="105" t="s">
        <v>287</v>
      </c>
      <c r="E165" s="99"/>
      <c r="F165" s="99"/>
      <c r="G165" s="99"/>
      <c r="H165" s="99"/>
      <c r="I165" s="2" t="s">
        <v>283</v>
      </c>
      <c r="J165" s="19">
        <v>6.5</v>
      </c>
      <c r="K165" s="19"/>
      <c r="L165" s="20">
        <f t="shared" si="6"/>
        <v>0</v>
      </c>
      <c r="HV165" s="2" t="s">
        <v>269</v>
      </c>
      <c r="HW165" s="2" t="s">
        <v>32</v>
      </c>
      <c r="IR165" s="21">
        <f>K165*0.46475494</f>
        <v>0</v>
      </c>
      <c r="IS165" s="21">
        <f>K165*(1-0.46475494)</f>
        <v>0</v>
      </c>
    </row>
    <row r="166" spans="1:253" x14ac:dyDescent="0.25">
      <c r="A166" s="18">
        <v>138</v>
      </c>
      <c r="B166" s="2" t="s">
        <v>267</v>
      </c>
      <c r="C166" s="2" t="s">
        <v>288</v>
      </c>
      <c r="D166" s="105" t="s">
        <v>289</v>
      </c>
      <c r="E166" s="99"/>
      <c r="F166" s="99"/>
      <c r="G166" s="99"/>
      <c r="H166" s="99"/>
      <c r="I166" s="2" t="s">
        <v>283</v>
      </c>
      <c r="J166" s="19">
        <v>6.5</v>
      </c>
      <c r="K166" s="19"/>
      <c r="L166" s="20">
        <f t="shared" si="6"/>
        <v>0</v>
      </c>
      <c r="HV166" s="2" t="s">
        <v>269</v>
      </c>
      <c r="HW166" s="2" t="s">
        <v>32</v>
      </c>
      <c r="IR166" s="21">
        <f>K166*0</f>
        <v>0</v>
      </c>
      <c r="IS166" s="21">
        <f>K166*(1-0)</f>
        <v>0</v>
      </c>
    </row>
    <row r="167" spans="1:253" x14ac:dyDescent="0.25">
      <c r="A167" s="18">
        <v>139</v>
      </c>
      <c r="B167" s="2" t="s">
        <v>267</v>
      </c>
      <c r="C167" s="2" t="s">
        <v>290</v>
      </c>
      <c r="D167" s="105" t="s">
        <v>291</v>
      </c>
      <c r="E167" s="99"/>
      <c r="F167" s="99"/>
      <c r="G167" s="99"/>
      <c r="H167" s="99"/>
      <c r="I167" s="2" t="s">
        <v>35</v>
      </c>
      <c r="J167" s="19">
        <v>2</v>
      </c>
      <c r="K167" s="19"/>
      <c r="L167" s="20">
        <f t="shared" si="6"/>
        <v>0</v>
      </c>
      <c r="HV167" s="2" t="s">
        <v>269</v>
      </c>
      <c r="HW167" s="2" t="s">
        <v>32</v>
      </c>
      <c r="IR167" s="21">
        <f>K167*0.018491245</f>
        <v>0</v>
      </c>
      <c r="IS167" s="21">
        <f>K167*(1-0.018491245)</f>
        <v>0</v>
      </c>
    </row>
    <row r="168" spans="1:253" x14ac:dyDescent="0.25">
      <c r="A168" s="18">
        <v>140</v>
      </c>
      <c r="B168" s="2" t="s">
        <v>267</v>
      </c>
      <c r="C168" s="2" t="s">
        <v>292</v>
      </c>
      <c r="D168" s="105" t="s">
        <v>293</v>
      </c>
      <c r="E168" s="99"/>
      <c r="F168" s="99"/>
      <c r="G168" s="99"/>
      <c r="H168" s="99"/>
      <c r="I168" s="2" t="s">
        <v>35</v>
      </c>
      <c r="J168" s="19">
        <v>1</v>
      </c>
      <c r="K168" s="19"/>
      <c r="L168" s="20">
        <f t="shared" si="6"/>
        <v>0</v>
      </c>
      <c r="HV168" s="2" t="s">
        <v>269</v>
      </c>
      <c r="HW168" s="2" t="s">
        <v>129</v>
      </c>
      <c r="IR168" s="21">
        <f>K168*1</f>
        <v>0</v>
      </c>
      <c r="IS168" s="21">
        <f>K168*(1-1)</f>
        <v>0</v>
      </c>
    </row>
    <row r="169" spans="1:253" x14ac:dyDescent="0.25">
      <c r="A169" s="18">
        <v>141</v>
      </c>
      <c r="B169" s="2" t="s">
        <v>267</v>
      </c>
      <c r="C169" s="2" t="s">
        <v>294</v>
      </c>
      <c r="D169" s="105" t="s">
        <v>295</v>
      </c>
      <c r="E169" s="99"/>
      <c r="F169" s="99"/>
      <c r="G169" s="99"/>
      <c r="H169" s="99"/>
      <c r="I169" s="2" t="s">
        <v>35</v>
      </c>
      <c r="J169" s="19">
        <v>1</v>
      </c>
      <c r="K169" s="19"/>
      <c r="L169" s="20">
        <f t="shared" si="6"/>
        <v>0</v>
      </c>
      <c r="HV169" s="2" t="s">
        <v>269</v>
      </c>
      <c r="HW169" s="2" t="s">
        <v>129</v>
      </c>
      <c r="IR169" s="21">
        <f>K169*1</f>
        <v>0</v>
      </c>
      <c r="IS169" s="21">
        <f>K169*(1-1)</f>
        <v>0</v>
      </c>
    </row>
    <row r="170" spans="1:253" x14ac:dyDescent="0.25">
      <c r="A170" s="18">
        <v>142</v>
      </c>
      <c r="B170" s="2" t="s">
        <v>267</v>
      </c>
      <c r="C170" s="2" t="s">
        <v>296</v>
      </c>
      <c r="D170" s="105" t="s">
        <v>297</v>
      </c>
      <c r="E170" s="99"/>
      <c r="F170" s="99"/>
      <c r="G170" s="99"/>
      <c r="H170" s="99"/>
      <c r="I170" s="2" t="s">
        <v>72</v>
      </c>
      <c r="J170" s="19">
        <v>0.6</v>
      </c>
      <c r="K170" s="19"/>
      <c r="L170" s="20">
        <f t="shared" si="6"/>
        <v>0</v>
      </c>
      <c r="HV170" s="2" t="s">
        <v>269</v>
      </c>
      <c r="HW170" s="2" t="s">
        <v>32</v>
      </c>
      <c r="IR170" s="21">
        <f>K170*0</f>
        <v>0</v>
      </c>
      <c r="IS170" s="21">
        <f>K170*(1-0)</f>
        <v>0</v>
      </c>
    </row>
    <row r="171" spans="1:253" x14ac:dyDescent="0.25">
      <c r="A171" s="14" t="s">
        <v>23</v>
      </c>
      <c r="B171" s="15" t="s">
        <v>267</v>
      </c>
      <c r="C171" s="15" t="s">
        <v>298</v>
      </c>
      <c r="D171" s="112" t="s">
        <v>299</v>
      </c>
      <c r="E171" s="113"/>
      <c r="F171" s="113"/>
      <c r="G171" s="113"/>
      <c r="H171" s="113"/>
      <c r="I171" s="15" t="s">
        <v>23</v>
      </c>
      <c r="J171" s="16" t="s">
        <v>23</v>
      </c>
      <c r="K171" s="16"/>
      <c r="L171" s="17">
        <f>SUM(L172:L172)</f>
        <v>0</v>
      </c>
    </row>
    <row r="172" spans="1:253" x14ac:dyDescent="0.25">
      <c r="A172" s="18">
        <v>143</v>
      </c>
      <c r="B172" s="2" t="s">
        <v>267</v>
      </c>
      <c r="C172" s="2" t="s">
        <v>300</v>
      </c>
      <c r="D172" s="105" t="s">
        <v>301</v>
      </c>
      <c r="E172" s="99"/>
      <c r="F172" s="99"/>
      <c r="G172" s="99"/>
      <c r="H172" s="99"/>
      <c r="I172" s="2" t="s">
        <v>35</v>
      </c>
      <c r="J172" s="19">
        <v>12</v>
      </c>
      <c r="K172" s="19"/>
      <c r="L172" s="20">
        <f>IR172*J172+IS172*J172</f>
        <v>0</v>
      </c>
      <c r="HV172" s="2" t="s">
        <v>298</v>
      </c>
      <c r="HW172" s="2" t="s">
        <v>32</v>
      </c>
      <c r="IR172" s="21">
        <f>K172*0.542372881</f>
        <v>0</v>
      </c>
      <c r="IS172" s="21">
        <f>K172*(1-0.542372881)</f>
        <v>0</v>
      </c>
    </row>
    <row r="173" spans="1:253" x14ac:dyDescent="0.25">
      <c r="A173" s="14" t="s">
        <v>23</v>
      </c>
      <c r="B173" s="15" t="s">
        <v>267</v>
      </c>
      <c r="C173" s="15" t="s">
        <v>302</v>
      </c>
      <c r="D173" s="112" t="s">
        <v>303</v>
      </c>
      <c r="E173" s="113"/>
      <c r="F173" s="113"/>
      <c r="G173" s="113"/>
      <c r="H173" s="113"/>
      <c r="I173" s="15" t="s">
        <v>23</v>
      </c>
      <c r="J173" s="16" t="s">
        <v>23</v>
      </c>
      <c r="K173" s="16"/>
      <c r="L173" s="17">
        <f>SUM(L174:L174)</f>
        <v>0</v>
      </c>
    </row>
    <row r="174" spans="1:253" x14ac:dyDescent="0.25">
      <c r="A174" s="18">
        <v>144</v>
      </c>
      <c r="B174" s="2" t="s">
        <v>267</v>
      </c>
      <c r="C174" s="2" t="s">
        <v>304</v>
      </c>
      <c r="D174" s="105" t="s">
        <v>305</v>
      </c>
      <c r="E174" s="99"/>
      <c r="F174" s="99"/>
      <c r="G174" s="99"/>
      <c r="H174" s="99"/>
      <c r="I174" s="2" t="s">
        <v>40</v>
      </c>
      <c r="J174" s="19">
        <v>12</v>
      </c>
      <c r="K174" s="19"/>
      <c r="L174" s="20">
        <f>IR174*J174+IS174*J174</f>
        <v>0</v>
      </c>
      <c r="HV174" s="2" t="s">
        <v>302</v>
      </c>
      <c r="HW174" s="2" t="s">
        <v>32</v>
      </c>
      <c r="IR174" s="21">
        <f>K174*0.5</f>
        <v>0</v>
      </c>
      <c r="IS174" s="21">
        <f>K174*(1-0.5)</f>
        <v>0</v>
      </c>
    </row>
    <row r="175" spans="1:253" x14ac:dyDescent="0.25">
      <c r="A175" s="14" t="s">
        <v>23</v>
      </c>
      <c r="B175" s="15" t="s">
        <v>267</v>
      </c>
      <c r="C175" s="15" t="s">
        <v>306</v>
      </c>
      <c r="D175" s="112" t="s">
        <v>307</v>
      </c>
      <c r="E175" s="113"/>
      <c r="F175" s="113"/>
      <c r="G175" s="113"/>
      <c r="H175" s="113"/>
      <c r="I175" s="15" t="s">
        <v>23</v>
      </c>
      <c r="J175" s="16" t="s">
        <v>23</v>
      </c>
      <c r="K175" s="16"/>
      <c r="L175" s="17">
        <f>SUM(L176:L179)</f>
        <v>0</v>
      </c>
    </row>
    <row r="176" spans="1:253" x14ac:dyDescent="0.25">
      <c r="A176" s="18">
        <v>145</v>
      </c>
      <c r="B176" s="2" t="s">
        <v>267</v>
      </c>
      <c r="C176" s="2" t="s">
        <v>308</v>
      </c>
      <c r="D176" s="105" t="s">
        <v>309</v>
      </c>
      <c r="E176" s="99"/>
      <c r="F176" s="99"/>
      <c r="G176" s="99"/>
      <c r="H176" s="99"/>
      <c r="I176" s="2" t="s">
        <v>310</v>
      </c>
      <c r="J176" s="19">
        <v>48</v>
      </c>
      <c r="K176" s="19"/>
      <c r="L176" s="20">
        <f>IR176*J176+IS176*J176</f>
        <v>0</v>
      </c>
      <c r="HV176" s="2" t="s">
        <v>306</v>
      </c>
      <c r="HW176" s="2" t="s">
        <v>32</v>
      </c>
      <c r="IR176" s="21">
        <f>K176*0.449763745</f>
        <v>0</v>
      </c>
      <c r="IS176" s="21">
        <f>K176*(1-0.449763745)</f>
        <v>0</v>
      </c>
    </row>
    <row r="177" spans="1:253" x14ac:dyDescent="0.25">
      <c r="A177" s="18">
        <v>146</v>
      </c>
      <c r="B177" s="2" t="s">
        <v>267</v>
      </c>
      <c r="C177" s="2" t="s">
        <v>311</v>
      </c>
      <c r="D177" s="105" t="s">
        <v>312</v>
      </c>
      <c r="E177" s="99"/>
      <c r="F177" s="99"/>
      <c r="G177" s="99"/>
      <c r="H177" s="99"/>
      <c r="I177" s="2" t="s">
        <v>35</v>
      </c>
      <c r="J177" s="19">
        <v>24</v>
      </c>
      <c r="K177" s="19"/>
      <c r="L177" s="20">
        <f>IR177*J177+IS177*J177</f>
        <v>0</v>
      </c>
      <c r="HV177" s="2" t="s">
        <v>306</v>
      </c>
      <c r="HW177" s="2" t="s">
        <v>129</v>
      </c>
      <c r="IR177" s="21">
        <f>K177*1</f>
        <v>0</v>
      </c>
      <c r="IS177" s="21">
        <f>K177*(1-1)</f>
        <v>0</v>
      </c>
    </row>
    <row r="178" spans="1:253" x14ac:dyDescent="0.25">
      <c r="A178" s="18">
        <v>147</v>
      </c>
      <c r="B178" s="2" t="s">
        <v>267</v>
      </c>
      <c r="C178" s="2" t="s">
        <v>313</v>
      </c>
      <c r="D178" s="105" t="s">
        <v>314</v>
      </c>
      <c r="E178" s="99"/>
      <c r="F178" s="99"/>
      <c r="G178" s="99"/>
      <c r="H178" s="99"/>
      <c r="I178" s="2" t="s">
        <v>35</v>
      </c>
      <c r="J178" s="19">
        <v>48</v>
      </c>
      <c r="K178" s="19"/>
      <c r="L178" s="20">
        <f>IR178*J178+IS178*J178</f>
        <v>0</v>
      </c>
      <c r="HV178" s="2" t="s">
        <v>306</v>
      </c>
      <c r="HW178" s="2" t="s">
        <v>129</v>
      </c>
      <c r="IR178" s="21">
        <f>K178*1</f>
        <v>0</v>
      </c>
      <c r="IS178" s="21">
        <f>K178*(1-1)</f>
        <v>0</v>
      </c>
    </row>
    <row r="179" spans="1:253" x14ac:dyDescent="0.25">
      <c r="A179" s="18">
        <v>148</v>
      </c>
      <c r="B179" s="2" t="s">
        <v>267</v>
      </c>
      <c r="C179" s="2" t="s">
        <v>315</v>
      </c>
      <c r="D179" s="105" t="s">
        <v>316</v>
      </c>
      <c r="E179" s="99"/>
      <c r="F179" s="99"/>
      <c r="G179" s="99"/>
      <c r="H179" s="99"/>
      <c r="I179" s="2" t="s">
        <v>43</v>
      </c>
      <c r="J179" s="19">
        <v>241</v>
      </c>
      <c r="K179" s="19"/>
      <c r="L179" s="20">
        <f>IR179*J179+IS179*J179</f>
        <v>0</v>
      </c>
      <c r="HV179" s="2" t="s">
        <v>306</v>
      </c>
      <c r="HW179" s="2" t="s">
        <v>32</v>
      </c>
      <c r="IR179" s="21">
        <f>K179*0</f>
        <v>0</v>
      </c>
      <c r="IS179" s="21">
        <f>K179*(1-0)</f>
        <v>0</v>
      </c>
    </row>
    <row r="180" spans="1:253" x14ac:dyDescent="0.25">
      <c r="A180" s="14" t="s">
        <v>23</v>
      </c>
      <c r="B180" s="15" t="s">
        <v>267</v>
      </c>
      <c r="C180" s="15" t="s">
        <v>317</v>
      </c>
      <c r="D180" s="112" t="s">
        <v>318</v>
      </c>
      <c r="E180" s="113"/>
      <c r="F180" s="113"/>
      <c r="G180" s="113"/>
      <c r="H180" s="113"/>
      <c r="I180" s="15" t="s">
        <v>23</v>
      </c>
      <c r="J180" s="16" t="s">
        <v>23</v>
      </c>
      <c r="K180" s="16"/>
      <c r="L180" s="17">
        <f>SUM(L181:L185)</f>
        <v>0</v>
      </c>
    </row>
    <row r="181" spans="1:253" x14ac:dyDescent="0.25">
      <c r="A181" s="18">
        <v>149</v>
      </c>
      <c r="B181" s="2" t="s">
        <v>267</v>
      </c>
      <c r="C181" s="2" t="s">
        <v>319</v>
      </c>
      <c r="D181" s="105" t="s">
        <v>320</v>
      </c>
      <c r="E181" s="99"/>
      <c r="F181" s="99"/>
      <c r="G181" s="99"/>
      <c r="H181" s="99"/>
      <c r="I181" s="2" t="s">
        <v>283</v>
      </c>
      <c r="J181" s="19">
        <v>22.2</v>
      </c>
      <c r="K181" s="19"/>
      <c r="L181" s="20">
        <f>IR181*J181+IS181*J181</f>
        <v>0</v>
      </c>
      <c r="HV181" s="2" t="s">
        <v>317</v>
      </c>
      <c r="HW181" s="2" t="s">
        <v>32</v>
      </c>
      <c r="IR181" s="21">
        <f>K181*0.472426471</f>
        <v>0</v>
      </c>
      <c r="IS181" s="21">
        <f>K181*(1-0.472426471)</f>
        <v>0</v>
      </c>
    </row>
    <row r="182" spans="1:253" x14ac:dyDescent="0.25">
      <c r="A182" s="18">
        <v>150</v>
      </c>
      <c r="B182" s="2" t="s">
        <v>267</v>
      </c>
      <c r="C182" s="2" t="s">
        <v>321</v>
      </c>
      <c r="D182" s="105" t="s">
        <v>322</v>
      </c>
      <c r="E182" s="99"/>
      <c r="F182" s="99"/>
      <c r="G182" s="99"/>
      <c r="H182" s="99"/>
      <c r="I182" s="2" t="s">
        <v>283</v>
      </c>
      <c r="J182" s="19">
        <v>22.2</v>
      </c>
      <c r="K182" s="19"/>
      <c r="L182" s="20">
        <f>IR182*J182+IS182*J182</f>
        <v>0</v>
      </c>
      <c r="HV182" s="2" t="s">
        <v>317</v>
      </c>
      <c r="HW182" s="2" t="s">
        <v>32</v>
      </c>
      <c r="IR182" s="21">
        <f>K182*0</f>
        <v>0</v>
      </c>
      <c r="IS182" s="21">
        <f>K182*(1-0)</f>
        <v>0</v>
      </c>
    </row>
    <row r="183" spans="1:253" x14ac:dyDescent="0.25">
      <c r="A183" s="18">
        <v>151</v>
      </c>
      <c r="B183" s="2" t="s">
        <v>267</v>
      </c>
      <c r="C183" s="2" t="s">
        <v>323</v>
      </c>
      <c r="D183" s="105" t="s">
        <v>324</v>
      </c>
      <c r="E183" s="99"/>
      <c r="F183" s="99"/>
      <c r="G183" s="99"/>
      <c r="H183" s="99"/>
      <c r="I183" s="2" t="s">
        <v>283</v>
      </c>
      <c r="J183" s="19">
        <v>23.3</v>
      </c>
      <c r="K183" s="19"/>
      <c r="L183" s="20">
        <f>IR183*J183+IS183*J183</f>
        <v>0</v>
      </c>
      <c r="HV183" s="2" t="s">
        <v>317</v>
      </c>
      <c r="HW183" s="2" t="s">
        <v>129</v>
      </c>
      <c r="IR183" s="21">
        <f>K183*1</f>
        <v>0</v>
      </c>
      <c r="IS183" s="21">
        <f>K183*(1-1)</f>
        <v>0</v>
      </c>
    </row>
    <row r="184" spans="1:253" x14ac:dyDescent="0.25">
      <c r="A184" s="18">
        <v>152</v>
      </c>
      <c r="B184" s="2" t="s">
        <v>267</v>
      </c>
      <c r="C184" s="2" t="s">
        <v>325</v>
      </c>
      <c r="D184" s="105" t="s">
        <v>326</v>
      </c>
      <c r="E184" s="99"/>
      <c r="F184" s="99"/>
      <c r="G184" s="99"/>
      <c r="H184" s="99"/>
      <c r="I184" s="2" t="s">
        <v>35</v>
      </c>
      <c r="J184" s="19">
        <v>120</v>
      </c>
      <c r="K184" s="19"/>
      <c r="L184" s="20">
        <f>IR184*J184+IS184*J184</f>
        <v>0</v>
      </c>
      <c r="HV184" s="2" t="s">
        <v>317</v>
      </c>
      <c r="HW184" s="2" t="s">
        <v>32</v>
      </c>
      <c r="IR184" s="21">
        <f>K184*0.304939467</f>
        <v>0</v>
      </c>
      <c r="IS184" s="21">
        <f>K184*(1-0.304939467)</f>
        <v>0</v>
      </c>
    </row>
    <row r="185" spans="1:253" x14ac:dyDescent="0.25">
      <c r="A185" s="18">
        <v>153</v>
      </c>
      <c r="B185" s="2" t="s">
        <v>267</v>
      </c>
      <c r="C185" s="2" t="s">
        <v>327</v>
      </c>
      <c r="D185" s="105" t="s">
        <v>328</v>
      </c>
      <c r="E185" s="99"/>
      <c r="F185" s="99"/>
      <c r="G185" s="99"/>
      <c r="H185" s="99"/>
      <c r="I185" s="2" t="s">
        <v>43</v>
      </c>
      <c r="J185" s="19">
        <v>561</v>
      </c>
      <c r="K185" s="19"/>
      <c r="L185" s="20">
        <f>IR185*J185+IS185*J185</f>
        <v>0</v>
      </c>
      <c r="HV185" s="2" t="s">
        <v>317</v>
      </c>
      <c r="HW185" s="2" t="s">
        <v>32</v>
      </c>
      <c r="IR185" s="21">
        <f>K185*0</f>
        <v>0</v>
      </c>
      <c r="IS185" s="21">
        <f>K185*(1-0)</f>
        <v>0</v>
      </c>
    </row>
    <row r="186" spans="1:253" x14ac:dyDescent="0.25">
      <c r="A186" s="14" t="s">
        <v>23</v>
      </c>
      <c r="B186" s="15" t="s">
        <v>267</v>
      </c>
      <c r="C186" s="15" t="s">
        <v>329</v>
      </c>
      <c r="D186" s="112" t="s">
        <v>330</v>
      </c>
      <c r="E186" s="113"/>
      <c r="F186" s="113"/>
      <c r="G186" s="113"/>
      <c r="H186" s="113"/>
      <c r="I186" s="15" t="s">
        <v>23</v>
      </c>
      <c r="J186" s="16" t="s">
        <v>23</v>
      </c>
      <c r="K186" s="16"/>
      <c r="L186" s="17">
        <f>SUM(L187:L187)</f>
        <v>0</v>
      </c>
    </row>
    <row r="187" spans="1:253" x14ac:dyDescent="0.25">
      <c r="A187" s="18">
        <v>154</v>
      </c>
      <c r="B187" s="2" t="s">
        <v>267</v>
      </c>
      <c r="C187" s="2" t="s">
        <v>331</v>
      </c>
      <c r="D187" s="105" t="s">
        <v>332</v>
      </c>
      <c r="E187" s="99"/>
      <c r="F187" s="99"/>
      <c r="G187" s="99"/>
      <c r="H187" s="99"/>
      <c r="I187" s="2" t="s">
        <v>283</v>
      </c>
      <c r="J187" s="19">
        <v>46</v>
      </c>
      <c r="K187" s="19"/>
      <c r="L187" s="20">
        <f>IR187*J187+IS187*J187</f>
        <v>0</v>
      </c>
      <c r="HV187" s="2" t="s">
        <v>329</v>
      </c>
      <c r="HW187" s="2" t="s">
        <v>32</v>
      </c>
      <c r="IR187" s="21">
        <f>K187*0.218503401</f>
        <v>0</v>
      </c>
      <c r="IS187" s="21">
        <f>K187*(1-0.218503401)</f>
        <v>0</v>
      </c>
    </row>
    <row r="188" spans="1:253" x14ac:dyDescent="0.25">
      <c r="A188" s="14" t="s">
        <v>23</v>
      </c>
      <c r="B188" s="15" t="s">
        <v>267</v>
      </c>
      <c r="C188" s="15" t="s">
        <v>333</v>
      </c>
      <c r="D188" s="112" t="s">
        <v>334</v>
      </c>
      <c r="E188" s="113"/>
      <c r="F188" s="113"/>
      <c r="G188" s="113"/>
      <c r="H188" s="113"/>
      <c r="I188" s="15" t="s">
        <v>23</v>
      </c>
      <c r="J188" s="16" t="s">
        <v>23</v>
      </c>
      <c r="K188" s="16"/>
      <c r="L188" s="17">
        <f>SUM(L189:L189)</f>
        <v>0</v>
      </c>
    </row>
    <row r="189" spans="1:253" x14ac:dyDescent="0.25">
      <c r="A189" s="18">
        <v>155</v>
      </c>
      <c r="B189" s="2" t="s">
        <v>267</v>
      </c>
      <c r="C189" s="2" t="s">
        <v>335</v>
      </c>
      <c r="D189" s="105" t="s">
        <v>336</v>
      </c>
      <c r="E189" s="99"/>
      <c r="F189" s="99"/>
      <c r="G189" s="99"/>
      <c r="H189" s="99"/>
      <c r="I189" s="2" t="s">
        <v>283</v>
      </c>
      <c r="J189" s="19">
        <v>550</v>
      </c>
      <c r="K189" s="19"/>
      <c r="L189" s="20">
        <f>IR189*J189+IS189*J189</f>
        <v>0</v>
      </c>
      <c r="HV189" s="2" t="s">
        <v>333</v>
      </c>
      <c r="HW189" s="2" t="s">
        <v>32</v>
      </c>
      <c r="IR189" s="21">
        <f>K189*0</f>
        <v>0</v>
      </c>
      <c r="IS189" s="21">
        <f>K189*(1-0)</f>
        <v>0</v>
      </c>
    </row>
    <row r="190" spans="1:253" x14ac:dyDescent="0.25">
      <c r="A190" s="14" t="s">
        <v>23</v>
      </c>
      <c r="B190" s="15" t="s">
        <v>267</v>
      </c>
      <c r="C190" s="15" t="s">
        <v>337</v>
      </c>
      <c r="D190" s="112" t="s">
        <v>338</v>
      </c>
      <c r="E190" s="113"/>
      <c r="F190" s="113"/>
      <c r="G190" s="113"/>
      <c r="H190" s="113"/>
      <c r="I190" s="15" t="s">
        <v>23</v>
      </c>
      <c r="J190" s="16" t="s">
        <v>23</v>
      </c>
      <c r="K190" s="16"/>
      <c r="L190" s="17">
        <f>SUM(L191:L191)</f>
        <v>0</v>
      </c>
    </row>
    <row r="191" spans="1:253" x14ac:dyDescent="0.25">
      <c r="A191" s="18">
        <v>156</v>
      </c>
      <c r="B191" s="2" t="s">
        <v>267</v>
      </c>
      <c r="C191" s="2" t="s">
        <v>339</v>
      </c>
      <c r="D191" s="105" t="s">
        <v>340</v>
      </c>
      <c r="E191" s="99"/>
      <c r="F191" s="99"/>
      <c r="G191" s="99"/>
      <c r="H191" s="99"/>
      <c r="I191" s="2" t="s">
        <v>283</v>
      </c>
      <c r="J191" s="19">
        <v>28.1</v>
      </c>
      <c r="K191" s="19"/>
      <c r="L191" s="20">
        <f>IR191*J191+IS191*J191</f>
        <v>0</v>
      </c>
      <c r="HV191" s="2" t="s">
        <v>337</v>
      </c>
      <c r="HW191" s="2" t="s">
        <v>32</v>
      </c>
      <c r="IR191" s="21">
        <f>K191*0.197058824</f>
        <v>0</v>
      </c>
      <c r="IS191" s="21">
        <f>K191*(1-0.197058824)</f>
        <v>0</v>
      </c>
    </row>
    <row r="192" spans="1:253" x14ac:dyDescent="0.25">
      <c r="A192" s="14" t="s">
        <v>23</v>
      </c>
      <c r="B192" s="15" t="s">
        <v>267</v>
      </c>
      <c r="C192" s="15" t="s">
        <v>341</v>
      </c>
      <c r="D192" s="112" t="s">
        <v>342</v>
      </c>
      <c r="E192" s="113"/>
      <c r="F192" s="113"/>
      <c r="G192" s="113"/>
      <c r="H192" s="113"/>
      <c r="I192" s="15" t="s">
        <v>23</v>
      </c>
      <c r="J192" s="16" t="s">
        <v>23</v>
      </c>
      <c r="K192" s="16"/>
      <c r="L192" s="17">
        <f>SUM(L193:L197)</f>
        <v>0</v>
      </c>
    </row>
    <row r="193" spans="1:253" x14ac:dyDescent="0.25">
      <c r="A193" s="18">
        <v>157</v>
      </c>
      <c r="B193" s="2" t="s">
        <v>267</v>
      </c>
      <c r="C193" s="2" t="s">
        <v>343</v>
      </c>
      <c r="D193" s="105" t="s">
        <v>344</v>
      </c>
      <c r="E193" s="99"/>
      <c r="F193" s="99"/>
      <c r="G193" s="99"/>
      <c r="H193" s="99"/>
      <c r="I193" s="2" t="s">
        <v>35</v>
      </c>
      <c r="J193" s="19">
        <v>12</v>
      </c>
      <c r="K193" s="19"/>
      <c r="L193" s="20">
        <f>IR193*J193+IS193*J193</f>
        <v>0</v>
      </c>
      <c r="HV193" s="2" t="s">
        <v>341</v>
      </c>
      <c r="HW193" s="2" t="s">
        <v>32</v>
      </c>
      <c r="IR193" s="21">
        <f>K193*0</f>
        <v>0</v>
      </c>
      <c r="IS193" s="21">
        <f>K193*(1-0)</f>
        <v>0</v>
      </c>
    </row>
    <row r="194" spans="1:253" x14ac:dyDescent="0.25">
      <c r="A194" s="18">
        <v>158</v>
      </c>
      <c r="B194" s="2" t="s">
        <v>267</v>
      </c>
      <c r="C194" s="2" t="s">
        <v>345</v>
      </c>
      <c r="D194" s="105" t="s">
        <v>346</v>
      </c>
      <c r="E194" s="99"/>
      <c r="F194" s="99"/>
      <c r="G194" s="99"/>
      <c r="H194" s="99"/>
      <c r="I194" s="2" t="s">
        <v>31</v>
      </c>
      <c r="J194" s="19">
        <v>2.7</v>
      </c>
      <c r="K194" s="19"/>
      <c r="L194" s="20">
        <f>IR194*J194+IS194*J194</f>
        <v>0</v>
      </c>
      <c r="HV194" s="2" t="s">
        <v>341</v>
      </c>
      <c r="HW194" s="2" t="s">
        <v>32</v>
      </c>
      <c r="IR194" s="21">
        <f>K194*0.331615599</f>
        <v>0</v>
      </c>
      <c r="IS194" s="21">
        <f>K194*(1-0.331615599)</f>
        <v>0</v>
      </c>
    </row>
    <row r="195" spans="1:253" x14ac:dyDescent="0.25">
      <c r="A195" s="18">
        <v>159</v>
      </c>
      <c r="B195" s="2" t="s">
        <v>267</v>
      </c>
      <c r="C195" s="2" t="s">
        <v>347</v>
      </c>
      <c r="D195" s="105" t="s">
        <v>348</v>
      </c>
      <c r="E195" s="99"/>
      <c r="F195" s="99"/>
      <c r="G195" s="99"/>
      <c r="H195" s="99"/>
      <c r="I195" s="2" t="s">
        <v>31</v>
      </c>
      <c r="J195" s="19">
        <v>2.7</v>
      </c>
      <c r="K195" s="19"/>
      <c r="L195" s="20">
        <f>IR195*J195+IS195*J195</f>
        <v>0</v>
      </c>
      <c r="HV195" s="2" t="s">
        <v>341</v>
      </c>
      <c r="HW195" s="2" t="s">
        <v>32</v>
      </c>
      <c r="IR195" s="21">
        <f>K195*0.189770889</f>
        <v>0</v>
      </c>
      <c r="IS195" s="21">
        <f>K195*(1-0.189770889)</f>
        <v>0</v>
      </c>
    </row>
    <row r="196" spans="1:253" x14ac:dyDescent="0.25">
      <c r="A196" s="18">
        <v>160</v>
      </c>
      <c r="B196" s="2" t="s">
        <v>267</v>
      </c>
      <c r="C196" s="2" t="s">
        <v>349</v>
      </c>
      <c r="D196" s="105" t="s">
        <v>350</v>
      </c>
      <c r="E196" s="99"/>
      <c r="F196" s="99"/>
      <c r="G196" s="99"/>
      <c r="H196" s="99"/>
      <c r="I196" s="2" t="s">
        <v>31</v>
      </c>
      <c r="J196" s="19">
        <v>2.7</v>
      </c>
      <c r="K196" s="19"/>
      <c r="L196" s="20">
        <f>IR196*J196+IS196*J196</f>
        <v>0</v>
      </c>
      <c r="HV196" s="2" t="s">
        <v>341</v>
      </c>
      <c r="HW196" s="2" t="s">
        <v>32</v>
      </c>
      <c r="IR196" s="21">
        <f>K196*0</f>
        <v>0</v>
      </c>
      <c r="IS196" s="21">
        <f>K196*(1-0)</f>
        <v>0</v>
      </c>
    </row>
    <row r="197" spans="1:253" x14ac:dyDescent="0.25">
      <c r="A197" s="18">
        <v>161</v>
      </c>
      <c r="B197" s="2" t="s">
        <v>267</v>
      </c>
      <c r="C197" s="2" t="s">
        <v>351</v>
      </c>
      <c r="D197" s="105" t="s">
        <v>352</v>
      </c>
      <c r="E197" s="99"/>
      <c r="F197" s="99"/>
      <c r="G197" s="99"/>
      <c r="H197" s="99"/>
      <c r="I197" s="2" t="s">
        <v>31</v>
      </c>
      <c r="J197" s="19">
        <v>2.7</v>
      </c>
      <c r="K197" s="19"/>
      <c r="L197" s="20">
        <f>IR197*J197+IS197*J197</f>
        <v>0</v>
      </c>
      <c r="HV197" s="2" t="s">
        <v>341</v>
      </c>
      <c r="HW197" s="2" t="s">
        <v>32</v>
      </c>
      <c r="IR197" s="21">
        <f>K197*0.083147357</f>
        <v>0</v>
      </c>
      <c r="IS197" s="21">
        <f>K197*(1-0.083147357)</f>
        <v>0</v>
      </c>
    </row>
    <row r="198" spans="1:253" x14ac:dyDescent="0.25">
      <c r="A198" s="14" t="s">
        <v>23</v>
      </c>
      <c r="B198" s="15" t="s">
        <v>267</v>
      </c>
      <c r="C198" s="15" t="s">
        <v>353</v>
      </c>
      <c r="D198" s="112" t="s">
        <v>354</v>
      </c>
      <c r="E198" s="113"/>
      <c r="F198" s="113"/>
      <c r="G198" s="113"/>
      <c r="H198" s="113"/>
      <c r="I198" s="15" t="s">
        <v>23</v>
      </c>
      <c r="J198" s="16" t="s">
        <v>23</v>
      </c>
      <c r="K198" s="16"/>
      <c r="L198" s="17">
        <f>SUM(L199:L206)</f>
        <v>0</v>
      </c>
    </row>
    <row r="199" spans="1:253" x14ac:dyDescent="0.25">
      <c r="A199" s="18">
        <v>162</v>
      </c>
      <c r="B199" s="2" t="s">
        <v>267</v>
      </c>
      <c r="C199" s="2" t="s">
        <v>355</v>
      </c>
      <c r="D199" s="105" t="s">
        <v>356</v>
      </c>
      <c r="E199" s="99"/>
      <c r="F199" s="99"/>
      <c r="G199" s="99"/>
      <c r="H199" s="99"/>
      <c r="I199" s="2" t="s">
        <v>357</v>
      </c>
      <c r="J199" s="19">
        <v>45</v>
      </c>
      <c r="K199" s="19"/>
      <c r="L199" s="20">
        <f t="shared" ref="L199:L206" si="7">IR199*J199+IS199*J199</f>
        <v>0</v>
      </c>
      <c r="HV199" s="2" t="s">
        <v>353</v>
      </c>
      <c r="HW199" s="2" t="s">
        <v>32</v>
      </c>
      <c r="IR199" s="21">
        <f t="shared" ref="IR199:IR206" si="8">K199*0</f>
        <v>0</v>
      </c>
      <c r="IS199" s="21">
        <f t="shared" ref="IS199:IS206" si="9">K199*(1-0)</f>
        <v>0</v>
      </c>
    </row>
    <row r="200" spans="1:253" x14ac:dyDescent="0.25">
      <c r="A200" s="18">
        <v>163</v>
      </c>
      <c r="B200" s="2" t="s">
        <v>267</v>
      </c>
      <c r="C200" s="2" t="s">
        <v>358</v>
      </c>
      <c r="D200" s="105" t="s">
        <v>359</v>
      </c>
      <c r="E200" s="99"/>
      <c r="F200" s="99"/>
      <c r="G200" s="99"/>
      <c r="H200" s="99"/>
      <c r="I200" s="2" t="s">
        <v>72</v>
      </c>
      <c r="J200" s="19">
        <v>1.7</v>
      </c>
      <c r="K200" s="19"/>
      <c r="L200" s="20">
        <f t="shared" si="7"/>
        <v>0</v>
      </c>
      <c r="HV200" s="2" t="s">
        <v>353</v>
      </c>
      <c r="HW200" s="2" t="s">
        <v>32</v>
      </c>
      <c r="IR200" s="21">
        <f t="shared" si="8"/>
        <v>0</v>
      </c>
      <c r="IS200" s="21">
        <f t="shared" si="9"/>
        <v>0</v>
      </c>
    </row>
    <row r="201" spans="1:253" x14ac:dyDescent="0.25">
      <c r="A201" s="18">
        <v>164</v>
      </c>
      <c r="B201" s="2" t="s">
        <v>267</v>
      </c>
      <c r="C201" s="2" t="s">
        <v>360</v>
      </c>
      <c r="D201" s="105" t="s">
        <v>361</v>
      </c>
      <c r="E201" s="99"/>
      <c r="F201" s="99"/>
      <c r="G201" s="99"/>
      <c r="H201" s="99"/>
      <c r="I201" s="2" t="s">
        <v>72</v>
      </c>
      <c r="J201" s="19">
        <v>2.6</v>
      </c>
      <c r="K201" s="19"/>
      <c r="L201" s="20">
        <f t="shared" si="7"/>
        <v>0</v>
      </c>
      <c r="HV201" s="2" t="s">
        <v>353</v>
      </c>
      <c r="HW201" s="2" t="s">
        <v>32</v>
      </c>
      <c r="IR201" s="21">
        <f t="shared" si="8"/>
        <v>0</v>
      </c>
      <c r="IS201" s="21">
        <f t="shared" si="9"/>
        <v>0</v>
      </c>
    </row>
    <row r="202" spans="1:253" x14ac:dyDescent="0.25">
      <c r="A202" s="18">
        <v>165</v>
      </c>
      <c r="B202" s="2" t="s">
        <v>267</v>
      </c>
      <c r="C202" s="2" t="s">
        <v>362</v>
      </c>
      <c r="D202" s="105" t="s">
        <v>363</v>
      </c>
      <c r="E202" s="99"/>
      <c r="F202" s="99"/>
      <c r="G202" s="99"/>
      <c r="H202" s="99"/>
      <c r="I202" s="2" t="s">
        <v>72</v>
      </c>
      <c r="J202" s="19">
        <v>4.3</v>
      </c>
      <c r="K202" s="19"/>
      <c r="L202" s="20">
        <f t="shared" si="7"/>
        <v>0</v>
      </c>
      <c r="HV202" s="2" t="s">
        <v>353</v>
      </c>
      <c r="HW202" s="2" t="s">
        <v>32</v>
      </c>
      <c r="IR202" s="21">
        <f t="shared" si="8"/>
        <v>0</v>
      </c>
      <c r="IS202" s="21">
        <f t="shared" si="9"/>
        <v>0</v>
      </c>
    </row>
    <row r="203" spans="1:253" x14ac:dyDescent="0.25">
      <c r="A203" s="18">
        <v>166</v>
      </c>
      <c r="B203" s="2" t="s">
        <v>267</v>
      </c>
      <c r="C203" s="2" t="s">
        <v>364</v>
      </c>
      <c r="D203" s="105" t="s">
        <v>365</v>
      </c>
      <c r="E203" s="99"/>
      <c r="F203" s="99"/>
      <c r="G203" s="99"/>
      <c r="H203" s="99"/>
      <c r="I203" s="2" t="s">
        <v>72</v>
      </c>
      <c r="J203" s="19">
        <v>4.3</v>
      </c>
      <c r="K203" s="19"/>
      <c r="L203" s="20">
        <f t="shared" si="7"/>
        <v>0</v>
      </c>
      <c r="HV203" s="2" t="s">
        <v>353</v>
      </c>
      <c r="HW203" s="2" t="s">
        <v>32</v>
      </c>
      <c r="IR203" s="21">
        <f t="shared" si="8"/>
        <v>0</v>
      </c>
      <c r="IS203" s="21">
        <f t="shared" si="9"/>
        <v>0</v>
      </c>
    </row>
    <row r="204" spans="1:253" x14ac:dyDescent="0.25">
      <c r="A204" s="18">
        <v>167</v>
      </c>
      <c r="B204" s="2" t="s">
        <v>267</v>
      </c>
      <c r="C204" s="2" t="s">
        <v>366</v>
      </c>
      <c r="D204" s="105" t="s">
        <v>367</v>
      </c>
      <c r="E204" s="99"/>
      <c r="F204" s="99"/>
      <c r="G204" s="99"/>
      <c r="H204" s="99"/>
      <c r="I204" s="2" t="s">
        <v>72</v>
      </c>
      <c r="J204" s="19">
        <v>4.3</v>
      </c>
      <c r="K204" s="19"/>
      <c r="L204" s="20">
        <f t="shared" si="7"/>
        <v>0</v>
      </c>
      <c r="HV204" s="2" t="s">
        <v>353</v>
      </c>
      <c r="HW204" s="2" t="s">
        <v>32</v>
      </c>
      <c r="IR204" s="21">
        <f t="shared" si="8"/>
        <v>0</v>
      </c>
      <c r="IS204" s="21">
        <f t="shared" si="9"/>
        <v>0</v>
      </c>
    </row>
    <row r="205" spans="1:253" x14ac:dyDescent="0.25">
      <c r="A205" s="18">
        <v>168</v>
      </c>
      <c r="B205" s="2" t="s">
        <v>267</v>
      </c>
      <c r="C205" s="2" t="s">
        <v>368</v>
      </c>
      <c r="D205" s="105" t="s">
        <v>369</v>
      </c>
      <c r="E205" s="99"/>
      <c r="F205" s="99"/>
      <c r="G205" s="99"/>
      <c r="H205" s="99"/>
      <c r="I205" s="2" t="s">
        <v>72</v>
      </c>
      <c r="J205" s="19">
        <v>43</v>
      </c>
      <c r="K205" s="19"/>
      <c r="L205" s="20">
        <f t="shared" si="7"/>
        <v>0</v>
      </c>
      <c r="HV205" s="2" t="s">
        <v>353</v>
      </c>
      <c r="HW205" s="2" t="s">
        <v>32</v>
      </c>
      <c r="IR205" s="21">
        <f t="shared" si="8"/>
        <v>0</v>
      </c>
      <c r="IS205" s="21">
        <f t="shared" si="9"/>
        <v>0</v>
      </c>
    </row>
    <row r="206" spans="1:253" x14ac:dyDescent="0.25">
      <c r="A206" s="18">
        <v>169</v>
      </c>
      <c r="B206" s="2" t="s">
        <v>267</v>
      </c>
      <c r="C206" s="2" t="s">
        <v>370</v>
      </c>
      <c r="D206" s="105" t="s">
        <v>371</v>
      </c>
      <c r="E206" s="99"/>
      <c r="F206" s="99"/>
      <c r="G206" s="99"/>
      <c r="H206" s="99"/>
      <c r="I206" s="2" t="s">
        <v>72</v>
      </c>
      <c r="J206" s="19">
        <v>4.3</v>
      </c>
      <c r="K206" s="19"/>
      <c r="L206" s="20">
        <f t="shared" si="7"/>
        <v>0</v>
      </c>
      <c r="HV206" s="2" t="s">
        <v>353</v>
      </c>
      <c r="HW206" s="2" t="s">
        <v>32</v>
      </c>
      <c r="IR206" s="21">
        <f t="shared" si="8"/>
        <v>0</v>
      </c>
      <c r="IS206" s="21">
        <f t="shared" si="9"/>
        <v>0</v>
      </c>
    </row>
    <row r="207" spans="1:253" x14ac:dyDescent="0.25">
      <c r="A207" s="14" t="s">
        <v>23</v>
      </c>
      <c r="B207" s="15" t="s">
        <v>372</v>
      </c>
      <c r="C207" s="15" t="s">
        <v>25</v>
      </c>
      <c r="D207" s="112" t="s">
        <v>373</v>
      </c>
      <c r="E207" s="113"/>
      <c r="F207" s="113"/>
      <c r="G207" s="113"/>
      <c r="H207" s="113"/>
      <c r="I207" s="15" t="s">
        <v>23</v>
      </c>
      <c r="J207" s="16" t="s">
        <v>23</v>
      </c>
      <c r="K207" s="16"/>
      <c r="L207" s="17">
        <f>L209+L211+L214</f>
        <v>0</v>
      </c>
    </row>
    <row r="208" spans="1:253" x14ac:dyDescent="0.25">
      <c r="A208" s="14" t="s">
        <v>23</v>
      </c>
      <c r="B208" s="15" t="s">
        <v>372</v>
      </c>
      <c r="C208" s="15" t="s">
        <v>374</v>
      </c>
      <c r="D208" s="112" t="s">
        <v>375</v>
      </c>
      <c r="E208" s="113"/>
      <c r="F208" s="113"/>
      <c r="G208" s="113"/>
      <c r="H208" s="113"/>
      <c r="I208" s="15" t="s">
        <v>23</v>
      </c>
      <c r="J208" s="16" t="s">
        <v>23</v>
      </c>
      <c r="K208" s="16"/>
      <c r="L208" s="17">
        <f>L209+L211+L214</f>
        <v>0</v>
      </c>
    </row>
    <row r="209" spans="1:253" x14ac:dyDescent="0.25">
      <c r="A209" s="14" t="s">
        <v>23</v>
      </c>
      <c r="B209" s="15" t="s">
        <v>372</v>
      </c>
      <c r="C209" s="15" t="s">
        <v>376</v>
      </c>
      <c r="D209" s="112" t="s">
        <v>377</v>
      </c>
      <c r="E209" s="113"/>
      <c r="F209" s="113"/>
      <c r="G209" s="113"/>
      <c r="H209" s="113"/>
      <c r="I209" s="15" t="s">
        <v>23</v>
      </c>
      <c r="J209" s="16" t="s">
        <v>23</v>
      </c>
      <c r="K209" s="16"/>
      <c r="L209" s="17">
        <f>SUM(L210:L210)</f>
        <v>0</v>
      </c>
    </row>
    <row r="210" spans="1:253" x14ac:dyDescent="0.25">
      <c r="A210" s="18">
        <v>170</v>
      </c>
      <c r="B210" s="2" t="s">
        <v>372</v>
      </c>
      <c r="C210" s="2" t="s">
        <v>378</v>
      </c>
      <c r="D210" s="105" t="s">
        <v>379</v>
      </c>
      <c r="E210" s="99"/>
      <c r="F210" s="99"/>
      <c r="G210" s="99"/>
      <c r="H210" s="99"/>
      <c r="I210" s="2" t="s">
        <v>380</v>
      </c>
      <c r="J210" s="19">
        <v>12</v>
      </c>
      <c r="K210" s="19"/>
      <c r="L210" s="20">
        <f>IR210*J210+IS210*J210</f>
        <v>0</v>
      </c>
      <c r="HV210" s="2" t="s">
        <v>376</v>
      </c>
      <c r="HW210" s="2" t="s">
        <v>32</v>
      </c>
      <c r="IR210" s="21">
        <f>K210*0</f>
        <v>0</v>
      </c>
      <c r="IS210" s="21">
        <f>K210*(1-0)</f>
        <v>0</v>
      </c>
    </row>
    <row r="211" spans="1:253" x14ac:dyDescent="0.25">
      <c r="A211" s="14" t="s">
        <v>23</v>
      </c>
      <c r="B211" s="15" t="s">
        <v>372</v>
      </c>
      <c r="C211" s="15" t="s">
        <v>381</v>
      </c>
      <c r="D211" s="112" t="s">
        <v>382</v>
      </c>
      <c r="E211" s="113"/>
      <c r="F211" s="113"/>
      <c r="G211" s="113"/>
      <c r="H211" s="113"/>
      <c r="I211" s="15" t="s">
        <v>23</v>
      </c>
      <c r="J211" s="16" t="s">
        <v>23</v>
      </c>
      <c r="K211" s="16"/>
      <c r="L211" s="17">
        <f>SUM(L212:L213)</f>
        <v>0</v>
      </c>
    </row>
    <row r="212" spans="1:253" x14ac:dyDescent="0.25">
      <c r="A212" s="18">
        <v>171</v>
      </c>
      <c r="B212" s="2" t="s">
        <v>372</v>
      </c>
      <c r="C212" s="2" t="s">
        <v>383</v>
      </c>
      <c r="D212" s="105" t="s">
        <v>382</v>
      </c>
      <c r="E212" s="99"/>
      <c r="F212" s="99"/>
      <c r="G212" s="99"/>
      <c r="H212" s="99"/>
      <c r="I212" s="2" t="s">
        <v>384</v>
      </c>
      <c r="J212" s="19">
        <v>1</v>
      </c>
      <c r="K212" s="19"/>
      <c r="L212" s="20">
        <f>IR212*J212+IS212*J212</f>
        <v>0</v>
      </c>
      <c r="HV212" s="2" t="s">
        <v>381</v>
      </c>
      <c r="HW212" s="2" t="s">
        <v>32</v>
      </c>
      <c r="IR212" s="21">
        <f>K212*0</f>
        <v>0</v>
      </c>
      <c r="IS212" s="21">
        <f>K212*(1-0)</f>
        <v>0</v>
      </c>
    </row>
    <row r="213" spans="1:253" x14ac:dyDescent="0.25">
      <c r="A213" s="18">
        <v>172</v>
      </c>
      <c r="B213" s="2" t="s">
        <v>372</v>
      </c>
      <c r="C213" s="2" t="s">
        <v>385</v>
      </c>
      <c r="D213" s="105" t="s">
        <v>386</v>
      </c>
      <c r="E213" s="99"/>
      <c r="F213" s="99"/>
      <c r="G213" s="99"/>
      <c r="H213" s="99"/>
      <c r="I213" s="2" t="s">
        <v>384</v>
      </c>
      <c r="J213" s="19">
        <v>1</v>
      </c>
      <c r="K213" s="19"/>
      <c r="L213" s="20">
        <f>IR213*J213+IS213*J213</f>
        <v>0</v>
      </c>
      <c r="HV213" s="2" t="s">
        <v>381</v>
      </c>
      <c r="HW213" s="2" t="s">
        <v>32</v>
      </c>
      <c r="IR213" s="21">
        <f>K213*0</f>
        <v>0</v>
      </c>
      <c r="IS213" s="21">
        <f>K213*(1-0)</f>
        <v>0</v>
      </c>
    </row>
    <row r="214" spans="1:253" x14ac:dyDescent="0.25">
      <c r="A214" s="14" t="s">
        <v>23</v>
      </c>
      <c r="B214" s="15" t="s">
        <v>372</v>
      </c>
      <c r="C214" s="15" t="s">
        <v>387</v>
      </c>
      <c r="D214" s="112" t="s">
        <v>388</v>
      </c>
      <c r="E214" s="113"/>
      <c r="F214" s="113"/>
      <c r="G214" s="113"/>
      <c r="H214" s="113"/>
      <c r="I214" s="15" t="s">
        <v>23</v>
      </c>
      <c r="J214" s="16" t="s">
        <v>23</v>
      </c>
      <c r="K214" s="16"/>
      <c r="L214" s="17">
        <f>SUM(L215:L215)</f>
        <v>0</v>
      </c>
    </row>
    <row r="215" spans="1:253" x14ac:dyDescent="0.25">
      <c r="A215" s="22">
        <v>173</v>
      </c>
      <c r="B215" s="6" t="s">
        <v>372</v>
      </c>
      <c r="C215" s="6" t="s">
        <v>389</v>
      </c>
      <c r="D215" s="114" t="s">
        <v>388</v>
      </c>
      <c r="E215" s="102"/>
      <c r="F215" s="102"/>
      <c r="G215" s="102"/>
      <c r="H215" s="102"/>
      <c r="I215" s="6" t="s">
        <v>384</v>
      </c>
      <c r="J215" s="23">
        <v>1</v>
      </c>
      <c r="K215" s="23"/>
      <c r="L215" s="24">
        <f>IR215*J215+IS215*J215</f>
        <v>0</v>
      </c>
      <c r="HV215" s="2" t="s">
        <v>387</v>
      </c>
      <c r="HW215" s="2" t="s">
        <v>32</v>
      </c>
      <c r="IR215" s="21">
        <f>K215*0</f>
        <v>0</v>
      </c>
      <c r="IS215" s="21">
        <f>K215*(1-0)</f>
        <v>0</v>
      </c>
    </row>
    <row r="217" spans="1:253" x14ac:dyDescent="0.25">
      <c r="K217" s="3" t="s">
        <v>390</v>
      </c>
      <c r="L217" s="25">
        <f>ROUND(L12+L19+L22+L35+L74+L99+L104+L129+L144+L157+L171+L173+L175+L180+L186+L188+L190+L192+L198+L209+L211+L214,0)</f>
        <v>0</v>
      </c>
    </row>
  </sheetData>
  <mergeCells count="231">
    <mergeCell ref="D212:H212"/>
    <mergeCell ref="D213:H213"/>
    <mergeCell ref="D214:H214"/>
    <mergeCell ref="D215:H215"/>
    <mergeCell ref="D207:H207"/>
    <mergeCell ref="D208:H208"/>
    <mergeCell ref="D209:H209"/>
    <mergeCell ref="D210:H210"/>
    <mergeCell ref="D211:H211"/>
    <mergeCell ref="D202:H202"/>
    <mergeCell ref="D203:H203"/>
    <mergeCell ref="D204:H204"/>
    <mergeCell ref="D205:H205"/>
    <mergeCell ref="D206:H206"/>
    <mergeCell ref="D197:H197"/>
    <mergeCell ref="D198:H198"/>
    <mergeCell ref="D199:H199"/>
    <mergeCell ref="D200:H200"/>
    <mergeCell ref="D201:H201"/>
    <mergeCell ref="D192:H192"/>
    <mergeCell ref="D193:H193"/>
    <mergeCell ref="D194:H194"/>
    <mergeCell ref="D195:H195"/>
    <mergeCell ref="D196:H196"/>
    <mergeCell ref="D187:H187"/>
    <mergeCell ref="D188:H188"/>
    <mergeCell ref="D189:H189"/>
    <mergeCell ref="D190:H190"/>
    <mergeCell ref="D191:H191"/>
    <mergeCell ref="D182:H182"/>
    <mergeCell ref="D183:H183"/>
    <mergeCell ref="D184:H184"/>
    <mergeCell ref="D185:H185"/>
    <mergeCell ref="D186:H186"/>
    <mergeCell ref="D177:H177"/>
    <mergeCell ref="D178:H178"/>
    <mergeCell ref="D179:H179"/>
    <mergeCell ref="D180:H180"/>
    <mergeCell ref="D181:H181"/>
    <mergeCell ref="D172:H172"/>
    <mergeCell ref="D173:H173"/>
    <mergeCell ref="D174:H174"/>
    <mergeCell ref="D175:H175"/>
    <mergeCell ref="D176:H176"/>
    <mergeCell ref="D167:H167"/>
    <mergeCell ref="D168:H168"/>
    <mergeCell ref="D169:H169"/>
    <mergeCell ref="D170:H170"/>
    <mergeCell ref="D171:H171"/>
    <mergeCell ref="D162:H162"/>
    <mergeCell ref="D163:H163"/>
    <mergeCell ref="D164:H164"/>
    <mergeCell ref="D165:H165"/>
    <mergeCell ref="D166:H166"/>
    <mergeCell ref="D157:H157"/>
    <mergeCell ref="D158:H158"/>
    <mergeCell ref="D159:H159"/>
    <mergeCell ref="D160:H160"/>
    <mergeCell ref="D161:H161"/>
    <mergeCell ref="D152:H152"/>
    <mergeCell ref="D153:H153"/>
    <mergeCell ref="D154:H154"/>
    <mergeCell ref="D155:H155"/>
    <mergeCell ref="D156:H156"/>
    <mergeCell ref="D147:H147"/>
    <mergeCell ref="D148:H148"/>
    <mergeCell ref="D149:H149"/>
    <mergeCell ref="D150:H150"/>
    <mergeCell ref="D151:H151"/>
    <mergeCell ref="D142:H142"/>
    <mergeCell ref="D143:H143"/>
    <mergeCell ref="D144:H144"/>
    <mergeCell ref="D145:H145"/>
    <mergeCell ref="D146:H146"/>
    <mergeCell ref="D137:H137"/>
    <mergeCell ref="D138:H138"/>
    <mergeCell ref="D139:H139"/>
    <mergeCell ref="D140:H140"/>
    <mergeCell ref="D141:H141"/>
    <mergeCell ref="D132:H132"/>
    <mergeCell ref="D133:H133"/>
    <mergeCell ref="D134:H134"/>
    <mergeCell ref="D135:H135"/>
    <mergeCell ref="D136:H136"/>
    <mergeCell ref="D127:H127"/>
    <mergeCell ref="D128:H128"/>
    <mergeCell ref="D129:H129"/>
    <mergeCell ref="D130:H130"/>
    <mergeCell ref="D131:H131"/>
    <mergeCell ref="D122:H122"/>
    <mergeCell ref="D123:H123"/>
    <mergeCell ref="D124:H124"/>
    <mergeCell ref="D125:H125"/>
    <mergeCell ref="D126:H126"/>
    <mergeCell ref="D117:H117"/>
    <mergeCell ref="D118:H118"/>
    <mergeCell ref="D119:H119"/>
    <mergeCell ref="D120:H120"/>
    <mergeCell ref="D121:H121"/>
    <mergeCell ref="D112:H112"/>
    <mergeCell ref="D113:H113"/>
    <mergeCell ref="D114:H114"/>
    <mergeCell ref="D115:H115"/>
    <mergeCell ref="D116:H116"/>
    <mergeCell ref="D107:H107"/>
    <mergeCell ref="D108:H108"/>
    <mergeCell ref="D109:H109"/>
    <mergeCell ref="D110:H110"/>
    <mergeCell ref="D111:H111"/>
    <mergeCell ref="D102:H102"/>
    <mergeCell ref="D103:H103"/>
    <mergeCell ref="D104:H104"/>
    <mergeCell ref="D105:H105"/>
    <mergeCell ref="D106:H106"/>
    <mergeCell ref="D97:H97"/>
    <mergeCell ref="D98:H98"/>
    <mergeCell ref="D99:H99"/>
    <mergeCell ref="D100:H100"/>
    <mergeCell ref="D101:H101"/>
    <mergeCell ref="D92:H92"/>
    <mergeCell ref="D93:H93"/>
    <mergeCell ref="D94:H94"/>
    <mergeCell ref="D95:H95"/>
    <mergeCell ref="D96:H96"/>
    <mergeCell ref="D87:H87"/>
    <mergeCell ref="D88:H88"/>
    <mergeCell ref="D89:H89"/>
    <mergeCell ref="D90:H90"/>
    <mergeCell ref="D91:H91"/>
    <mergeCell ref="D82:H82"/>
    <mergeCell ref="D83:H83"/>
    <mergeCell ref="D84:H84"/>
    <mergeCell ref="D85:H85"/>
    <mergeCell ref="D86:H86"/>
    <mergeCell ref="D77:H77"/>
    <mergeCell ref="D78:H78"/>
    <mergeCell ref="D79:H79"/>
    <mergeCell ref="D80:H80"/>
    <mergeCell ref="D81:H81"/>
    <mergeCell ref="D72:H72"/>
    <mergeCell ref="D73:H73"/>
    <mergeCell ref="D74:H74"/>
    <mergeCell ref="D75:H75"/>
    <mergeCell ref="D76:H76"/>
    <mergeCell ref="D67:H67"/>
    <mergeCell ref="D68:H68"/>
    <mergeCell ref="D69:H69"/>
    <mergeCell ref="D70:H70"/>
    <mergeCell ref="D71:H71"/>
    <mergeCell ref="D62:H62"/>
    <mergeCell ref="D63:H63"/>
    <mergeCell ref="D64:H64"/>
    <mergeCell ref="D65:H65"/>
    <mergeCell ref="D66:H66"/>
    <mergeCell ref="D57:H57"/>
    <mergeCell ref="D58:H58"/>
    <mergeCell ref="D59:H59"/>
    <mergeCell ref="D60:H60"/>
    <mergeCell ref="D61:H61"/>
    <mergeCell ref="D52:H52"/>
    <mergeCell ref="D53:H53"/>
    <mergeCell ref="D54:H54"/>
    <mergeCell ref="D55:H55"/>
    <mergeCell ref="D56:H56"/>
    <mergeCell ref="D47:H47"/>
    <mergeCell ref="D48:H48"/>
    <mergeCell ref="D49:H49"/>
    <mergeCell ref="D50:H50"/>
    <mergeCell ref="D51:H51"/>
    <mergeCell ref="D42:H42"/>
    <mergeCell ref="D43:H43"/>
    <mergeCell ref="D44:H44"/>
    <mergeCell ref="D45:H45"/>
    <mergeCell ref="D46:H46"/>
    <mergeCell ref="D37:H37"/>
    <mergeCell ref="D38:H38"/>
    <mergeCell ref="D39:H39"/>
    <mergeCell ref="D40:H40"/>
    <mergeCell ref="D41:H41"/>
    <mergeCell ref="D32:H32"/>
    <mergeCell ref="D33:H33"/>
    <mergeCell ref="D34:H34"/>
    <mergeCell ref="D35:H35"/>
    <mergeCell ref="D36:H36"/>
    <mergeCell ref="D27:H27"/>
    <mergeCell ref="D28:H28"/>
    <mergeCell ref="D29:H29"/>
    <mergeCell ref="D30:H30"/>
    <mergeCell ref="D31:H31"/>
    <mergeCell ref="D22:H22"/>
    <mergeCell ref="D23:H23"/>
    <mergeCell ref="D24:H24"/>
    <mergeCell ref="D25:H25"/>
    <mergeCell ref="D26:H26"/>
    <mergeCell ref="D17:H17"/>
    <mergeCell ref="D18:H18"/>
    <mergeCell ref="D19:H19"/>
    <mergeCell ref="D20:H20"/>
    <mergeCell ref="D21:H21"/>
    <mergeCell ref="D12:H12"/>
    <mergeCell ref="D13:H13"/>
    <mergeCell ref="D14:H14"/>
    <mergeCell ref="D15:H15"/>
    <mergeCell ref="D16:H16"/>
    <mergeCell ref="I2:L3"/>
    <mergeCell ref="I4:L5"/>
    <mergeCell ref="I6:L7"/>
    <mergeCell ref="I8:L9"/>
    <mergeCell ref="D11:H11"/>
    <mergeCell ref="G6:G7"/>
    <mergeCell ref="G8:G9"/>
    <mergeCell ref="H2:H3"/>
    <mergeCell ref="H4:H5"/>
    <mergeCell ref="H6:H7"/>
    <mergeCell ref="H8:H9"/>
    <mergeCell ref="D10:H10"/>
    <mergeCell ref="A1:L1"/>
    <mergeCell ref="A2:C3"/>
    <mergeCell ref="A4:C5"/>
    <mergeCell ref="A6:C7"/>
    <mergeCell ref="A8:C9"/>
    <mergeCell ref="D2:D3"/>
    <mergeCell ref="D4:D5"/>
    <mergeCell ref="D6:D7"/>
    <mergeCell ref="D8:D9"/>
    <mergeCell ref="E2:F3"/>
    <mergeCell ref="E4:F5"/>
    <mergeCell ref="E6:F7"/>
    <mergeCell ref="E8:F9"/>
    <mergeCell ref="G2:G3"/>
    <mergeCell ref="G4:G5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20" t="s">
        <v>375</v>
      </c>
      <c r="B1" s="95"/>
      <c r="C1" s="95"/>
      <c r="D1" s="95"/>
      <c r="E1" s="95"/>
      <c r="F1" s="95"/>
      <c r="G1" s="95"/>
      <c r="H1" s="95"/>
      <c r="I1" s="95"/>
    </row>
    <row r="2" spans="1:9" x14ac:dyDescent="0.25">
      <c r="A2" s="96" t="s">
        <v>1</v>
      </c>
      <c r="B2" s="97"/>
      <c r="C2" s="103" t="str">
        <f>'Stavební rozpočet'!D2</f>
        <v>Oprava rozvodů kanalizace, vody a plynu Slunečná 1573/8 Havířov</v>
      </c>
      <c r="D2" s="121"/>
      <c r="E2" s="106" t="s">
        <v>3</v>
      </c>
      <c r="F2" s="106" t="str">
        <f>'Stavební rozpočet'!J2</f>
        <v>Společenstní vlastníků Slunečná 1573 Havířov Podle</v>
      </c>
      <c r="G2" s="97"/>
      <c r="H2" s="106" t="s">
        <v>398</v>
      </c>
      <c r="I2" s="107" t="s">
        <v>25</v>
      </c>
    </row>
    <row r="3" spans="1:9" ht="15" customHeight="1" x14ac:dyDescent="0.25">
      <c r="A3" s="98"/>
      <c r="B3" s="99"/>
      <c r="C3" s="104"/>
      <c r="D3" s="104"/>
      <c r="E3" s="99"/>
      <c r="F3" s="99"/>
      <c r="G3" s="99"/>
      <c r="H3" s="99"/>
      <c r="I3" s="108"/>
    </row>
    <row r="4" spans="1:9" x14ac:dyDescent="0.25">
      <c r="A4" s="100" t="s">
        <v>4</v>
      </c>
      <c r="B4" s="99"/>
      <c r="C4" s="105" t="str">
        <f>'Stavební rozpočet'!D4</f>
        <v xml:space="preserve"> </v>
      </c>
      <c r="D4" s="99"/>
      <c r="E4" s="105" t="s">
        <v>6</v>
      </c>
      <c r="F4" s="105" t="str">
        <f>'Stavební rozpočet'!J4</f>
        <v>ETRACOM s.r.o.</v>
      </c>
      <c r="G4" s="99"/>
      <c r="H4" s="105" t="s">
        <v>398</v>
      </c>
      <c r="I4" s="108" t="s">
        <v>399</v>
      </c>
    </row>
    <row r="5" spans="1:9" ht="15" customHeight="1" x14ac:dyDescent="0.25">
      <c r="A5" s="98"/>
      <c r="B5" s="99"/>
      <c r="C5" s="99"/>
      <c r="D5" s="99"/>
      <c r="E5" s="99"/>
      <c r="F5" s="99"/>
      <c r="G5" s="99"/>
      <c r="H5" s="99"/>
      <c r="I5" s="108"/>
    </row>
    <row r="6" spans="1:9" x14ac:dyDescent="0.25">
      <c r="A6" s="100" t="s">
        <v>7</v>
      </c>
      <c r="B6" s="99"/>
      <c r="C6" s="105" t="str">
        <f>'Stavební rozpočet'!D6</f>
        <v xml:space="preserve"> </v>
      </c>
      <c r="D6" s="99"/>
      <c r="E6" s="105" t="s">
        <v>9</v>
      </c>
      <c r="F6" s="105" t="str">
        <f>'Stavební rozpočet'!J6</f>
        <v> </v>
      </c>
      <c r="G6" s="99"/>
      <c r="H6" s="105" t="s">
        <v>398</v>
      </c>
      <c r="I6" s="108" t="s">
        <v>25</v>
      </c>
    </row>
    <row r="7" spans="1:9" ht="15" customHeight="1" x14ac:dyDescent="0.25">
      <c r="A7" s="98"/>
      <c r="B7" s="99"/>
      <c r="C7" s="99"/>
      <c r="D7" s="99"/>
      <c r="E7" s="99"/>
      <c r="F7" s="99"/>
      <c r="G7" s="99"/>
      <c r="H7" s="99"/>
      <c r="I7" s="108"/>
    </row>
    <row r="8" spans="1:9" x14ac:dyDescent="0.25">
      <c r="A8" s="100" t="s">
        <v>5</v>
      </c>
      <c r="B8" s="99"/>
      <c r="C8" s="105" t="str">
        <f>'Stavební rozpočet'!H4</f>
        <v xml:space="preserve"> </v>
      </c>
      <c r="D8" s="99"/>
      <c r="E8" s="105" t="s">
        <v>8</v>
      </c>
      <c r="F8" s="105" t="str">
        <f>'Stavební rozpočet'!H6</f>
        <v xml:space="preserve"> </v>
      </c>
      <c r="G8" s="99"/>
      <c r="H8" s="99" t="s">
        <v>400</v>
      </c>
      <c r="I8" s="122">
        <v>173</v>
      </c>
    </row>
    <row r="9" spans="1:9" x14ac:dyDescent="0.25">
      <c r="A9" s="98"/>
      <c r="B9" s="99"/>
      <c r="C9" s="99"/>
      <c r="D9" s="99"/>
      <c r="E9" s="99"/>
      <c r="F9" s="99"/>
      <c r="G9" s="99"/>
      <c r="H9" s="99"/>
      <c r="I9" s="108"/>
    </row>
    <row r="10" spans="1:9" x14ac:dyDescent="0.25">
      <c r="A10" s="100" t="s">
        <v>10</v>
      </c>
      <c r="B10" s="99"/>
      <c r="C10" s="105" t="str">
        <f>'Stavební rozpočet'!D8</f>
        <v xml:space="preserve"> </v>
      </c>
      <c r="D10" s="99"/>
      <c r="E10" s="105" t="s">
        <v>12</v>
      </c>
      <c r="F10" s="105" t="str">
        <f>'Stavební rozpočet'!J8</f>
        <v>Ing. Radim Kyjonka</v>
      </c>
      <c r="G10" s="99"/>
      <c r="H10" s="99" t="s">
        <v>401</v>
      </c>
      <c r="I10" s="118" t="str">
        <f>'Stavební rozpočet'!H8</f>
        <v>13.06.2024</v>
      </c>
    </row>
    <row r="11" spans="1:9" x14ac:dyDescent="0.25">
      <c r="A11" s="101"/>
      <c r="B11" s="102"/>
      <c r="C11" s="102"/>
      <c r="D11" s="102"/>
      <c r="E11" s="102"/>
      <c r="F11" s="102"/>
      <c r="G11" s="102"/>
      <c r="H11" s="102"/>
      <c r="I11" s="109"/>
    </row>
    <row r="13" spans="1:9" ht="15.75" x14ac:dyDescent="0.25">
      <c r="A13" s="156" t="s">
        <v>442</v>
      </c>
      <c r="B13" s="156"/>
      <c r="C13" s="156"/>
      <c r="D13" s="156"/>
      <c r="E13" s="156"/>
    </row>
    <row r="14" spans="1:9" x14ac:dyDescent="0.25">
      <c r="A14" s="157" t="s">
        <v>443</v>
      </c>
      <c r="B14" s="158"/>
      <c r="C14" s="158"/>
      <c r="D14" s="158"/>
      <c r="E14" s="159"/>
      <c r="F14" s="52" t="s">
        <v>444</v>
      </c>
      <c r="G14" s="52" t="s">
        <v>43</v>
      </c>
      <c r="H14" s="52" t="s">
        <v>445</v>
      </c>
      <c r="I14" s="52" t="s">
        <v>444</v>
      </c>
    </row>
    <row r="15" spans="1:9" x14ac:dyDescent="0.25">
      <c r="A15" s="160" t="s">
        <v>411</v>
      </c>
      <c r="B15" s="161"/>
      <c r="C15" s="161"/>
      <c r="D15" s="161"/>
      <c r="E15" s="162"/>
      <c r="F15" s="53">
        <v>0</v>
      </c>
      <c r="G15" s="54" t="s">
        <v>25</v>
      </c>
      <c r="H15" s="54" t="s">
        <v>25</v>
      </c>
      <c r="I15" s="53">
        <f>F15</f>
        <v>0</v>
      </c>
    </row>
    <row r="16" spans="1:9" x14ac:dyDescent="0.25">
      <c r="A16" s="160" t="s">
        <v>413</v>
      </c>
      <c r="B16" s="161"/>
      <c r="C16" s="161"/>
      <c r="D16" s="161"/>
      <c r="E16" s="162"/>
      <c r="F16" s="53">
        <v>0</v>
      </c>
      <c r="G16" s="54" t="s">
        <v>25</v>
      </c>
      <c r="H16" s="54" t="s">
        <v>25</v>
      </c>
      <c r="I16" s="53">
        <f>F16</f>
        <v>0</v>
      </c>
    </row>
    <row r="17" spans="1:9" x14ac:dyDescent="0.25">
      <c r="A17" s="163" t="s">
        <v>416</v>
      </c>
      <c r="B17" s="164"/>
      <c r="C17" s="164"/>
      <c r="D17" s="164"/>
      <c r="E17" s="165"/>
      <c r="F17" s="55">
        <v>0</v>
      </c>
      <c r="G17" s="56" t="s">
        <v>25</v>
      </c>
      <c r="H17" s="56" t="s">
        <v>25</v>
      </c>
      <c r="I17" s="55">
        <f>F17</f>
        <v>0</v>
      </c>
    </row>
    <row r="18" spans="1:9" x14ac:dyDescent="0.25">
      <c r="A18" s="166" t="s">
        <v>446</v>
      </c>
      <c r="B18" s="167"/>
      <c r="C18" s="167"/>
      <c r="D18" s="167"/>
      <c r="E18" s="168"/>
      <c r="F18" s="57" t="s">
        <v>25</v>
      </c>
      <c r="G18" s="58" t="s">
        <v>25</v>
      </c>
      <c r="H18" s="58" t="s">
        <v>25</v>
      </c>
      <c r="I18" s="59">
        <f>SUM(I15:I17)</f>
        <v>0</v>
      </c>
    </row>
    <row r="20" spans="1:9" x14ac:dyDescent="0.25">
      <c r="A20" s="157" t="s">
        <v>408</v>
      </c>
      <c r="B20" s="158"/>
      <c r="C20" s="158"/>
      <c r="D20" s="158"/>
      <c r="E20" s="159"/>
      <c r="F20" s="52" t="s">
        <v>444</v>
      </c>
      <c r="G20" s="52" t="s">
        <v>43</v>
      </c>
      <c r="H20" s="52" t="s">
        <v>445</v>
      </c>
      <c r="I20" s="52" t="s">
        <v>444</v>
      </c>
    </row>
    <row r="21" spans="1:9" x14ac:dyDescent="0.25">
      <c r="A21" s="160" t="s">
        <v>382</v>
      </c>
      <c r="B21" s="161"/>
      <c r="C21" s="161"/>
      <c r="D21" s="161"/>
      <c r="E21" s="162"/>
      <c r="F21" s="53">
        <v>0</v>
      </c>
      <c r="G21" s="54" t="s">
        <v>25</v>
      </c>
      <c r="H21" s="54" t="s">
        <v>25</v>
      </c>
      <c r="I21" s="53">
        <f t="shared" ref="I21:I26" si="0">F21</f>
        <v>0</v>
      </c>
    </row>
    <row r="22" spans="1:9" x14ac:dyDescent="0.25">
      <c r="A22" s="160" t="s">
        <v>414</v>
      </c>
      <c r="B22" s="161"/>
      <c r="C22" s="161"/>
      <c r="D22" s="161"/>
      <c r="E22" s="162"/>
      <c r="F22" s="53">
        <v>0</v>
      </c>
      <c r="G22" s="54" t="s">
        <v>25</v>
      </c>
      <c r="H22" s="54" t="s">
        <v>25</v>
      </c>
      <c r="I22" s="53">
        <f t="shared" si="0"/>
        <v>0</v>
      </c>
    </row>
    <row r="23" spans="1:9" x14ac:dyDescent="0.25">
      <c r="A23" s="160" t="s">
        <v>417</v>
      </c>
      <c r="B23" s="161"/>
      <c r="C23" s="161"/>
      <c r="D23" s="161"/>
      <c r="E23" s="162"/>
      <c r="F23" s="53">
        <v>0</v>
      </c>
      <c r="G23" s="54" t="s">
        <v>25</v>
      </c>
      <c r="H23" s="54" t="s">
        <v>25</v>
      </c>
      <c r="I23" s="53">
        <f t="shared" si="0"/>
        <v>0</v>
      </c>
    </row>
    <row r="24" spans="1:9" x14ac:dyDescent="0.25">
      <c r="A24" s="160" t="s">
        <v>388</v>
      </c>
      <c r="B24" s="161"/>
      <c r="C24" s="161"/>
      <c r="D24" s="161"/>
      <c r="E24" s="162"/>
      <c r="F24" s="53">
        <v>0</v>
      </c>
      <c r="G24" s="54" t="s">
        <v>25</v>
      </c>
      <c r="H24" s="54" t="s">
        <v>25</v>
      </c>
      <c r="I24" s="53">
        <f t="shared" si="0"/>
        <v>0</v>
      </c>
    </row>
    <row r="25" spans="1:9" x14ac:dyDescent="0.25">
      <c r="A25" s="160" t="s">
        <v>419</v>
      </c>
      <c r="B25" s="161"/>
      <c r="C25" s="161"/>
      <c r="D25" s="161"/>
      <c r="E25" s="162"/>
      <c r="F25" s="53">
        <v>0</v>
      </c>
      <c r="G25" s="54" t="s">
        <v>25</v>
      </c>
      <c r="H25" s="54" t="s">
        <v>25</v>
      </c>
      <c r="I25" s="53">
        <f t="shared" si="0"/>
        <v>0</v>
      </c>
    </row>
    <row r="26" spans="1:9" x14ac:dyDescent="0.25">
      <c r="A26" s="163" t="s">
        <v>420</v>
      </c>
      <c r="B26" s="164"/>
      <c r="C26" s="164"/>
      <c r="D26" s="164"/>
      <c r="E26" s="165"/>
      <c r="F26" s="55">
        <v>0</v>
      </c>
      <c r="G26" s="56" t="s">
        <v>25</v>
      </c>
      <c r="H26" s="56" t="s">
        <v>25</v>
      </c>
      <c r="I26" s="55">
        <f t="shared" si="0"/>
        <v>0</v>
      </c>
    </row>
    <row r="27" spans="1:9" x14ac:dyDescent="0.25">
      <c r="A27" s="166" t="s">
        <v>447</v>
      </c>
      <c r="B27" s="167"/>
      <c r="C27" s="167"/>
      <c r="D27" s="167"/>
      <c r="E27" s="168"/>
      <c r="F27" s="57" t="s">
        <v>25</v>
      </c>
      <c r="G27" s="58" t="s">
        <v>25</v>
      </c>
      <c r="H27" s="58" t="s">
        <v>25</v>
      </c>
      <c r="I27" s="59">
        <f>SUM(I21:I26)</f>
        <v>0</v>
      </c>
    </row>
    <row r="29" spans="1:9" ht="15.75" x14ac:dyDescent="0.25">
      <c r="A29" s="169" t="s">
        <v>448</v>
      </c>
      <c r="B29" s="170"/>
      <c r="C29" s="170"/>
      <c r="D29" s="170"/>
      <c r="E29" s="171"/>
      <c r="F29" s="172">
        <f>I18+I27</f>
        <v>0</v>
      </c>
      <c r="G29" s="173"/>
      <c r="H29" s="173"/>
      <c r="I29" s="174"/>
    </row>
    <row r="33" spans="1:9" ht="15.75" x14ac:dyDescent="0.25">
      <c r="A33" s="156" t="s">
        <v>449</v>
      </c>
      <c r="B33" s="156"/>
      <c r="C33" s="156"/>
      <c r="D33" s="156"/>
      <c r="E33" s="156"/>
    </row>
    <row r="34" spans="1:9" x14ac:dyDescent="0.25">
      <c r="A34" s="157" t="s">
        <v>450</v>
      </c>
      <c r="B34" s="158"/>
      <c r="C34" s="158"/>
      <c r="D34" s="158"/>
      <c r="E34" s="159"/>
      <c r="F34" s="52" t="s">
        <v>444</v>
      </c>
      <c r="G34" s="52" t="s">
        <v>43</v>
      </c>
      <c r="H34" s="52" t="s">
        <v>445</v>
      </c>
      <c r="I34" s="52" t="s">
        <v>444</v>
      </c>
    </row>
    <row r="35" spans="1:9" x14ac:dyDescent="0.25">
      <c r="A35" s="160" t="s">
        <v>377</v>
      </c>
      <c r="B35" s="161"/>
      <c r="C35" s="161"/>
      <c r="D35" s="161"/>
      <c r="E35" s="162"/>
      <c r="F35" s="53">
        <f>SUM('Stavební rozpočet'!BM12:BM216)</f>
        <v>0</v>
      </c>
      <c r="G35" s="54" t="s">
        <v>25</v>
      </c>
      <c r="H35" s="54" t="s">
        <v>25</v>
      </c>
      <c r="I35" s="53">
        <f t="shared" ref="I35:I44" si="1">F35</f>
        <v>0</v>
      </c>
    </row>
    <row r="36" spans="1:9" x14ac:dyDescent="0.25">
      <c r="A36" s="160" t="s">
        <v>451</v>
      </c>
      <c r="B36" s="161"/>
      <c r="C36" s="161"/>
      <c r="D36" s="161"/>
      <c r="E36" s="162"/>
      <c r="F36" s="53">
        <f>SUM('Stavební rozpočet'!BN12:BN216)</f>
        <v>0</v>
      </c>
      <c r="G36" s="54" t="s">
        <v>25</v>
      </c>
      <c r="H36" s="54" t="s">
        <v>25</v>
      </c>
      <c r="I36" s="53">
        <f t="shared" si="1"/>
        <v>0</v>
      </c>
    </row>
    <row r="37" spans="1:9" x14ac:dyDescent="0.25">
      <c r="A37" s="160" t="s">
        <v>382</v>
      </c>
      <c r="B37" s="161"/>
      <c r="C37" s="161"/>
      <c r="D37" s="161"/>
      <c r="E37" s="162"/>
      <c r="F37" s="53">
        <f>SUM('Stavební rozpočet'!BO12:BO216)</f>
        <v>0</v>
      </c>
      <c r="G37" s="54" t="s">
        <v>25</v>
      </c>
      <c r="H37" s="54" t="s">
        <v>25</v>
      </c>
      <c r="I37" s="53">
        <f t="shared" si="1"/>
        <v>0</v>
      </c>
    </row>
    <row r="38" spans="1:9" x14ac:dyDescent="0.25">
      <c r="A38" s="160" t="s">
        <v>452</v>
      </c>
      <c r="B38" s="161"/>
      <c r="C38" s="161"/>
      <c r="D38" s="161"/>
      <c r="E38" s="162"/>
      <c r="F38" s="53">
        <f>SUM('Stavební rozpočet'!BP12:BP216)</f>
        <v>0</v>
      </c>
      <c r="G38" s="54" t="s">
        <v>25</v>
      </c>
      <c r="H38" s="54" t="s">
        <v>25</v>
      </c>
      <c r="I38" s="53">
        <f t="shared" si="1"/>
        <v>0</v>
      </c>
    </row>
    <row r="39" spans="1:9" x14ac:dyDescent="0.25">
      <c r="A39" s="160" t="s">
        <v>453</v>
      </c>
      <c r="B39" s="161"/>
      <c r="C39" s="161"/>
      <c r="D39" s="161"/>
      <c r="E39" s="162"/>
      <c r="F39" s="53">
        <f>SUM('Stavební rozpočet'!BQ12:BQ216)</f>
        <v>0</v>
      </c>
      <c r="G39" s="54" t="s">
        <v>25</v>
      </c>
      <c r="H39" s="54" t="s">
        <v>25</v>
      </c>
      <c r="I39" s="53">
        <f t="shared" si="1"/>
        <v>0</v>
      </c>
    </row>
    <row r="40" spans="1:9" x14ac:dyDescent="0.25">
      <c r="A40" s="160" t="s">
        <v>417</v>
      </c>
      <c r="B40" s="161"/>
      <c r="C40" s="161"/>
      <c r="D40" s="161"/>
      <c r="E40" s="162"/>
      <c r="F40" s="53">
        <f>SUM('Stavební rozpočet'!BR12:BR216)</f>
        <v>0</v>
      </c>
      <c r="G40" s="54" t="s">
        <v>25</v>
      </c>
      <c r="H40" s="54" t="s">
        <v>25</v>
      </c>
      <c r="I40" s="53">
        <f t="shared" si="1"/>
        <v>0</v>
      </c>
    </row>
    <row r="41" spans="1:9" x14ac:dyDescent="0.25">
      <c r="A41" s="160" t="s">
        <v>388</v>
      </c>
      <c r="B41" s="161"/>
      <c r="C41" s="161"/>
      <c r="D41" s="161"/>
      <c r="E41" s="162"/>
      <c r="F41" s="53">
        <f>SUM('Stavební rozpočet'!BS12:BS216)</f>
        <v>0</v>
      </c>
      <c r="G41" s="54" t="s">
        <v>25</v>
      </c>
      <c r="H41" s="54" t="s">
        <v>25</v>
      </c>
      <c r="I41" s="53">
        <f t="shared" si="1"/>
        <v>0</v>
      </c>
    </row>
    <row r="42" spans="1:9" x14ac:dyDescent="0.25">
      <c r="A42" s="160" t="s">
        <v>454</v>
      </c>
      <c r="B42" s="161"/>
      <c r="C42" s="161"/>
      <c r="D42" s="161"/>
      <c r="E42" s="162"/>
      <c r="F42" s="53">
        <f>SUM('Stavební rozpočet'!BT12:BT216)</f>
        <v>0</v>
      </c>
      <c r="G42" s="54" t="s">
        <v>25</v>
      </c>
      <c r="H42" s="54" t="s">
        <v>25</v>
      </c>
      <c r="I42" s="53">
        <f t="shared" si="1"/>
        <v>0</v>
      </c>
    </row>
    <row r="43" spans="1:9" x14ac:dyDescent="0.25">
      <c r="A43" s="160" t="s">
        <v>455</v>
      </c>
      <c r="B43" s="161"/>
      <c r="C43" s="161"/>
      <c r="D43" s="161"/>
      <c r="E43" s="162"/>
      <c r="F43" s="53">
        <f>SUM('Stavební rozpočet'!BU12:BU216)</f>
        <v>0</v>
      </c>
      <c r="G43" s="54" t="s">
        <v>25</v>
      </c>
      <c r="H43" s="54" t="s">
        <v>25</v>
      </c>
      <c r="I43" s="53">
        <f t="shared" si="1"/>
        <v>0</v>
      </c>
    </row>
    <row r="44" spans="1:9" x14ac:dyDescent="0.25">
      <c r="A44" s="163" t="s">
        <v>456</v>
      </c>
      <c r="B44" s="164"/>
      <c r="C44" s="164"/>
      <c r="D44" s="164"/>
      <c r="E44" s="165"/>
      <c r="F44" s="55">
        <f>SUM('Stavební rozpočet'!BV12:BV216)</f>
        <v>0</v>
      </c>
      <c r="G44" s="56" t="s">
        <v>25</v>
      </c>
      <c r="H44" s="56" t="s">
        <v>25</v>
      </c>
      <c r="I44" s="55">
        <f t="shared" si="1"/>
        <v>0</v>
      </c>
    </row>
    <row r="45" spans="1:9" x14ac:dyDescent="0.25">
      <c r="A45" s="166" t="s">
        <v>457</v>
      </c>
      <c r="B45" s="167"/>
      <c r="C45" s="167"/>
      <c r="D45" s="167"/>
      <c r="E45" s="168"/>
      <c r="F45" s="57" t="s">
        <v>25</v>
      </c>
      <c r="G45" s="58" t="s">
        <v>25</v>
      </c>
      <c r="H45" s="58" t="s">
        <v>25</v>
      </c>
      <c r="I45" s="59">
        <f>SUM(I35:I44)</f>
        <v>0</v>
      </c>
    </row>
  </sheetData>
  <mergeCells count="60">
    <mergeCell ref="A41:E41"/>
    <mergeCell ref="A42:E42"/>
    <mergeCell ref="A43:E43"/>
    <mergeCell ref="A44:E44"/>
    <mergeCell ref="A45:E45"/>
    <mergeCell ref="A36:E36"/>
    <mergeCell ref="A37:E37"/>
    <mergeCell ref="A38:E38"/>
    <mergeCell ref="A39:E39"/>
    <mergeCell ref="A40:E40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C2:D3"/>
    <mergeCell ref="C4:D5"/>
    <mergeCell ref="C6:D7"/>
    <mergeCell ref="C8:D9"/>
    <mergeCell ref="C10:D11"/>
    <mergeCell ref="F2:G3"/>
    <mergeCell ref="F4:G5"/>
    <mergeCell ref="F6:G7"/>
    <mergeCell ref="F8:G9"/>
    <mergeCell ref="F10:G11"/>
    <mergeCell ref="A10:B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Z219"/>
  <sheetViews>
    <sheetView workbookViewId="0">
      <pane ySplit="11" topLeftCell="A12" activePane="bottomLeft" state="frozen"/>
      <selection pane="bottomLeft" activeCell="A219" sqref="A219:P219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28.5703125" customWidth="1"/>
    <col min="5" max="5" width="35.7109375" customWidth="1"/>
    <col min="6" max="6" width="6.7109375" customWidth="1"/>
    <col min="7" max="7" width="12.85546875" customWidth="1"/>
    <col min="8" max="8" width="12" customWidth="1"/>
    <col min="9" max="9" width="11.140625" customWidth="1"/>
    <col min="10" max="13" width="15.7109375" customWidth="1"/>
    <col min="14" max="15" width="11.7109375" customWidth="1"/>
    <col min="16" max="16" width="13.42578125" customWidth="1"/>
    <col min="25" max="75" width="12.140625" hidden="1"/>
    <col min="76" max="76" width="64.28515625" hidden="1" customWidth="1"/>
    <col min="77" max="78" width="12.140625" hidden="1"/>
  </cols>
  <sheetData>
    <row r="1" spans="1:76" ht="54.75" customHeigh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AS1" s="60">
        <f>SUM(AJ1:AJ2)</f>
        <v>0</v>
      </c>
      <c r="AT1" s="60">
        <f>SUM(AK1:AK2)</f>
        <v>0</v>
      </c>
      <c r="AU1" s="60">
        <f>SUM(AL1:AL2)</f>
        <v>0</v>
      </c>
    </row>
    <row r="2" spans="1:76" x14ac:dyDescent="0.25">
      <c r="A2" s="96" t="s">
        <v>1</v>
      </c>
      <c r="B2" s="97"/>
      <c r="C2" s="97"/>
      <c r="D2" s="103" t="s">
        <v>458</v>
      </c>
      <c r="E2" s="121"/>
      <c r="F2" s="97" t="s">
        <v>2</v>
      </c>
      <c r="G2" s="97"/>
      <c r="H2" s="97" t="s">
        <v>23</v>
      </c>
      <c r="I2" s="106" t="s">
        <v>3</v>
      </c>
      <c r="J2" s="106" t="s">
        <v>459</v>
      </c>
      <c r="K2" s="97"/>
      <c r="L2" s="97"/>
      <c r="M2" s="97"/>
      <c r="N2" s="97"/>
      <c r="O2" s="97"/>
      <c r="P2" s="107"/>
    </row>
    <row r="3" spans="1:76" x14ac:dyDescent="0.25">
      <c r="A3" s="98"/>
      <c r="B3" s="99"/>
      <c r="C3" s="99"/>
      <c r="D3" s="104"/>
      <c r="E3" s="104"/>
      <c r="F3" s="99"/>
      <c r="G3" s="99"/>
      <c r="H3" s="99"/>
      <c r="I3" s="99"/>
      <c r="J3" s="99"/>
      <c r="K3" s="99"/>
      <c r="L3" s="99"/>
      <c r="M3" s="99"/>
      <c r="N3" s="99"/>
      <c r="O3" s="99"/>
      <c r="P3" s="108"/>
    </row>
    <row r="4" spans="1:76" x14ac:dyDescent="0.25">
      <c r="A4" s="100" t="s">
        <v>4</v>
      </c>
      <c r="B4" s="99"/>
      <c r="C4" s="99"/>
      <c r="D4" s="105" t="s">
        <v>23</v>
      </c>
      <c r="E4" s="99"/>
      <c r="F4" s="99" t="s">
        <v>5</v>
      </c>
      <c r="G4" s="99"/>
      <c r="H4" s="99" t="s">
        <v>23</v>
      </c>
      <c r="I4" s="105" t="s">
        <v>6</v>
      </c>
      <c r="J4" s="105" t="s">
        <v>460</v>
      </c>
      <c r="K4" s="99"/>
      <c r="L4" s="99"/>
      <c r="M4" s="99"/>
      <c r="N4" s="99"/>
      <c r="O4" s="99"/>
      <c r="P4" s="108"/>
    </row>
    <row r="5" spans="1:76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8"/>
    </row>
    <row r="6" spans="1:76" x14ac:dyDescent="0.25">
      <c r="A6" s="100" t="s">
        <v>7</v>
      </c>
      <c r="B6" s="99"/>
      <c r="C6" s="99"/>
      <c r="D6" s="105" t="s">
        <v>23</v>
      </c>
      <c r="E6" s="99"/>
      <c r="F6" s="99" t="s">
        <v>8</v>
      </c>
      <c r="G6" s="99"/>
      <c r="H6" s="99" t="s">
        <v>23</v>
      </c>
      <c r="I6" s="105" t="s">
        <v>9</v>
      </c>
      <c r="J6" s="99" t="s">
        <v>461</v>
      </c>
      <c r="K6" s="99"/>
      <c r="L6" s="99"/>
      <c r="M6" s="99"/>
      <c r="N6" s="99"/>
      <c r="O6" s="99"/>
      <c r="P6" s="108"/>
    </row>
    <row r="7" spans="1:76" x14ac:dyDescent="0.25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8"/>
    </row>
    <row r="8" spans="1:76" x14ac:dyDescent="0.25">
      <c r="A8" s="100" t="s">
        <v>10</v>
      </c>
      <c r="B8" s="99"/>
      <c r="C8" s="99"/>
      <c r="D8" s="105" t="s">
        <v>23</v>
      </c>
      <c r="E8" s="99"/>
      <c r="F8" s="99" t="s">
        <v>11</v>
      </c>
      <c r="G8" s="99"/>
      <c r="H8" s="99" t="s">
        <v>391</v>
      </c>
      <c r="I8" s="105" t="s">
        <v>12</v>
      </c>
      <c r="J8" s="105" t="s">
        <v>462</v>
      </c>
      <c r="K8" s="99"/>
      <c r="L8" s="99"/>
      <c r="M8" s="99"/>
      <c r="N8" s="99"/>
      <c r="O8" s="99"/>
      <c r="P8" s="108"/>
    </row>
    <row r="9" spans="1:76" x14ac:dyDescent="0.25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9"/>
    </row>
    <row r="10" spans="1:76" x14ac:dyDescent="0.25">
      <c r="A10" s="61" t="s">
        <v>13</v>
      </c>
      <c r="B10" s="62" t="s">
        <v>14</v>
      </c>
      <c r="C10" s="62" t="s">
        <v>15</v>
      </c>
      <c r="D10" s="175" t="s">
        <v>16</v>
      </c>
      <c r="E10" s="176"/>
      <c r="F10" s="62" t="s">
        <v>17</v>
      </c>
      <c r="G10" s="63" t="s">
        <v>18</v>
      </c>
      <c r="H10" s="64" t="s">
        <v>463</v>
      </c>
      <c r="I10" s="65" t="s">
        <v>464</v>
      </c>
      <c r="J10" s="179" t="s">
        <v>465</v>
      </c>
      <c r="K10" s="180"/>
      <c r="L10" s="181"/>
      <c r="M10" s="66" t="s">
        <v>465</v>
      </c>
      <c r="N10" s="182" t="s">
        <v>466</v>
      </c>
      <c r="O10" s="183"/>
      <c r="P10" s="67" t="s">
        <v>467</v>
      </c>
      <c r="BK10" s="16" t="s">
        <v>22</v>
      </c>
      <c r="BL10" s="68" t="s">
        <v>21</v>
      </c>
      <c r="BW10" s="68" t="s">
        <v>468</v>
      </c>
    </row>
    <row r="11" spans="1:76" x14ac:dyDescent="0.25">
      <c r="A11" s="69" t="s">
        <v>23</v>
      </c>
      <c r="B11" s="70" t="s">
        <v>23</v>
      </c>
      <c r="C11" s="70" t="s">
        <v>23</v>
      </c>
      <c r="D11" s="177" t="s">
        <v>469</v>
      </c>
      <c r="E11" s="178"/>
      <c r="F11" s="70" t="s">
        <v>23</v>
      </c>
      <c r="G11" s="70" t="s">
        <v>23</v>
      </c>
      <c r="H11" s="71" t="s">
        <v>470</v>
      </c>
      <c r="I11" s="72" t="s">
        <v>23</v>
      </c>
      <c r="J11" s="73" t="s">
        <v>471</v>
      </c>
      <c r="K11" s="74" t="s">
        <v>412</v>
      </c>
      <c r="L11" s="75" t="s">
        <v>472</v>
      </c>
      <c r="M11" s="76" t="s">
        <v>473</v>
      </c>
      <c r="N11" s="77" t="s">
        <v>474</v>
      </c>
      <c r="O11" s="78" t="s">
        <v>472</v>
      </c>
      <c r="P11" s="79" t="s">
        <v>475</v>
      </c>
      <c r="Z11" s="16" t="s">
        <v>476</v>
      </c>
      <c r="AA11" s="16" t="s">
        <v>477</v>
      </c>
      <c r="AB11" s="16" t="s">
        <v>478</v>
      </c>
      <c r="AC11" s="16" t="s">
        <v>479</v>
      </c>
      <c r="AD11" s="16" t="s">
        <v>480</v>
      </c>
      <c r="AE11" s="16" t="s">
        <v>481</v>
      </c>
      <c r="AF11" s="16" t="s">
        <v>482</v>
      </c>
      <c r="AG11" s="16" t="s">
        <v>483</v>
      </c>
      <c r="AH11" s="16" t="s">
        <v>484</v>
      </c>
      <c r="BH11" s="16" t="s">
        <v>485</v>
      </c>
      <c r="BI11" s="16" t="s">
        <v>486</v>
      </c>
      <c r="BJ11" s="16" t="s">
        <v>487</v>
      </c>
    </row>
    <row r="12" spans="1:76" x14ac:dyDescent="0.25">
      <c r="A12" s="80" t="s">
        <v>25</v>
      </c>
      <c r="B12" s="11" t="s">
        <v>24</v>
      </c>
      <c r="C12" s="11" t="s">
        <v>25</v>
      </c>
      <c r="D12" s="110" t="s">
        <v>26</v>
      </c>
      <c r="E12" s="111"/>
      <c r="F12" s="81" t="s">
        <v>23</v>
      </c>
      <c r="G12" s="81" t="s">
        <v>23</v>
      </c>
      <c r="H12" s="81" t="s">
        <v>23</v>
      </c>
      <c r="I12" s="81" t="s">
        <v>23</v>
      </c>
      <c r="J12" s="82">
        <f>J13</f>
        <v>0</v>
      </c>
      <c r="K12" s="82">
        <f>K13</f>
        <v>0</v>
      </c>
      <c r="L12" s="82">
        <f>L13</f>
        <v>0</v>
      </c>
      <c r="M12" s="82">
        <f>M13</f>
        <v>0</v>
      </c>
      <c r="N12" s="12" t="s">
        <v>25</v>
      </c>
      <c r="O12" s="82">
        <f>O13</f>
        <v>2.351E-2</v>
      </c>
      <c r="P12" s="83" t="s">
        <v>25</v>
      </c>
    </row>
    <row r="13" spans="1:76" x14ac:dyDescent="0.25">
      <c r="A13" s="84" t="s">
        <v>25</v>
      </c>
      <c r="B13" s="15" t="s">
        <v>24</v>
      </c>
      <c r="C13" s="15" t="s">
        <v>27</v>
      </c>
      <c r="D13" s="112" t="s">
        <v>28</v>
      </c>
      <c r="E13" s="113"/>
      <c r="F13" s="85" t="s">
        <v>23</v>
      </c>
      <c r="G13" s="85" t="s">
        <v>23</v>
      </c>
      <c r="H13" s="85" t="s">
        <v>23</v>
      </c>
      <c r="I13" s="85" t="s">
        <v>23</v>
      </c>
      <c r="J13" s="60">
        <f>SUM(J14:J18)</f>
        <v>0</v>
      </c>
      <c r="K13" s="60">
        <f>SUM(K14:K18)</f>
        <v>0</v>
      </c>
      <c r="L13" s="60">
        <f>SUM(L14:L18)</f>
        <v>0</v>
      </c>
      <c r="M13" s="60">
        <f>SUM(M14:M18)</f>
        <v>0</v>
      </c>
      <c r="N13" s="16" t="s">
        <v>25</v>
      </c>
      <c r="O13" s="60">
        <f>SUM(O14:O18)</f>
        <v>2.351E-2</v>
      </c>
      <c r="P13" s="86" t="s">
        <v>25</v>
      </c>
      <c r="AI13" s="16" t="s">
        <v>24</v>
      </c>
      <c r="AS13" s="60">
        <f>SUM(AJ14:AJ18)</f>
        <v>0</v>
      </c>
      <c r="AT13" s="60">
        <f>SUM(AK14:AK18)</f>
        <v>0</v>
      </c>
      <c r="AU13" s="60">
        <f>SUM(AL14:AL18)</f>
        <v>0</v>
      </c>
    </row>
    <row r="14" spans="1:76" x14ac:dyDescent="0.25">
      <c r="A14" s="1" t="s">
        <v>488</v>
      </c>
      <c r="B14" s="2" t="s">
        <v>24</v>
      </c>
      <c r="C14" s="2" t="s">
        <v>29</v>
      </c>
      <c r="D14" s="105" t="s">
        <v>30</v>
      </c>
      <c r="E14" s="99"/>
      <c r="F14" s="2" t="s">
        <v>31</v>
      </c>
      <c r="G14" s="19">
        <f>'Rozpočet - vybrané sloupce'!J13</f>
        <v>15</v>
      </c>
      <c r="H14" s="19">
        <f>'Rozpočet - vybrané sloupce'!K13</f>
        <v>0</v>
      </c>
      <c r="I14" s="87" t="s">
        <v>489</v>
      </c>
      <c r="J14" s="19">
        <f>G14*AO14</f>
        <v>0</v>
      </c>
      <c r="K14" s="19">
        <f>G14*AP14</f>
        <v>0</v>
      </c>
      <c r="L14" s="19">
        <f>G14*H14</f>
        <v>0</v>
      </c>
      <c r="M14" s="19">
        <f>L14*(1+BW14/100)</f>
        <v>0</v>
      </c>
      <c r="N14" s="19">
        <v>0</v>
      </c>
      <c r="O14" s="19">
        <f>G14*N14</f>
        <v>0</v>
      </c>
      <c r="P14" s="88" t="s">
        <v>490</v>
      </c>
      <c r="Z14" s="19">
        <f>IF(AQ14="5",BJ14,0)</f>
        <v>0</v>
      </c>
      <c r="AB14" s="19">
        <f>IF(AQ14="1",BH14,0)</f>
        <v>0</v>
      </c>
      <c r="AC14" s="19">
        <f>IF(AQ14="1",BI14,0)</f>
        <v>0</v>
      </c>
      <c r="AD14" s="19">
        <f>IF(AQ14="7",BH14,0)</f>
        <v>0</v>
      </c>
      <c r="AE14" s="19">
        <f>IF(AQ14="7",BI14,0)</f>
        <v>0</v>
      </c>
      <c r="AF14" s="19">
        <f>IF(AQ14="2",BH14,0)</f>
        <v>0</v>
      </c>
      <c r="AG14" s="19">
        <f>IF(AQ14="2",BI14,0)</f>
        <v>0</v>
      </c>
      <c r="AH14" s="19">
        <f>IF(AQ14="0",BJ14,0)</f>
        <v>0</v>
      </c>
      <c r="AI14" s="16" t="s">
        <v>24</v>
      </c>
      <c r="AJ14" s="19">
        <f>IF(AN14=0,L14,0)</f>
        <v>0</v>
      </c>
      <c r="AK14" s="19">
        <f>IF(AN14=12,L14,0)</f>
        <v>0</v>
      </c>
      <c r="AL14" s="19">
        <f>IF(AN14=21,L14,0)</f>
        <v>0</v>
      </c>
      <c r="AN14" s="19">
        <v>12</v>
      </c>
      <c r="AO14" s="19">
        <f>H14*0.625</f>
        <v>0</v>
      </c>
      <c r="AP14" s="19">
        <f>H14*(1-0.625)</f>
        <v>0</v>
      </c>
      <c r="AQ14" s="87" t="s">
        <v>491</v>
      </c>
      <c r="AV14" s="19">
        <f>AW14+AX14</f>
        <v>0</v>
      </c>
      <c r="AW14" s="19">
        <f>G14*AO14</f>
        <v>0</v>
      </c>
      <c r="AX14" s="19">
        <f>G14*AP14</f>
        <v>0</v>
      </c>
      <c r="AY14" s="87" t="s">
        <v>492</v>
      </c>
      <c r="AZ14" s="87" t="s">
        <v>493</v>
      </c>
      <c r="BA14" s="16" t="s">
        <v>494</v>
      </c>
      <c r="BC14" s="19">
        <f>AW14+AX14</f>
        <v>0</v>
      </c>
      <c r="BD14" s="19">
        <f>H14/(100-BE14)*100</f>
        <v>0</v>
      </c>
      <c r="BE14" s="19">
        <v>0</v>
      </c>
      <c r="BF14" s="19">
        <f>O14</f>
        <v>0</v>
      </c>
      <c r="BH14" s="19">
        <f>G14*AO14</f>
        <v>0</v>
      </c>
      <c r="BI14" s="19">
        <f>G14*AP14</f>
        <v>0</v>
      </c>
      <c r="BJ14" s="19">
        <f>G14*H14</f>
        <v>0</v>
      </c>
      <c r="BK14" s="19"/>
      <c r="BL14" s="19">
        <v>721</v>
      </c>
      <c r="BW14" s="19" t="str">
        <f>I14</f>
        <v>12</v>
      </c>
      <c r="BX14" s="4" t="s">
        <v>30</v>
      </c>
    </row>
    <row r="15" spans="1:76" x14ac:dyDescent="0.25">
      <c r="A15" s="1" t="s">
        <v>495</v>
      </c>
      <c r="B15" s="2" t="s">
        <v>24</v>
      </c>
      <c r="C15" s="2" t="s">
        <v>33</v>
      </c>
      <c r="D15" s="105" t="s">
        <v>34</v>
      </c>
      <c r="E15" s="99"/>
      <c r="F15" s="2" t="s">
        <v>35</v>
      </c>
      <c r="G15" s="19">
        <f>'Rozpočet - vybrané sloupce'!J14</f>
        <v>1</v>
      </c>
      <c r="H15" s="19">
        <f>'Rozpočet - vybrané sloupce'!K14</f>
        <v>0</v>
      </c>
      <c r="I15" s="87" t="s">
        <v>489</v>
      </c>
      <c r="J15" s="19">
        <f>G15*AO15</f>
        <v>0</v>
      </c>
      <c r="K15" s="19">
        <f>G15*AP15</f>
        <v>0</v>
      </c>
      <c r="L15" s="19">
        <f>G15*H15</f>
        <v>0</v>
      </c>
      <c r="M15" s="19">
        <f>L15*(1+BW15/100)</f>
        <v>0</v>
      </c>
      <c r="N15" s="19">
        <v>2.0109999999999999E-2</v>
      </c>
      <c r="O15" s="19">
        <f>G15*N15</f>
        <v>2.0109999999999999E-2</v>
      </c>
      <c r="P15" s="88" t="s">
        <v>490</v>
      </c>
      <c r="Z15" s="19">
        <f>IF(AQ15="5",BJ15,0)</f>
        <v>0</v>
      </c>
      <c r="AB15" s="19">
        <f>IF(AQ15="1",BH15,0)</f>
        <v>0</v>
      </c>
      <c r="AC15" s="19">
        <f>IF(AQ15="1",BI15,0)</f>
        <v>0</v>
      </c>
      <c r="AD15" s="19">
        <f>IF(AQ15="7",BH15,0)</f>
        <v>0</v>
      </c>
      <c r="AE15" s="19">
        <f>IF(AQ15="7",BI15,0)</f>
        <v>0</v>
      </c>
      <c r="AF15" s="19">
        <f>IF(AQ15="2",BH15,0)</f>
        <v>0</v>
      </c>
      <c r="AG15" s="19">
        <f>IF(AQ15="2",BI15,0)</f>
        <v>0</v>
      </c>
      <c r="AH15" s="19">
        <f>IF(AQ15="0",BJ15,0)</f>
        <v>0</v>
      </c>
      <c r="AI15" s="16" t="s">
        <v>24</v>
      </c>
      <c r="AJ15" s="19">
        <f>IF(AN15=0,L15,0)</f>
        <v>0</v>
      </c>
      <c r="AK15" s="19">
        <f>IF(AN15=12,L15,0)</f>
        <v>0</v>
      </c>
      <c r="AL15" s="19">
        <f>IF(AN15=21,L15,0)</f>
        <v>0</v>
      </c>
      <c r="AN15" s="19">
        <v>12</v>
      </c>
      <c r="AO15" s="19">
        <f>H15*0</f>
        <v>0</v>
      </c>
      <c r="AP15" s="19">
        <f>H15*(1-0)</f>
        <v>0</v>
      </c>
      <c r="AQ15" s="87" t="s">
        <v>491</v>
      </c>
      <c r="AV15" s="19">
        <f>AW15+AX15</f>
        <v>0</v>
      </c>
      <c r="AW15" s="19">
        <f>G15*AO15</f>
        <v>0</v>
      </c>
      <c r="AX15" s="19">
        <f>G15*AP15</f>
        <v>0</v>
      </c>
      <c r="AY15" s="87" t="s">
        <v>492</v>
      </c>
      <c r="AZ15" s="87" t="s">
        <v>493</v>
      </c>
      <c r="BA15" s="16" t="s">
        <v>494</v>
      </c>
      <c r="BC15" s="19">
        <f>AW15+AX15</f>
        <v>0</v>
      </c>
      <c r="BD15" s="19">
        <f>H15/(100-BE15)*100</f>
        <v>0</v>
      </c>
      <c r="BE15" s="19">
        <v>0</v>
      </c>
      <c r="BF15" s="19">
        <f>O15</f>
        <v>2.0109999999999999E-2</v>
      </c>
      <c r="BH15" s="19">
        <f>G15*AO15</f>
        <v>0</v>
      </c>
      <c r="BI15" s="19">
        <f>G15*AP15</f>
        <v>0</v>
      </c>
      <c r="BJ15" s="19">
        <f>G15*H15</f>
        <v>0</v>
      </c>
      <c r="BK15" s="19"/>
      <c r="BL15" s="19">
        <v>721</v>
      </c>
      <c r="BW15" s="19" t="str">
        <f>I15</f>
        <v>12</v>
      </c>
      <c r="BX15" s="4" t="s">
        <v>34</v>
      </c>
    </row>
    <row r="16" spans="1:76" ht="25.5" x14ac:dyDescent="0.25">
      <c r="A16" s="1" t="s">
        <v>496</v>
      </c>
      <c r="B16" s="2" t="s">
        <v>24</v>
      </c>
      <c r="C16" s="2" t="s">
        <v>36</v>
      </c>
      <c r="D16" s="105" t="s">
        <v>37</v>
      </c>
      <c r="E16" s="99"/>
      <c r="F16" s="2" t="s">
        <v>35</v>
      </c>
      <c r="G16" s="19">
        <f>'Rozpočet - vybrané sloupce'!J15</f>
        <v>1</v>
      </c>
      <c r="H16" s="19">
        <f>'Rozpočet - vybrané sloupce'!K15</f>
        <v>0</v>
      </c>
      <c r="I16" s="87" t="s">
        <v>489</v>
      </c>
      <c r="J16" s="19">
        <f>G16*AO16</f>
        <v>0</v>
      </c>
      <c r="K16" s="19">
        <f>G16*AP16</f>
        <v>0</v>
      </c>
      <c r="L16" s="19">
        <f>G16*H16</f>
        <v>0</v>
      </c>
      <c r="M16" s="19">
        <f>L16*(1+BW16/100)</f>
        <v>0</v>
      </c>
      <c r="N16" s="19">
        <v>1.6999999999999999E-3</v>
      </c>
      <c r="O16" s="19">
        <f>G16*N16</f>
        <v>1.6999999999999999E-3</v>
      </c>
      <c r="P16" s="88" t="s">
        <v>490</v>
      </c>
      <c r="Z16" s="19">
        <f>IF(AQ16="5",BJ16,0)</f>
        <v>0</v>
      </c>
      <c r="AB16" s="19">
        <f>IF(AQ16="1",BH16,0)</f>
        <v>0</v>
      </c>
      <c r="AC16" s="19">
        <f>IF(AQ16="1",BI16,0)</f>
        <v>0</v>
      </c>
      <c r="AD16" s="19">
        <f>IF(AQ16="7",BH16,0)</f>
        <v>0</v>
      </c>
      <c r="AE16" s="19">
        <f>IF(AQ16="7",BI16,0)</f>
        <v>0</v>
      </c>
      <c r="AF16" s="19">
        <f>IF(AQ16="2",BH16,0)</f>
        <v>0</v>
      </c>
      <c r="AG16" s="19">
        <f>IF(AQ16="2",BI16,0)</f>
        <v>0</v>
      </c>
      <c r="AH16" s="19">
        <f>IF(AQ16="0",BJ16,0)</f>
        <v>0</v>
      </c>
      <c r="AI16" s="16" t="s">
        <v>24</v>
      </c>
      <c r="AJ16" s="19">
        <f>IF(AN16=0,L16,0)</f>
        <v>0</v>
      </c>
      <c r="AK16" s="19">
        <f>IF(AN16=12,L16,0)</f>
        <v>0</v>
      </c>
      <c r="AL16" s="19">
        <f>IF(AN16=21,L16,0)</f>
        <v>0</v>
      </c>
      <c r="AN16" s="19">
        <v>12</v>
      </c>
      <c r="AO16" s="19">
        <f>H16*0.865024183</f>
        <v>0</v>
      </c>
      <c r="AP16" s="19">
        <f>H16*(1-0.865024183)</f>
        <v>0</v>
      </c>
      <c r="AQ16" s="87" t="s">
        <v>491</v>
      </c>
      <c r="AV16" s="19">
        <f>AW16+AX16</f>
        <v>0</v>
      </c>
      <c r="AW16" s="19">
        <f>G16*AO16</f>
        <v>0</v>
      </c>
      <c r="AX16" s="19">
        <f>G16*AP16</f>
        <v>0</v>
      </c>
      <c r="AY16" s="87" t="s">
        <v>492</v>
      </c>
      <c r="AZ16" s="87" t="s">
        <v>493</v>
      </c>
      <c r="BA16" s="16" t="s">
        <v>494</v>
      </c>
      <c r="BC16" s="19">
        <f>AW16+AX16</f>
        <v>0</v>
      </c>
      <c r="BD16" s="19">
        <f>H16/(100-BE16)*100</f>
        <v>0</v>
      </c>
      <c r="BE16" s="19">
        <v>0</v>
      </c>
      <c r="BF16" s="19">
        <f>O16</f>
        <v>1.6999999999999999E-3</v>
      </c>
      <c r="BH16" s="19">
        <f>G16*AO16</f>
        <v>0</v>
      </c>
      <c r="BI16" s="19">
        <f>G16*AP16</f>
        <v>0</v>
      </c>
      <c r="BJ16" s="19">
        <f>G16*H16</f>
        <v>0</v>
      </c>
      <c r="BK16" s="19"/>
      <c r="BL16" s="19">
        <v>721</v>
      </c>
      <c r="BW16" s="19" t="str">
        <f>I16</f>
        <v>12</v>
      </c>
      <c r="BX16" s="4" t="s">
        <v>37</v>
      </c>
    </row>
    <row r="17" spans="1:76" x14ac:dyDescent="0.25">
      <c r="A17" s="1" t="s">
        <v>497</v>
      </c>
      <c r="B17" s="2" t="s">
        <v>24</v>
      </c>
      <c r="C17" s="2" t="s">
        <v>38</v>
      </c>
      <c r="D17" s="105" t="s">
        <v>39</v>
      </c>
      <c r="E17" s="99"/>
      <c r="F17" s="2" t="s">
        <v>40</v>
      </c>
      <c r="G17" s="19">
        <f>'Rozpočet - vybrané sloupce'!J16</f>
        <v>1</v>
      </c>
      <c r="H17" s="19">
        <f>'Rozpočet - vybrané sloupce'!K16</f>
        <v>0</v>
      </c>
      <c r="I17" s="87" t="s">
        <v>489</v>
      </c>
      <c r="J17" s="19">
        <f>G17*AO17</f>
        <v>0</v>
      </c>
      <c r="K17" s="19">
        <f>G17*AP17</f>
        <v>0</v>
      </c>
      <c r="L17" s="19">
        <f>G17*H17</f>
        <v>0</v>
      </c>
      <c r="M17" s="19">
        <f>L17*(1+BW17/100)</f>
        <v>0</v>
      </c>
      <c r="N17" s="19">
        <v>1.6999999999999999E-3</v>
      </c>
      <c r="O17" s="19">
        <f>G17*N17</f>
        <v>1.6999999999999999E-3</v>
      </c>
      <c r="P17" s="88" t="s">
        <v>490</v>
      </c>
      <c r="Z17" s="19">
        <f>IF(AQ17="5",BJ17,0)</f>
        <v>0</v>
      </c>
      <c r="AB17" s="19">
        <f>IF(AQ17="1",BH17,0)</f>
        <v>0</v>
      </c>
      <c r="AC17" s="19">
        <f>IF(AQ17="1",BI17,0)</f>
        <v>0</v>
      </c>
      <c r="AD17" s="19">
        <f>IF(AQ17="7",BH17,0)</f>
        <v>0</v>
      </c>
      <c r="AE17" s="19">
        <f>IF(AQ17="7",BI17,0)</f>
        <v>0</v>
      </c>
      <c r="AF17" s="19">
        <f>IF(AQ17="2",BH17,0)</f>
        <v>0</v>
      </c>
      <c r="AG17" s="19">
        <f>IF(AQ17="2",BI17,0)</f>
        <v>0</v>
      </c>
      <c r="AH17" s="19">
        <f>IF(AQ17="0",BJ17,0)</f>
        <v>0</v>
      </c>
      <c r="AI17" s="16" t="s">
        <v>24</v>
      </c>
      <c r="AJ17" s="19">
        <f>IF(AN17=0,L17,0)</f>
        <v>0</v>
      </c>
      <c r="AK17" s="19">
        <f>IF(AN17=12,L17,0)</f>
        <v>0</v>
      </c>
      <c r="AL17" s="19">
        <f>IF(AN17=21,L17,0)</f>
        <v>0</v>
      </c>
      <c r="AN17" s="19">
        <v>12</v>
      </c>
      <c r="AO17" s="19">
        <f>H17*0.865097778</f>
        <v>0</v>
      </c>
      <c r="AP17" s="19">
        <f>H17*(1-0.865097778)</f>
        <v>0</v>
      </c>
      <c r="AQ17" s="87" t="s">
        <v>491</v>
      </c>
      <c r="AV17" s="19">
        <f>AW17+AX17</f>
        <v>0</v>
      </c>
      <c r="AW17" s="19">
        <f>G17*AO17</f>
        <v>0</v>
      </c>
      <c r="AX17" s="19">
        <f>G17*AP17</f>
        <v>0</v>
      </c>
      <c r="AY17" s="87" t="s">
        <v>492</v>
      </c>
      <c r="AZ17" s="87" t="s">
        <v>493</v>
      </c>
      <c r="BA17" s="16" t="s">
        <v>494</v>
      </c>
      <c r="BC17" s="19">
        <f>AW17+AX17</f>
        <v>0</v>
      </c>
      <c r="BD17" s="19">
        <f>H17/(100-BE17)*100</f>
        <v>0</v>
      </c>
      <c r="BE17" s="19">
        <v>0</v>
      </c>
      <c r="BF17" s="19">
        <f>O17</f>
        <v>1.6999999999999999E-3</v>
      </c>
      <c r="BH17" s="19">
        <f>G17*AO17</f>
        <v>0</v>
      </c>
      <c r="BI17" s="19">
        <f>G17*AP17</f>
        <v>0</v>
      </c>
      <c r="BJ17" s="19">
        <f>G17*H17</f>
        <v>0</v>
      </c>
      <c r="BK17" s="19"/>
      <c r="BL17" s="19">
        <v>721</v>
      </c>
      <c r="BW17" s="19" t="str">
        <f>I17</f>
        <v>12</v>
      </c>
      <c r="BX17" s="4" t="s">
        <v>39</v>
      </c>
    </row>
    <row r="18" spans="1:76" x14ac:dyDescent="0.25">
      <c r="A18" s="1" t="s">
        <v>498</v>
      </c>
      <c r="B18" s="2" t="s">
        <v>24</v>
      </c>
      <c r="C18" s="2" t="s">
        <v>41</v>
      </c>
      <c r="D18" s="105" t="s">
        <v>42</v>
      </c>
      <c r="E18" s="99"/>
      <c r="F18" s="2" t="s">
        <v>43</v>
      </c>
      <c r="G18" s="19">
        <f>'Rozpočet - vybrané sloupce'!J17</f>
        <v>961</v>
      </c>
      <c r="H18" s="19">
        <f>'Rozpočet - vybrané sloupce'!K17</f>
        <v>0</v>
      </c>
      <c r="I18" s="87" t="s">
        <v>489</v>
      </c>
      <c r="J18" s="19">
        <f>G18*AO18</f>
        <v>0</v>
      </c>
      <c r="K18" s="19">
        <f>G18*AP18</f>
        <v>0</v>
      </c>
      <c r="L18" s="19">
        <f>G18*H18</f>
        <v>0</v>
      </c>
      <c r="M18" s="19">
        <f>L18*(1+BW18/100)</f>
        <v>0</v>
      </c>
      <c r="N18" s="19">
        <v>0</v>
      </c>
      <c r="O18" s="19">
        <f>G18*N18</f>
        <v>0</v>
      </c>
      <c r="P18" s="88" t="s">
        <v>490</v>
      </c>
      <c r="Z18" s="19">
        <f>IF(AQ18="5",BJ18,0)</f>
        <v>0</v>
      </c>
      <c r="AB18" s="19">
        <f>IF(AQ18="1",BH18,0)</f>
        <v>0</v>
      </c>
      <c r="AC18" s="19">
        <f>IF(AQ18="1",BI18,0)</f>
        <v>0</v>
      </c>
      <c r="AD18" s="19">
        <f>IF(AQ18="7",BH18,0)</f>
        <v>0</v>
      </c>
      <c r="AE18" s="19">
        <f>IF(AQ18="7",BI18,0)</f>
        <v>0</v>
      </c>
      <c r="AF18" s="19">
        <f>IF(AQ18="2",BH18,0)</f>
        <v>0</v>
      </c>
      <c r="AG18" s="19">
        <f>IF(AQ18="2",BI18,0)</f>
        <v>0</v>
      </c>
      <c r="AH18" s="19">
        <f>IF(AQ18="0",BJ18,0)</f>
        <v>0</v>
      </c>
      <c r="AI18" s="16" t="s">
        <v>24</v>
      </c>
      <c r="AJ18" s="19">
        <f>IF(AN18=0,L18,0)</f>
        <v>0</v>
      </c>
      <c r="AK18" s="19">
        <f>IF(AN18=12,L18,0)</f>
        <v>0</v>
      </c>
      <c r="AL18" s="19">
        <f>IF(AN18=21,L18,0)</f>
        <v>0</v>
      </c>
      <c r="AN18" s="19">
        <v>12</v>
      </c>
      <c r="AO18" s="19">
        <f>H18*0</f>
        <v>0</v>
      </c>
      <c r="AP18" s="19">
        <f>H18*(1-0)</f>
        <v>0</v>
      </c>
      <c r="AQ18" s="87" t="s">
        <v>498</v>
      </c>
      <c r="AV18" s="19">
        <f>AW18+AX18</f>
        <v>0</v>
      </c>
      <c r="AW18" s="19">
        <f>G18*AO18</f>
        <v>0</v>
      </c>
      <c r="AX18" s="19">
        <f>G18*AP18</f>
        <v>0</v>
      </c>
      <c r="AY18" s="87" t="s">
        <v>492</v>
      </c>
      <c r="AZ18" s="87" t="s">
        <v>493</v>
      </c>
      <c r="BA18" s="16" t="s">
        <v>494</v>
      </c>
      <c r="BC18" s="19">
        <f>AW18+AX18</f>
        <v>0</v>
      </c>
      <c r="BD18" s="19">
        <f>H18/(100-BE18)*100</f>
        <v>0</v>
      </c>
      <c r="BE18" s="19">
        <v>0</v>
      </c>
      <c r="BF18" s="19">
        <f>O18</f>
        <v>0</v>
      </c>
      <c r="BH18" s="19">
        <f>G18*AO18</f>
        <v>0</v>
      </c>
      <c r="BI18" s="19">
        <f>G18*AP18</f>
        <v>0</v>
      </c>
      <c r="BJ18" s="19">
        <f>G18*H18</f>
        <v>0</v>
      </c>
      <c r="BK18" s="19"/>
      <c r="BL18" s="19">
        <v>721</v>
      </c>
      <c r="BW18" s="19" t="str">
        <f>I18</f>
        <v>12</v>
      </c>
      <c r="BX18" s="4" t="s">
        <v>42</v>
      </c>
    </row>
    <row r="19" spans="1:76" x14ac:dyDescent="0.25">
      <c r="A19" s="84" t="s">
        <v>25</v>
      </c>
      <c r="B19" s="15" t="s">
        <v>44</v>
      </c>
      <c r="C19" s="15" t="s">
        <v>25</v>
      </c>
      <c r="D19" s="112" t="s">
        <v>45</v>
      </c>
      <c r="E19" s="113"/>
      <c r="F19" s="85" t="s">
        <v>23</v>
      </c>
      <c r="G19" s="85" t="s">
        <v>23</v>
      </c>
      <c r="H19" s="85" t="s">
        <v>23</v>
      </c>
      <c r="I19" s="85" t="s">
        <v>23</v>
      </c>
      <c r="J19" s="60">
        <f>J20+J23</f>
        <v>0</v>
      </c>
      <c r="K19" s="60">
        <f>K20+K23</f>
        <v>0</v>
      </c>
      <c r="L19" s="60">
        <f>L20+L23</f>
        <v>0</v>
      </c>
      <c r="M19" s="60">
        <f>M20+M23</f>
        <v>0</v>
      </c>
      <c r="N19" s="16" t="s">
        <v>25</v>
      </c>
      <c r="O19" s="60">
        <f>O20+O23</f>
        <v>0.48347999999999997</v>
      </c>
      <c r="P19" s="86" t="s">
        <v>25</v>
      </c>
    </row>
    <row r="20" spans="1:76" x14ac:dyDescent="0.25">
      <c r="A20" s="84" t="s">
        <v>25</v>
      </c>
      <c r="B20" s="15" t="s">
        <v>44</v>
      </c>
      <c r="C20" s="15" t="s">
        <v>46</v>
      </c>
      <c r="D20" s="112" t="s">
        <v>47</v>
      </c>
      <c r="E20" s="113"/>
      <c r="F20" s="85" t="s">
        <v>23</v>
      </c>
      <c r="G20" s="85" t="s">
        <v>23</v>
      </c>
      <c r="H20" s="85" t="s">
        <v>23</v>
      </c>
      <c r="I20" s="85" t="s">
        <v>23</v>
      </c>
      <c r="J20" s="60">
        <f>SUM(J21:J22)</f>
        <v>0</v>
      </c>
      <c r="K20" s="60">
        <f>SUM(K21:K22)</f>
        <v>0</v>
      </c>
      <c r="L20" s="60">
        <f>SUM(L21:L22)</f>
        <v>0</v>
      </c>
      <c r="M20" s="60">
        <f>SUM(M21:M22)</f>
        <v>0</v>
      </c>
      <c r="N20" s="16" t="s">
        <v>25</v>
      </c>
      <c r="O20" s="60">
        <f>SUM(O21:O22)</f>
        <v>6.0000000000000006E-4</v>
      </c>
      <c r="P20" s="86" t="s">
        <v>25</v>
      </c>
      <c r="AI20" s="16" t="s">
        <v>44</v>
      </c>
      <c r="AS20" s="60">
        <f>SUM(AJ21:AJ22)</f>
        <v>0</v>
      </c>
      <c r="AT20" s="60">
        <f>SUM(AK21:AK22)</f>
        <v>0</v>
      </c>
      <c r="AU20" s="60">
        <f>SUM(AL21:AL22)</f>
        <v>0</v>
      </c>
    </row>
    <row r="21" spans="1:76" x14ac:dyDescent="0.25">
      <c r="A21" s="1" t="s">
        <v>499</v>
      </c>
      <c r="B21" s="2" t="s">
        <v>44</v>
      </c>
      <c r="C21" s="2" t="s">
        <v>48</v>
      </c>
      <c r="D21" s="105" t="s">
        <v>49</v>
      </c>
      <c r="E21" s="99"/>
      <c r="F21" s="2" t="s">
        <v>35</v>
      </c>
      <c r="G21" s="19">
        <f>'Rozpočet - vybrané sloupce'!J20</f>
        <v>12</v>
      </c>
      <c r="H21" s="19">
        <f>'Rozpočet - vybrané sloupce'!K20</f>
        <v>0</v>
      </c>
      <c r="I21" s="87" t="s">
        <v>489</v>
      </c>
      <c r="J21" s="19">
        <f>G21*AO21</f>
        <v>0</v>
      </c>
      <c r="K21" s="19">
        <f>G21*AP21</f>
        <v>0</v>
      </c>
      <c r="L21" s="19">
        <f>G21*H21</f>
        <v>0</v>
      </c>
      <c r="M21" s="19">
        <f>L21*(1+BW21/100)</f>
        <v>0</v>
      </c>
      <c r="N21" s="19">
        <v>5.0000000000000002E-5</v>
      </c>
      <c r="O21" s="19">
        <f>G21*N21</f>
        <v>6.0000000000000006E-4</v>
      </c>
      <c r="P21" s="88" t="s">
        <v>490</v>
      </c>
      <c r="Z21" s="19">
        <f>IF(AQ21="5",BJ21,0)</f>
        <v>0</v>
      </c>
      <c r="AB21" s="19">
        <f>IF(AQ21="1",BH21,0)</f>
        <v>0</v>
      </c>
      <c r="AC21" s="19">
        <f>IF(AQ21="1",BI21,0)</f>
        <v>0</v>
      </c>
      <c r="AD21" s="19">
        <f>IF(AQ21="7",BH21,0)</f>
        <v>0</v>
      </c>
      <c r="AE21" s="19">
        <f>IF(AQ21="7",BI21,0)</f>
        <v>0</v>
      </c>
      <c r="AF21" s="19">
        <f>IF(AQ21="2",BH21,0)</f>
        <v>0</v>
      </c>
      <c r="AG21" s="19">
        <f>IF(AQ21="2",BI21,0)</f>
        <v>0</v>
      </c>
      <c r="AH21" s="19">
        <f>IF(AQ21="0",BJ21,0)</f>
        <v>0</v>
      </c>
      <c r="AI21" s="16" t="s">
        <v>44</v>
      </c>
      <c r="AJ21" s="19">
        <f>IF(AN21=0,L21,0)</f>
        <v>0</v>
      </c>
      <c r="AK21" s="19">
        <f>IF(AN21=12,L21,0)</f>
        <v>0</v>
      </c>
      <c r="AL21" s="19">
        <f>IF(AN21=21,L21,0)</f>
        <v>0</v>
      </c>
      <c r="AN21" s="19">
        <v>12</v>
      </c>
      <c r="AO21" s="19">
        <f>H21*0.832962963</f>
        <v>0</v>
      </c>
      <c r="AP21" s="19">
        <f>H21*(1-0.832962963)</f>
        <v>0</v>
      </c>
      <c r="AQ21" s="87" t="s">
        <v>491</v>
      </c>
      <c r="AV21" s="19">
        <f>AW21+AX21</f>
        <v>0</v>
      </c>
      <c r="AW21" s="19">
        <f>G21*AO21</f>
        <v>0</v>
      </c>
      <c r="AX21" s="19">
        <f>G21*AP21</f>
        <v>0</v>
      </c>
      <c r="AY21" s="87" t="s">
        <v>500</v>
      </c>
      <c r="AZ21" s="87" t="s">
        <v>501</v>
      </c>
      <c r="BA21" s="16" t="s">
        <v>502</v>
      </c>
      <c r="BC21" s="19">
        <f>AW21+AX21</f>
        <v>0</v>
      </c>
      <c r="BD21" s="19">
        <f>H21/(100-BE21)*100</f>
        <v>0</v>
      </c>
      <c r="BE21" s="19">
        <v>0</v>
      </c>
      <c r="BF21" s="19">
        <f>O21</f>
        <v>6.0000000000000006E-4</v>
      </c>
      <c r="BH21" s="19">
        <f>G21*AO21</f>
        <v>0</v>
      </c>
      <c r="BI21" s="19">
        <f>G21*AP21</f>
        <v>0</v>
      </c>
      <c r="BJ21" s="19">
        <f>G21*H21</f>
        <v>0</v>
      </c>
      <c r="BK21" s="19"/>
      <c r="BL21" s="19">
        <v>713</v>
      </c>
      <c r="BW21" s="19" t="str">
        <f>I21</f>
        <v>12</v>
      </c>
      <c r="BX21" s="4" t="s">
        <v>49</v>
      </c>
    </row>
    <row r="22" spans="1:76" x14ac:dyDescent="0.25">
      <c r="A22" s="1" t="s">
        <v>491</v>
      </c>
      <c r="B22" s="2" t="s">
        <v>44</v>
      </c>
      <c r="C22" s="2" t="s">
        <v>50</v>
      </c>
      <c r="D22" s="105" t="s">
        <v>51</v>
      </c>
      <c r="E22" s="99"/>
      <c r="F22" s="2" t="s">
        <v>43</v>
      </c>
      <c r="G22" s="19">
        <f>'Rozpočet - vybrané sloupce'!J21</f>
        <v>238</v>
      </c>
      <c r="H22" s="19">
        <f>'Rozpočet - vybrané sloupce'!K21</f>
        <v>0</v>
      </c>
      <c r="I22" s="87" t="s">
        <v>489</v>
      </c>
      <c r="J22" s="19">
        <f>G22*AO22</f>
        <v>0</v>
      </c>
      <c r="K22" s="19">
        <f>G22*AP22</f>
        <v>0</v>
      </c>
      <c r="L22" s="19">
        <f>G22*H22</f>
        <v>0</v>
      </c>
      <c r="M22" s="19">
        <f>L22*(1+BW22/100)</f>
        <v>0</v>
      </c>
      <c r="N22" s="19">
        <v>0</v>
      </c>
      <c r="O22" s="19">
        <f>G22*N22</f>
        <v>0</v>
      </c>
      <c r="P22" s="88" t="s">
        <v>490</v>
      </c>
      <c r="Z22" s="19">
        <f>IF(AQ22="5",BJ22,0)</f>
        <v>0</v>
      </c>
      <c r="AB22" s="19">
        <f>IF(AQ22="1",BH22,0)</f>
        <v>0</v>
      </c>
      <c r="AC22" s="19">
        <f>IF(AQ22="1",BI22,0)</f>
        <v>0</v>
      </c>
      <c r="AD22" s="19">
        <f>IF(AQ22="7",BH22,0)</f>
        <v>0</v>
      </c>
      <c r="AE22" s="19">
        <f>IF(AQ22="7",BI22,0)</f>
        <v>0</v>
      </c>
      <c r="AF22" s="19">
        <f>IF(AQ22="2",BH22,0)</f>
        <v>0</v>
      </c>
      <c r="AG22" s="19">
        <f>IF(AQ22="2",BI22,0)</f>
        <v>0</v>
      </c>
      <c r="AH22" s="19">
        <f>IF(AQ22="0",BJ22,0)</f>
        <v>0</v>
      </c>
      <c r="AI22" s="16" t="s">
        <v>44</v>
      </c>
      <c r="AJ22" s="19">
        <f>IF(AN22=0,L22,0)</f>
        <v>0</v>
      </c>
      <c r="AK22" s="19">
        <f>IF(AN22=12,L22,0)</f>
        <v>0</v>
      </c>
      <c r="AL22" s="19">
        <f>IF(AN22=21,L22,0)</f>
        <v>0</v>
      </c>
      <c r="AN22" s="19">
        <v>12</v>
      </c>
      <c r="AO22" s="19">
        <f>H22*0</f>
        <v>0</v>
      </c>
      <c r="AP22" s="19">
        <f>H22*(1-0)</f>
        <v>0</v>
      </c>
      <c r="AQ22" s="87" t="s">
        <v>498</v>
      </c>
      <c r="AV22" s="19">
        <f>AW22+AX22</f>
        <v>0</v>
      </c>
      <c r="AW22" s="19">
        <f>G22*AO22</f>
        <v>0</v>
      </c>
      <c r="AX22" s="19">
        <f>G22*AP22</f>
        <v>0</v>
      </c>
      <c r="AY22" s="87" t="s">
        <v>500</v>
      </c>
      <c r="AZ22" s="87" t="s">
        <v>501</v>
      </c>
      <c r="BA22" s="16" t="s">
        <v>502</v>
      </c>
      <c r="BC22" s="19">
        <f>AW22+AX22</f>
        <v>0</v>
      </c>
      <c r="BD22" s="19">
        <f>H22/(100-BE22)*100</f>
        <v>0</v>
      </c>
      <c r="BE22" s="19">
        <v>0</v>
      </c>
      <c r="BF22" s="19">
        <f>O22</f>
        <v>0</v>
      </c>
      <c r="BH22" s="19">
        <f>G22*AO22</f>
        <v>0</v>
      </c>
      <c r="BI22" s="19">
        <f>G22*AP22</f>
        <v>0</v>
      </c>
      <c r="BJ22" s="19">
        <f>G22*H22</f>
        <v>0</v>
      </c>
      <c r="BK22" s="19"/>
      <c r="BL22" s="19">
        <v>713</v>
      </c>
      <c r="BW22" s="19" t="str">
        <f>I22</f>
        <v>12</v>
      </c>
      <c r="BX22" s="4" t="s">
        <v>51</v>
      </c>
    </row>
    <row r="23" spans="1:76" x14ac:dyDescent="0.25">
      <c r="A23" s="84" t="s">
        <v>25</v>
      </c>
      <c r="B23" s="15" t="s">
        <v>44</v>
      </c>
      <c r="C23" s="15" t="s">
        <v>27</v>
      </c>
      <c r="D23" s="112" t="s">
        <v>28</v>
      </c>
      <c r="E23" s="113"/>
      <c r="F23" s="85" t="s">
        <v>23</v>
      </c>
      <c r="G23" s="85" t="s">
        <v>23</v>
      </c>
      <c r="H23" s="85" t="s">
        <v>23</v>
      </c>
      <c r="I23" s="85" t="s">
        <v>23</v>
      </c>
      <c r="J23" s="60">
        <f>SUM(J24:J34)</f>
        <v>0</v>
      </c>
      <c r="K23" s="60">
        <f>SUM(K24:K34)</f>
        <v>0</v>
      </c>
      <c r="L23" s="60">
        <f>SUM(L24:L34)</f>
        <v>0</v>
      </c>
      <c r="M23" s="60">
        <f>SUM(M24:M34)</f>
        <v>0</v>
      </c>
      <c r="N23" s="16" t="s">
        <v>25</v>
      </c>
      <c r="O23" s="60">
        <f>SUM(O24:O34)</f>
        <v>0.48287999999999998</v>
      </c>
      <c r="P23" s="86" t="s">
        <v>25</v>
      </c>
      <c r="AI23" s="16" t="s">
        <v>44</v>
      </c>
      <c r="AS23" s="60">
        <f>SUM(AJ24:AJ34)</f>
        <v>0</v>
      </c>
      <c r="AT23" s="60">
        <f>SUM(AK24:AK34)</f>
        <v>0</v>
      </c>
      <c r="AU23" s="60">
        <f>SUM(AL24:AL34)</f>
        <v>0</v>
      </c>
    </row>
    <row r="24" spans="1:76" x14ac:dyDescent="0.25">
      <c r="A24" s="1" t="s">
        <v>503</v>
      </c>
      <c r="B24" s="2" t="s">
        <v>44</v>
      </c>
      <c r="C24" s="2" t="s">
        <v>52</v>
      </c>
      <c r="D24" s="105" t="s">
        <v>53</v>
      </c>
      <c r="E24" s="99"/>
      <c r="F24" s="2" t="s">
        <v>35</v>
      </c>
      <c r="G24" s="19">
        <f>'Rozpočet - vybrané sloupce'!J23</f>
        <v>3</v>
      </c>
      <c r="H24" s="19">
        <f>'Rozpočet - vybrané sloupce'!K23</f>
        <v>0</v>
      </c>
      <c r="I24" s="87" t="s">
        <v>489</v>
      </c>
      <c r="J24" s="19">
        <f t="shared" ref="J24:J34" si="0">G24*AO24</f>
        <v>0</v>
      </c>
      <c r="K24" s="19">
        <f t="shared" ref="K24:K34" si="1">G24*AP24</f>
        <v>0</v>
      </c>
      <c r="L24" s="19">
        <f t="shared" ref="L24:L34" si="2">G24*H24</f>
        <v>0</v>
      </c>
      <c r="M24" s="19">
        <f t="shared" ref="M24:M34" si="3">L24*(1+BW24/100)</f>
        <v>0</v>
      </c>
      <c r="N24" s="19">
        <v>3.8000000000000002E-4</v>
      </c>
      <c r="O24" s="19">
        <f t="shared" ref="O24:O34" si="4">G24*N24</f>
        <v>1.14E-3</v>
      </c>
      <c r="P24" s="88" t="s">
        <v>490</v>
      </c>
      <c r="Z24" s="19">
        <f t="shared" ref="Z24:Z34" si="5">IF(AQ24="5",BJ24,0)</f>
        <v>0</v>
      </c>
      <c r="AB24" s="19">
        <f t="shared" ref="AB24:AB34" si="6">IF(AQ24="1",BH24,0)</f>
        <v>0</v>
      </c>
      <c r="AC24" s="19">
        <f t="shared" ref="AC24:AC34" si="7">IF(AQ24="1",BI24,0)</f>
        <v>0</v>
      </c>
      <c r="AD24" s="19">
        <f t="shared" ref="AD24:AD34" si="8">IF(AQ24="7",BH24,0)</f>
        <v>0</v>
      </c>
      <c r="AE24" s="19">
        <f t="shared" ref="AE24:AE34" si="9">IF(AQ24="7",BI24,0)</f>
        <v>0</v>
      </c>
      <c r="AF24" s="19">
        <f t="shared" ref="AF24:AF34" si="10">IF(AQ24="2",BH24,0)</f>
        <v>0</v>
      </c>
      <c r="AG24" s="19">
        <f t="shared" ref="AG24:AG34" si="11">IF(AQ24="2",BI24,0)</f>
        <v>0</v>
      </c>
      <c r="AH24" s="19">
        <f t="shared" ref="AH24:AH34" si="12">IF(AQ24="0",BJ24,0)</f>
        <v>0</v>
      </c>
      <c r="AI24" s="16" t="s">
        <v>44</v>
      </c>
      <c r="AJ24" s="19">
        <f t="shared" ref="AJ24:AJ34" si="13">IF(AN24=0,L24,0)</f>
        <v>0</v>
      </c>
      <c r="AK24" s="19">
        <f t="shared" ref="AK24:AK34" si="14">IF(AN24=12,L24,0)</f>
        <v>0</v>
      </c>
      <c r="AL24" s="19">
        <f t="shared" ref="AL24:AL34" si="15">IF(AN24=21,L24,0)</f>
        <v>0</v>
      </c>
      <c r="AN24" s="19">
        <v>12</v>
      </c>
      <c r="AO24" s="19">
        <f>H24*0.809951048</f>
        <v>0</v>
      </c>
      <c r="AP24" s="19">
        <f>H24*(1-0.809951048)</f>
        <v>0</v>
      </c>
      <c r="AQ24" s="87" t="s">
        <v>491</v>
      </c>
      <c r="AV24" s="19">
        <f t="shared" ref="AV24:AV34" si="16">AW24+AX24</f>
        <v>0</v>
      </c>
      <c r="AW24" s="19">
        <f t="shared" ref="AW24:AW34" si="17">G24*AO24</f>
        <v>0</v>
      </c>
      <c r="AX24" s="19">
        <f t="shared" ref="AX24:AX34" si="18">G24*AP24</f>
        <v>0</v>
      </c>
      <c r="AY24" s="87" t="s">
        <v>492</v>
      </c>
      <c r="AZ24" s="87" t="s">
        <v>504</v>
      </c>
      <c r="BA24" s="16" t="s">
        <v>502</v>
      </c>
      <c r="BC24" s="19">
        <f t="shared" ref="BC24:BC34" si="19">AW24+AX24</f>
        <v>0</v>
      </c>
      <c r="BD24" s="19">
        <f t="shared" ref="BD24:BD34" si="20">H24/(100-BE24)*100</f>
        <v>0</v>
      </c>
      <c r="BE24" s="19">
        <v>0</v>
      </c>
      <c r="BF24" s="19">
        <f t="shared" ref="BF24:BF34" si="21">O24</f>
        <v>1.14E-3</v>
      </c>
      <c r="BH24" s="19">
        <f t="shared" ref="BH24:BH34" si="22">G24*AO24</f>
        <v>0</v>
      </c>
      <c r="BI24" s="19">
        <f t="shared" ref="BI24:BI34" si="23">G24*AP24</f>
        <v>0</v>
      </c>
      <c r="BJ24" s="19">
        <f t="shared" ref="BJ24:BJ34" si="24">G24*H24</f>
        <v>0</v>
      </c>
      <c r="BK24" s="19"/>
      <c r="BL24" s="19">
        <v>721</v>
      </c>
      <c r="BW24" s="19" t="str">
        <f t="shared" ref="BW24:BW34" si="25">I24</f>
        <v>12</v>
      </c>
      <c r="BX24" s="4" t="s">
        <v>53</v>
      </c>
    </row>
    <row r="25" spans="1:76" x14ac:dyDescent="0.25">
      <c r="A25" s="1" t="s">
        <v>505</v>
      </c>
      <c r="B25" s="2" t="s">
        <v>44</v>
      </c>
      <c r="C25" s="2" t="s">
        <v>54</v>
      </c>
      <c r="D25" s="105" t="s">
        <v>55</v>
      </c>
      <c r="E25" s="99"/>
      <c r="F25" s="2" t="s">
        <v>31</v>
      </c>
      <c r="G25" s="19">
        <f>'Rozpočet - vybrané sloupce'!J24</f>
        <v>45</v>
      </c>
      <c r="H25" s="19">
        <f>'Rozpočet - vybrané sloupce'!K24</f>
        <v>0</v>
      </c>
      <c r="I25" s="87" t="s">
        <v>489</v>
      </c>
      <c r="J25" s="19">
        <f t="shared" si="0"/>
        <v>0</v>
      </c>
      <c r="K25" s="19">
        <f t="shared" si="1"/>
        <v>0</v>
      </c>
      <c r="L25" s="19">
        <f t="shared" si="2"/>
        <v>0</v>
      </c>
      <c r="M25" s="19">
        <f t="shared" si="3"/>
        <v>0</v>
      </c>
      <c r="N25" s="19">
        <v>1.98E-3</v>
      </c>
      <c r="O25" s="19">
        <f t="shared" si="4"/>
        <v>8.9099999999999999E-2</v>
      </c>
      <c r="P25" s="88" t="s">
        <v>490</v>
      </c>
      <c r="Z25" s="19">
        <f t="shared" si="5"/>
        <v>0</v>
      </c>
      <c r="AB25" s="19">
        <f t="shared" si="6"/>
        <v>0</v>
      </c>
      <c r="AC25" s="19">
        <f t="shared" si="7"/>
        <v>0</v>
      </c>
      <c r="AD25" s="19">
        <f t="shared" si="8"/>
        <v>0</v>
      </c>
      <c r="AE25" s="19">
        <f t="shared" si="9"/>
        <v>0</v>
      </c>
      <c r="AF25" s="19">
        <f t="shared" si="10"/>
        <v>0</v>
      </c>
      <c r="AG25" s="19">
        <f t="shared" si="11"/>
        <v>0</v>
      </c>
      <c r="AH25" s="19">
        <f t="shared" si="12"/>
        <v>0</v>
      </c>
      <c r="AI25" s="16" t="s">
        <v>44</v>
      </c>
      <c r="AJ25" s="19">
        <f t="shared" si="13"/>
        <v>0</v>
      </c>
      <c r="AK25" s="19">
        <f t="shared" si="14"/>
        <v>0</v>
      </c>
      <c r="AL25" s="19">
        <f t="shared" si="15"/>
        <v>0</v>
      </c>
      <c r="AN25" s="19">
        <v>12</v>
      </c>
      <c r="AO25" s="19">
        <f>H25*0</f>
        <v>0</v>
      </c>
      <c r="AP25" s="19">
        <f>H25*(1-0)</f>
        <v>0</v>
      </c>
      <c r="AQ25" s="87" t="s">
        <v>491</v>
      </c>
      <c r="AV25" s="19">
        <f t="shared" si="16"/>
        <v>0</v>
      </c>
      <c r="AW25" s="19">
        <f t="shared" si="17"/>
        <v>0</v>
      </c>
      <c r="AX25" s="19">
        <f t="shared" si="18"/>
        <v>0</v>
      </c>
      <c r="AY25" s="87" t="s">
        <v>492</v>
      </c>
      <c r="AZ25" s="87" t="s">
        <v>504</v>
      </c>
      <c r="BA25" s="16" t="s">
        <v>502</v>
      </c>
      <c r="BC25" s="19">
        <f t="shared" si="19"/>
        <v>0</v>
      </c>
      <c r="BD25" s="19">
        <f t="shared" si="20"/>
        <v>0</v>
      </c>
      <c r="BE25" s="19">
        <v>0</v>
      </c>
      <c r="BF25" s="19">
        <f t="shared" si="21"/>
        <v>8.9099999999999999E-2</v>
      </c>
      <c r="BH25" s="19">
        <f t="shared" si="22"/>
        <v>0</v>
      </c>
      <c r="BI25" s="19">
        <f t="shared" si="23"/>
        <v>0</v>
      </c>
      <c r="BJ25" s="19">
        <f t="shared" si="24"/>
        <v>0</v>
      </c>
      <c r="BK25" s="19"/>
      <c r="BL25" s="19">
        <v>721</v>
      </c>
      <c r="BW25" s="19" t="str">
        <f t="shared" si="25"/>
        <v>12</v>
      </c>
      <c r="BX25" s="4" t="s">
        <v>55</v>
      </c>
    </row>
    <row r="26" spans="1:76" x14ac:dyDescent="0.25">
      <c r="A26" s="1" t="s">
        <v>506</v>
      </c>
      <c r="B26" s="2" t="s">
        <v>44</v>
      </c>
      <c r="C26" s="2" t="s">
        <v>56</v>
      </c>
      <c r="D26" s="105" t="s">
        <v>57</v>
      </c>
      <c r="E26" s="99"/>
      <c r="F26" s="2" t="s">
        <v>31</v>
      </c>
      <c r="G26" s="19">
        <f>'Rozpočet - vybrané sloupce'!J25</f>
        <v>45</v>
      </c>
      <c r="H26" s="19">
        <f>'Rozpočet - vybrané sloupce'!K25</f>
        <v>0</v>
      </c>
      <c r="I26" s="87" t="s">
        <v>489</v>
      </c>
      <c r="J26" s="19">
        <f t="shared" si="0"/>
        <v>0</v>
      </c>
      <c r="K26" s="19">
        <f t="shared" si="1"/>
        <v>0</v>
      </c>
      <c r="L26" s="19">
        <f t="shared" si="2"/>
        <v>0</v>
      </c>
      <c r="M26" s="19">
        <f t="shared" si="3"/>
        <v>0</v>
      </c>
      <c r="N26" s="19">
        <v>1.31E-3</v>
      </c>
      <c r="O26" s="19">
        <f t="shared" si="4"/>
        <v>5.8949999999999995E-2</v>
      </c>
      <c r="P26" s="88" t="s">
        <v>490</v>
      </c>
      <c r="Z26" s="19">
        <f t="shared" si="5"/>
        <v>0</v>
      </c>
      <c r="AB26" s="19">
        <f t="shared" si="6"/>
        <v>0</v>
      </c>
      <c r="AC26" s="19">
        <f t="shared" si="7"/>
        <v>0</v>
      </c>
      <c r="AD26" s="19">
        <f t="shared" si="8"/>
        <v>0</v>
      </c>
      <c r="AE26" s="19">
        <f t="shared" si="9"/>
        <v>0</v>
      </c>
      <c r="AF26" s="19">
        <f t="shared" si="10"/>
        <v>0</v>
      </c>
      <c r="AG26" s="19">
        <f t="shared" si="11"/>
        <v>0</v>
      </c>
      <c r="AH26" s="19">
        <f t="shared" si="12"/>
        <v>0</v>
      </c>
      <c r="AI26" s="16" t="s">
        <v>44</v>
      </c>
      <c r="AJ26" s="19">
        <f t="shared" si="13"/>
        <v>0</v>
      </c>
      <c r="AK26" s="19">
        <f t="shared" si="14"/>
        <v>0</v>
      </c>
      <c r="AL26" s="19">
        <f t="shared" si="15"/>
        <v>0</v>
      </c>
      <c r="AN26" s="19">
        <v>12</v>
      </c>
      <c r="AO26" s="19">
        <f>H26*0.431778607</f>
        <v>0</v>
      </c>
      <c r="AP26" s="19">
        <f>H26*(1-0.431778607)</f>
        <v>0</v>
      </c>
      <c r="AQ26" s="87" t="s">
        <v>491</v>
      </c>
      <c r="AV26" s="19">
        <f t="shared" si="16"/>
        <v>0</v>
      </c>
      <c r="AW26" s="19">
        <f t="shared" si="17"/>
        <v>0</v>
      </c>
      <c r="AX26" s="19">
        <f t="shared" si="18"/>
        <v>0</v>
      </c>
      <c r="AY26" s="87" t="s">
        <v>492</v>
      </c>
      <c r="AZ26" s="87" t="s">
        <v>504</v>
      </c>
      <c r="BA26" s="16" t="s">
        <v>502</v>
      </c>
      <c r="BC26" s="19">
        <f t="shared" si="19"/>
        <v>0</v>
      </c>
      <c r="BD26" s="19">
        <f t="shared" si="20"/>
        <v>0</v>
      </c>
      <c r="BE26" s="19">
        <v>0</v>
      </c>
      <c r="BF26" s="19">
        <f t="shared" si="21"/>
        <v>5.8949999999999995E-2</v>
      </c>
      <c r="BH26" s="19">
        <f t="shared" si="22"/>
        <v>0</v>
      </c>
      <c r="BI26" s="19">
        <f t="shared" si="23"/>
        <v>0</v>
      </c>
      <c r="BJ26" s="19">
        <f t="shared" si="24"/>
        <v>0</v>
      </c>
      <c r="BK26" s="19"/>
      <c r="BL26" s="19">
        <v>721</v>
      </c>
      <c r="BW26" s="19" t="str">
        <f t="shared" si="25"/>
        <v>12</v>
      </c>
      <c r="BX26" s="4" t="s">
        <v>57</v>
      </c>
    </row>
    <row r="27" spans="1:76" ht="25.5" x14ac:dyDescent="0.25">
      <c r="A27" s="1" t="s">
        <v>507</v>
      </c>
      <c r="B27" s="2" t="s">
        <v>44</v>
      </c>
      <c r="C27" s="2" t="s">
        <v>58</v>
      </c>
      <c r="D27" s="105" t="s">
        <v>59</v>
      </c>
      <c r="E27" s="99"/>
      <c r="F27" s="2" t="s">
        <v>35</v>
      </c>
      <c r="G27" s="19">
        <f>'Rozpočet - vybrané sloupce'!J26</f>
        <v>24</v>
      </c>
      <c r="H27" s="19">
        <f>'Rozpočet - vybrané sloupce'!K26</f>
        <v>0</v>
      </c>
      <c r="I27" s="87" t="s">
        <v>489</v>
      </c>
      <c r="J27" s="19">
        <f t="shared" si="0"/>
        <v>0</v>
      </c>
      <c r="K27" s="19">
        <f t="shared" si="1"/>
        <v>0</v>
      </c>
      <c r="L27" s="19">
        <f t="shared" si="2"/>
        <v>0</v>
      </c>
      <c r="M27" s="19">
        <f t="shared" si="3"/>
        <v>0</v>
      </c>
      <c r="N27" s="19">
        <v>1.265E-2</v>
      </c>
      <c r="O27" s="19">
        <f t="shared" si="4"/>
        <v>0.30359999999999998</v>
      </c>
      <c r="P27" s="88" t="s">
        <v>490</v>
      </c>
      <c r="Z27" s="19">
        <f t="shared" si="5"/>
        <v>0</v>
      </c>
      <c r="AB27" s="19">
        <f t="shared" si="6"/>
        <v>0</v>
      </c>
      <c r="AC27" s="19">
        <f t="shared" si="7"/>
        <v>0</v>
      </c>
      <c r="AD27" s="19">
        <f t="shared" si="8"/>
        <v>0</v>
      </c>
      <c r="AE27" s="19">
        <f t="shared" si="9"/>
        <v>0</v>
      </c>
      <c r="AF27" s="19">
        <f t="shared" si="10"/>
        <v>0</v>
      </c>
      <c r="AG27" s="19">
        <f t="shared" si="11"/>
        <v>0</v>
      </c>
      <c r="AH27" s="19">
        <f t="shared" si="12"/>
        <v>0</v>
      </c>
      <c r="AI27" s="16" t="s">
        <v>44</v>
      </c>
      <c r="AJ27" s="19">
        <f t="shared" si="13"/>
        <v>0</v>
      </c>
      <c r="AK27" s="19">
        <f t="shared" si="14"/>
        <v>0</v>
      </c>
      <c r="AL27" s="19">
        <f t="shared" si="15"/>
        <v>0</v>
      </c>
      <c r="AN27" s="19">
        <v>12</v>
      </c>
      <c r="AO27" s="19">
        <f>H27*0.24925</f>
        <v>0</v>
      </c>
      <c r="AP27" s="19">
        <f>H27*(1-0.24925)</f>
        <v>0</v>
      </c>
      <c r="AQ27" s="87" t="s">
        <v>491</v>
      </c>
      <c r="AV27" s="19">
        <f t="shared" si="16"/>
        <v>0</v>
      </c>
      <c r="AW27" s="19">
        <f t="shared" si="17"/>
        <v>0</v>
      </c>
      <c r="AX27" s="19">
        <f t="shared" si="18"/>
        <v>0</v>
      </c>
      <c r="AY27" s="87" t="s">
        <v>492</v>
      </c>
      <c r="AZ27" s="87" t="s">
        <v>504</v>
      </c>
      <c r="BA27" s="16" t="s">
        <v>502</v>
      </c>
      <c r="BC27" s="19">
        <f t="shared" si="19"/>
        <v>0</v>
      </c>
      <c r="BD27" s="19">
        <f t="shared" si="20"/>
        <v>0</v>
      </c>
      <c r="BE27" s="19">
        <v>0</v>
      </c>
      <c r="BF27" s="19">
        <f t="shared" si="21"/>
        <v>0.30359999999999998</v>
      </c>
      <c r="BH27" s="19">
        <f t="shared" si="22"/>
        <v>0</v>
      </c>
      <c r="BI27" s="19">
        <f t="shared" si="23"/>
        <v>0</v>
      </c>
      <c r="BJ27" s="19">
        <f t="shared" si="24"/>
        <v>0</v>
      </c>
      <c r="BK27" s="19"/>
      <c r="BL27" s="19">
        <v>721</v>
      </c>
      <c r="BW27" s="19" t="str">
        <f t="shared" si="25"/>
        <v>12</v>
      </c>
      <c r="BX27" s="4" t="s">
        <v>59</v>
      </c>
    </row>
    <row r="28" spans="1:76" ht="25.5" x14ac:dyDescent="0.25">
      <c r="A28" s="1" t="s">
        <v>489</v>
      </c>
      <c r="B28" s="2" t="s">
        <v>44</v>
      </c>
      <c r="C28" s="2" t="s">
        <v>60</v>
      </c>
      <c r="D28" s="105" t="s">
        <v>61</v>
      </c>
      <c r="E28" s="99"/>
      <c r="F28" s="2" t="s">
        <v>35</v>
      </c>
      <c r="G28" s="19">
        <f>'Rozpočet - vybrané sloupce'!J27</f>
        <v>3</v>
      </c>
      <c r="H28" s="19">
        <f>'Rozpočet - vybrané sloupce'!K27</f>
        <v>0</v>
      </c>
      <c r="I28" s="87" t="s">
        <v>489</v>
      </c>
      <c r="J28" s="19">
        <f t="shared" si="0"/>
        <v>0</v>
      </c>
      <c r="K28" s="19">
        <f t="shared" si="1"/>
        <v>0</v>
      </c>
      <c r="L28" s="19">
        <f t="shared" si="2"/>
        <v>0</v>
      </c>
      <c r="M28" s="19">
        <f t="shared" si="3"/>
        <v>0</v>
      </c>
      <c r="N28" s="19">
        <v>6.7499999999999999E-3</v>
      </c>
      <c r="O28" s="19">
        <f t="shared" si="4"/>
        <v>2.0250000000000001E-2</v>
      </c>
      <c r="P28" s="88" t="s">
        <v>490</v>
      </c>
      <c r="Z28" s="19">
        <f t="shared" si="5"/>
        <v>0</v>
      </c>
      <c r="AB28" s="19">
        <f t="shared" si="6"/>
        <v>0</v>
      </c>
      <c r="AC28" s="19">
        <f t="shared" si="7"/>
        <v>0</v>
      </c>
      <c r="AD28" s="19">
        <f t="shared" si="8"/>
        <v>0</v>
      </c>
      <c r="AE28" s="19">
        <f t="shared" si="9"/>
        <v>0</v>
      </c>
      <c r="AF28" s="19">
        <f t="shared" si="10"/>
        <v>0</v>
      </c>
      <c r="AG28" s="19">
        <f t="shared" si="11"/>
        <v>0</v>
      </c>
      <c r="AH28" s="19">
        <f t="shared" si="12"/>
        <v>0</v>
      </c>
      <c r="AI28" s="16" t="s">
        <v>44</v>
      </c>
      <c r="AJ28" s="19">
        <f t="shared" si="13"/>
        <v>0</v>
      </c>
      <c r="AK28" s="19">
        <f t="shared" si="14"/>
        <v>0</v>
      </c>
      <c r="AL28" s="19">
        <f t="shared" si="15"/>
        <v>0</v>
      </c>
      <c r="AN28" s="19">
        <v>12</v>
      </c>
      <c r="AO28" s="19">
        <f>H28*0.225117591</f>
        <v>0</v>
      </c>
      <c r="AP28" s="19">
        <f>H28*(1-0.225117591)</f>
        <v>0</v>
      </c>
      <c r="AQ28" s="87" t="s">
        <v>491</v>
      </c>
      <c r="AV28" s="19">
        <f t="shared" si="16"/>
        <v>0</v>
      </c>
      <c r="AW28" s="19">
        <f t="shared" si="17"/>
        <v>0</v>
      </c>
      <c r="AX28" s="19">
        <f t="shared" si="18"/>
        <v>0</v>
      </c>
      <c r="AY28" s="87" t="s">
        <v>492</v>
      </c>
      <c r="AZ28" s="87" t="s">
        <v>504</v>
      </c>
      <c r="BA28" s="16" t="s">
        <v>502</v>
      </c>
      <c r="BC28" s="19">
        <f t="shared" si="19"/>
        <v>0</v>
      </c>
      <c r="BD28" s="19">
        <f t="shared" si="20"/>
        <v>0</v>
      </c>
      <c r="BE28" s="19">
        <v>0</v>
      </c>
      <c r="BF28" s="19">
        <f t="shared" si="21"/>
        <v>2.0250000000000001E-2</v>
      </c>
      <c r="BH28" s="19">
        <f t="shared" si="22"/>
        <v>0</v>
      </c>
      <c r="BI28" s="19">
        <f t="shared" si="23"/>
        <v>0</v>
      </c>
      <c r="BJ28" s="19">
        <f t="shared" si="24"/>
        <v>0</v>
      </c>
      <c r="BK28" s="19"/>
      <c r="BL28" s="19">
        <v>721</v>
      </c>
      <c r="BW28" s="19" t="str">
        <f t="shared" si="25"/>
        <v>12</v>
      </c>
      <c r="BX28" s="4" t="s">
        <v>61</v>
      </c>
    </row>
    <row r="29" spans="1:76" x14ac:dyDescent="0.25">
      <c r="A29" s="1" t="s">
        <v>508</v>
      </c>
      <c r="B29" s="2" t="s">
        <v>44</v>
      </c>
      <c r="C29" s="2" t="s">
        <v>62</v>
      </c>
      <c r="D29" s="105" t="s">
        <v>63</v>
      </c>
      <c r="E29" s="99"/>
      <c r="F29" s="2" t="s">
        <v>31</v>
      </c>
      <c r="G29" s="19">
        <f>'Rozpočet - vybrané sloupce'!J28</f>
        <v>6</v>
      </c>
      <c r="H29" s="19">
        <f>'Rozpočet - vybrané sloupce'!K28</f>
        <v>0</v>
      </c>
      <c r="I29" s="87" t="s">
        <v>489</v>
      </c>
      <c r="J29" s="19">
        <f t="shared" si="0"/>
        <v>0</v>
      </c>
      <c r="K29" s="19">
        <f t="shared" si="1"/>
        <v>0</v>
      </c>
      <c r="L29" s="19">
        <f t="shared" si="2"/>
        <v>0</v>
      </c>
      <c r="M29" s="19">
        <f t="shared" si="3"/>
        <v>0</v>
      </c>
      <c r="N29" s="19">
        <v>1.5200000000000001E-3</v>
      </c>
      <c r="O29" s="19">
        <f t="shared" si="4"/>
        <v>9.1199999999999996E-3</v>
      </c>
      <c r="P29" s="88" t="s">
        <v>490</v>
      </c>
      <c r="Z29" s="19">
        <f t="shared" si="5"/>
        <v>0</v>
      </c>
      <c r="AB29" s="19">
        <f t="shared" si="6"/>
        <v>0</v>
      </c>
      <c r="AC29" s="19">
        <f t="shared" si="7"/>
        <v>0</v>
      </c>
      <c r="AD29" s="19">
        <f t="shared" si="8"/>
        <v>0</v>
      </c>
      <c r="AE29" s="19">
        <f t="shared" si="9"/>
        <v>0</v>
      </c>
      <c r="AF29" s="19">
        <f t="shared" si="10"/>
        <v>0</v>
      </c>
      <c r="AG29" s="19">
        <f t="shared" si="11"/>
        <v>0</v>
      </c>
      <c r="AH29" s="19">
        <f t="shared" si="12"/>
        <v>0</v>
      </c>
      <c r="AI29" s="16" t="s">
        <v>44</v>
      </c>
      <c r="AJ29" s="19">
        <f t="shared" si="13"/>
        <v>0</v>
      </c>
      <c r="AK29" s="19">
        <f t="shared" si="14"/>
        <v>0</v>
      </c>
      <c r="AL29" s="19">
        <f t="shared" si="15"/>
        <v>0</v>
      </c>
      <c r="AN29" s="19">
        <v>12</v>
      </c>
      <c r="AO29" s="19">
        <f>H29*0.317441782</f>
        <v>0</v>
      </c>
      <c r="AP29" s="19">
        <f>H29*(1-0.317441782)</f>
        <v>0</v>
      </c>
      <c r="AQ29" s="87" t="s">
        <v>491</v>
      </c>
      <c r="AV29" s="19">
        <f t="shared" si="16"/>
        <v>0</v>
      </c>
      <c r="AW29" s="19">
        <f t="shared" si="17"/>
        <v>0</v>
      </c>
      <c r="AX29" s="19">
        <f t="shared" si="18"/>
        <v>0</v>
      </c>
      <c r="AY29" s="87" t="s">
        <v>492</v>
      </c>
      <c r="AZ29" s="87" t="s">
        <v>504</v>
      </c>
      <c r="BA29" s="16" t="s">
        <v>502</v>
      </c>
      <c r="BC29" s="19">
        <f t="shared" si="19"/>
        <v>0</v>
      </c>
      <c r="BD29" s="19">
        <f t="shared" si="20"/>
        <v>0</v>
      </c>
      <c r="BE29" s="19">
        <v>0</v>
      </c>
      <c r="BF29" s="19">
        <f t="shared" si="21"/>
        <v>9.1199999999999996E-3</v>
      </c>
      <c r="BH29" s="19">
        <f t="shared" si="22"/>
        <v>0</v>
      </c>
      <c r="BI29" s="19">
        <f t="shared" si="23"/>
        <v>0</v>
      </c>
      <c r="BJ29" s="19">
        <f t="shared" si="24"/>
        <v>0</v>
      </c>
      <c r="BK29" s="19"/>
      <c r="BL29" s="19">
        <v>721</v>
      </c>
      <c r="BW29" s="19" t="str">
        <f t="shared" si="25"/>
        <v>12</v>
      </c>
      <c r="BX29" s="4" t="s">
        <v>63</v>
      </c>
    </row>
    <row r="30" spans="1:76" x14ac:dyDescent="0.25">
      <c r="A30" s="1" t="s">
        <v>509</v>
      </c>
      <c r="B30" s="2" t="s">
        <v>44</v>
      </c>
      <c r="C30" s="2" t="s">
        <v>64</v>
      </c>
      <c r="D30" s="105" t="s">
        <v>65</v>
      </c>
      <c r="E30" s="99"/>
      <c r="F30" s="2" t="s">
        <v>35</v>
      </c>
      <c r="G30" s="19">
        <f>'Rozpočet - vybrané sloupce'!J29</f>
        <v>3</v>
      </c>
      <c r="H30" s="19">
        <f>'Rozpočet - vybrané sloupce'!K29</f>
        <v>0</v>
      </c>
      <c r="I30" s="87" t="s">
        <v>489</v>
      </c>
      <c r="J30" s="19">
        <f t="shared" si="0"/>
        <v>0</v>
      </c>
      <c r="K30" s="19">
        <f t="shared" si="1"/>
        <v>0</v>
      </c>
      <c r="L30" s="19">
        <f t="shared" si="2"/>
        <v>0</v>
      </c>
      <c r="M30" s="19">
        <f t="shared" si="3"/>
        <v>0</v>
      </c>
      <c r="N30" s="19">
        <v>2.4000000000000001E-4</v>
      </c>
      <c r="O30" s="19">
        <f t="shared" si="4"/>
        <v>7.2000000000000005E-4</v>
      </c>
      <c r="P30" s="88" t="s">
        <v>490</v>
      </c>
      <c r="Z30" s="19">
        <f t="shared" si="5"/>
        <v>0</v>
      </c>
      <c r="AB30" s="19">
        <f t="shared" si="6"/>
        <v>0</v>
      </c>
      <c r="AC30" s="19">
        <f t="shared" si="7"/>
        <v>0</v>
      </c>
      <c r="AD30" s="19">
        <f t="shared" si="8"/>
        <v>0</v>
      </c>
      <c r="AE30" s="19">
        <f t="shared" si="9"/>
        <v>0</v>
      </c>
      <c r="AF30" s="19">
        <f t="shared" si="10"/>
        <v>0</v>
      </c>
      <c r="AG30" s="19">
        <f t="shared" si="11"/>
        <v>0</v>
      </c>
      <c r="AH30" s="19">
        <f t="shared" si="12"/>
        <v>0</v>
      </c>
      <c r="AI30" s="16" t="s">
        <v>44</v>
      </c>
      <c r="AJ30" s="19">
        <f t="shared" si="13"/>
        <v>0</v>
      </c>
      <c r="AK30" s="19">
        <f t="shared" si="14"/>
        <v>0</v>
      </c>
      <c r="AL30" s="19">
        <f t="shared" si="15"/>
        <v>0</v>
      </c>
      <c r="AN30" s="19">
        <v>12</v>
      </c>
      <c r="AO30" s="19">
        <f>H30*0.609426678</f>
        <v>0</v>
      </c>
      <c r="AP30" s="19">
        <f>H30*(1-0.609426678)</f>
        <v>0</v>
      </c>
      <c r="AQ30" s="87" t="s">
        <v>491</v>
      </c>
      <c r="AV30" s="19">
        <f t="shared" si="16"/>
        <v>0</v>
      </c>
      <c r="AW30" s="19">
        <f t="shared" si="17"/>
        <v>0</v>
      </c>
      <c r="AX30" s="19">
        <f t="shared" si="18"/>
        <v>0</v>
      </c>
      <c r="AY30" s="87" t="s">
        <v>492</v>
      </c>
      <c r="AZ30" s="87" t="s">
        <v>504</v>
      </c>
      <c r="BA30" s="16" t="s">
        <v>502</v>
      </c>
      <c r="BC30" s="19">
        <f t="shared" si="19"/>
        <v>0</v>
      </c>
      <c r="BD30" s="19">
        <f t="shared" si="20"/>
        <v>0</v>
      </c>
      <c r="BE30" s="19">
        <v>0</v>
      </c>
      <c r="BF30" s="19">
        <f t="shared" si="21"/>
        <v>7.2000000000000005E-4</v>
      </c>
      <c r="BH30" s="19">
        <f t="shared" si="22"/>
        <v>0</v>
      </c>
      <c r="BI30" s="19">
        <f t="shared" si="23"/>
        <v>0</v>
      </c>
      <c r="BJ30" s="19">
        <f t="shared" si="24"/>
        <v>0</v>
      </c>
      <c r="BK30" s="19"/>
      <c r="BL30" s="19">
        <v>721</v>
      </c>
      <c r="BW30" s="19" t="str">
        <f t="shared" si="25"/>
        <v>12</v>
      </c>
      <c r="BX30" s="4" t="s">
        <v>65</v>
      </c>
    </row>
    <row r="31" spans="1:76" x14ac:dyDescent="0.25">
      <c r="A31" s="1" t="s">
        <v>510</v>
      </c>
      <c r="B31" s="2" t="s">
        <v>44</v>
      </c>
      <c r="C31" s="2" t="s">
        <v>66</v>
      </c>
      <c r="D31" s="105" t="s">
        <v>67</v>
      </c>
      <c r="E31" s="99"/>
      <c r="F31" s="2" t="s">
        <v>35</v>
      </c>
      <c r="G31" s="19">
        <f>'Rozpočet - vybrané sloupce'!J30</f>
        <v>12</v>
      </c>
      <c r="H31" s="19">
        <f>'Rozpočet - vybrané sloupce'!K30</f>
        <v>0</v>
      </c>
      <c r="I31" s="87" t="s">
        <v>489</v>
      </c>
      <c r="J31" s="19">
        <f t="shared" si="0"/>
        <v>0</v>
      </c>
      <c r="K31" s="19">
        <f t="shared" si="1"/>
        <v>0</v>
      </c>
      <c r="L31" s="19">
        <f t="shared" si="2"/>
        <v>0</v>
      </c>
      <c r="M31" s="19">
        <f t="shared" si="3"/>
        <v>0</v>
      </c>
      <c r="N31" s="19">
        <v>0</v>
      </c>
      <c r="O31" s="19">
        <f t="shared" si="4"/>
        <v>0</v>
      </c>
      <c r="P31" s="88" t="s">
        <v>490</v>
      </c>
      <c r="Z31" s="19">
        <f t="shared" si="5"/>
        <v>0</v>
      </c>
      <c r="AB31" s="19">
        <f t="shared" si="6"/>
        <v>0</v>
      </c>
      <c r="AC31" s="19">
        <f t="shared" si="7"/>
        <v>0</v>
      </c>
      <c r="AD31" s="19">
        <f t="shared" si="8"/>
        <v>0</v>
      </c>
      <c r="AE31" s="19">
        <f t="shared" si="9"/>
        <v>0</v>
      </c>
      <c r="AF31" s="19">
        <f t="shared" si="10"/>
        <v>0</v>
      </c>
      <c r="AG31" s="19">
        <f t="shared" si="11"/>
        <v>0</v>
      </c>
      <c r="AH31" s="19">
        <f t="shared" si="12"/>
        <v>0</v>
      </c>
      <c r="AI31" s="16" t="s">
        <v>44</v>
      </c>
      <c r="AJ31" s="19">
        <f t="shared" si="13"/>
        <v>0</v>
      </c>
      <c r="AK31" s="19">
        <f t="shared" si="14"/>
        <v>0</v>
      </c>
      <c r="AL31" s="19">
        <f t="shared" si="15"/>
        <v>0</v>
      </c>
      <c r="AN31" s="19">
        <v>12</v>
      </c>
      <c r="AO31" s="19">
        <f>H31*0</f>
        <v>0</v>
      </c>
      <c r="AP31" s="19">
        <f>H31*(1-0)</f>
        <v>0</v>
      </c>
      <c r="AQ31" s="87" t="s">
        <v>491</v>
      </c>
      <c r="AV31" s="19">
        <f t="shared" si="16"/>
        <v>0</v>
      </c>
      <c r="AW31" s="19">
        <f t="shared" si="17"/>
        <v>0</v>
      </c>
      <c r="AX31" s="19">
        <f t="shared" si="18"/>
        <v>0</v>
      </c>
      <c r="AY31" s="87" t="s">
        <v>492</v>
      </c>
      <c r="AZ31" s="87" t="s">
        <v>504</v>
      </c>
      <c r="BA31" s="16" t="s">
        <v>502</v>
      </c>
      <c r="BC31" s="19">
        <f t="shared" si="19"/>
        <v>0</v>
      </c>
      <c r="BD31" s="19">
        <f t="shared" si="20"/>
        <v>0</v>
      </c>
      <c r="BE31" s="19">
        <v>0</v>
      </c>
      <c r="BF31" s="19">
        <f t="shared" si="21"/>
        <v>0</v>
      </c>
      <c r="BH31" s="19">
        <f t="shared" si="22"/>
        <v>0</v>
      </c>
      <c r="BI31" s="19">
        <f t="shared" si="23"/>
        <v>0</v>
      </c>
      <c r="BJ31" s="19">
        <f t="shared" si="24"/>
        <v>0</v>
      </c>
      <c r="BK31" s="19"/>
      <c r="BL31" s="19">
        <v>721</v>
      </c>
      <c r="BW31" s="19" t="str">
        <f t="shared" si="25"/>
        <v>12</v>
      </c>
      <c r="BX31" s="4" t="s">
        <v>67</v>
      </c>
    </row>
    <row r="32" spans="1:76" x14ac:dyDescent="0.25">
      <c r="A32" s="1" t="s">
        <v>511</v>
      </c>
      <c r="B32" s="2" t="s">
        <v>44</v>
      </c>
      <c r="C32" s="2" t="s">
        <v>68</v>
      </c>
      <c r="D32" s="105" t="s">
        <v>69</v>
      </c>
      <c r="E32" s="99"/>
      <c r="F32" s="2" t="s">
        <v>31</v>
      </c>
      <c r="G32" s="19">
        <f>'Rozpočet - vybrané sloupce'!J31</f>
        <v>51</v>
      </c>
      <c r="H32" s="19">
        <f>'Rozpočet - vybrané sloupce'!K31</f>
        <v>0</v>
      </c>
      <c r="I32" s="87" t="s">
        <v>489</v>
      </c>
      <c r="J32" s="19">
        <f t="shared" si="0"/>
        <v>0</v>
      </c>
      <c r="K32" s="19">
        <f t="shared" si="1"/>
        <v>0</v>
      </c>
      <c r="L32" s="19">
        <f t="shared" si="2"/>
        <v>0</v>
      </c>
      <c r="M32" s="19">
        <f t="shared" si="3"/>
        <v>0</v>
      </c>
      <c r="N32" s="19">
        <v>0</v>
      </c>
      <c r="O32" s="19">
        <f t="shared" si="4"/>
        <v>0</v>
      </c>
      <c r="P32" s="88" t="s">
        <v>490</v>
      </c>
      <c r="Z32" s="19">
        <f t="shared" si="5"/>
        <v>0</v>
      </c>
      <c r="AB32" s="19">
        <f t="shared" si="6"/>
        <v>0</v>
      </c>
      <c r="AC32" s="19">
        <f t="shared" si="7"/>
        <v>0</v>
      </c>
      <c r="AD32" s="19">
        <f t="shared" si="8"/>
        <v>0</v>
      </c>
      <c r="AE32" s="19">
        <f t="shared" si="9"/>
        <v>0</v>
      </c>
      <c r="AF32" s="19">
        <f t="shared" si="10"/>
        <v>0</v>
      </c>
      <c r="AG32" s="19">
        <f t="shared" si="11"/>
        <v>0</v>
      </c>
      <c r="AH32" s="19">
        <f t="shared" si="12"/>
        <v>0</v>
      </c>
      <c r="AI32" s="16" t="s">
        <v>44</v>
      </c>
      <c r="AJ32" s="19">
        <f t="shared" si="13"/>
        <v>0</v>
      </c>
      <c r="AK32" s="19">
        <f t="shared" si="14"/>
        <v>0</v>
      </c>
      <c r="AL32" s="19">
        <f t="shared" si="15"/>
        <v>0</v>
      </c>
      <c r="AN32" s="19">
        <v>12</v>
      </c>
      <c r="AO32" s="19">
        <f>H32*0.029221893</f>
        <v>0</v>
      </c>
      <c r="AP32" s="19">
        <f>H32*(1-0.029221893)</f>
        <v>0</v>
      </c>
      <c r="AQ32" s="87" t="s">
        <v>491</v>
      </c>
      <c r="AV32" s="19">
        <f t="shared" si="16"/>
        <v>0</v>
      </c>
      <c r="AW32" s="19">
        <f t="shared" si="17"/>
        <v>0</v>
      </c>
      <c r="AX32" s="19">
        <f t="shared" si="18"/>
        <v>0</v>
      </c>
      <c r="AY32" s="87" t="s">
        <v>492</v>
      </c>
      <c r="AZ32" s="87" t="s">
        <v>504</v>
      </c>
      <c r="BA32" s="16" t="s">
        <v>502</v>
      </c>
      <c r="BC32" s="19">
        <f t="shared" si="19"/>
        <v>0</v>
      </c>
      <c r="BD32" s="19">
        <f t="shared" si="20"/>
        <v>0</v>
      </c>
      <c r="BE32" s="19">
        <v>0</v>
      </c>
      <c r="BF32" s="19">
        <f t="shared" si="21"/>
        <v>0</v>
      </c>
      <c r="BH32" s="19">
        <f t="shared" si="22"/>
        <v>0</v>
      </c>
      <c r="BI32" s="19">
        <f t="shared" si="23"/>
        <v>0</v>
      </c>
      <c r="BJ32" s="19">
        <f t="shared" si="24"/>
        <v>0</v>
      </c>
      <c r="BK32" s="19"/>
      <c r="BL32" s="19">
        <v>721</v>
      </c>
      <c r="BW32" s="19" t="str">
        <f t="shared" si="25"/>
        <v>12</v>
      </c>
      <c r="BX32" s="4" t="s">
        <v>69</v>
      </c>
    </row>
    <row r="33" spans="1:76" x14ac:dyDescent="0.25">
      <c r="A33" s="1" t="s">
        <v>512</v>
      </c>
      <c r="B33" s="2" t="s">
        <v>44</v>
      </c>
      <c r="C33" s="2" t="s">
        <v>70</v>
      </c>
      <c r="D33" s="105" t="s">
        <v>71</v>
      </c>
      <c r="E33" s="99"/>
      <c r="F33" s="2" t="s">
        <v>72</v>
      </c>
      <c r="G33" s="19">
        <f>'Rozpočet - vybrané sloupce'!J32</f>
        <v>0.1</v>
      </c>
      <c r="H33" s="19">
        <f>'Rozpočet - vybrané sloupce'!K32</f>
        <v>0</v>
      </c>
      <c r="I33" s="87" t="s">
        <v>489</v>
      </c>
      <c r="J33" s="19">
        <f t="shared" si="0"/>
        <v>0</v>
      </c>
      <c r="K33" s="19">
        <f t="shared" si="1"/>
        <v>0</v>
      </c>
      <c r="L33" s="19">
        <f t="shared" si="2"/>
        <v>0</v>
      </c>
      <c r="M33" s="19">
        <f t="shared" si="3"/>
        <v>0</v>
      </c>
      <c r="N33" s="19">
        <v>0</v>
      </c>
      <c r="O33" s="19">
        <f t="shared" si="4"/>
        <v>0</v>
      </c>
      <c r="P33" s="88" t="s">
        <v>490</v>
      </c>
      <c r="Z33" s="19">
        <f t="shared" si="5"/>
        <v>0</v>
      </c>
      <c r="AB33" s="19">
        <f t="shared" si="6"/>
        <v>0</v>
      </c>
      <c r="AC33" s="19">
        <f t="shared" si="7"/>
        <v>0</v>
      </c>
      <c r="AD33" s="19">
        <f t="shared" si="8"/>
        <v>0</v>
      </c>
      <c r="AE33" s="19">
        <f t="shared" si="9"/>
        <v>0</v>
      </c>
      <c r="AF33" s="19">
        <f t="shared" si="10"/>
        <v>0</v>
      </c>
      <c r="AG33" s="19">
        <f t="shared" si="11"/>
        <v>0</v>
      </c>
      <c r="AH33" s="19">
        <f t="shared" si="12"/>
        <v>0</v>
      </c>
      <c r="AI33" s="16" t="s">
        <v>44</v>
      </c>
      <c r="AJ33" s="19">
        <f t="shared" si="13"/>
        <v>0</v>
      </c>
      <c r="AK33" s="19">
        <f t="shared" si="14"/>
        <v>0</v>
      </c>
      <c r="AL33" s="19">
        <f t="shared" si="15"/>
        <v>0</v>
      </c>
      <c r="AN33" s="19">
        <v>12</v>
      </c>
      <c r="AO33" s="19">
        <f>H33*0</f>
        <v>0</v>
      </c>
      <c r="AP33" s="19">
        <f>H33*(1-0)</f>
        <v>0</v>
      </c>
      <c r="AQ33" s="87" t="s">
        <v>491</v>
      </c>
      <c r="AV33" s="19">
        <f t="shared" si="16"/>
        <v>0</v>
      </c>
      <c r="AW33" s="19">
        <f t="shared" si="17"/>
        <v>0</v>
      </c>
      <c r="AX33" s="19">
        <f t="shared" si="18"/>
        <v>0</v>
      </c>
      <c r="AY33" s="87" t="s">
        <v>492</v>
      </c>
      <c r="AZ33" s="87" t="s">
        <v>504</v>
      </c>
      <c r="BA33" s="16" t="s">
        <v>502</v>
      </c>
      <c r="BC33" s="19">
        <f t="shared" si="19"/>
        <v>0</v>
      </c>
      <c r="BD33" s="19">
        <f t="shared" si="20"/>
        <v>0</v>
      </c>
      <c r="BE33" s="19">
        <v>0</v>
      </c>
      <c r="BF33" s="19">
        <f t="shared" si="21"/>
        <v>0</v>
      </c>
      <c r="BH33" s="19">
        <f t="shared" si="22"/>
        <v>0</v>
      </c>
      <c r="BI33" s="19">
        <f t="shared" si="23"/>
        <v>0</v>
      </c>
      <c r="BJ33" s="19">
        <f t="shared" si="24"/>
        <v>0</v>
      </c>
      <c r="BK33" s="19"/>
      <c r="BL33" s="19">
        <v>721</v>
      </c>
      <c r="BW33" s="19" t="str">
        <f t="shared" si="25"/>
        <v>12</v>
      </c>
      <c r="BX33" s="4" t="s">
        <v>71</v>
      </c>
    </row>
    <row r="34" spans="1:76" x14ac:dyDescent="0.25">
      <c r="A34" s="1" t="s">
        <v>513</v>
      </c>
      <c r="B34" s="2" t="s">
        <v>44</v>
      </c>
      <c r="C34" s="2" t="s">
        <v>41</v>
      </c>
      <c r="D34" s="105" t="s">
        <v>42</v>
      </c>
      <c r="E34" s="99"/>
      <c r="F34" s="2" t="s">
        <v>43</v>
      </c>
      <c r="G34" s="19">
        <f>'Rozpočet - vybrané sloupce'!J33</f>
        <v>645</v>
      </c>
      <c r="H34" s="19">
        <f>'Rozpočet - vybrané sloupce'!K33</f>
        <v>0</v>
      </c>
      <c r="I34" s="87" t="s">
        <v>489</v>
      </c>
      <c r="J34" s="19">
        <f t="shared" si="0"/>
        <v>0</v>
      </c>
      <c r="K34" s="19">
        <f t="shared" si="1"/>
        <v>0</v>
      </c>
      <c r="L34" s="19">
        <f t="shared" si="2"/>
        <v>0</v>
      </c>
      <c r="M34" s="19">
        <f t="shared" si="3"/>
        <v>0</v>
      </c>
      <c r="N34" s="19">
        <v>0</v>
      </c>
      <c r="O34" s="19">
        <f t="shared" si="4"/>
        <v>0</v>
      </c>
      <c r="P34" s="88" t="s">
        <v>490</v>
      </c>
      <c r="Z34" s="19">
        <f t="shared" si="5"/>
        <v>0</v>
      </c>
      <c r="AB34" s="19">
        <f t="shared" si="6"/>
        <v>0</v>
      </c>
      <c r="AC34" s="19">
        <f t="shared" si="7"/>
        <v>0</v>
      </c>
      <c r="AD34" s="19">
        <f t="shared" si="8"/>
        <v>0</v>
      </c>
      <c r="AE34" s="19">
        <f t="shared" si="9"/>
        <v>0</v>
      </c>
      <c r="AF34" s="19">
        <f t="shared" si="10"/>
        <v>0</v>
      </c>
      <c r="AG34" s="19">
        <f t="shared" si="11"/>
        <v>0</v>
      </c>
      <c r="AH34" s="19">
        <f t="shared" si="12"/>
        <v>0</v>
      </c>
      <c r="AI34" s="16" t="s">
        <v>44</v>
      </c>
      <c r="AJ34" s="19">
        <f t="shared" si="13"/>
        <v>0</v>
      </c>
      <c r="AK34" s="19">
        <f t="shared" si="14"/>
        <v>0</v>
      </c>
      <c r="AL34" s="19">
        <f t="shared" si="15"/>
        <v>0</v>
      </c>
      <c r="AN34" s="19">
        <v>12</v>
      </c>
      <c r="AO34" s="19">
        <f>H34*0</f>
        <v>0</v>
      </c>
      <c r="AP34" s="19">
        <f>H34*(1-0)</f>
        <v>0</v>
      </c>
      <c r="AQ34" s="87" t="s">
        <v>498</v>
      </c>
      <c r="AV34" s="19">
        <f t="shared" si="16"/>
        <v>0</v>
      </c>
      <c r="AW34" s="19">
        <f t="shared" si="17"/>
        <v>0</v>
      </c>
      <c r="AX34" s="19">
        <f t="shared" si="18"/>
        <v>0</v>
      </c>
      <c r="AY34" s="87" t="s">
        <v>492</v>
      </c>
      <c r="AZ34" s="87" t="s">
        <v>504</v>
      </c>
      <c r="BA34" s="16" t="s">
        <v>502</v>
      </c>
      <c r="BC34" s="19">
        <f t="shared" si="19"/>
        <v>0</v>
      </c>
      <c r="BD34" s="19">
        <f t="shared" si="20"/>
        <v>0</v>
      </c>
      <c r="BE34" s="19">
        <v>0</v>
      </c>
      <c r="BF34" s="19">
        <f t="shared" si="21"/>
        <v>0</v>
      </c>
      <c r="BH34" s="19">
        <f t="shared" si="22"/>
        <v>0</v>
      </c>
      <c r="BI34" s="19">
        <f t="shared" si="23"/>
        <v>0</v>
      </c>
      <c r="BJ34" s="19">
        <f t="shared" si="24"/>
        <v>0</v>
      </c>
      <c r="BK34" s="19"/>
      <c r="BL34" s="19">
        <v>721</v>
      </c>
      <c r="BW34" s="19" t="str">
        <f t="shared" si="25"/>
        <v>12</v>
      </c>
      <c r="BX34" s="4" t="s">
        <v>42</v>
      </c>
    </row>
    <row r="35" spans="1:76" x14ac:dyDescent="0.25">
      <c r="A35" s="84" t="s">
        <v>25</v>
      </c>
      <c r="B35" s="15" t="s">
        <v>73</v>
      </c>
      <c r="C35" s="15" t="s">
        <v>25</v>
      </c>
      <c r="D35" s="112" t="s">
        <v>74</v>
      </c>
      <c r="E35" s="113"/>
      <c r="F35" s="85" t="s">
        <v>23</v>
      </c>
      <c r="G35" s="85" t="s">
        <v>23</v>
      </c>
      <c r="H35" s="85" t="s">
        <v>23</v>
      </c>
      <c r="I35" s="85" t="s">
        <v>23</v>
      </c>
      <c r="J35" s="60">
        <f>J36</f>
        <v>0</v>
      </c>
      <c r="K35" s="60">
        <f>K36</f>
        <v>0</v>
      </c>
      <c r="L35" s="60">
        <f>L36</f>
        <v>0</v>
      </c>
      <c r="M35" s="60">
        <f>M36</f>
        <v>0</v>
      </c>
      <c r="N35" s="16" t="s">
        <v>25</v>
      </c>
      <c r="O35" s="60">
        <f>O36</f>
        <v>0.22232999999999997</v>
      </c>
      <c r="P35" s="86" t="s">
        <v>25</v>
      </c>
    </row>
    <row r="36" spans="1:76" x14ac:dyDescent="0.25">
      <c r="A36" s="84" t="s">
        <v>25</v>
      </c>
      <c r="B36" s="15" t="s">
        <v>73</v>
      </c>
      <c r="C36" s="15" t="s">
        <v>75</v>
      </c>
      <c r="D36" s="112" t="s">
        <v>76</v>
      </c>
      <c r="E36" s="113"/>
      <c r="F36" s="85" t="s">
        <v>23</v>
      </c>
      <c r="G36" s="85" t="s">
        <v>23</v>
      </c>
      <c r="H36" s="85" t="s">
        <v>23</v>
      </c>
      <c r="I36" s="85" t="s">
        <v>23</v>
      </c>
      <c r="J36" s="60">
        <f>SUM(J37:J73)</f>
        <v>0</v>
      </c>
      <c r="K36" s="60">
        <f>SUM(K37:K73)</f>
        <v>0</v>
      </c>
      <c r="L36" s="60">
        <f>SUM(L37:L73)</f>
        <v>0</v>
      </c>
      <c r="M36" s="60">
        <f>SUM(M37:M73)</f>
        <v>0</v>
      </c>
      <c r="N36" s="16" t="s">
        <v>25</v>
      </c>
      <c r="O36" s="60">
        <f>SUM(O37:O73)</f>
        <v>0.22232999999999997</v>
      </c>
      <c r="P36" s="86" t="s">
        <v>25</v>
      </c>
      <c r="AI36" s="16" t="s">
        <v>73</v>
      </c>
      <c r="AS36" s="60">
        <f>SUM(AJ37:AJ73)</f>
        <v>0</v>
      </c>
      <c r="AT36" s="60">
        <f>SUM(AK37:AK73)</f>
        <v>0</v>
      </c>
      <c r="AU36" s="60">
        <f>SUM(AL37:AL73)</f>
        <v>0</v>
      </c>
    </row>
    <row r="37" spans="1:76" x14ac:dyDescent="0.25">
      <c r="A37" s="1" t="s">
        <v>514</v>
      </c>
      <c r="B37" s="2" t="s">
        <v>73</v>
      </c>
      <c r="C37" s="2" t="s">
        <v>77</v>
      </c>
      <c r="D37" s="105" t="s">
        <v>78</v>
      </c>
      <c r="E37" s="99"/>
      <c r="F37" s="2" t="s">
        <v>35</v>
      </c>
      <c r="G37" s="19">
        <f>'Rozpočet - vybrané sloupce'!J36</f>
        <v>1</v>
      </c>
      <c r="H37" s="19">
        <f>'Rozpočet - vybrané sloupce'!K36</f>
        <v>0</v>
      </c>
      <c r="I37" s="87" t="s">
        <v>489</v>
      </c>
      <c r="J37" s="19">
        <f t="shared" ref="J37:J73" si="26">G37*AO37</f>
        <v>0</v>
      </c>
      <c r="K37" s="19">
        <f t="shared" ref="K37:K73" si="27">G37*AP37</f>
        <v>0</v>
      </c>
      <c r="L37" s="19">
        <f t="shared" ref="L37:L73" si="28">G37*H37</f>
        <v>0</v>
      </c>
      <c r="M37" s="19">
        <f t="shared" ref="M37:M73" si="29">L37*(1+BW37/100)</f>
        <v>0</v>
      </c>
      <c r="N37" s="19">
        <v>1.3500000000000001E-3</v>
      </c>
      <c r="O37" s="19">
        <f t="shared" ref="O37:O73" si="30">G37*N37</f>
        <v>1.3500000000000001E-3</v>
      </c>
      <c r="P37" s="88" t="s">
        <v>490</v>
      </c>
      <c r="Z37" s="19">
        <f t="shared" ref="Z37:Z73" si="31">IF(AQ37="5",BJ37,0)</f>
        <v>0</v>
      </c>
      <c r="AB37" s="19">
        <f t="shared" ref="AB37:AB73" si="32">IF(AQ37="1",BH37,0)</f>
        <v>0</v>
      </c>
      <c r="AC37" s="19">
        <f t="shared" ref="AC37:AC73" si="33">IF(AQ37="1",BI37,0)</f>
        <v>0</v>
      </c>
      <c r="AD37" s="19">
        <f t="shared" ref="AD37:AD73" si="34">IF(AQ37="7",BH37,0)</f>
        <v>0</v>
      </c>
      <c r="AE37" s="19">
        <f t="shared" ref="AE37:AE73" si="35">IF(AQ37="7",BI37,0)</f>
        <v>0</v>
      </c>
      <c r="AF37" s="19">
        <f t="shared" ref="AF37:AF73" si="36">IF(AQ37="2",BH37,0)</f>
        <v>0</v>
      </c>
      <c r="AG37" s="19">
        <f t="shared" ref="AG37:AG73" si="37">IF(AQ37="2",BI37,0)</f>
        <v>0</v>
      </c>
      <c r="AH37" s="19">
        <f t="shared" ref="AH37:AH73" si="38">IF(AQ37="0",BJ37,0)</f>
        <v>0</v>
      </c>
      <c r="AI37" s="16" t="s">
        <v>73</v>
      </c>
      <c r="AJ37" s="19">
        <f t="shared" ref="AJ37:AJ73" si="39">IF(AN37=0,L37,0)</f>
        <v>0</v>
      </c>
      <c r="AK37" s="19">
        <f t="shared" ref="AK37:AK73" si="40">IF(AN37=12,L37,0)</f>
        <v>0</v>
      </c>
      <c r="AL37" s="19">
        <f t="shared" ref="AL37:AL73" si="41">IF(AN37=21,L37,0)</f>
        <v>0</v>
      </c>
      <c r="AN37" s="19">
        <v>12</v>
      </c>
      <c r="AO37" s="19">
        <f>H37*0.385502089</f>
        <v>0</v>
      </c>
      <c r="AP37" s="19">
        <f>H37*(1-0.385502089)</f>
        <v>0</v>
      </c>
      <c r="AQ37" s="87" t="s">
        <v>491</v>
      </c>
      <c r="AV37" s="19">
        <f t="shared" ref="AV37:AV73" si="42">AW37+AX37</f>
        <v>0</v>
      </c>
      <c r="AW37" s="19">
        <f t="shared" ref="AW37:AW73" si="43">G37*AO37</f>
        <v>0</v>
      </c>
      <c r="AX37" s="19">
        <f t="shared" ref="AX37:AX73" si="44">G37*AP37</f>
        <v>0</v>
      </c>
      <c r="AY37" s="87" t="s">
        <v>515</v>
      </c>
      <c r="AZ37" s="87" t="s">
        <v>516</v>
      </c>
      <c r="BA37" s="16" t="s">
        <v>517</v>
      </c>
      <c r="BC37" s="19">
        <f t="shared" ref="BC37:BC73" si="45">AW37+AX37</f>
        <v>0</v>
      </c>
      <c r="BD37" s="19">
        <f t="shared" ref="BD37:BD73" si="46">H37/(100-BE37)*100</f>
        <v>0</v>
      </c>
      <c r="BE37" s="19">
        <v>0</v>
      </c>
      <c r="BF37" s="19">
        <f t="shared" ref="BF37:BF73" si="47">O37</f>
        <v>1.3500000000000001E-3</v>
      </c>
      <c r="BH37" s="19">
        <f t="shared" ref="BH37:BH73" si="48">G37*AO37</f>
        <v>0</v>
      </c>
      <c r="BI37" s="19">
        <f t="shared" ref="BI37:BI73" si="49">G37*AP37</f>
        <v>0</v>
      </c>
      <c r="BJ37" s="19">
        <f t="shared" ref="BJ37:BJ73" si="50">G37*H37</f>
        <v>0</v>
      </c>
      <c r="BK37" s="19"/>
      <c r="BL37" s="19">
        <v>722</v>
      </c>
      <c r="BW37" s="19" t="str">
        <f t="shared" ref="BW37:BW73" si="51">I37</f>
        <v>12</v>
      </c>
      <c r="BX37" s="4" t="s">
        <v>78</v>
      </c>
    </row>
    <row r="38" spans="1:76" x14ac:dyDescent="0.25">
      <c r="A38" s="1" t="s">
        <v>518</v>
      </c>
      <c r="B38" s="2" t="s">
        <v>73</v>
      </c>
      <c r="C38" s="2" t="s">
        <v>79</v>
      </c>
      <c r="D38" s="105" t="s">
        <v>80</v>
      </c>
      <c r="E38" s="99"/>
      <c r="F38" s="2" t="s">
        <v>31</v>
      </c>
      <c r="G38" s="19">
        <f>'Rozpočet - vybrané sloupce'!J37</f>
        <v>58</v>
      </c>
      <c r="H38" s="19">
        <f>'Rozpočet - vybrané sloupce'!K37</f>
        <v>0</v>
      </c>
      <c r="I38" s="87" t="s">
        <v>489</v>
      </c>
      <c r="J38" s="19">
        <f t="shared" si="26"/>
        <v>0</v>
      </c>
      <c r="K38" s="19">
        <f t="shared" si="27"/>
        <v>0</v>
      </c>
      <c r="L38" s="19">
        <f t="shared" si="28"/>
        <v>0</v>
      </c>
      <c r="M38" s="19">
        <f t="shared" si="29"/>
        <v>0</v>
      </c>
      <c r="N38" s="19">
        <v>2.7999999999999998E-4</v>
      </c>
      <c r="O38" s="19">
        <f t="shared" si="30"/>
        <v>1.6239999999999997E-2</v>
      </c>
      <c r="P38" s="88" t="s">
        <v>490</v>
      </c>
      <c r="Z38" s="19">
        <f t="shared" si="31"/>
        <v>0</v>
      </c>
      <c r="AB38" s="19">
        <f t="shared" si="32"/>
        <v>0</v>
      </c>
      <c r="AC38" s="19">
        <f t="shared" si="33"/>
        <v>0</v>
      </c>
      <c r="AD38" s="19">
        <f t="shared" si="34"/>
        <v>0</v>
      </c>
      <c r="AE38" s="19">
        <f t="shared" si="35"/>
        <v>0</v>
      </c>
      <c r="AF38" s="19">
        <f t="shared" si="36"/>
        <v>0</v>
      </c>
      <c r="AG38" s="19">
        <f t="shared" si="37"/>
        <v>0</v>
      </c>
      <c r="AH38" s="19">
        <f t="shared" si="38"/>
        <v>0</v>
      </c>
      <c r="AI38" s="16" t="s">
        <v>73</v>
      </c>
      <c r="AJ38" s="19">
        <f t="shared" si="39"/>
        <v>0</v>
      </c>
      <c r="AK38" s="19">
        <f t="shared" si="40"/>
        <v>0</v>
      </c>
      <c r="AL38" s="19">
        <f t="shared" si="41"/>
        <v>0</v>
      </c>
      <c r="AN38" s="19">
        <v>12</v>
      </c>
      <c r="AO38" s="19">
        <f>H38*0</f>
        <v>0</v>
      </c>
      <c r="AP38" s="19">
        <f>H38*(1-0)</f>
        <v>0</v>
      </c>
      <c r="AQ38" s="87" t="s">
        <v>491</v>
      </c>
      <c r="AV38" s="19">
        <f t="shared" si="42"/>
        <v>0</v>
      </c>
      <c r="AW38" s="19">
        <f t="shared" si="43"/>
        <v>0</v>
      </c>
      <c r="AX38" s="19">
        <f t="shared" si="44"/>
        <v>0</v>
      </c>
      <c r="AY38" s="87" t="s">
        <v>515</v>
      </c>
      <c r="AZ38" s="87" t="s">
        <v>516</v>
      </c>
      <c r="BA38" s="16" t="s">
        <v>517</v>
      </c>
      <c r="BC38" s="19">
        <f t="shared" si="45"/>
        <v>0</v>
      </c>
      <c r="BD38" s="19">
        <f t="shared" si="46"/>
        <v>0</v>
      </c>
      <c r="BE38" s="19">
        <v>0</v>
      </c>
      <c r="BF38" s="19">
        <f t="shared" si="47"/>
        <v>1.6239999999999997E-2</v>
      </c>
      <c r="BH38" s="19">
        <f t="shared" si="48"/>
        <v>0</v>
      </c>
      <c r="BI38" s="19">
        <f t="shared" si="49"/>
        <v>0</v>
      </c>
      <c r="BJ38" s="19">
        <f t="shared" si="50"/>
        <v>0</v>
      </c>
      <c r="BK38" s="19"/>
      <c r="BL38" s="19">
        <v>722</v>
      </c>
      <c r="BW38" s="19" t="str">
        <f t="shared" si="51"/>
        <v>12</v>
      </c>
      <c r="BX38" s="4" t="s">
        <v>80</v>
      </c>
    </row>
    <row r="39" spans="1:76" x14ac:dyDescent="0.25">
      <c r="A39" s="1" t="s">
        <v>519</v>
      </c>
      <c r="B39" s="2" t="s">
        <v>73</v>
      </c>
      <c r="C39" s="2" t="s">
        <v>81</v>
      </c>
      <c r="D39" s="105" t="s">
        <v>82</v>
      </c>
      <c r="E39" s="99"/>
      <c r="F39" s="2" t="s">
        <v>31</v>
      </c>
      <c r="G39" s="19">
        <f>'Rozpočet - vybrané sloupce'!J38</f>
        <v>94</v>
      </c>
      <c r="H39" s="19">
        <f>'Rozpočet - vybrané sloupce'!K38</f>
        <v>0</v>
      </c>
      <c r="I39" s="87" t="s">
        <v>489</v>
      </c>
      <c r="J39" s="19">
        <f t="shared" si="26"/>
        <v>0</v>
      </c>
      <c r="K39" s="19">
        <f t="shared" si="27"/>
        <v>0</v>
      </c>
      <c r="L39" s="19">
        <f t="shared" si="28"/>
        <v>0</v>
      </c>
      <c r="M39" s="19">
        <f t="shared" si="29"/>
        <v>0</v>
      </c>
      <c r="N39" s="19">
        <v>2.9E-4</v>
      </c>
      <c r="O39" s="19">
        <f t="shared" si="30"/>
        <v>2.726E-2</v>
      </c>
      <c r="P39" s="88" t="s">
        <v>490</v>
      </c>
      <c r="Z39" s="19">
        <f t="shared" si="31"/>
        <v>0</v>
      </c>
      <c r="AB39" s="19">
        <f t="shared" si="32"/>
        <v>0</v>
      </c>
      <c r="AC39" s="19">
        <f t="shared" si="33"/>
        <v>0</v>
      </c>
      <c r="AD39" s="19">
        <f t="shared" si="34"/>
        <v>0</v>
      </c>
      <c r="AE39" s="19">
        <f t="shared" si="35"/>
        <v>0</v>
      </c>
      <c r="AF39" s="19">
        <f t="shared" si="36"/>
        <v>0</v>
      </c>
      <c r="AG39" s="19">
        <f t="shared" si="37"/>
        <v>0</v>
      </c>
      <c r="AH39" s="19">
        <f t="shared" si="38"/>
        <v>0</v>
      </c>
      <c r="AI39" s="16" t="s">
        <v>73</v>
      </c>
      <c r="AJ39" s="19">
        <f t="shared" si="39"/>
        <v>0</v>
      </c>
      <c r="AK39" s="19">
        <f t="shared" si="40"/>
        <v>0</v>
      </c>
      <c r="AL39" s="19">
        <f t="shared" si="41"/>
        <v>0</v>
      </c>
      <c r="AN39" s="19">
        <v>12</v>
      </c>
      <c r="AO39" s="19">
        <f>H39*0</f>
        <v>0</v>
      </c>
      <c r="AP39" s="19">
        <f>H39*(1-0)</f>
        <v>0</v>
      </c>
      <c r="AQ39" s="87" t="s">
        <v>491</v>
      </c>
      <c r="AV39" s="19">
        <f t="shared" si="42"/>
        <v>0</v>
      </c>
      <c r="AW39" s="19">
        <f t="shared" si="43"/>
        <v>0</v>
      </c>
      <c r="AX39" s="19">
        <f t="shared" si="44"/>
        <v>0</v>
      </c>
      <c r="AY39" s="87" t="s">
        <v>515</v>
      </c>
      <c r="AZ39" s="87" t="s">
        <v>516</v>
      </c>
      <c r="BA39" s="16" t="s">
        <v>517</v>
      </c>
      <c r="BC39" s="19">
        <f t="shared" si="45"/>
        <v>0</v>
      </c>
      <c r="BD39" s="19">
        <f t="shared" si="46"/>
        <v>0</v>
      </c>
      <c r="BE39" s="19">
        <v>0</v>
      </c>
      <c r="BF39" s="19">
        <f t="shared" si="47"/>
        <v>2.726E-2</v>
      </c>
      <c r="BH39" s="19">
        <f t="shared" si="48"/>
        <v>0</v>
      </c>
      <c r="BI39" s="19">
        <f t="shared" si="49"/>
        <v>0</v>
      </c>
      <c r="BJ39" s="19">
        <f t="shared" si="50"/>
        <v>0</v>
      </c>
      <c r="BK39" s="19"/>
      <c r="BL39" s="19">
        <v>722</v>
      </c>
      <c r="BW39" s="19" t="str">
        <f t="shared" si="51"/>
        <v>12</v>
      </c>
      <c r="BX39" s="4" t="s">
        <v>82</v>
      </c>
    </row>
    <row r="40" spans="1:76" x14ac:dyDescent="0.25">
      <c r="A40" s="1" t="s">
        <v>520</v>
      </c>
      <c r="B40" s="2" t="s">
        <v>73</v>
      </c>
      <c r="C40" s="2" t="s">
        <v>83</v>
      </c>
      <c r="D40" s="105" t="s">
        <v>84</v>
      </c>
      <c r="E40" s="99"/>
      <c r="F40" s="2" t="s">
        <v>31</v>
      </c>
      <c r="G40" s="19">
        <f>'Rozpočet - vybrané sloupce'!J39</f>
        <v>46</v>
      </c>
      <c r="H40" s="19">
        <f>'Rozpočet - vybrané sloupce'!K39</f>
        <v>0</v>
      </c>
      <c r="I40" s="87" t="s">
        <v>489</v>
      </c>
      <c r="J40" s="19">
        <f t="shared" si="26"/>
        <v>0</v>
      </c>
      <c r="K40" s="19">
        <f t="shared" si="27"/>
        <v>0</v>
      </c>
      <c r="L40" s="19">
        <f t="shared" si="28"/>
        <v>0</v>
      </c>
      <c r="M40" s="19">
        <f t="shared" si="29"/>
        <v>0</v>
      </c>
      <c r="N40" s="19">
        <v>5.2999999999999998E-4</v>
      </c>
      <c r="O40" s="19">
        <f t="shared" si="30"/>
        <v>2.4379999999999999E-2</v>
      </c>
      <c r="P40" s="88" t="s">
        <v>490</v>
      </c>
      <c r="Z40" s="19">
        <f t="shared" si="31"/>
        <v>0</v>
      </c>
      <c r="AB40" s="19">
        <f t="shared" si="32"/>
        <v>0</v>
      </c>
      <c r="AC40" s="19">
        <f t="shared" si="33"/>
        <v>0</v>
      </c>
      <c r="AD40" s="19">
        <f t="shared" si="34"/>
        <v>0</v>
      </c>
      <c r="AE40" s="19">
        <f t="shared" si="35"/>
        <v>0</v>
      </c>
      <c r="AF40" s="19">
        <f t="shared" si="36"/>
        <v>0</v>
      </c>
      <c r="AG40" s="19">
        <f t="shared" si="37"/>
        <v>0</v>
      </c>
      <c r="AH40" s="19">
        <f t="shared" si="38"/>
        <v>0</v>
      </c>
      <c r="AI40" s="16" t="s">
        <v>73</v>
      </c>
      <c r="AJ40" s="19">
        <f t="shared" si="39"/>
        <v>0</v>
      </c>
      <c r="AK40" s="19">
        <f t="shared" si="40"/>
        <v>0</v>
      </c>
      <c r="AL40" s="19">
        <f t="shared" si="41"/>
        <v>0</v>
      </c>
      <c r="AN40" s="19">
        <v>12</v>
      </c>
      <c r="AO40" s="19">
        <f>H40*0.534593182</f>
        <v>0</v>
      </c>
      <c r="AP40" s="19">
        <f>H40*(1-0.534593182)</f>
        <v>0</v>
      </c>
      <c r="AQ40" s="87" t="s">
        <v>491</v>
      </c>
      <c r="AV40" s="19">
        <f t="shared" si="42"/>
        <v>0</v>
      </c>
      <c r="AW40" s="19">
        <f t="shared" si="43"/>
        <v>0</v>
      </c>
      <c r="AX40" s="19">
        <f t="shared" si="44"/>
        <v>0</v>
      </c>
      <c r="AY40" s="87" t="s">
        <v>515</v>
      </c>
      <c r="AZ40" s="87" t="s">
        <v>516</v>
      </c>
      <c r="BA40" s="16" t="s">
        <v>517</v>
      </c>
      <c r="BC40" s="19">
        <f t="shared" si="45"/>
        <v>0</v>
      </c>
      <c r="BD40" s="19">
        <f t="shared" si="46"/>
        <v>0</v>
      </c>
      <c r="BE40" s="19">
        <v>0</v>
      </c>
      <c r="BF40" s="19">
        <f t="shared" si="47"/>
        <v>2.4379999999999999E-2</v>
      </c>
      <c r="BH40" s="19">
        <f t="shared" si="48"/>
        <v>0</v>
      </c>
      <c r="BI40" s="19">
        <f t="shared" si="49"/>
        <v>0</v>
      </c>
      <c r="BJ40" s="19">
        <f t="shared" si="50"/>
        <v>0</v>
      </c>
      <c r="BK40" s="19"/>
      <c r="BL40" s="19">
        <v>722</v>
      </c>
      <c r="BW40" s="19" t="str">
        <f t="shared" si="51"/>
        <v>12</v>
      </c>
      <c r="BX40" s="4" t="s">
        <v>84</v>
      </c>
    </row>
    <row r="41" spans="1:76" x14ac:dyDescent="0.25">
      <c r="A41" s="1" t="s">
        <v>521</v>
      </c>
      <c r="B41" s="2" t="s">
        <v>73</v>
      </c>
      <c r="C41" s="2" t="s">
        <v>85</v>
      </c>
      <c r="D41" s="105" t="s">
        <v>86</v>
      </c>
      <c r="E41" s="99"/>
      <c r="F41" s="2" t="s">
        <v>31</v>
      </c>
      <c r="G41" s="19">
        <f>'Rozpočet - vybrané sloupce'!J40</f>
        <v>14</v>
      </c>
      <c r="H41" s="19">
        <f>'Rozpočet - vybrané sloupce'!K40</f>
        <v>0</v>
      </c>
      <c r="I41" s="87" t="s">
        <v>489</v>
      </c>
      <c r="J41" s="19">
        <f t="shared" si="26"/>
        <v>0</v>
      </c>
      <c r="K41" s="19">
        <f t="shared" si="27"/>
        <v>0</v>
      </c>
      <c r="L41" s="19">
        <f t="shared" si="28"/>
        <v>0</v>
      </c>
      <c r="M41" s="19">
        <f t="shared" si="29"/>
        <v>0</v>
      </c>
      <c r="N41" s="19">
        <v>7.2999999999999996E-4</v>
      </c>
      <c r="O41" s="19">
        <f t="shared" si="30"/>
        <v>1.022E-2</v>
      </c>
      <c r="P41" s="88" t="s">
        <v>490</v>
      </c>
      <c r="Z41" s="19">
        <f t="shared" si="31"/>
        <v>0</v>
      </c>
      <c r="AB41" s="19">
        <f t="shared" si="32"/>
        <v>0</v>
      </c>
      <c r="AC41" s="19">
        <f t="shared" si="33"/>
        <v>0</v>
      </c>
      <c r="AD41" s="19">
        <f t="shared" si="34"/>
        <v>0</v>
      </c>
      <c r="AE41" s="19">
        <f t="shared" si="35"/>
        <v>0</v>
      </c>
      <c r="AF41" s="19">
        <f t="shared" si="36"/>
        <v>0</v>
      </c>
      <c r="AG41" s="19">
        <f t="shared" si="37"/>
        <v>0</v>
      </c>
      <c r="AH41" s="19">
        <f t="shared" si="38"/>
        <v>0</v>
      </c>
      <c r="AI41" s="16" t="s">
        <v>73</v>
      </c>
      <c r="AJ41" s="19">
        <f t="shared" si="39"/>
        <v>0</v>
      </c>
      <c r="AK41" s="19">
        <f t="shared" si="40"/>
        <v>0</v>
      </c>
      <c r="AL41" s="19">
        <f t="shared" si="41"/>
        <v>0</v>
      </c>
      <c r="AN41" s="19">
        <v>12</v>
      </c>
      <c r="AO41" s="19">
        <f>H41*0.61214</f>
        <v>0</v>
      </c>
      <c r="AP41" s="19">
        <f>H41*(1-0.61214)</f>
        <v>0</v>
      </c>
      <c r="AQ41" s="87" t="s">
        <v>491</v>
      </c>
      <c r="AV41" s="19">
        <f t="shared" si="42"/>
        <v>0</v>
      </c>
      <c r="AW41" s="19">
        <f t="shared" si="43"/>
        <v>0</v>
      </c>
      <c r="AX41" s="19">
        <f t="shared" si="44"/>
        <v>0</v>
      </c>
      <c r="AY41" s="87" t="s">
        <v>515</v>
      </c>
      <c r="AZ41" s="87" t="s">
        <v>516</v>
      </c>
      <c r="BA41" s="16" t="s">
        <v>517</v>
      </c>
      <c r="BC41" s="19">
        <f t="shared" si="45"/>
        <v>0</v>
      </c>
      <c r="BD41" s="19">
        <f t="shared" si="46"/>
        <v>0</v>
      </c>
      <c r="BE41" s="19">
        <v>0</v>
      </c>
      <c r="BF41" s="19">
        <f t="shared" si="47"/>
        <v>1.022E-2</v>
      </c>
      <c r="BH41" s="19">
        <f t="shared" si="48"/>
        <v>0</v>
      </c>
      <c r="BI41" s="19">
        <f t="shared" si="49"/>
        <v>0</v>
      </c>
      <c r="BJ41" s="19">
        <f t="shared" si="50"/>
        <v>0</v>
      </c>
      <c r="BK41" s="19"/>
      <c r="BL41" s="19">
        <v>722</v>
      </c>
      <c r="BW41" s="19" t="str">
        <f t="shared" si="51"/>
        <v>12</v>
      </c>
      <c r="BX41" s="4" t="s">
        <v>86</v>
      </c>
    </row>
    <row r="42" spans="1:76" x14ac:dyDescent="0.25">
      <c r="A42" s="1" t="s">
        <v>522</v>
      </c>
      <c r="B42" s="2" t="s">
        <v>73</v>
      </c>
      <c r="C42" s="2" t="s">
        <v>87</v>
      </c>
      <c r="D42" s="105" t="s">
        <v>88</v>
      </c>
      <c r="E42" s="99"/>
      <c r="F42" s="2" t="s">
        <v>31</v>
      </c>
      <c r="G42" s="19">
        <f>'Rozpočet - vybrané sloupce'!J41</f>
        <v>60</v>
      </c>
      <c r="H42" s="19">
        <f>'Rozpočet - vybrané sloupce'!K41</f>
        <v>0</v>
      </c>
      <c r="I42" s="87" t="s">
        <v>489</v>
      </c>
      <c r="J42" s="19">
        <f t="shared" si="26"/>
        <v>0</v>
      </c>
      <c r="K42" s="19">
        <f t="shared" si="27"/>
        <v>0</v>
      </c>
      <c r="L42" s="19">
        <f t="shared" si="28"/>
        <v>0</v>
      </c>
      <c r="M42" s="19">
        <f t="shared" si="29"/>
        <v>0</v>
      </c>
      <c r="N42" s="19">
        <v>1.0200000000000001E-3</v>
      </c>
      <c r="O42" s="19">
        <f t="shared" si="30"/>
        <v>6.1200000000000004E-2</v>
      </c>
      <c r="P42" s="88" t="s">
        <v>490</v>
      </c>
      <c r="Z42" s="19">
        <f t="shared" si="31"/>
        <v>0</v>
      </c>
      <c r="AB42" s="19">
        <f t="shared" si="32"/>
        <v>0</v>
      </c>
      <c r="AC42" s="19">
        <f t="shared" si="33"/>
        <v>0</v>
      </c>
      <c r="AD42" s="19">
        <f t="shared" si="34"/>
        <v>0</v>
      </c>
      <c r="AE42" s="19">
        <f t="shared" si="35"/>
        <v>0</v>
      </c>
      <c r="AF42" s="19">
        <f t="shared" si="36"/>
        <v>0</v>
      </c>
      <c r="AG42" s="19">
        <f t="shared" si="37"/>
        <v>0</v>
      </c>
      <c r="AH42" s="19">
        <f t="shared" si="38"/>
        <v>0</v>
      </c>
      <c r="AI42" s="16" t="s">
        <v>73</v>
      </c>
      <c r="AJ42" s="19">
        <f t="shared" si="39"/>
        <v>0</v>
      </c>
      <c r="AK42" s="19">
        <f t="shared" si="40"/>
        <v>0</v>
      </c>
      <c r="AL42" s="19">
        <f t="shared" si="41"/>
        <v>0</v>
      </c>
      <c r="AN42" s="19">
        <v>12</v>
      </c>
      <c r="AO42" s="19">
        <f>H42*0.708832685</f>
        <v>0</v>
      </c>
      <c r="AP42" s="19">
        <f>H42*(1-0.708832685)</f>
        <v>0</v>
      </c>
      <c r="AQ42" s="87" t="s">
        <v>491</v>
      </c>
      <c r="AV42" s="19">
        <f t="shared" si="42"/>
        <v>0</v>
      </c>
      <c r="AW42" s="19">
        <f t="shared" si="43"/>
        <v>0</v>
      </c>
      <c r="AX42" s="19">
        <f t="shared" si="44"/>
        <v>0</v>
      </c>
      <c r="AY42" s="87" t="s">
        <v>515</v>
      </c>
      <c r="AZ42" s="87" t="s">
        <v>516</v>
      </c>
      <c r="BA42" s="16" t="s">
        <v>517</v>
      </c>
      <c r="BC42" s="19">
        <f t="shared" si="45"/>
        <v>0</v>
      </c>
      <c r="BD42" s="19">
        <f t="shared" si="46"/>
        <v>0</v>
      </c>
      <c r="BE42" s="19">
        <v>0</v>
      </c>
      <c r="BF42" s="19">
        <f t="shared" si="47"/>
        <v>6.1200000000000004E-2</v>
      </c>
      <c r="BH42" s="19">
        <f t="shared" si="48"/>
        <v>0</v>
      </c>
      <c r="BI42" s="19">
        <f t="shared" si="49"/>
        <v>0</v>
      </c>
      <c r="BJ42" s="19">
        <f t="shared" si="50"/>
        <v>0</v>
      </c>
      <c r="BK42" s="19"/>
      <c r="BL42" s="19">
        <v>722</v>
      </c>
      <c r="BW42" s="19" t="str">
        <f t="shared" si="51"/>
        <v>12</v>
      </c>
      <c r="BX42" s="4" t="s">
        <v>88</v>
      </c>
    </row>
    <row r="43" spans="1:76" x14ac:dyDescent="0.25">
      <c r="A43" s="1" t="s">
        <v>523</v>
      </c>
      <c r="B43" s="2" t="s">
        <v>73</v>
      </c>
      <c r="C43" s="2" t="s">
        <v>89</v>
      </c>
      <c r="D43" s="105" t="s">
        <v>90</v>
      </c>
      <c r="E43" s="99"/>
      <c r="F43" s="2" t="s">
        <v>31</v>
      </c>
      <c r="G43" s="19">
        <f>'Rozpočet - vybrané sloupce'!J42</f>
        <v>34</v>
      </c>
      <c r="H43" s="19">
        <f>'Rozpočet - vybrané sloupce'!K42</f>
        <v>0</v>
      </c>
      <c r="I43" s="87" t="s">
        <v>489</v>
      </c>
      <c r="J43" s="19">
        <f t="shared" si="26"/>
        <v>0</v>
      </c>
      <c r="K43" s="19">
        <f t="shared" si="27"/>
        <v>0</v>
      </c>
      <c r="L43" s="19">
        <f t="shared" si="28"/>
        <v>0</v>
      </c>
      <c r="M43" s="19">
        <f t="shared" si="29"/>
        <v>0</v>
      </c>
      <c r="N43" s="19">
        <v>1.3799999999999999E-3</v>
      </c>
      <c r="O43" s="19">
        <f t="shared" si="30"/>
        <v>4.6919999999999996E-2</v>
      </c>
      <c r="P43" s="88" t="s">
        <v>490</v>
      </c>
      <c r="Z43" s="19">
        <f t="shared" si="31"/>
        <v>0</v>
      </c>
      <c r="AB43" s="19">
        <f t="shared" si="32"/>
        <v>0</v>
      </c>
      <c r="AC43" s="19">
        <f t="shared" si="33"/>
        <v>0</v>
      </c>
      <c r="AD43" s="19">
        <f t="shared" si="34"/>
        <v>0</v>
      </c>
      <c r="AE43" s="19">
        <f t="shared" si="35"/>
        <v>0</v>
      </c>
      <c r="AF43" s="19">
        <f t="shared" si="36"/>
        <v>0</v>
      </c>
      <c r="AG43" s="19">
        <f t="shared" si="37"/>
        <v>0</v>
      </c>
      <c r="AH43" s="19">
        <f t="shared" si="38"/>
        <v>0</v>
      </c>
      <c r="AI43" s="16" t="s">
        <v>73</v>
      </c>
      <c r="AJ43" s="19">
        <f t="shared" si="39"/>
        <v>0</v>
      </c>
      <c r="AK43" s="19">
        <f t="shared" si="40"/>
        <v>0</v>
      </c>
      <c r="AL43" s="19">
        <f t="shared" si="41"/>
        <v>0</v>
      </c>
      <c r="AN43" s="19">
        <v>12</v>
      </c>
      <c r="AO43" s="19">
        <f>H43*0.707287736</f>
        <v>0</v>
      </c>
      <c r="AP43" s="19">
        <f>H43*(1-0.707287736)</f>
        <v>0</v>
      </c>
      <c r="AQ43" s="87" t="s">
        <v>491</v>
      </c>
      <c r="AV43" s="19">
        <f t="shared" si="42"/>
        <v>0</v>
      </c>
      <c r="AW43" s="19">
        <f t="shared" si="43"/>
        <v>0</v>
      </c>
      <c r="AX43" s="19">
        <f t="shared" si="44"/>
        <v>0</v>
      </c>
      <c r="AY43" s="87" t="s">
        <v>515</v>
      </c>
      <c r="AZ43" s="87" t="s">
        <v>516</v>
      </c>
      <c r="BA43" s="16" t="s">
        <v>517</v>
      </c>
      <c r="BC43" s="19">
        <f t="shared" si="45"/>
        <v>0</v>
      </c>
      <c r="BD43" s="19">
        <f t="shared" si="46"/>
        <v>0</v>
      </c>
      <c r="BE43" s="19">
        <v>0</v>
      </c>
      <c r="BF43" s="19">
        <f t="shared" si="47"/>
        <v>4.6919999999999996E-2</v>
      </c>
      <c r="BH43" s="19">
        <f t="shared" si="48"/>
        <v>0</v>
      </c>
      <c r="BI43" s="19">
        <f t="shared" si="49"/>
        <v>0</v>
      </c>
      <c r="BJ43" s="19">
        <f t="shared" si="50"/>
        <v>0</v>
      </c>
      <c r="BK43" s="19"/>
      <c r="BL43" s="19">
        <v>722</v>
      </c>
      <c r="BW43" s="19" t="str">
        <f t="shared" si="51"/>
        <v>12</v>
      </c>
      <c r="BX43" s="4" t="s">
        <v>90</v>
      </c>
    </row>
    <row r="44" spans="1:76" x14ac:dyDescent="0.25">
      <c r="A44" s="1" t="s">
        <v>524</v>
      </c>
      <c r="B44" s="2" t="s">
        <v>73</v>
      </c>
      <c r="C44" s="2" t="s">
        <v>91</v>
      </c>
      <c r="D44" s="105" t="s">
        <v>92</v>
      </c>
      <c r="E44" s="99"/>
      <c r="F44" s="2" t="s">
        <v>31</v>
      </c>
      <c r="G44" s="19">
        <f>'Rozpočet - vybrané sloupce'!J43</f>
        <v>10</v>
      </c>
      <c r="H44" s="19">
        <f>'Rozpočet - vybrané sloupce'!K43</f>
        <v>0</v>
      </c>
      <c r="I44" s="87" t="s">
        <v>489</v>
      </c>
      <c r="J44" s="19">
        <f t="shared" si="26"/>
        <v>0</v>
      </c>
      <c r="K44" s="19">
        <f t="shared" si="27"/>
        <v>0</v>
      </c>
      <c r="L44" s="19">
        <f t="shared" si="28"/>
        <v>0</v>
      </c>
      <c r="M44" s="19">
        <f t="shared" si="29"/>
        <v>0</v>
      </c>
      <c r="N44" s="19">
        <v>6.0000000000000002E-5</v>
      </c>
      <c r="O44" s="19">
        <f t="shared" si="30"/>
        <v>6.0000000000000006E-4</v>
      </c>
      <c r="P44" s="88" t="s">
        <v>490</v>
      </c>
      <c r="Z44" s="19">
        <f t="shared" si="31"/>
        <v>0</v>
      </c>
      <c r="AB44" s="19">
        <f t="shared" si="32"/>
        <v>0</v>
      </c>
      <c r="AC44" s="19">
        <f t="shared" si="33"/>
        <v>0</v>
      </c>
      <c r="AD44" s="19">
        <f t="shared" si="34"/>
        <v>0</v>
      </c>
      <c r="AE44" s="19">
        <f t="shared" si="35"/>
        <v>0</v>
      </c>
      <c r="AF44" s="19">
        <f t="shared" si="36"/>
        <v>0</v>
      </c>
      <c r="AG44" s="19">
        <f t="shared" si="37"/>
        <v>0</v>
      </c>
      <c r="AH44" s="19">
        <f t="shared" si="38"/>
        <v>0</v>
      </c>
      <c r="AI44" s="16" t="s">
        <v>73</v>
      </c>
      <c r="AJ44" s="19">
        <f t="shared" si="39"/>
        <v>0</v>
      </c>
      <c r="AK44" s="19">
        <f t="shared" si="40"/>
        <v>0</v>
      </c>
      <c r="AL44" s="19">
        <f t="shared" si="41"/>
        <v>0</v>
      </c>
      <c r="AN44" s="19">
        <v>12</v>
      </c>
      <c r="AO44" s="19">
        <f>H44*0.262608247</f>
        <v>0</v>
      </c>
      <c r="AP44" s="19">
        <f>H44*(1-0.262608247)</f>
        <v>0</v>
      </c>
      <c r="AQ44" s="87" t="s">
        <v>491</v>
      </c>
      <c r="AV44" s="19">
        <f t="shared" si="42"/>
        <v>0</v>
      </c>
      <c r="AW44" s="19">
        <f t="shared" si="43"/>
        <v>0</v>
      </c>
      <c r="AX44" s="19">
        <f t="shared" si="44"/>
        <v>0</v>
      </c>
      <c r="AY44" s="87" t="s">
        <v>515</v>
      </c>
      <c r="AZ44" s="87" t="s">
        <v>516</v>
      </c>
      <c r="BA44" s="16" t="s">
        <v>517</v>
      </c>
      <c r="BC44" s="19">
        <f t="shared" si="45"/>
        <v>0</v>
      </c>
      <c r="BD44" s="19">
        <f t="shared" si="46"/>
        <v>0</v>
      </c>
      <c r="BE44" s="19">
        <v>0</v>
      </c>
      <c r="BF44" s="19">
        <f t="shared" si="47"/>
        <v>6.0000000000000006E-4</v>
      </c>
      <c r="BH44" s="19">
        <f t="shared" si="48"/>
        <v>0</v>
      </c>
      <c r="BI44" s="19">
        <f t="shared" si="49"/>
        <v>0</v>
      </c>
      <c r="BJ44" s="19">
        <f t="shared" si="50"/>
        <v>0</v>
      </c>
      <c r="BK44" s="19"/>
      <c r="BL44" s="19">
        <v>722</v>
      </c>
      <c r="BW44" s="19" t="str">
        <f t="shared" si="51"/>
        <v>12</v>
      </c>
      <c r="BX44" s="4" t="s">
        <v>92</v>
      </c>
    </row>
    <row r="45" spans="1:76" x14ac:dyDescent="0.25">
      <c r="A45" s="1" t="s">
        <v>525</v>
      </c>
      <c r="B45" s="2" t="s">
        <v>73</v>
      </c>
      <c r="C45" s="2" t="s">
        <v>93</v>
      </c>
      <c r="D45" s="105" t="s">
        <v>94</v>
      </c>
      <c r="E45" s="99"/>
      <c r="F45" s="2" t="s">
        <v>31</v>
      </c>
      <c r="G45" s="19">
        <f>'Rozpočet - vybrané sloupce'!J44</f>
        <v>28</v>
      </c>
      <c r="H45" s="19">
        <f>'Rozpočet - vybrané sloupce'!K44</f>
        <v>0</v>
      </c>
      <c r="I45" s="87" t="s">
        <v>489</v>
      </c>
      <c r="J45" s="19">
        <f t="shared" si="26"/>
        <v>0</v>
      </c>
      <c r="K45" s="19">
        <f t="shared" si="27"/>
        <v>0</v>
      </c>
      <c r="L45" s="19">
        <f t="shared" si="28"/>
        <v>0</v>
      </c>
      <c r="M45" s="19">
        <f t="shared" si="29"/>
        <v>0</v>
      </c>
      <c r="N45" s="19">
        <v>9.0000000000000006E-5</v>
      </c>
      <c r="O45" s="19">
        <f t="shared" si="30"/>
        <v>2.5200000000000001E-3</v>
      </c>
      <c r="P45" s="88" t="s">
        <v>490</v>
      </c>
      <c r="Z45" s="19">
        <f t="shared" si="31"/>
        <v>0</v>
      </c>
      <c r="AB45" s="19">
        <f t="shared" si="32"/>
        <v>0</v>
      </c>
      <c r="AC45" s="19">
        <f t="shared" si="33"/>
        <v>0</v>
      </c>
      <c r="AD45" s="19">
        <f t="shared" si="34"/>
        <v>0</v>
      </c>
      <c r="AE45" s="19">
        <f t="shared" si="35"/>
        <v>0</v>
      </c>
      <c r="AF45" s="19">
        <f t="shared" si="36"/>
        <v>0</v>
      </c>
      <c r="AG45" s="19">
        <f t="shared" si="37"/>
        <v>0</v>
      </c>
      <c r="AH45" s="19">
        <f t="shared" si="38"/>
        <v>0</v>
      </c>
      <c r="AI45" s="16" t="s">
        <v>73</v>
      </c>
      <c r="AJ45" s="19">
        <f t="shared" si="39"/>
        <v>0</v>
      </c>
      <c r="AK45" s="19">
        <f t="shared" si="40"/>
        <v>0</v>
      </c>
      <c r="AL45" s="19">
        <f t="shared" si="41"/>
        <v>0</v>
      </c>
      <c r="AN45" s="19">
        <v>12</v>
      </c>
      <c r="AO45" s="19">
        <f>H45*0.27426025</f>
        <v>0</v>
      </c>
      <c r="AP45" s="19">
        <f>H45*(1-0.27426025)</f>
        <v>0</v>
      </c>
      <c r="AQ45" s="87" t="s">
        <v>491</v>
      </c>
      <c r="AV45" s="19">
        <f t="shared" si="42"/>
        <v>0</v>
      </c>
      <c r="AW45" s="19">
        <f t="shared" si="43"/>
        <v>0</v>
      </c>
      <c r="AX45" s="19">
        <f t="shared" si="44"/>
        <v>0</v>
      </c>
      <c r="AY45" s="87" t="s">
        <v>515</v>
      </c>
      <c r="AZ45" s="87" t="s">
        <v>516</v>
      </c>
      <c r="BA45" s="16" t="s">
        <v>517</v>
      </c>
      <c r="BC45" s="19">
        <f t="shared" si="45"/>
        <v>0</v>
      </c>
      <c r="BD45" s="19">
        <f t="shared" si="46"/>
        <v>0</v>
      </c>
      <c r="BE45" s="19">
        <v>0</v>
      </c>
      <c r="BF45" s="19">
        <f t="shared" si="47"/>
        <v>2.5200000000000001E-3</v>
      </c>
      <c r="BH45" s="19">
        <f t="shared" si="48"/>
        <v>0</v>
      </c>
      <c r="BI45" s="19">
        <f t="shared" si="49"/>
        <v>0</v>
      </c>
      <c r="BJ45" s="19">
        <f t="shared" si="50"/>
        <v>0</v>
      </c>
      <c r="BK45" s="19"/>
      <c r="BL45" s="19">
        <v>722</v>
      </c>
      <c r="BW45" s="19" t="str">
        <f t="shared" si="51"/>
        <v>12</v>
      </c>
      <c r="BX45" s="4" t="s">
        <v>94</v>
      </c>
    </row>
    <row r="46" spans="1:76" x14ac:dyDescent="0.25">
      <c r="A46" s="1" t="s">
        <v>526</v>
      </c>
      <c r="B46" s="2" t="s">
        <v>73</v>
      </c>
      <c r="C46" s="2" t="s">
        <v>95</v>
      </c>
      <c r="D46" s="105" t="s">
        <v>96</v>
      </c>
      <c r="E46" s="99"/>
      <c r="F46" s="2" t="s">
        <v>31</v>
      </c>
      <c r="G46" s="19">
        <f>'Rozpočet - vybrané sloupce'!J45</f>
        <v>22</v>
      </c>
      <c r="H46" s="19">
        <f>'Rozpočet - vybrané sloupce'!K45</f>
        <v>0</v>
      </c>
      <c r="I46" s="87" t="s">
        <v>489</v>
      </c>
      <c r="J46" s="19">
        <f t="shared" si="26"/>
        <v>0</v>
      </c>
      <c r="K46" s="19">
        <f t="shared" si="27"/>
        <v>0</v>
      </c>
      <c r="L46" s="19">
        <f t="shared" si="28"/>
        <v>0</v>
      </c>
      <c r="M46" s="19">
        <f t="shared" si="29"/>
        <v>0</v>
      </c>
      <c r="N46" s="19">
        <v>1.2E-4</v>
      </c>
      <c r="O46" s="19">
        <f t="shared" si="30"/>
        <v>2.64E-3</v>
      </c>
      <c r="P46" s="88" t="s">
        <v>490</v>
      </c>
      <c r="Z46" s="19">
        <f t="shared" si="31"/>
        <v>0</v>
      </c>
      <c r="AB46" s="19">
        <f t="shared" si="32"/>
        <v>0</v>
      </c>
      <c r="AC46" s="19">
        <f t="shared" si="33"/>
        <v>0</v>
      </c>
      <c r="AD46" s="19">
        <f t="shared" si="34"/>
        <v>0</v>
      </c>
      <c r="AE46" s="19">
        <f t="shared" si="35"/>
        <v>0</v>
      </c>
      <c r="AF46" s="19">
        <f t="shared" si="36"/>
        <v>0</v>
      </c>
      <c r="AG46" s="19">
        <f t="shared" si="37"/>
        <v>0</v>
      </c>
      <c r="AH46" s="19">
        <f t="shared" si="38"/>
        <v>0</v>
      </c>
      <c r="AI46" s="16" t="s">
        <v>73</v>
      </c>
      <c r="AJ46" s="19">
        <f t="shared" si="39"/>
        <v>0</v>
      </c>
      <c r="AK46" s="19">
        <f t="shared" si="40"/>
        <v>0</v>
      </c>
      <c r="AL46" s="19">
        <f t="shared" si="41"/>
        <v>0</v>
      </c>
      <c r="AN46" s="19">
        <v>12</v>
      </c>
      <c r="AO46" s="19">
        <f>H46*0.290370637</f>
        <v>0</v>
      </c>
      <c r="AP46" s="19">
        <f>H46*(1-0.290370637)</f>
        <v>0</v>
      </c>
      <c r="AQ46" s="87" t="s">
        <v>491</v>
      </c>
      <c r="AV46" s="19">
        <f t="shared" si="42"/>
        <v>0</v>
      </c>
      <c r="AW46" s="19">
        <f t="shared" si="43"/>
        <v>0</v>
      </c>
      <c r="AX46" s="19">
        <f t="shared" si="44"/>
        <v>0</v>
      </c>
      <c r="AY46" s="87" t="s">
        <v>515</v>
      </c>
      <c r="AZ46" s="87" t="s">
        <v>516</v>
      </c>
      <c r="BA46" s="16" t="s">
        <v>517</v>
      </c>
      <c r="BC46" s="19">
        <f t="shared" si="45"/>
        <v>0</v>
      </c>
      <c r="BD46" s="19">
        <f t="shared" si="46"/>
        <v>0</v>
      </c>
      <c r="BE46" s="19">
        <v>0</v>
      </c>
      <c r="BF46" s="19">
        <f t="shared" si="47"/>
        <v>2.64E-3</v>
      </c>
      <c r="BH46" s="19">
        <f t="shared" si="48"/>
        <v>0</v>
      </c>
      <c r="BI46" s="19">
        <f t="shared" si="49"/>
        <v>0</v>
      </c>
      <c r="BJ46" s="19">
        <f t="shared" si="50"/>
        <v>0</v>
      </c>
      <c r="BK46" s="19"/>
      <c r="BL46" s="19">
        <v>722</v>
      </c>
      <c r="BW46" s="19" t="str">
        <f t="shared" si="51"/>
        <v>12</v>
      </c>
      <c r="BX46" s="4" t="s">
        <v>96</v>
      </c>
    </row>
    <row r="47" spans="1:76" x14ac:dyDescent="0.25">
      <c r="A47" s="1" t="s">
        <v>527</v>
      </c>
      <c r="B47" s="2" t="s">
        <v>73</v>
      </c>
      <c r="C47" s="2" t="s">
        <v>97</v>
      </c>
      <c r="D47" s="105" t="s">
        <v>98</v>
      </c>
      <c r="E47" s="99"/>
      <c r="F47" s="2" t="s">
        <v>31</v>
      </c>
      <c r="G47" s="19">
        <f>'Rozpočet - vybrané sloupce'!J46</f>
        <v>36</v>
      </c>
      <c r="H47" s="19">
        <f>'Rozpočet - vybrané sloupce'!K46</f>
        <v>0</v>
      </c>
      <c r="I47" s="87" t="s">
        <v>489</v>
      </c>
      <c r="J47" s="19">
        <f t="shared" si="26"/>
        <v>0</v>
      </c>
      <c r="K47" s="19">
        <f t="shared" si="27"/>
        <v>0</v>
      </c>
      <c r="L47" s="19">
        <f t="shared" si="28"/>
        <v>0</v>
      </c>
      <c r="M47" s="19">
        <f t="shared" si="29"/>
        <v>0</v>
      </c>
      <c r="N47" s="19">
        <v>6.9999999999999994E-5</v>
      </c>
      <c r="O47" s="19">
        <f t="shared" si="30"/>
        <v>2.5199999999999997E-3</v>
      </c>
      <c r="P47" s="88" t="s">
        <v>490</v>
      </c>
      <c r="Z47" s="19">
        <f t="shared" si="31"/>
        <v>0</v>
      </c>
      <c r="AB47" s="19">
        <f t="shared" si="32"/>
        <v>0</v>
      </c>
      <c r="AC47" s="19">
        <f t="shared" si="33"/>
        <v>0</v>
      </c>
      <c r="AD47" s="19">
        <f t="shared" si="34"/>
        <v>0</v>
      </c>
      <c r="AE47" s="19">
        <f t="shared" si="35"/>
        <v>0</v>
      </c>
      <c r="AF47" s="19">
        <f t="shared" si="36"/>
        <v>0</v>
      </c>
      <c r="AG47" s="19">
        <f t="shared" si="37"/>
        <v>0</v>
      </c>
      <c r="AH47" s="19">
        <f t="shared" si="38"/>
        <v>0</v>
      </c>
      <c r="AI47" s="16" t="s">
        <v>73</v>
      </c>
      <c r="AJ47" s="19">
        <f t="shared" si="39"/>
        <v>0</v>
      </c>
      <c r="AK47" s="19">
        <f t="shared" si="40"/>
        <v>0</v>
      </c>
      <c r="AL47" s="19">
        <f t="shared" si="41"/>
        <v>0</v>
      </c>
      <c r="AN47" s="19">
        <v>12</v>
      </c>
      <c r="AO47" s="19">
        <f>H47*0.547830902</f>
        <v>0</v>
      </c>
      <c r="AP47" s="19">
        <f>H47*(1-0.547830902)</f>
        <v>0</v>
      </c>
      <c r="AQ47" s="87" t="s">
        <v>491</v>
      </c>
      <c r="AV47" s="19">
        <f t="shared" si="42"/>
        <v>0</v>
      </c>
      <c r="AW47" s="19">
        <f t="shared" si="43"/>
        <v>0</v>
      </c>
      <c r="AX47" s="19">
        <f t="shared" si="44"/>
        <v>0</v>
      </c>
      <c r="AY47" s="87" t="s">
        <v>515</v>
      </c>
      <c r="AZ47" s="87" t="s">
        <v>516</v>
      </c>
      <c r="BA47" s="16" t="s">
        <v>517</v>
      </c>
      <c r="BC47" s="19">
        <f t="shared" si="45"/>
        <v>0</v>
      </c>
      <c r="BD47" s="19">
        <f t="shared" si="46"/>
        <v>0</v>
      </c>
      <c r="BE47" s="19">
        <v>0</v>
      </c>
      <c r="BF47" s="19">
        <f t="shared" si="47"/>
        <v>2.5199999999999997E-3</v>
      </c>
      <c r="BH47" s="19">
        <f t="shared" si="48"/>
        <v>0</v>
      </c>
      <c r="BI47" s="19">
        <f t="shared" si="49"/>
        <v>0</v>
      </c>
      <c r="BJ47" s="19">
        <f t="shared" si="50"/>
        <v>0</v>
      </c>
      <c r="BK47" s="19"/>
      <c r="BL47" s="19">
        <v>722</v>
      </c>
      <c r="BW47" s="19" t="str">
        <f t="shared" si="51"/>
        <v>12</v>
      </c>
      <c r="BX47" s="4" t="s">
        <v>98</v>
      </c>
    </row>
    <row r="48" spans="1:76" x14ac:dyDescent="0.25">
      <c r="A48" s="1" t="s">
        <v>528</v>
      </c>
      <c r="B48" s="2" t="s">
        <v>73</v>
      </c>
      <c r="C48" s="2" t="s">
        <v>99</v>
      </c>
      <c r="D48" s="105" t="s">
        <v>100</v>
      </c>
      <c r="E48" s="99"/>
      <c r="F48" s="2" t="s">
        <v>31</v>
      </c>
      <c r="G48" s="19">
        <f>'Rozpočet - vybrané sloupce'!J47</f>
        <v>14</v>
      </c>
      <c r="H48" s="19">
        <f>'Rozpočet - vybrané sloupce'!K47</f>
        <v>0</v>
      </c>
      <c r="I48" s="87" t="s">
        <v>489</v>
      </c>
      <c r="J48" s="19">
        <f t="shared" si="26"/>
        <v>0</v>
      </c>
      <c r="K48" s="19">
        <f t="shared" si="27"/>
        <v>0</v>
      </c>
      <c r="L48" s="19">
        <f t="shared" si="28"/>
        <v>0</v>
      </c>
      <c r="M48" s="19">
        <f t="shared" si="29"/>
        <v>0</v>
      </c>
      <c r="N48" s="19">
        <v>8.0000000000000007E-5</v>
      </c>
      <c r="O48" s="19">
        <f t="shared" si="30"/>
        <v>1.1200000000000001E-3</v>
      </c>
      <c r="P48" s="88" t="s">
        <v>490</v>
      </c>
      <c r="Z48" s="19">
        <f t="shared" si="31"/>
        <v>0</v>
      </c>
      <c r="AB48" s="19">
        <f t="shared" si="32"/>
        <v>0</v>
      </c>
      <c r="AC48" s="19">
        <f t="shared" si="33"/>
        <v>0</v>
      </c>
      <c r="AD48" s="19">
        <f t="shared" si="34"/>
        <v>0</v>
      </c>
      <c r="AE48" s="19">
        <f t="shared" si="35"/>
        <v>0</v>
      </c>
      <c r="AF48" s="19">
        <f t="shared" si="36"/>
        <v>0</v>
      </c>
      <c r="AG48" s="19">
        <f t="shared" si="37"/>
        <v>0</v>
      </c>
      <c r="AH48" s="19">
        <f t="shared" si="38"/>
        <v>0</v>
      </c>
      <c r="AI48" s="16" t="s">
        <v>73</v>
      </c>
      <c r="AJ48" s="19">
        <f t="shared" si="39"/>
        <v>0</v>
      </c>
      <c r="AK48" s="19">
        <f t="shared" si="40"/>
        <v>0</v>
      </c>
      <c r="AL48" s="19">
        <f t="shared" si="41"/>
        <v>0</v>
      </c>
      <c r="AN48" s="19">
        <v>12</v>
      </c>
      <c r="AO48" s="19">
        <f>H48*0.55153442</f>
        <v>0</v>
      </c>
      <c r="AP48" s="19">
        <f>H48*(1-0.55153442)</f>
        <v>0</v>
      </c>
      <c r="AQ48" s="87" t="s">
        <v>491</v>
      </c>
      <c r="AV48" s="19">
        <f t="shared" si="42"/>
        <v>0</v>
      </c>
      <c r="AW48" s="19">
        <f t="shared" si="43"/>
        <v>0</v>
      </c>
      <c r="AX48" s="19">
        <f t="shared" si="44"/>
        <v>0</v>
      </c>
      <c r="AY48" s="87" t="s">
        <v>515</v>
      </c>
      <c r="AZ48" s="87" t="s">
        <v>516</v>
      </c>
      <c r="BA48" s="16" t="s">
        <v>517</v>
      </c>
      <c r="BC48" s="19">
        <f t="shared" si="45"/>
        <v>0</v>
      </c>
      <c r="BD48" s="19">
        <f t="shared" si="46"/>
        <v>0</v>
      </c>
      <c r="BE48" s="19">
        <v>0</v>
      </c>
      <c r="BF48" s="19">
        <f t="shared" si="47"/>
        <v>1.1200000000000001E-3</v>
      </c>
      <c r="BH48" s="19">
        <f t="shared" si="48"/>
        <v>0</v>
      </c>
      <c r="BI48" s="19">
        <f t="shared" si="49"/>
        <v>0</v>
      </c>
      <c r="BJ48" s="19">
        <f t="shared" si="50"/>
        <v>0</v>
      </c>
      <c r="BK48" s="19"/>
      <c r="BL48" s="19">
        <v>722</v>
      </c>
      <c r="BW48" s="19" t="str">
        <f t="shared" si="51"/>
        <v>12</v>
      </c>
      <c r="BX48" s="4" t="s">
        <v>100</v>
      </c>
    </row>
    <row r="49" spans="1:76" x14ac:dyDescent="0.25">
      <c r="A49" s="1" t="s">
        <v>529</v>
      </c>
      <c r="B49" s="2" t="s">
        <v>73</v>
      </c>
      <c r="C49" s="2" t="s">
        <v>101</v>
      </c>
      <c r="D49" s="105" t="s">
        <v>102</v>
      </c>
      <c r="E49" s="99"/>
      <c r="F49" s="2" t="s">
        <v>31</v>
      </c>
      <c r="G49" s="19">
        <f>'Rozpočet - vybrané sloupce'!J48</f>
        <v>32</v>
      </c>
      <c r="H49" s="19">
        <f>'Rozpočet - vybrané sloupce'!K48</f>
        <v>0</v>
      </c>
      <c r="I49" s="87" t="s">
        <v>489</v>
      </c>
      <c r="J49" s="19">
        <f t="shared" si="26"/>
        <v>0</v>
      </c>
      <c r="K49" s="19">
        <f t="shared" si="27"/>
        <v>0</v>
      </c>
      <c r="L49" s="19">
        <f t="shared" si="28"/>
        <v>0</v>
      </c>
      <c r="M49" s="19">
        <f t="shared" si="29"/>
        <v>0</v>
      </c>
      <c r="N49" s="19">
        <v>1.2999999999999999E-4</v>
      </c>
      <c r="O49" s="19">
        <f t="shared" si="30"/>
        <v>4.1599999999999996E-3</v>
      </c>
      <c r="P49" s="88" t="s">
        <v>490</v>
      </c>
      <c r="Z49" s="19">
        <f t="shared" si="31"/>
        <v>0</v>
      </c>
      <c r="AB49" s="19">
        <f t="shared" si="32"/>
        <v>0</v>
      </c>
      <c r="AC49" s="19">
        <f t="shared" si="33"/>
        <v>0</v>
      </c>
      <c r="AD49" s="19">
        <f t="shared" si="34"/>
        <v>0</v>
      </c>
      <c r="AE49" s="19">
        <f t="shared" si="35"/>
        <v>0</v>
      </c>
      <c r="AF49" s="19">
        <f t="shared" si="36"/>
        <v>0</v>
      </c>
      <c r="AG49" s="19">
        <f t="shared" si="37"/>
        <v>0</v>
      </c>
      <c r="AH49" s="19">
        <f t="shared" si="38"/>
        <v>0</v>
      </c>
      <c r="AI49" s="16" t="s">
        <v>73</v>
      </c>
      <c r="AJ49" s="19">
        <f t="shared" si="39"/>
        <v>0</v>
      </c>
      <c r="AK49" s="19">
        <f t="shared" si="40"/>
        <v>0</v>
      </c>
      <c r="AL49" s="19">
        <f t="shared" si="41"/>
        <v>0</v>
      </c>
      <c r="AN49" s="19">
        <v>12</v>
      </c>
      <c r="AO49" s="19">
        <f>H49*0.551128892</f>
        <v>0</v>
      </c>
      <c r="AP49" s="19">
        <f>H49*(1-0.551128892)</f>
        <v>0</v>
      </c>
      <c r="AQ49" s="87" t="s">
        <v>491</v>
      </c>
      <c r="AV49" s="19">
        <f t="shared" si="42"/>
        <v>0</v>
      </c>
      <c r="AW49" s="19">
        <f t="shared" si="43"/>
        <v>0</v>
      </c>
      <c r="AX49" s="19">
        <f t="shared" si="44"/>
        <v>0</v>
      </c>
      <c r="AY49" s="87" t="s">
        <v>515</v>
      </c>
      <c r="AZ49" s="87" t="s">
        <v>516</v>
      </c>
      <c r="BA49" s="16" t="s">
        <v>517</v>
      </c>
      <c r="BC49" s="19">
        <f t="shared" si="45"/>
        <v>0</v>
      </c>
      <c r="BD49" s="19">
        <f t="shared" si="46"/>
        <v>0</v>
      </c>
      <c r="BE49" s="19">
        <v>0</v>
      </c>
      <c r="BF49" s="19">
        <f t="shared" si="47"/>
        <v>4.1599999999999996E-3</v>
      </c>
      <c r="BH49" s="19">
        <f t="shared" si="48"/>
        <v>0</v>
      </c>
      <c r="BI49" s="19">
        <f t="shared" si="49"/>
        <v>0</v>
      </c>
      <c r="BJ49" s="19">
        <f t="shared" si="50"/>
        <v>0</v>
      </c>
      <c r="BK49" s="19"/>
      <c r="BL49" s="19">
        <v>722</v>
      </c>
      <c r="BW49" s="19" t="str">
        <f t="shared" si="51"/>
        <v>12</v>
      </c>
      <c r="BX49" s="4" t="s">
        <v>102</v>
      </c>
    </row>
    <row r="50" spans="1:76" x14ac:dyDescent="0.25">
      <c r="A50" s="1" t="s">
        <v>530</v>
      </c>
      <c r="B50" s="2" t="s">
        <v>73</v>
      </c>
      <c r="C50" s="2" t="s">
        <v>103</v>
      </c>
      <c r="D50" s="105" t="s">
        <v>104</v>
      </c>
      <c r="E50" s="99"/>
      <c r="F50" s="2" t="s">
        <v>31</v>
      </c>
      <c r="G50" s="19">
        <f>'Rozpočet - vybrané sloupce'!J49</f>
        <v>12</v>
      </c>
      <c r="H50" s="19">
        <f>'Rozpočet - vybrané sloupce'!K49</f>
        <v>0</v>
      </c>
      <c r="I50" s="87" t="s">
        <v>489</v>
      </c>
      <c r="J50" s="19">
        <f t="shared" si="26"/>
        <v>0</v>
      </c>
      <c r="K50" s="19">
        <f t="shared" si="27"/>
        <v>0</v>
      </c>
      <c r="L50" s="19">
        <f t="shared" si="28"/>
        <v>0</v>
      </c>
      <c r="M50" s="19">
        <f t="shared" si="29"/>
        <v>0</v>
      </c>
      <c r="N50" s="19">
        <v>1.9000000000000001E-4</v>
      </c>
      <c r="O50" s="19">
        <f t="shared" si="30"/>
        <v>2.2799999999999999E-3</v>
      </c>
      <c r="P50" s="88" t="s">
        <v>490</v>
      </c>
      <c r="Z50" s="19">
        <f t="shared" si="31"/>
        <v>0</v>
      </c>
      <c r="AB50" s="19">
        <f t="shared" si="32"/>
        <v>0</v>
      </c>
      <c r="AC50" s="19">
        <f t="shared" si="33"/>
        <v>0</v>
      </c>
      <c r="AD50" s="19">
        <f t="shared" si="34"/>
        <v>0</v>
      </c>
      <c r="AE50" s="19">
        <f t="shared" si="35"/>
        <v>0</v>
      </c>
      <c r="AF50" s="19">
        <f t="shared" si="36"/>
        <v>0</v>
      </c>
      <c r="AG50" s="19">
        <f t="shared" si="37"/>
        <v>0</v>
      </c>
      <c r="AH50" s="19">
        <f t="shared" si="38"/>
        <v>0</v>
      </c>
      <c r="AI50" s="16" t="s">
        <v>73</v>
      </c>
      <c r="AJ50" s="19">
        <f t="shared" si="39"/>
        <v>0</v>
      </c>
      <c r="AK50" s="19">
        <f t="shared" si="40"/>
        <v>0</v>
      </c>
      <c r="AL50" s="19">
        <f t="shared" si="41"/>
        <v>0</v>
      </c>
      <c r="AN50" s="19">
        <v>12</v>
      </c>
      <c r="AO50" s="19">
        <f>H50*0.585844575</f>
        <v>0</v>
      </c>
      <c r="AP50" s="19">
        <f>H50*(1-0.585844575)</f>
        <v>0</v>
      </c>
      <c r="AQ50" s="87" t="s">
        <v>491</v>
      </c>
      <c r="AV50" s="19">
        <f t="shared" si="42"/>
        <v>0</v>
      </c>
      <c r="AW50" s="19">
        <f t="shared" si="43"/>
        <v>0</v>
      </c>
      <c r="AX50" s="19">
        <f t="shared" si="44"/>
        <v>0</v>
      </c>
      <c r="AY50" s="87" t="s">
        <v>515</v>
      </c>
      <c r="AZ50" s="87" t="s">
        <v>516</v>
      </c>
      <c r="BA50" s="16" t="s">
        <v>517</v>
      </c>
      <c r="BC50" s="19">
        <f t="shared" si="45"/>
        <v>0</v>
      </c>
      <c r="BD50" s="19">
        <f t="shared" si="46"/>
        <v>0</v>
      </c>
      <c r="BE50" s="19">
        <v>0</v>
      </c>
      <c r="BF50" s="19">
        <f t="shared" si="47"/>
        <v>2.2799999999999999E-3</v>
      </c>
      <c r="BH50" s="19">
        <f t="shared" si="48"/>
        <v>0</v>
      </c>
      <c r="BI50" s="19">
        <f t="shared" si="49"/>
        <v>0</v>
      </c>
      <c r="BJ50" s="19">
        <f t="shared" si="50"/>
        <v>0</v>
      </c>
      <c r="BK50" s="19"/>
      <c r="BL50" s="19">
        <v>722</v>
      </c>
      <c r="BW50" s="19" t="str">
        <f t="shared" si="51"/>
        <v>12</v>
      </c>
      <c r="BX50" s="4" t="s">
        <v>104</v>
      </c>
    </row>
    <row r="51" spans="1:76" x14ac:dyDescent="0.25">
      <c r="A51" s="1" t="s">
        <v>531</v>
      </c>
      <c r="B51" s="2" t="s">
        <v>73</v>
      </c>
      <c r="C51" s="2" t="s">
        <v>105</v>
      </c>
      <c r="D51" s="105" t="s">
        <v>106</v>
      </c>
      <c r="E51" s="99"/>
      <c r="F51" s="2" t="s">
        <v>31</v>
      </c>
      <c r="G51" s="19">
        <f>'Rozpočet - vybrané sloupce'!J50</f>
        <v>8</v>
      </c>
      <c r="H51" s="19">
        <f>'Rozpočet - vybrané sloupce'!K50</f>
        <v>0</v>
      </c>
      <c r="I51" s="87" t="s">
        <v>489</v>
      </c>
      <c r="J51" s="19">
        <f t="shared" si="26"/>
        <v>0</v>
      </c>
      <c r="K51" s="19">
        <f t="shared" si="27"/>
        <v>0</v>
      </c>
      <c r="L51" s="19">
        <f t="shared" si="28"/>
        <v>0</v>
      </c>
      <c r="M51" s="19">
        <f t="shared" si="29"/>
        <v>0</v>
      </c>
      <c r="N51" s="19">
        <v>0</v>
      </c>
      <c r="O51" s="19">
        <f t="shared" si="30"/>
        <v>0</v>
      </c>
      <c r="P51" s="88" t="s">
        <v>490</v>
      </c>
      <c r="Z51" s="19">
        <f t="shared" si="31"/>
        <v>0</v>
      </c>
      <c r="AB51" s="19">
        <f t="shared" si="32"/>
        <v>0</v>
      </c>
      <c r="AC51" s="19">
        <f t="shared" si="33"/>
        <v>0</v>
      </c>
      <c r="AD51" s="19">
        <f t="shared" si="34"/>
        <v>0</v>
      </c>
      <c r="AE51" s="19">
        <f t="shared" si="35"/>
        <v>0</v>
      </c>
      <c r="AF51" s="19">
        <f t="shared" si="36"/>
        <v>0</v>
      </c>
      <c r="AG51" s="19">
        <f t="shared" si="37"/>
        <v>0</v>
      </c>
      <c r="AH51" s="19">
        <f t="shared" si="38"/>
        <v>0</v>
      </c>
      <c r="AI51" s="16" t="s">
        <v>73</v>
      </c>
      <c r="AJ51" s="19">
        <f t="shared" si="39"/>
        <v>0</v>
      </c>
      <c r="AK51" s="19">
        <f t="shared" si="40"/>
        <v>0</v>
      </c>
      <c r="AL51" s="19">
        <f t="shared" si="41"/>
        <v>0</v>
      </c>
      <c r="AN51" s="19">
        <v>12</v>
      </c>
      <c r="AO51" s="19">
        <f>H51*1</f>
        <v>0</v>
      </c>
      <c r="AP51" s="19">
        <f>H51*(1-1)</f>
        <v>0</v>
      </c>
      <c r="AQ51" s="87" t="s">
        <v>491</v>
      </c>
      <c r="AV51" s="19">
        <f t="shared" si="42"/>
        <v>0</v>
      </c>
      <c r="AW51" s="19">
        <f t="shared" si="43"/>
        <v>0</v>
      </c>
      <c r="AX51" s="19">
        <f t="shared" si="44"/>
        <v>0</v>
      </c>
      <c r="AY51" s="87" t="s">
        <v>515</v>
      </c>
      <c r="AZ51" s="87" t="s">
        <v>516</v>
      </c>
      <c r="BA51" s="16" t="s">
        <v>517</v>
      </c>
      <c r="BC51" s="19">
        <f t="shared" si="45"/>
        <v>0</v>
      </c>
      <c r="BD51" s="19">
        <f t="shared" si="46"/>
        <v>0</v>
      </c>
      <c r="BE51" s="19">
        <v>0</v>
      </c>
      <c r="BF51" s="19">
        <f t="shared" si="47"/>
        <v>0</v>
      </c>
      <c r="BH51" s="19">
        <f t="shared" si="48"/>
        <v>0</v>
      </c>
      <c r="BI51" s="19">
        <f t="shared" si="49"/>
        <v>0</v>
      </c>
      <c r="BJ51" s="19">
        <f t="shared" si="50"/>
        <v>0</v>
      </c>
      <c r="BK51" s="19"/>
      <c r="BL51" s="19">
        <v>722</v>
      </c>
      <c r="BW51" s="19" t="str">
        <f t="shared" si="51"/>
        <v>12</v>
      </c>
      <c r="BX51" s="4" t="s">
        <v>106</v>
      </c>
    </row>
    <row r="52" spans="1:76" x14ac:dyDescent="0.25">
      <c r="A52" s="1" t="s">
        <v>269</v>
      </c>
      <c r="B52" s="2" t="s">
        <v>73</v>
      </c>
      <c r="C52" s="2" t="s">
        <v>107</v>
      </c>
      <c r="D52" s="105" t="s">
        <v>108</v>
      </c>
      <c r="E52" s="99"/>
      <c r="F52" s="2" t="s">
        <v>35</v>
      </c>
      <c r="G52" s="19">
        <f>'Rozpočet - vybrané sloupce'!J51</f>
        <v>32</v>
      </c>
      <c r="H52" s="19">
        <f>'Rozpočet - vybrané sloupce'!K51</f>
        <v>0</v>
      </c>
      <c r="I52" s="87" t="s">
        <v>489</v>
      </c>
      <c r="J52" s="19">
        <f t="shared" si="26"/>
        <v>0</v>
      </c>
      <c r="K52" s="19">
        <f t="shared" si="27"/>
        <v>0</v>
      </c>
      <c r="L52" s="19">
        <f t="shared" si="28"/>
        <v>0</v>
      </c>
      <c r="M52" s="19">
        <f t="shared" si="29"/>
        <v>0</v>
      </c>
      <c r="N52" s="19">
        <v>0</v>
      </c>
      <c r="O52" s="19">
        <f t="shared" si="30"/>
        <v>0</v>
      </c>
      <c r="P52" s="88" t="s">
        <v>490</v>
      </c>
      <c r="Z52" s="19">
        <f t="shared" si="31"/>
        <v>0</v>
      </c>
      <c r="AB52" s="19">
        <f t="shared" si="32"/>
        <v>0</v>
      </c>
      <c r="AC52" s="19">
        <f t="shared" si="33"/>
        <v>0</v>
      </c>
      <c r="AD52" s="19">
        <f t="shared" si="34"/>
        <v>0</v>
      </c>
      <c r="AE52" s="19">
        <f t="shared" si="35"/>
        <v>0</v>
      </c>
      <c r="AF52" s="19">
        <f t="shared" si="36"/>
        <v>0</v>
      </c>
      <c r="AG52" s="19">
        <f t="shared" si="37"/>
        <v>0</v>
      </c>
      <c r="AH52" s="19">
        <f t="shared" si="38"/>
        <v>0</v>
      </c>
      <c r="AI52" s="16" t="s">
        <v>73</v>
      </c>
      <c r="AJ52" s="19">
        <f t="shared" si="39"/>
        <v>0</v>
      </c>
      <c r="AK52" s="19">
        <f t="shared" si="40"/>
        <v>0</v>
      </c>
      <c r="AL52" s="19">
        <f t="shared" si="41"/>
        <v>0</v>
      </c>
      <c r="AN52" s="19">
        <v>12</v>
      </c>
      <c r="AO52" s="19">
        <f>H52*0.999932364</f>
        <v>0</v>
      </c>
      <c r="AP52" s="19">
        <f>H52*(1-0.999932364)</f>
        <v>0</v>
      </c>
      <c r="AQ52" s="87" t="s">
        <v>491</v>
      </c>
      <c r="AV52" s="19">
        <f t="shared" si="42"/>
        <v>0</v>
      </c>
      <c r="AW52" s="19">
        <f t="shared" si="43"/>
        <v>0</v>
      </c>
      <c r="AX52" s="19">
        <f t="shared" si="44"/>
        <v>0</v>
      </c>
      <c r="AY52" s="87" t="s">
        <v>515</v>
      </c>
      <c r="AZ52" s="87" t="s">
        <v>516</v>
      </c>
      <c r="BA52" s="16" t="s">
        <v>517</v>
      </c>
      <c r="BC52" s="19">
        <f t="shared" si="45"/>
        <v>0</v>
      </c>
      <c r="BD52" s="19">
        <f t="shared" si="46"/>
        <v>0</v>
      </c>
      <c r="BE52" s="19">
        <v>0</v>
      </c>
      <c r="BF52" s="19">
        <f t="shared" si="47"/>
        <v>0</v>
      </c>
      <c r="BH52" s="19">
        <f t="shared" si="48"/>
        <v>0</v>
      </c>
      <c r="BI52" s="19">
        <f t="shared" si="49"/>
        <v>0</v>
      </c>
      <c r="BJ52" s="19">
        <f t="shared" si="50"/>
        <v>0</v>
      </c>
      <c r="BK52" s="19"/>
      <c r="BL52" s="19">
        <v>722</v>
      </c>
      <c r="BW52" s="19" t="str">
        <f t="shared" si="51"/>
        <v>12</v>
      </c>
      <c r="BX52" s="4" t="s">
        <v>108</v>
      </c>
    </row>
    <row r="53" spans="1:76" x14ac:dyDescent="0.25">
      <c r="A53" s="1" t="s">
        <v>532</v>
      </c>
      <c r="B53" s="2" t="s">
        <v>73</v>
      </c>
      <c r="C53" s="2" t="s">
        <v>109</v>
      </c>
      <c r="D53" s="105" t="s">
        <v>110</v>
      </c>
      <c r="E53" s="99"/>
      <c r="F53" s="2" t="s">
        <v>35</v>
      </c>
      <c r="G53" s="19">
        <f>'Rozpočet - vybrané sloupce'!J52</f>
        <v>3</v>
      </c>
      <c r="H53" s="19">
        <f>'Rozpočet - vybrané sloupce'!K52</f>
        <v>0</v>
      </c>
      <c r="I53" s="87" t="s">
        <v>489</v>
      </c>
      <c r="J53" s="19">
        <f t="shared" si="26"/>
        <v>0</v>
      </c>
      <c r="K53" s="19">
        <f t="shared" si="27"/>
        <v>0</v>
      </c>
      <c r="L53" s="19">
        <f t="shared" si="28"/>
        <v>0</v>
      </c>
      <c r="M53" s="19">
        <f t="shared" si="29"/>
        <v>0</v>
      </c>
      <c r="N53" s="19">
        <v>0</v>
      </c>
      <c r="O53" s="19">
        <f t="shared" si="30"/>
        <v>0</v>
      </c>
      <c r="P53" s="88" t="s">
        <v>490</v>
      </c>
      <c r="Z53" s="19">
        <f t="shared" si="31"/>
        <v>0</v>
      </c>
      <c r="AB53" s="19">
        <f t="shared" si="32"/>
        <v>0</v>
      </c>
      <c r="AC53" s="19">
        <f t="shared" si="33"/>
        <v>0</v>
      </c>
      <c r="AD53" s="19">
        <f t="shared" si="34"/>
        <v>0</v>
      </c>
      <c r="AE53" s="19">
        <f t="shared" si="35"/>
        <v>0</v>
      </c>
      <c r="AF53" s="19">
        <f t="shared" si="36"/>
        <v>0</v>
      </c>
      <c r="AG53" s="19">
        <f t="shared" si="37"/>
        <v>0</v>
      </c>
      <c r="AH53" s="19">
        <f t="shared" si="38"/>
        <v>0</v>
      </c>
      <c r="AI53" s="16" t="s">
        <v>73</v>
      </c>
      <c r="AJ53" s="19">
        <f t="shared" si="39"/>
        <v>0</v>
      </c>
      <c r="AK53" s="19">
        <f t="shared" si="40"/>
        <v>0</v>
      </c>
      <c r="AL53" s="19">
        <f t="shared" si="41"/>
        <v>0</v>
      </c>
      <c r="AN53" s="19">
        <v>12</v>
      </c>
      <c r="AO53" s="19">
        <f>H53*1.000337838</f>
        <v>0</v>
      </c>
      <c r="AP53" s="19">
        <f>H53*(1-1.000337838)</f>
        <v>0</v>
      </c>
      <c r="AQ53" s="87" t="s">
        <v>491</v>
      </c>
      <c r="AV53" s="19">
        <f t="shared" si="42"/>
        <v>0</v>
      </c>
      <c r="AW53" s="19">
        <f t="shared" si="43"/>
        <v>0</v>
      </c>
      <c r="AX53" s="19">
        <f t="shared" si="44"/>
        <v>0</v>
      </c>
      <c r="AY53" s="87" t="s">
        <v>515</v>
      </c>
      <c r="AZ53" s="87" t="s">
        <v>516</v>
      </c>
      <c r="BA53" s="16" t="s">
        <v>517</v>
      </c>
      <c r="BC53" s="19">
        <f t="shared" si="45"/>
        <v>0</v>
      </c>
      <c r="BD53" s="19">
        <f t="shared" si="46"/>
        <v>0</v>
      </c>
      <c r="BE53" s="19">
        <v>0</v>
      </c>
      <c r="BF53" s="19">
        <f t="shared" si="47"/>
        <v>0</v>
      </c>
      <c r="BH53" s="19">
        <f t="shared" si="48"/>
        <v>0</v>
      </c>
      <c r="BI53" s="19">
        <f t="shared" si="49"/>
        <v>0</v>
      </c>
      <c r="BJ53" s="19">
        <f t="shared" si="50"/>
        <v>0</v>
      </c>
      <c r="BK53" s="19"/>
      <c r="BL53" s="19">
        <v>722</v>
      </c>
      <c r="BW53" s="19" t="str">
        <f t="shared" si="51"/>
        <v>12</v>
      </c>
      <c r="BX53" s="4" t="s">
        <v>110</v>
      </c>
    </row>
    <row r="54" spans="1:76" x14ac:dyDescent="0.25">
      <c r="A54" s="1" t="s">
        <v>533</v>
      </c>
      <c r="B54" s="2" t="s">
        <v>73</v>
      </c>
      <c r="C54" s="2" t="s">
        <v>111</v>
      </c>
      <c r="D54" s="105" t="s">
        <v>112</v>
      </c>
      <c r="E54" s="99"/>
      <c r="F54" s="2" t="s">
        <v>35</v>
      </c>
      <c r="G54" s="19">
        <f>'Rozpočet - vybrané sloupce'!J53</f>
        <v>14</v>
      </c>
      <c r="H54" s="19">
        <f>'Rozpočet - vybrané sloupce'!K53</f>
        <v>0</v>
      </c>
      <c r="I54" s="87" t="s">
        <v>489</v>
      </c>
      <c r="J54" s="19">
        <f t="shared" si="26"/>
        <v>0</v>
      </c>
      <c r="K54" s="19">
        <f t="shared" si="27"/>
        <v>0</v>
      </c>
      <c r="L54" s="19">
        <f t="shared" si="28"/>
        <v>0</v>
      </c>
      <c r="M54" s="19">
        <f t="shared" si="29"/>
        <v>0</v>
      </c>
      <c r="N54" s="19">
        <v>0</v>
      </c>
      <c r="O54" s="19">
        <f t="shared" si="30"/>
        <v>0</v>
      </c>
      <c r="P54" s="88" t="s">
        <v>490</v>
      </c>
      <c r="Z54" s="19">
        <f t="shared" si="31"/>
        <v>0</v>
      </c>
      <c r="AB54" s="19">
        <f t="shared" si="32"/>
        <v>0</v>
      </c>
      <c r="AC54" s="19">
        <f t="shared" si="33"/>
        <v>0</v>
      </c>
      <c r="AD54" s="19">
        <f t="shared" si="34"/>
        <v>0</v>
      </c>
      <c r="AE54" s="19">
        <f t="shared" si="35"/>
        <v>0</v>
      </c>
      <c r="AF54" s="19">
        <f t="shared" si="36"/>
        <v>0</v>
      </c>
      <c r="AG54" s="19">
        <f t="shared" si="37"/>
        <v>0</v>
      </c>
      <c r="AH54" s="19">
        <f t="shared" si="38"/>
        <v>0</v>
      </c>
      <c r="AI54" s="16" t="s">
        <v>73</v>
      </c>
      <c r="AJ54" s="19">
        <f t="shared" si="39"/>
        <v>0</v>
      </c>
      <c r="AK54" s="19">
        <f t="shared" si="40"/>
        <v>0</v>
      </c>
      <c r="AL54" s="19">
        <f t="shared" si="41"/>
        <v>0</v>
      </c>
      <c r="AN54" s="19">
        <v>12</v>
      </c>
      <c r="AO54" s="19">
        <f>H54*0.999967913</f>
        <v>0</v>
      </c>
      <c r="AP54" s="19">
        <f>H54*(1-0.999967913)</f>
        <v>0</v>
      </c>
      <c r="AQ54" s="87" t="s">
        <v>491</v>
      </c>
      <c r="AV54" s="19">
        <f t="shared" si="42"/>
        <v>0</v>
      </c>
      <c r="AW54" s="19">
        <f t="shared" si="43"/>
        <v>0</v>
      </c>
      <c r="AX54" s="19">
        <f t="shared" si="44"/>
        <v>0</v>
      </c>
      <c r="AY54" s="87" t="s">
        <v>515</v>
      </c>
      <c r="AZ54" s="87" t="s">
        <v>516</v>
      </c>
      <c r="BA54" s="16" t="s">
        <v>517</v>
      </c>
      <c r="BC54" s="19">
        <f t="shared" si="45"/>
        <v>0</v>
      </c>
      <c r="BD54" s="19">
        <f t="shared" si="46"/>
        <v>0</v>
      </c>
      <c r="BE54" s="19">
        <v>0</v>
      </c>
      <c r="BF54" s="19">
        <f t="shared" si="47"/>
        <v>0</v>
      </c>
      <c r="BH54" s="19">
        <f t="shared" si="48"/>
        <v>0</v>
      </c>
      <c r="BI54" s="19">
        <f t="shared" si="49"/>
        <v>0</v>
      </c>
      <c r="BJ54" s="19">
        <f t="shared" si="50"/>
        <v>0</v>
      </c>
      <c r="BK54" s="19"/>
      <c r="BL54" s="19">
        <v>722</v>
      </c>
      <c r="BW54" s="19" t="str">
        <f t="shared" si="51"/>
        <v>12</v>
      </c>
      <c r="BX54" s="4" t="s">
        <v>112</v>
      </c>
    </row>
    <row r="55" spans="1:76" x14ac:dyDescent="0.25">
      <c r="A55" s="1" t="s">
        <v>534</v>
      </c>
      <c r="B55" s="2" t="s">
        <v>73</v>
      </c>
      <c r="C55" s="2" t="s">
        <v>113</v>
      </c>
      <c r="D55" s="105" t="s">
        <v>114</v>
      </c>
      <c r="E55" s="99"/>
      <c r="F55" s="2" t="s">
        <v>35</v>
      </c>
      <c r="G55" s="19">
        <f>'Rozpočet - vybrané sloupce'!J54</f>
        <v>7</v>
      </c>
      <c r="H55" s="19">
        <f>'Rozpočet - vybrané sloupce'!K54</f>
        <v>0</v>
      </c>
      <c r="I55" s="87" t="s">
        <v>489</v>
      </c>
      <c r="J55" s="19">
        <f t="shared" si="26"/>
        <v>0</v>
      </c>
      <c r="K55" s="19">
        <f t="shared" si="27"/>
        <v>0</v>
      </c>
      <c r="L55" s="19">
        <f t="shared" si="28"/>
        <v>0</v>
      </c>
      <c r="M55" s="19">
        <f t="shared" si="29"/>
        <v>0</v>
      </c>
      <c r="N55" s="19">
        <v>0</v>
      </c>
      <c r="O55" s="19">
        <f t="shared" si="30"/>
        <v>0</v>
      </c>
      <c r="P55" s="88" t="s">
        <v>490</v>
      </c>
      <c r="Z55" s="19">
        <f t="shared" si="31"/>
        <v>0</v>
      </c>
      <c r="AB55" s="19">
        <f t="shared" si="32"/>
        <v>0</v>
      </c>
      <c r="AC55" s="19">
        <f t="shared" si="33"/>
        <v>0</v>
      </c>
      <c r="AD55" s="19">
        <f t="shared" si="34"/>
        <v>0</v>
      </c>
      <c r="AE55" s="19">
        <f t="shared" si="35"/>
        <v>0</v>
      </c>
      <c r="AF55" s="19">
        <f t="shared" si="36"/>
        <v>0</v>
      </c>
      <c r="AG55" s="19">
        <f t="shared" si="37"/>
        <v>0</v>
      </c>
      <c r="AH55" s="19">
        <f t="shared" si="38"/>
        <v>0</v>
      </c>
      <c r="AI55" s="16" t="s">
        <v>73</v>
      </c>
      <c r="AJ55" s="19">
        <f t="shared" si="39"/>
        <v>0</v>
      </c>
      <c r="AK55" s="19">
        <f t="shared" si="40"/>
        <v>0</v>
      </c>
      <c r="AL55" s="19">
        <f t="shared" si="41"/>
        <v>0</v>
      </c>
      <c r="AN55" s="19">
        <v>12</v>
      </c>
      <c r="AO55" s="19">
        <f>H55*0.999876329</f>
        <v>0</v>
      </c>
      <c r="AP55" s="19">
        <f>H55*(1-0.999876329)</f>
        <v>0</v>
      </c>
      <c r="AQ55" s="87" t="s">
        <v>491</v>
      </c>
      <c r="AV55" s="19">
        <f t="shared" si="42"/>
        <v>0</v>
      </c>
      <c r="AW55" s="19">
        <f t="shared" si="43"/>
        <v>0</v>
      </c>
      <c r="AX55" s="19">
        <f t="shared" si="44"/>
        <v>0</v>
      </c>
      <c r="AY55" s="87" t="s">
        <v>515</v>
      </c>
      <c r="AZ55" s="87" t="s">
        <v>516</v>
      </c>
      <c r="BA55" s="16" t="s">
        <v>517</v>
      </c>
      <c r="BC55" s="19">
        <f t="shared" si="45"/>
        <v>0</v>
      </c>
      <c r="BD55" s="19">
        <f t="shared" si="46"/>
        <v>0</v>
      </c>
      <c r="BE55" s="19">
        <v>0</v>
      </c>
      <c r="BF55" s="19">
        <f t="shared" si="47"/>
        <v>0</v>
      </c>
      <c r="BH55" s="19">
        <f t="shared" si="48"/>
        <v>0</v>
      </c>
      <c r="BI55" s="19">
        <f t="shared" si="49"/>
        <v>0</v>
      </c>
      <c r="BJ55" s="19">
        <f t="shared" si="50"/>
        <v>0</v>
      </c>
      <c r="BK55" s="19"/>
      <c r="BL55" s="19">
        <v>722</v>
      </c>
      <c r="BW55" s="19" t="str">
        <f t="shared" si="51"/>
        <v>12</v>
      </c>
      <c r="BX55" s="4" t="s">
        <v>114</v>
      </c>
    </row>
    <row r="56" spans="1:76" x14ac:dyDescent="0.25">
      <c r="A56" s="1" t="s">
        <v>535</v>
      </c>
      <c r="B56" s="2" t="s">
        <v>73</v>
      </c>
      <c r="C56" s="2" t="s">
        <v>115</v>
      </c>
      <c r="D56" s="105" t="s">
        <v>116</v>
      </c>
      <c r="E56" s="99"/>
      <c r="F56" s="2" t="s">
        <v>35</v>
      </c>
      <c r="G56" s="19">
        <f>'Rozpočet - vybrané sloupce'!J55</f>
        <v>11</v>
      </c>
      <c r="H56" s="19">
        <f>'Rozpočet - vybrané sloupce'!K55</f>
        <v>0</v>
      </c>
      <c r="I56" s="87" t="s">
        <v>489</v>
      </c>
      <c r="J56" s="19">
        <f t="shared" si="26"/>
        <v>0</v>
      </c>
      <c r="K56" s="19">
        <f t="shared" si="27"/>
        <v>0</v>
      </c>
      <c r="L56" s="19">
        <f t="shared" si="28"/>
        <v>0</v>
      </c>
      <c r="M56" s="19">
        <f t="shared" si="29"/>
        <v>0</v>
      </c>
      <c r="N56" s="19">
        <v>2.4000000000000001E-4</v>
      </c>
      <c r="O56" s="19">
        <f t="shared" si="30"/>
        <v>2.64E-3</v>
      </c>
      <c r="P56" s="88" t="s">
        <v>490</v>
      </c>
      <c r="Z56" s="19">
        <f t="shared" si="31"/>
        <v>0</v>
      </c>
      <c r="AB56" s="19">
        <f t="shared" si="32"/>
        <v>0</v>
      </c>
      <c r="AC56" s="19">
        <f t="shared" si="33"/>
        <v>0</v>
      </c>
      <c r="AD56" s="19">
        <f t="shared" si="34"/>
        <v>0</v>
      </c>
      <c r="AE56" s="19">
        <f t="shared" si="35"/>
        <v>0</v>
      </c>
      <c r="AF56" s="19">
        <f t="shared" si="36"/>
        <v>0</v>
      </c>
      <c r="AG56" s="19">
        <f t="shared" si="37"/>
        <v>0</v>
      </c>
      <c r="AH56" s="19">
        <f t="shared" si="38"/>
        <v>0</v>
      </c>
      <c r="AI56" s="16" t="s">
        <v>73</v>
      </c>
      <c r="AJ56" s="19">
        <f t="shared" si="39"/>
        <v>0</v>
      </c>
      <c r="AK56" s="19">
        <f t="shared" si="40"/>
        <v>0</v>
      </c>
      <c r="AL56" s="19">
        <f t="shared" si="41"/>
        <v>0</v>
      </c>
      <c r="AN56" s="19">
        <v>12</v>
      </c>
      <c r="AO56" s="19">
        <f>H56*0.747753977</f>
        <v>0</v>
      </c>
      <c r="AP56" s="19">
        <f>H56*(1-0.747753977)</f>
        <v>0</v>
      </c>
      <c r="AQ56" s="87" t="s">
        <v>491</v>
      </c>
      <c r="AV56" s="19">
        <f t="shared" si="42"/>
        <v>0</v>
      </c>
      <c r="AW56" s="19">
        <f t="shared" si="43"/>
        <v>0</v>
      </c>
      <c r="AX56" s="19">
        <f t="shared" si="44"/>
        <v>0</v>
      </c>
      <c r="AY56" s="87" t="s">
        <v>515</v>
      </c>
      <c r="AZ56" s="87" t="s">
        <v>516</v>
      </c>
      <c r="BA56" s="16" t="s">
        <v>517</v>
      </c>
      <c r="BC56" s="19">
        <f t="shared" si="45"/>
        <v>0</v>
      </c>
      <c r="BD56" s="19">
        <f t="shared" si="46"/>
        <v>0</v>
      </c>
      <c r="BE56" s="19">
        <v>0</v>
      </c>
      <c r="BF56" s="19">
        <f t="shared" si="47"/>
        <v>2.64E-3</v>
      </c>
      <c r="BH56" s="19">
        <f t="shared" si="48"/>
        <v>0</v>
      </c>
      <c r="BI56" s="19">
        <f t="shared" si="49"/>
        <v>0</v>
      </c>
      <c r="BJ56" s="19">
        <f t="shared" si="50"/>
        <v>0</v>
      </c>
      <c r="BK56" s="19"/>
      <c r="BL56" s="19">
        <v>722</v>
      </c>
      <c r="BW56" s="19" t="str">
        <f t="shared" si="51"/>
        <v>12</v>
      </c>
      <c r="BX56" s="4" t="s">
        <v>116</v>
      </c>
    </row>
    <row r="57" spans="1:76" x14ac:dyDescent="0.25">
      <c r="A57" s="1" t="s">
        <v>536</v>
      </c>
      <c r="B57" s="2" t="s">
        <v>73</v>
      </c>
      <c r="C57" s="2" t="s">
        <v>117</v>
      </c>
      <c r="D57" s="105" t="s">
        <v>118</v>
      </c>
      <c r="E57" s="99"/>
      <c r="F57" s="2" t="s">
        <v>35</v>
      </c>
      <c r="G57" s="19">
        <f>'Rozpočet - vybrané sloupce'!J56</f>
        <v>1</v>
      </c>
      <c r="H57" s="19">
        <f>'Rozpočet - vybrané sloupce'!K56</f>
        <v>0</v>
      </c>
      <c r="I57" s="87" t="s">
        <v>489</v>
      </c>
      <c r="J57" s="19">
        <f t="shared" si="26"/>
        <v>0</v>
      </c>
      <c r="K57" s="19">
        <f t="shared" si="27"/>
        <v>0</v>
      </c>
      <c r="L57" s="19">
        <f t="shared" si="28"/>
        <v>0</v>
      </c>
      <c r="M57" s="19">
        <f t="shared" si="29"/>
        <v>0</v>
      </c>
      <c r="N57" s="19">
        <v>6.0999999999999997E-4</v>
      </c>
      <c r="O57" s="19">
        <f t="shared" si="30"/>
        <v>6.0999999999999997E-4</v>
      </c>
      <c r="P57" s="88" t="s">
        <v>490</v>
      </c>
      <c r="Z57" s="19">
        <f t="shared" si="31"/>
        <v>0</v>
      </c>
      <c r="AB57" s="19">
        <f t="shared" si="32"/>
        <v>0</v>
      </c>
      <c r="AC57" s="19">
        <f t="shared" si="33"/>
        <v>0</v>
      </c>
      <c r="AD57" s="19">
        <f t="shared" si="34"/>
        <v>0</v>
      </c>
      <c r="AE57" s="19">
        <f t="shared" si="35"/>
        <v>0</v>
      </c>
      <c r="AF57" s="19">
        <f t="shared" si="36"/>
        <v>0</v>
      </c>
      <c r="AG57" s="19">
        <f t="shared" si="37"/>
        <v>0</v>
      </c>
      <c r="AH57" s="19">
        <f t="shared" si="38"/>
        <v>0</v>
      </c>
      <c r="AI57" s="16" t="s">
        <v>73</v>
      </c>
      <c r="AJ57" s="19">
        <f t="shared" si="39"/>
        <v>0</v>
      </c>
      <c r="AK57" s="19">
        <f t="shared" si="40"/>
        <v>0</v>
      </c>
      <c r="AL57" s="19">
        <f t="shared" si="41"/>
        <v>0</v>
      </c>
      <c r="AN57" s="19">
        <v>12</v>
      </c>
      <c r="AO57" s="19">
        <f>H57*0.831615479</f>
        <v>0</v>
      </c>
      <c r="AP57" s="19">
        <f>H57*(1-0.831615479)</f>
        <v>0</v>
      </c>
      <c r="AQ57" s="87" t="s">
        <v>491</v>
      </c>
      <c r="AV57" s="19">
        <f t="shared" si="42"/>
        <v>0</v>
      </c>
      <c r="AW57" s="19">
        <f t="shared" si="43"/>
        <v>0</v>
      </c>
      <c r="AX57" s="19">
        <f t="shared" si="44"/>
        <v>0</v>
      </c>
      <c r="AY57" s="87" t="s">
        <v>515</v>
      </c>
      <c r="AZ57" s="87" t="s">
        <v>516</v>
      </c>
      <c r="BA57" s="16" t="s">
        <v>517</v>
      </c>
      <c r="BC57" s="19">
        <f t="shared" si="45"/>
        <v>0</v>
      </c>
      <c r="BD57" s="19">
        <f t="shared" si="46"/>
        <v>0</v>
      </c>
      <c r="BE57" s="19">
        <v>0</v>
      </c>
      <c r="BF57" s="19">
        <f t="shared" si="47"/>
        <v>6.0999999999999997E-4</v>
      </c>
      <c r="BH57" s="19">
        <f t="shared" si="48"/>
        <v>0</v>
      </c>
      <c r="BI57" s="19">
        <f t="shared" si="49"/>
        <v>0</v>
      </c>
      <c r="BJ57" s="19">
        <f t="shared" si="50"/>
        <v>0</v>
      </c>
      <c r="BK57" s="19"/>
      <c r="BL57" s="19">
        <v>722</v>
      </c>
      <c r="BW57" s="19" t="str">
        <f t="shared" si="51"/>
        <v>12</v>
      </c>
      <c r="BX57" s="4" t="s">
        <v>118</v>
      </c>
    </row>
    <row r="58" spans="1:76" x14ac:dyDescent="0.25">
      <c r="A58" s="1" t="s">
        <v>537</v>
      </c>
      <c r="B58" s="2" t="s">
        <v>73</v>
      </c>
      <c r="C58" s="2" t="s">
        <v>119</v>
      </c>
      <c r="D58" s="105" t="s">
        <v>120</v>
      </c>
      <c r="E58" s="99"/>
      <c r="F58" s="2" t="s">
        <v>35</v>
      </c>
      <c r="G58" s="19">
        <f>'Rozpočet - vybrané sloupce'!J57</f>
        <v>7</v>
      </c>
      <c r="H58" s="19">
        <f>'Rozpočet - vybrané sloupce'!K57</f>
        <v>0</v>
      </c>
      <c r="I58" s="87" t="s">
        <v>489</v>
      </c>
      <c r="J58" s="19">
        <f t="shared" si="26"/>
        <v>0</v>
      </c>
      <c r="K58" s="19">
        <f t="shared" si="27"/>
        <v>0</v>
      </c>
      <c r="L58" s="19">
        <f t="shared" si="28"/>
        <v>0</v>
      </c>
      <c r="M58" s="19">
        <f t="shared" si="29"/>
        <v>0</v>
      </c>
      <c r="N58" s="19">
        <v>8.8999999999999995E-4</v>
      </c>
      <c r="O58" s="19">
        <f t="shared" si="30"/>
        <v>6.2299999999999994E-3</v>
      </c>
      <c r="P58" s="88" t="s">
        <v>490</v>
      </c>
      <c r="Z58" s="19">
        <f t="shared" si="31"/>
        <v>0</v>
      </c>
      <c r="AB58" s="19">
        <f t="shared" si="32"/>
        <v>0</v>
      </c>
      <c r="AC58" s="19">
        <f t="shared" si="33"/>
        <v>0</v>
      </c>
      <c r="AD58" s="19">
        <f t="shared" si="34"/>
        <v>0</v>
      </c>
      <c r="AE58" s="19">
        <f t="shared" si="35"/>
        <v>0</v>
      </c>
      <c r="AF58" s="19">
        <f t="shared" si="36"/>
        <v>0</v>
      </c>
      <c r="AG58" s="19">
        <f t="shared" si="37"/>
        <v>0</v>
      </c>
      <c r="AH58" s="19">
        <f t="shared" si="38"/>
        <v>0</v>
      </c>
      <c r="AI58" s="16" t="s">
        <v>73</v>
      </c>
      <c r="AJ58" s="19">
        <f t="shared" si="39"/>
        <v>0</v>
      </c>
      <c r="AK58" s="19">
        <f t="shared" si="40"/>
        <v>0</v>
      </c>
      <c r="AL58" s="19">
        <f t="shared" si="41"/>
        <v>0</v>
      </c>
      <c r="AN58" s="19">
        <v>12</v>
      </c>
      <c r="AO58" s="19">
        <f>H58*0.856624116</f>
        <v>0</v>
      </c>
      <c r="AP58" s="19">
        <f>H58*(1-0.856624116)</f>
        <v>0</v>
      </c>
      <c r="AQ58" s="87" t="s">
        <v>491</v>
      </c>
      <c r="AV58" s="19">
        <f t="shared" si="42"/>
        <v>0</v>
      </c>
      <c r="AW58" s="19">
        <f t="shared" si="43"/>
        <v>0</v>
      </c>
      <c r="AX58" s="19">
        <f t="shared" si="44"/>
        <v>0</v>
      </c>
      <c r="AY58" s="87" t="s">
        <v>515</v>
      </c>
      <c r="AZ58" s="87" t="s">
        <v>516</v>
      </c>
      <c r="BA58" s="16" t="s">
        <v>517</v>
      </c>
      <c r="BC58" s="19">
        <f t="shared" si="45"/>
        <v>0</v>
      </c>
      <c r="BD58" s="19">
        <f t="shared" si="46"/>
        <v>0</v>
      </c>
      <c r="BE58" s="19">
        <v>0</v>
      </c>
      <c r="BF58" s="19">
        <f t="shared" si="47"/>
        <v>6.2299999999999994E-3</v>
      </c>
      <c r="BH58" s="19">
        <f t="shared" si="48"/>
        <v>0</v>
      </c>
      <c r="BI58" s="19">
        <f t="shared" si="49"/>
        <v>0</v>
      </c>
      <c r="BJ58" s="19">
        <f t="shared" si="50"/>
        <v>0</v>
      </c>
      <c r="BK58" s="19"/>
      <c r="BL58" s="19">
        <v>722</v>
      </c>
      <c r="BW58" s="19" t="str">
        <f t="shared" si="51"/>
        <v>12</v>
      </c>
      <c r="BX58" s="4" t="s">
        <v>120</v>
      </c>
    </row>
    <row r="59" spans="1:76" x14ac:dyDescent="0.25">
      <c r="A59" s="1" t="s">
        <v>538</v>
      </c>
      <c r="B59" s="2" t="s">
        <v>73</v>
      </c>
      <c r="C59" s="2" t="s">
        <v>121</v>
      </c>
      <c r="D59" s="105" t="s">
        <v>122</v>
      </c>
      <c r="E59" s="99"/>
      <c r="F59" s="2" t="s">
        <v>35</v>
      </c>
      <c r="G59" s="19">
        <f>'Rozpočet - vybrané sloupce'!J58</f>
        <v>2</v>
      </c>
      <c r="H59" s="19">
        <f>'Rozpočet - vybrané sloupce'!K58</f>
        <v>0</v>
      </c>
      <c r="I59" s="87" t="s">
        <v>489</v>
      </c>
      <c r="J59" s="19">
        <f t="shared" si="26"/>
        <v>0</v>
      </c>
      <c r="K59" s="19">
        <f t="shared" si="27"/>
        <v>0</v>
      </c>
      <c r="L59" s="19">
        <f t="shared" si="28"/>
        <v>0</v>
      </c>
      <c r="M59" s="19">
        <f t="shared" si="29"/>
        <v>0</v>
      </c>
      <c r="N59" s="19">
        <v>1.2999999999999999E-3</v>
      </c>
      <c r="O59" s="19">
        <f t="shared" si="30"/>
        <v>2.5999999999999999E-3</v>
      </c>
      <c r="P59" s="88" t="s">
        <v>490</v>
      </c>
      <c r="Z59" s="19">
        <f t="shared" si="31"/>
        <v>0</v>
      </c>
      <c r="AB59" s="19">
        <f t="shared" si="32"/>
        <v>0</v>
      </c>
      <c r="AC59" s="19">
        <f t="shared" si="33"/>
        <v>0</v>
      </c>
      <c r="AD59" s="19">
        <f t="shared" si="34"/>
        <v>0</v>
      </c>
      <c r="AE59" s="19">
        <f t="shared" si="35"/>
        <v>0</v>
      </c>
      <c r="AF59" s="19">
        <f t="shared" si="36"/>
        <v>0</v>
      </c>
      <c r="AG59" s="19">
        <f t="shared" si="37"/>
        <v>0</v>
      </c>
      <c r="AH59" s="19">
        <f t="shared" si="38"/>
        <v>0</v>
      </c>
      <c r="AI59" s="16" t="s">
        <v>73</v>
      </c>
      <c r="AJ59" s="19">
        <f t="shared" si="39"/>
        <v>0</v>
      </c>
      <c r="AK59" s="19">
        <f t="shared" si="40"/>
        <v>0</v>
      </c>
      <c r="AL59" s="19">
        <f t="shared" si="41"/>
        <v>0</v>
      </c>
      <c r="AN59" s="19">
        <v>12</v>
      </c>
      <c r="AO59" s="19">
        <f>H59*0.878238355</f>
        <v>0</v>
      </c>
      <c r="AP59" s="19">
        <f>H59*(1-0.878238355)</f>
        <v>0</v>
      </c>
      <c r="AQ59" s="87" t="s">
        <v>491</v>
      </c>
      <c r="AV59" s="19">
        <f t="shared" si="42"/>
        <v>0</v>
      </c>
      <c r="AW59" s="19">
        <f t="shared" si="43"/>
        <v>0</v>
      </c>
      <c r="AX59" s="19">
        <f t="shared" si="44"/>
        <v>0</v>
      </c>
      <c r="AY59" s="87" t="s">
        <v>515</v>
      </c>
      <c r="AZ59" s="87" t="s">
        <v>516</v>
      </c>
      <c r="BA59" s="16" t="s">
        <v>517</v>
      </c>
      <c r="BC59" s="19">
        <f t="shared" si="45"/>
        <v>0</v>
      </c>
      <c r="BD59" s="19">
        <f t="shared" si="46"/>
        <v>0</v>
      </c>
      <c r="BE59" s="19">
        <v>0</v>
      </c>
      <c r="BF59" s="19">
        <f t="shared" si="47"/>
        <v>2.5999999999999999E-3</v>
      </c>
      <c r="BH59" s="19">
        <f t="shared" si="48"/>
        <v>0</v>
      </c>
      <c r="BI59" s="19">
        <f t="shared" si="49"/>
        <v>0</v>
      </c>
      <c r="BJ59" s="19">
        <f t="shared" si="50"/>
        <v>0</v>
      </c>
      <c r="BK59" s="19"/>
      <c r="BL59" s="19">
        <v>722</v>
      </c>
      <c r="BW59" s="19" t="str">
        <f t="shared" si="51"/>
        <v>12</v>
      </c>
      <c r="BX59" s="4" t="s">
        <v>122</v>
      </c>
    </row>
    <row r="60" spans="1:76" x14ac:dyDescent="0.25">
      <c r="A60" s="1" t="s">
        <v>539</v>
      </c>
      <c r="B60" s="2" t="s">
        <v>73</v>
      </c>
      <c r="C60" s="2" t="s">
        <v>123</v>
      </c>
      <c r="D60" s="105" t="s">
        <v>124</v>
      </c>
      <c r="E60" s="99"/>
      <c r="F60" s="2" t="s">
        <v>35</v>
      </c>
      <c r="G60" s="19">
        <f>'Rozpočet - vybrané sloupce'!J59</f>
        <v>12</v>
      </c>
      <c r="H60" s="19">
        <f>'Rozpočet - vybrané sloupce'!K59</f>
        <v>0</v>
      </c>
      <c r="I60" s="87" t="s">
        <v>489</v>
      </c>
      <c r="J60" s="19">
        <f t="shared" si="26"/>
        <v>0</v>
      </c>
      <c r="K60" s="19">
        <f t="shared" si="27"/>
        <v>0</v>
      </c>
      <c r="L60" s="19">
        <f t="shared" si="28"/>
        <v>0</v>
      </c>
      <c r="M60" s="19">
        <f t="shared" si="29"/>
        <v>0</v>
      </c>
      <c r="N60" s="19">
        <v>4.0000000000000002E-4</v>
      </c>
      <c r="O60" s="19">
        <f t="shared" si="30"/>
        <v>4.8000000000000004E-3</v>
      </c>
      <c r="P60" s="88" t="s">
        <v>490</v>
      </c>
      <c r="Z60" s="19">
        <f t="shared" si="31"/>
        <v>0</v>
      </c>
      <c r="AB60" s="19">
        <f t="shared" si="32"/>
        <v>0</v>
      </c>
      <c r="AC60" s="19">
        <f t="shared" si="33"/>
        <v>0</v>
      </c>
      <c r="AD60" s="19">
        <f t="shared" si="34"/>
        <v>0</v>
      </c>
      <c r="AE60" s="19">
        <f t="shared" si="35"/>
        <v>0</v>
      </c>
      <c r="AF60" s="19">
        <f t="shared" si="36"/>
        <v>0</v>
      </c>
      <c r="AG60" s="19">
        <f t="shared" si="37"/>
        <v>0</v>
      </c>
      <c r="AH60" s="19">
        <f t="shared" si="38"/>
        <v>0</v>
      </c>
      <c r="AI60" s="16" t="s">
        <v>73</v>
      </c>
      <c r="AJ60" s="19">
        <f t="shared" si="39"/>
        <v>0</v>
      </c>
      <c r="AK60" s="19">
        <f t="shared" si="40"/>
        <v>0</v>
      </c>
      <c r="AL60" s="19">
        <f t="shared" si="41"/>
        <v>0</v>
      </c>
      <c r="AN60" s="19">
        <v>12</v>
      </c>
      <c r="AO60" s="19">
        <f>H60*0.826227115</f>
        <v>0</v>
      </c>
      <c r="AP60" s="19">
        <f>H60*(1-0.826227115)</f>
        <v>0</v>
      </c>
      <c r="AQ60" s="87" t="s">
        <v>491</v>
      </c>
      <c r="AV60" s="19">
        <f t="shared" si="42"/>
        <v>0</v>
      </c>
      <c r="AW60" s="19">
        <f t="shared" si="43"/>
        <v>0</v>
      </c>
      <c r="AX60" s="19">
        <f t="shared" si="44"/>
        <v>0</v>
      </c>
      <c r="AY60" s="87" t="s">
        <v>515</v>
      </c>
      <c r="AZ60" s="87" t="s">
        <v>516</v>
      </c>
      <c r="BA60" s="16" t="s">
        <v>517</v>
      </c>
      <c r="BC60" s="19">
        <f t="shared" si="45"/>
        <v>0</v>
      </c>
      <c r="BD60" s="19">
        <f t="shared" si="46"/>
        <v>0</v>
      </c>
      <c r="BE60" s="19">
        <v>0</v>
      </c>
      <c r="BF60" s="19">
        <f t="shared" si="47"/>
        <v>4.8000000000000004E-3</v>
      </c>
      <c r="BH60" s="19">
        <f t="shared" si="48"/>
        <v>0</v>
      </c>
      <c r="BI60" s="19">
        <f t="shared" si="49"/>
        <v>0</v>
      </c>
      <c r="BJ60" s="19">
        <f t="shared" si="50"/>
        <v>0</v>
      </c>
      <c r="BK60" s="19"/>
      <c r="BL60" s="19">
        <v>722</v>
      </c>
      <c r="BW60" s="19" t="str">
        <f t="shared" si="51"/>
        <v>12</v>
      </c>
      <c r="BX60" s="4" t="s">
        <v>124</v>
      </c>
    </row>
    <row r="61" spans="1:76" x14ac:dyDescent="0.25">
      <c r="A61" s="1" t="s">
        <v>540</v>
      </c>
      <c r="B61" s="2" t="s">
        <v>73</v>
      </c>
      <c r="C61" s="2" t="s">
        <v>125</v>
      </c>
      <c r="D61" s="105" t="s">
        <v>126</v>
      </c>
      <c r="E61" s="99"/>
      <c r="F61" s="2" t="s">
        <v>35</v>
      </c>
      <c r="G61" s="19">
        <f>'Rozpočet - vybrané sloupce'!J60</f>
        <v>3</v>
      </c>
      <c r="H61" s="19">
        <f>'Rozpočet - vybrané sloupce'!K60</f>
        <v>0</v>
      </c>
      <c r="I61" s="87" t="s">
        <v>489</v>
      </c>
      <c r="J61" s="19">
        <f t="shared" si="26"/>
        <v>0</v>
      </c>
      <c r="K61" s="19">
        <f t="shared" si="27"/>
        <v>0</v>
      </c>
      <c r="L61" s="19">
        <f t="shared" si="28"/>
        <v>0</v>
      </c>
      <c r="M61" s="19">
        <f t="shared" si="29"/>
        <v>0</v>
      </c>
      <c r="N61" s="19">
        <v>0</v>
      </c>
      <c r="O61" s="19">
        <f t="shared" si="30"/>
        <v>0</v>
      </c>
      <c r="P61" s="88" t="s">
        <v>490</v>
      </c>
      <c r="Z61" s="19">
        <f t="shared" si="31"/>
        <v>0</v>
      </c>
      <c r="AB61" s="19">
        <f t="shared" si="32"/>
        <v>0</v>
      </c>
      <c r="AC61" s="19">
        <f t="shared" si="33"/>
        <v>0</v>
      </c>
      <c r="AD61" s="19">
        <f t="shared" si="34"/>
        <v>0</v>
      </c>
      <c r="AE61" s="19">
        <f t="shared" si="35"/>
        <v>0</v>
      </c>
      <c r="AF61" s="19">
        <f t="shared" si="36"/>
        <v>0</v>
      </c>
      <c r="AG61" s="19">
        <f t="shared" si="37"/>
        <v>0</v>
      </c>
      <c r="AH61" s="19">
        <f t="shared" si="38"/>
        <v>0</v>
      </c>
      <c r="AI61" s="16" t="s">
        <v>73</v>
      </c>
      <c r="AJ61" s="19">
        <f t="shared" si="39"/>
        <v>0</v>
      </c>
      <c r="AK61" s="19">
        <f t="shared" si="40"/>
        <v>0</v>
      </c>
      <c r="AL61" s="19">
        <f t="shared" si="41"/>
        <v>0</v>
      </c>
      <c r="AN61" s="19">
        <v>12</v>
      </c>
      <c r="AO61" s="19">
        <f>H61*0.03970418</f>
        <v>0</v>
      </c>
      <c r="AP61" s="19">
        <f>H61*(1-0.03970418)</f>
        <v>0</v>
      </c>
      <c r="AQ61" s="87" t="s">
        <v>491</v>
      </c>
      <c r="AV61" s="19">
        <f t="shared" si="42"/>
        <v>0</v>
      </c>
      <c r="AW61" s="19">
        <f t="shared" si="43"/>
        <v>0</v>
      </c>
      <c r="AX61" s="19">
        <f t="shared" si="44"/>
        <v>0</v>
      </c>
      <c r="AY61" s="87" t="s">
        <v>515</v>
      </c>
      <c r="AZ61" s="87" t="s">
        <v>516</v>
      </c>
      <c r="BA61" s="16" t="s">
        <v>517</v>
      </c>
      <c r="BC61" s="19">
        <f t="shared" si="45"/>
        <v>0</v>
      </c>
      <c r="BD61" s="19">
        <f t="shared" si="46"/>
        <v>0</v>
      </c>
      <c r="BE61" s="19">
        <v>0</v>
      </c>
      <c r="BF61" s="19">
        <f t="shared" si="47"/>
        <v>0</v>
      </c>
      <c r="BH61" s="19">
        <f t="shared" si="48"/>
        <v>0</v>
      </c>
      <c r="BI61" s="19">
        <f t="shared" si="49"/>
        <v>0</v>
      </c>
      <c r="BJ61" s="19">
        <f t="shared" si="50"/>
        <v>0</v>
      </c>
      <c r="BK61" s="19"/>
      <c r="BL61" s="19">
        <v>722</v>
      </c>
      <c r="BW61" s="19" t="str">
        <f t="shared" si="51"/>
        <v>12</v>
      </c>
      <c r="BX61" s="4" t="s">
        <v>126</v>
      </c>
    </row>
    <row r="62" spans="1:76" x14ac:dyDescent="0.25">
      <c r="A62" s="1" t="s">
        <v>541</v>
      </c>
      <c r="B62" s="2" t="s">
        <v>73</v>
      </c>
      <c r="C62" s="2" t="s">
        <v>127</v>
      </c>
      <c r="D62" s="105" t="s">
        <v>128</v>
      </c>
      <c r="E62" s="99"/>
      <c r="F62" s="2" t="s">
        <v>35</v>
      </c>
      <c r="G62" s="19">
        <f>'Rozpočet - vybrané sloupce'!J61</f>
        <v>3</v>
      </c>
      <c r="H62" s="19">
        <f>'Rozpočet - vybrané sloupce'!K61</f>
        <v>0</v>
      </c>
      <c r="I62" s="87" t="s">
        <v>489</v>
      </c>
      <c r="J62" s="19">
        <f t="shared" si="26"/>
        <v>0</v>
      </c>
      <c r="K62" s="19">
        <f t="shared" si="27"/>
        <v>0</v>
      </c>
      <c r="L62" s="19">
        <f t="shared" si="28"/>
        <v>0</v>
      </c>
      <c r="M62" s="19">
        <f t="shared" si="29"/>
        <v>0</v>
      </c>
      <c r="N62" s="19">
        <v>0</v>
      </c>
      <c r="O62" s="19">
        <f t="shared" si="30"/>
        <v>0</v>
      </c>
      <c r="P62" s="88" t="s">
        <v>490</v>
      </c>
      <c r="Z62" s="19">
        <f t="shared" si="31"/>
        <v>0</v>
      </c>
      <c r="AB62" s="19">
        <f t="shared" si="32"/>
        <v>0</v>
      </c>
      <c r="AC62" s="19">
        <f t="shared" si="33"/>
        <v>0</v>
      </c>
      <c r="AD62" s="19">
        <f t="shared" si="34"/>
        <v>0</v>
      </c>
      <c r="AE62" s="19">
        <f t="shared" si="35"/>
        <v>0</v>
      </c>
      <c r="AF62" s="19">
        <f t="shared" si="36"/>
        <v>0</v>
      </c>
      <c r="AG62" s="19">
        <f t="shared" si="37"/>
        <v>0</v>
      </c>
      <c r="AH62" s="19">
        <f t="shared" si="38"/>
        <v>0</v>
      </c>
      <c r="AI62" s="16" t="s">
        <v>73</v>
      </c>
      <c r="AJ62" s="19">
        <f t="shared" si="39"/>
        <v>0</v>
      </c>
      <c r="AK62" s="19">
        <f t="shared" si="40"/>
        <v>0</v>
      </c>
      <c r="AL62" s="19">
        <f t="shared" si="41"/>
        <v>0</v>
      </c>
      <c r="AN62" s="19">
        <v>12</v>
      </c>
      <c r="AO62" s="19">
        <f>H62*1</f>
        <v>0</v>
      </c>
      <c r="AP62" s="19">
        <f>H62*(1-1)</f>
        <v>0</v>
      </c>
      <c r="AQ62" s="87" t="s">
        <v>491</v>
      </c>
      <c r="AV62" s="19">
        <f t="shared" si="42"/>
        <v>0</v>
      </c>
      <c r="AW62" s="19">
        <f t="shared" si="43"/>
        <v>0</v>
      </c>
      <c r="AX62" s="19">
        <f t="shared" si="44"/>
        <v>0</v>
      </c>
      <c r="AY62" s="87" t="s">
        <v>515</v>
      </c>
      <c r="AZ62" s="87" t="s">
        <v>516</v>
      </c>
      <c r="BA62" s="16" t="s">
        <v>517</v>
      </c>
      <c r="BC62" s="19">
        <f t="shared" si="45"/>
        <v>0</v>
      </c>
      <c r="BD62" s="19">
        <f t="shared" si="46"/>
        <v>0</v>
      </c>
      <c r="BE62" s="19">
        <v>0</v>
      </c>
      <c r="BF62" s="19">
        <f t="shared" si="47"/>
        <v>0</v>
      </c>
      <c r="BH62" s="19">
        <f t="shared" si="48"/>
        <v>0</v>
      </c>
      <c r="BI62" s="19">
        <f t="shared" si="49"/>
        <v>0</v>
      </c>
      <c r="BJ62" s="19">
        <f t="shared" si="50"/>
        <v>0</v>
      </c>
      <c r="BK62" s="19"/>
      <c r="BL62" s="19">
        <v>722</v>
      </c>
      <c r="BW62" s="19" t="str">
        <f t="shared" si="51"/>
        <v>12</v>
      </c>
      <c r="BX62" s="4" t="s">
        <v>128</v>
      </c>
    </row>
    <row r="63" spans="1:76" x14ac:dyDescent="0.25">
      <c r="A63" s="1" t="s">
        <v>542</v>
      </c>
      <c r="B63" s="2" t="s">
        <v>73</v>
      </c>
      <c r="C63" s="2" t="s">
        <v>130</v>
      </c>
      <c r="D63" s="105" t="s">
        <v>131</v>
      </c>
      <c r="E63" s="99"/>
      <c r="F63" s="2" t="s">
        <v>35</v>
      </c>
      <c r="G63" s="19">
        <f>'Rozpočet - vybrané sloupce'!J62</f>
        <v>1</v>
      </c>
      <c r="H63" s="19">
        <f>'Rozpočet - vybrané sloupce'!K62</f>
        <v>0</v>
      </c>
      <c r="I63" s="87" t="s">
        <v>489</v>
      </c>
      <c r="J63" s="19">
        <f t="shared" si="26"/>
        <v>0</v>
      </c>
      <c r="K63" s="19">
        <f t="shared" si="27"/>
        <v>0</v>
      </c>
      <c r="L63" s="19">
        <f t="shared" si="28"/>
        <v>0</v>
      </c>
      <c r="M63" s="19">
        <f t="shared" si="29"/>
        <v>0</v>
      </c>
      <c r="N63" s="19">
        <v>0</v>
      </c>
      <c r="O63" s="19">
        <f t="shared" si="30"/>
        <v>0</v>
      </c>
      <c r="P63" s="88" t="s">
        <v>490</v>
      </c>
      <c r="Z63" s="19">
        <f t="shared" si="31"/>
        <v>0</v>
      </c>
      <c r="AB63" s="19">
        <f t="shared" si="32"/>
        <v>0</v>
      </c>
      <c r="AC63" s="19">
        <f t="shared" si="33"/>
        <v>0</v>
      </c>
      <c r="AD63" s="19">
        <f t="shared" si="34"/>
        <v>0</v>
      </c>
      <c r="AE63" s="19">
        <f t="shared" si="35"/>
        <v>0</v>
      </c>
      <c r="AF63" s="19">
        <f t="shared" si="36"/>
        <v>0</v>
      </c>
      <c r="AG63" s="19">
        <f t="shared" si="37"/>
        <v>0</v>
      </c>
      <c r="AH63" s="19">
        <f t="shared" si="38"/>
        <v>0</v>
      </c>
      <c r="AI63" s="16" t="s">
        <v>73</v>
      </c>
      <c r="AJ63" s="19">
        <f t="shared" si="39"/>
        <v>0</v>
      </c>
      <c r="AK63" s="19">
        <f t="shared" si="40"/>
        <v>0</v>
      </c>
      <c r="AL63" s="19">
        <f t="shared" si="41"/>
        <v>0</v>
      </c>
      <c r="AN63" s="19">
        <v>12</v>
      </c>
      <c r="AO63" s="19">
        <f>H63*0.063364162</f>
        <v>0</v>
      </c>
      <c r="AP63" s="19">
        <f>H63*(1-0.063364162)</f>
        <v>0</v>
      </c>
      <c r="AQ63" s="87" t="s">
        <v>491</v>
      </c>
      <c r="AV63" s="19">
        <f t="shared" si="42"/>
        <v>0</v>
      </c>
      <c r="AW63" s="19">
        <f t="shared" si="43"/>
        <v>0</v>
      </c>
      <c r="AX63" s="19">
        <f t="shared" si="44"/>
        <v>0</v>
      </c>
      <c r="AY63" s="87" t="s">
        <v>515</v>
      </c>
      <c r="AZ63" s="87" t="s">
        <v>516</v>
      </c>
      <c r="BA63" s="16" t="s">
        <v>517</v>
      </c>
      <c r="BC63" s="19">
        <f t="shared" si="45"/>
        <v>0</v>
      </c>
      <c r="BD63" s="19">
        <f t="shared" si="46"/>
        <v>0</v>
      </c>
      <c r="BE63" s="19">
        <v>0</v>
      </c>
      <c r="BF63" s="19">
        <f t="shared" si="47"/>
        <v>0</v>
      </c>
      <c r="BH63" s="19">
        <f t="shared" si="48"/>
        <v>0</v>
      </c>
      <c r="BI63" s="19">
        <f t="shared" si="49"/>
        <v>0</v>
      </c>
      <c r="BJ63" s="19">
        <f t="shared" si="50"/>
        <v>0</v>
      </c>
      <c r="BK63" s="19"/>
      <c r="BL63" s="19">
        <v>722</v>
      </c>
      <c r="BW63" s="19" t="str">
        <f t="shared" si="51"/>
        <v>12</v>
      </c>
      <c r="BX63" s="4" t="s">
        <v>131</v>
      </c>
    </row>
    <row r="64" spans="1:76" x14ac:dyDescent="0.25">
      <c r="A64" s="1" t="s">
        <v>543</v>
      </c>
      <c r="B64" s="2" t="s">
        <v>73</v>
      </c>
      <c r="C64" s="2" t="s">
        <v>132</v>
      </c>
      <c r="D64" s="105" t="s">
        <v>133</v>
      </c>
      <c r="E64" s="99"/>
      <c r="F64" s="2" t="s">
        <v>35</v>
      </c>
      <c r="G64" s="19">
        <f>'Rozpočet - vybrané sloupce'!J63</f>
        <v>1</v>
      </c>
      <c r="H64" s="19">
        <f>'Rozpočet - vybrané sloupce'!K63</f>
        <v>0</v>
      </c>
      <c r="I64" s="87" t="s">
        <v>489</v>
      </c>
      <c r="J64" s="19">
        <f t="shared" si="26"/>
        <v>0</v>
      </c>
      <c r="K64" s="19">
        <f t="shared" si="27"/>
        <v>0</v>
      </c>
      <c r="L64" s="19">
        <f t="shared" si="28"/>
        <v>0</v>
      </c>
      <c r="M64" s="19">
        <f t="shared" si="29"/>
        <v>0</v>
      </c>
      <c r="N64" s="19">
        <v>0</v>
      </c>
      <c r="O64" s="19">
        <f t="shared" si="30"/>
        <v>0</v>
      </c>
      <c r="P64" s="88" t="s">
        <v>490</v>
      </c>
      <c r="Z64" s="19">
        <f t="shared" si="31"/>
        <v>0</v>
      </c>
      <c r="AB64" s="19">
        <f t="shared" si="32"/>
        <v>0</v>
      </c>
      <c r="AC64" s="19">
        <f t="shared" si="33"/>
        <v>0</v>
      </c>
      <c r="AD64" s="19">
        <f t="shared" si="34"/>
        <v>0</v>
      </c>
      <c r="AE64" s="19">
        <f t="shared" si="35"/>
        <v>0</v>
      </c>
      <c r="AF64" s="19">
        <f t="shared" si="36"/>
        <v>0</v>
      </c>
      <c r="AG64" s="19">
        <f t="shared" si="37"/>
        <v>0</v>
      </c>
      <c r="AH64" s="19">
        <f t="shared" si="38"/>
        <v>0</v>
      </c>
      <c r="AI64" s="16" t="s">
        <v>73</v>
      </c>
      <c r="AJ64" s="19">
        <f t="shared" si="39"/>
        <v>0</v>
      </c>
      <c r="AK64" s="19">
        <f t="shared" si="40"/>
        <v>0</v>
      </c>
      <c r="AL64" s="19">
        <f t="shared" si="41"/>
        <v>0</v>
      </c>
      <c r="AN64" s="19">
        <v>12</v>
      </c>
      <c r="AO64" s="19">
        <f>H64*1</f>
        <v>0</v>
      </c>
      <c r="AP64" s="19">
        <f>H64*(1-1)</f>
        <v>0</v>
      </c>
      <c r="AQ64" s="87" t="s">
        <v>491</v>
      </c>
      <c r="AV64" s="19">
        <f t="shared" si="42"/>
        <v>0</v>
      </c>
      <c r="AW64" s="19">
        <f t="shared" si="43"/>
        <v>0</v>
      </c>
      <c r="AX64" s="19">
        <f t="shared" si="44"/>
        <v>0</v>
      </c>
      <c r="AY64" s="87" t="s">
        <v>515</v>
      </c>
      <c r="AZ64" s="87" t="s">
        <v>516</v>
      </c>
      <c r="BA64" s="16" t="s">
        <v>517</v>
      </c>
      <c r="BC64" s="19">
        <f t="shared" si="45"/>
        <v>0</v>
      </c>
      <c r="BD64" s="19">
        <f t="shared" si="46"/>
        <v>0</v>
      </c>
      <c r="BE64" s="19">
        <v>0</v>
      </c>
      <c r="BF64" s="19">
        <f t="shared" si="47"/>
        <v>0</v>
      </c>
      <c r="BH64" s="19">
        <f t="shared" si="48"/>
        <v>0</v>
      </c>
      <c r="BI64" s="19">
        <f t="shared" si="49"/>
        <v>0</v>
      </c>
      <c r="BJ64" s="19">
        <f t="shared" si="50"/>
        <v>0</v>
      </c>
      <c r="BK64" s="19"/>
      <c r="BL64" s="19">
        <v>722</v>
      </c>
      <c r="BW64" s="19" t="str">
        <f t="shared" si="51"/>
        <v>12</v>
      </c>
      <c r="BX64" s="4" t="s">
        <v>133</v>
      </c>
    </row>
    <row r="65" spans="1:76" x14ac:dyDescent="0.25">
      <c r="A65" s="1" t="s">
        <v>544</v>
      </c>
      <c r="B65" s="2" t="s">
        <v>73</v>
      </c>
      <c r="C65" s="2" t="s">
        <v>134</v>
      </c>
      <c r="D65" s="105" t="s">
        <v>135</v>
      </c>
      <c r="E65" s="99"/>
      <c r="F65" s="2" t="s">
        <v>35</v>
      </c>
      <c r="G65" s="19">
        <f>'Rozpočet - vybrané sloupce'!J64</f>
        <v>1</v>
      </c>
      <c r="H65" s="19">
        <f>'Rozpočet - vybrané sloupce'!K64</f>
        <v>0</v>
      </c>
      <c r="I65" s="87" t="s">
        <v>489</v>
      </c>
      <c r="J65" s="19">
        <f t="shared" si="26"/>
        <v>0</v>
      </c>
      <c r="K65" s="19">
        <f t="shared" si="27"/>
        <v>0</v>
      </c>
      <c r="L65" s="19">
        <f t="shared" si="28"/>
        <v>0</v>
      </c>
      <c r="M65" s="19">
        <f t="shared" si="29"/>
        <v>0</v>
      </c>
      <c r="N65" s="19">
        <v>0</v>
      </c>
      <c r="O65" s="19">
        <f t="shared" si="30"/>
        <v>0</v>
      </c>
      <c r="P65" s="88" t="s">
        <v>490</v>
      </c>
      <c r="Z65" s="19">
        <f t="shared" si="31"/>
        <v>0</v>
      </c>
      <c r="AB65" s="19">
        <f t="shared" si="32"/>
        <v>0</v>
      </c>
      <c r="AC65" s="19">
        <f t="shared" si="33"/>
        <v>0</v>
      </c>
      <c r="AD65" s="19">
        <f t="shared" si="34"/>
        <v>0</v>
      </c>
      <c r="AE65" s="19">
        <f t="shared" si="35"/>
        <v>0</v>
      </c>
      <c r="AF65" s="19">
        <f t="shared" si="36"/>
        <v>0</v>
      </c>
      <c r="AG65" s="19">
        <f t="shared" si="37"/>
        <v>0</v>
      </c>
      <c r="AH65" s="19">
        <f t="shared" si="38"/>
        <v>0</v>
      </c>
      <c r="AI65" s="16" t="s">
        <v>73</v>
      </c>
      <c r="AJ65" s="19">
        <f t="shared" si="39"/>
        <v>0</v>
      </c>
      <c r="AK65" s="19">
        <f t="shared" si="40"/>
        <v>0</v>
      </c>
      <c r="AL65" s="19">
        <f t="shared" si="41"/>
        <v>0</v>
      </c>
      <c r="AN65" s="19">
        <v>12</v>
      </c>
      <c r="AO65" s="19">
        <f>H65*0.066330396</f>
        <v>0</v>
      </c>
      <c r="AP65" s="19">
        <f>H65*(1-0.066330396)</f>
        <v>0</v>
      </c>
      <c r="AQ65" s="87" t="s">
        <v>491</v>
      </c>
      <c r="AV65" s="19">
        <f t="shared" si="42"/>
        <v>0</v>
      </c>
      <c r="AW65" s="19">
        <f t="shared" si="43"/>
        <v>0</v>
      </c>
      <c r="AX65" s="19">
        <f t="shared" si="44"/>
        <v>0</v>
      </c>
      <c r="AY65" s="87" t="s">
        <v>515</v>
      </c>
      <c r="AZ65" s="87" t="s">
        <v>516</v>
      </c>
      <c r="BA65" s="16" t="s">
        <v>517</v>
      </c>
      <c r="BC65" s="19">
        <f t="shared" si="45"/>
        <v>0</v>
      </c>
      <c r="BD65" s="19">
        <f t="shared" si="46"/>
        <v>0</v>
      </c>
      <c r="BE65" s="19">
        <v>0</v>
      </c>
      <c r="BF65" s="19">
        <f t="shared" si="47"/>
        <v>0</v>
      </c>
      <c r="BH65" s="19">
        <f t="shared" si="48"/>
        <v>0</v>
      </c>
      <c r="BI65" s="19">
        <f t="shared" si="49"/>
        <v>0</v>
      </c>
      <c r="BJ65" s="19">
        <f t="shared" si="50"/>
        <v>0</v>
      </c>
      <c r="BK65" s="19"/>
      <c r="BL65" s="19">
        <v>722</v>
      </c>
      <c r="BW65" s="19" t="str">
        <f t="shared" si="51"/>
        <v>12</v>
      </c>
      <c r="BX65" s="4" t="s">
        <v>135</v>
      </c>
    </row>
    <row r="66" spans="1:76" x14ac:dyDescent="0.25">
      <c r="A66" s="1" t="s">
        <v>545</v>
      </c>
      <c r="B66" s="2" t="s">
        <v>73</v>
      </c>
      <c r="C66" s="2" t="s">
        <v>136</v>
      </c>
      <c r="D66" s="105" t="s">
        <v>137</v>
      </c>
      <c r="E66" s="99"/>
      <c r="F66" s="2" t="s">
        <v>35</v>
      </c>
      <c r="G66" s="19">
        <f>'Rozpočet - vybrané sloupce'!J65</f>
        <v>1</v>
      </c>
      <c r="H66" s="19">
        <f>'Rozpočet - vybrané sloupce'!K65</f>
        <v>0</v>
      </c>
      <c r="I66" s="87" t="s">
        <v>489</v>
      </c>
      <c r="J66" s="19">
        <f t="shared" si="26"/>
        <v>0</v>
      </c>
      <c r="K66" s="19">
        <f t="shared" si="27"/>
        <v>0</v>
      </c>
      <c r="L66" s="19">
        <f t="shared" si="28"/>
        <v>0</v>
      </c>
      <c r="M66" s="19">
        <f t="shared" si="29"/>
        <v>0</v>
      </c>
      <c r="N66" s="19">
        <v>0</v>
      </c>
      <c r="O66" s="19">
        <f t="shared" si="30"/>
        <v>0</v>
      </c>
      <c r="P66" s="88" t="s">
        <v>490</v>
      </c>
      <c r="Z66" s="19">
        <f t="shared" si="31"/>
        <v>0</v>
      </c>
      <c r="AB66" s="19">
        <f t="shared" si="32"/>
        <v>0</v>
      </c>
      <c r="AC66" s="19">
        <f t="shared" si="33"/>
        <v>0</v>
      </c>
      <c r="AD66" s="19">
        <f t="shared" si="34"/>
        <v>0</v>
      </c>
      <c r="AE66" s="19">
        <f t="shared" si="35"/>
        <v>0</v>
      </c>
      <c r="AF66" s="19">
        <f t="shared" si="36"/>
        <v>0</v>
      </c>
      <c r="AG66" s="19">
        <f t="shared" si="37"/>
        <v>0</v>
      </c>
      <c r="AH66" s="19">
        <f t="shared" si="38"/>
        <v>0</v>
      </c>
      <c r="AI66" s="16" t="s">
        <v>73</v>
      </c>
      <c r="AJ66" s="19">
        <f t="shared" si="39"/>
        <v>0</v>
      </c>
      <c r="AK66" s="19">
        <f t="shared" si="40"/>
        <v>0</v>
      </c>
      <c r="AL66" s="19">
        <f t="shared" si="41"/>
        <v>0</v>
      </c>
      <c r="AN66" s="19">
        <v>12</v>
      </c>
      <c r="AO66" s="19">
        <f>H66*1</f>
        <v>0</v>
      </c>
      <c r="AP66" s="19">
        <f>H66*(1-1)</f>
        <v>0</v>
      </c>
      <c r="AQ66" s="87" t="s">
        <v>491</v>
      </c>
      <c r="AV66" s="19">
        <f t="shared" si="42"/>
        <v>0</v>
      </c>
      <c r="AW66" s="19">
        <f t="shared" si="43"/>
        <v>0</v>
      </c>
      <c r="AX66" s="19">
        <f t="shared" si="44"/>
        <v>0</v>
      </c>
      <c r="AY66" s="87" t="s">
        <v>515</v>
      </c>
      <c r="AZ66" s="87" t="s">
        <v>516</v>
      </c>
      <c r="BA66" s="16" t="s">
        <v>517</v>
      </c>
      <c r="BC66" s="19">
        <f t="shared" si="45"/>
        <v>0</v>
      </c>
      <c r="BD66" s="19">
        <f t="shared" si="46"/>
        <v>0</v>
      </c>
      <c r="BE66" s="19">
        <v>0</v>
      </c>
      <c r="BF66" s="19">
        <f t="shared" si="47"/>
        <v>0</v>
      </c>
      <c r="BH66" s="19">
        <f t="shared" si="48"/>
        <v>0</v>
      </c>
      <c r="BI66" s="19">
        <f t="shared" si="49"/>
        <v>0</v>
      </c>
      <c r="BJ66" s="19">
        <f t="shared" si="50"/>
        <v>0</v>
      </c>
      <c r="BK66" s="19"/>
      <c r="BL66" s="19">
        <v>722</v>
      </c>
      <c r="BW66" s="19" t="str">
        <f t="shared" si="51"/>
        <v>12</v>
      </c>
      <c r="BX66" s="4" t="s">
        <v>137</v>
      </c>
    </row>
    <row r="67" spans="1:76" x14ac:dyDescent="0.25">
      <c r="A67" s="1" t="s">
        <v>546</v>
      </c>
      <c r="B67" s="2" t="s">
        <v>73</v>
      </c>
      <c r="C67" s="2" t="s">
        <v>138</v>
      </c>
      <c r="D67" s="105" t="s">
        <v>139</v>
      </c>
      <c r="E67" s="99"/>
      <c r="F67" s="2" t="s">
        <v>40</v>
      </c>
      <c r="G67" s="19">
        <f>'Rozpočet - vybrané sloupce'!J66</f>
        <v>4</v>
      </c>
      <c r="H67" s="19">
        <f>'Rozpočet - vybrané sloupce'!K66</f>
        <v>0</v>
      </c>
      <c r="I67" s="87" t="s">
        <v>489</v>
      </c>
      <c r="J67" s="19">
        <f t="shared" si="26"/>
        <v>0</v>
      </c>
      <c r="K67" s="19">
        <f t="shared" si="27"/>
        <v>0</v>
      </c>
      <c r="L67" s="19">
        <f t="shared" si="28"/>
        <v>0</v>
      </c>
      <c r="M67" s="19">
        <f t="shared" si="29"/>
        <v>0</v>
      </c>
      <c r="N67" s="19">
        <v>3.8999999999999999E-4</v>
      </c>
      <c r="O67" s="19">
        <f t="shared" si="30"/>
        <v>1.56E-3</v>
      </c>
      <c r="P67" s="88" t="s">
        <v>490</v>
      </c>
      <c r="Z67" s="19">
        <f t="shared" si="31"/>
        <v>0</v>
      </c>
      <c r="AB67" s="19">
        <f t="shared" si="32"/>
        <v>0</v>
      </c>
      <c r="AC67" s="19">
        <f t="shared" si="33"/>
        <v>0</v>
      </c>
      <c r="AD67" s="19">
        <f t="shared" si="34"/>
        <v>0</v>
      </c>
      <c r="AE67" s="19">
        <f t="shared" si="35"/>
        <v>0</v>
      </c>
      <c r="AF67" s="19">
        <f t="shared" si="36"/>
        <v>0</v>
      </c>
      <c r="AG67" s="19">
        <f t="shared" si="37"/>
        <v>0</v>
      </c>
      <c r="AH67" s="19">
        <f t="shared" si="38"/>
        <v>0</v>
      </c>
      <c r="AI67" s="16" t="s">
        <v>73</v>
      </c>
      <c r="AJ67" s="19">
        <f t="shared" si="39"/>
        <v>0</v>
      </c>
      <c r="AK67" s="19">
        <f t="shared" si="40"/>
        <v>0</v>
      </c>
      <c r="AL67" s="19">
        <f t="shared" si="41"/>
        <v>0</v>
      </c>
      <c r="AN67" s="19">
        <v>12</v>
      </c>
      <c r="AO67" s="19">
        <f>H67*0.644703349</f>
        <v>0</v>
      </c>
      <c r="AP67" s="19">
        <f>H67*(1-0.644703349)</f>
        <v>0</v>
      </c>
      <c r="AQ67" s="87" t="s">
        <v>491</v>
      </c>
      <c r="AV67" s="19">
        <f t="shared" si="42"/>
        <v>0</v>
      </c>
      <c r="AW67" s="19">
        <f t="shared" si="43"/>
        <v>0</v>
      </c>
      <c r="AX67" s="19">
        <f t="shared" si="44"/>
        <v>0</v>
      </c>
      <c r="AY67" s="87" t="s">
        <v>515</v>
      </c>
      <c r="AZ67" s="87" t="s">
        <v>516</v>
      </c>
      <c r="BA67" s="16" t="s">
        <v>517</v>
      </c>
      <c r="BC67" s="19">
        <f t="shared" si="45"/>
        <v>0</v>
      </c>
      <c r="BD67" s="19">
        <f t="shared" si="46"/>
        <v>0</v>
      </c>
      <c r="BE67" s="19">
        <v>0</v>
      </c>
      <c r="BF67" s="19">
        <f t="shared" si="47"/>
        <v>1.56E-3</v>
      </c>
      <c r="BH67" s="19">
        <f t="shared" si="48"/>
        <v>0</v>
      </c>
      <c r="BI67" s="19">
        <f t="shared" si="49"/>
        <v>0</v>
      </c>
      <c r="BJ67" s="19">
        <f t="shared" si="50"/>
        <v>0</v>
      </c>
      <c r="BK67" s="19"/>
      <c r="BL67" s="19">
        <v>722</v>
      </c>
      <c r="BW67" s="19" t="str">
        <f t="shared" si="51"/>
        <v>12</v>
      </c>
      <c r="BX67" s="4" t="s">
        <v>139</v>
      </c>
    </row>
    <row r="68" spans="1:76" x14ac:dyDescent="0.25">
      <c r="A68" s="1" t="s">
        <v>547</v>
      </c>
      <c r="B68" s="2" t="s">
        <v>73</v>
      </c>
      <c r="C68" s="2" t="s">
        <v>140</v>
      </c>
      <c r="D68" s="105" t="s">
        <v>141</v>
      </c>
      <c r="E68" s="99"/>
      <c r="F68" s="2" t="s">
        <v>31</v>
      </c>
      <c r="G68" s="19">
        <f>'Rozpočet - vybrané sloupce'!J67</f>
        <v>60</v>
      </c>
      <c r="H68" s="19">
        <f>'Rozpočet - vybrané sloupce'!K67</f>
        <v>0</v>
      </c>
      <c r="I68" s="87" t="s">
        <v>489</v>
      </c>
      <c r="J68" s="19">
        <f t="shared" si="26"/>
        <v>0</v>
      </c>
      <c r="K68" s="19">
        <f t="shared" si="27"/>
        <v>0</v>
      </c>
      <c r="L68" s="19">
        <f t="shared" si="28"/>
        <v>0</v>
      </c>
      <c r="M68" s="19">
        <f t="shared" si="29"/>
        <v>0</v>
      </c>
      <c r="N68" s="19">
        <v>0</v>
      </c>
      <c r="O68" s="19">
        <f t="shared" si="30"/>
        <v>0</v>
      </c>
      <c r="P68" s="88" t="s">
        <v>490</v>
      </c>
      <c r="Z68" s="19">
        <f t="shared" si="31"/>
        <v>0</v>
      </c>
      <c r="AB68" s="19">
        <f t="shared" si="32"/>
        <v>0</v>
      </c>
      <c r="AC68" s="19">
        <f t="shared" si="33"/>
        <v>0</v>
      </c>
      <c r="AD68" s="19">
        <f t="shared" si="34"/>
        <v>0</v>
      </c>
      <c r="AE68" s="19">
        <f t="shared" si="35"/>
        <v>0</v>
      </c>
      <c r="AF68" s="19">
        <f t="shared" si="36"/>
        <v>0</v>
      </c>
      <c r="AG68" s="19">
        <f t="shared" si="37"/>
        <v>0</v>
      </c>
      <c r="AH68" s="19">
        <f t="shared" si="38"/>
        <v>0</v>
      </c>
      <c r="AI68" s="16" t="s">
        <v>73</v>
      </c>
      <c r="AJ68" s="19">
        <f t="shared" si="39"/>
        <v>0</v>
      </c>
      <c r="AK68" s="19">
        <f t="shared" si="40"/>
        <v>0</v>
      </c>
      <c r="AL68" s="19">
        <f t="shared" si="41"/>
        <v>0</v>
      </c>
      <c r="AN68" s="19">
        <v>12</v>
      </c>
      <c r="AO68" s="19">
        <f>H68*0.015294118</f>
        <v>0</v>
      </c>
      <c r="AP68" s="19">
        <f>H68*(1-0.015294118)</f>
        <v>0</v>
      </c>
      <c r="AQ68" s="87" t="s">
        <v>491</v>
      </c>
      <c r="AV68" s="19">
        <f t="shared" si="42"/>
        <v>0</v>
      </c>
      <c r="AW68" s="19">
        <f t="shared" si="43"/>
        <v>0</v>
      </c>
      <c r="AX68" s="19">
        <f t="shared" si="44"/>
        <v>0</v>
      </c>
      <c r="AY68" s="87" t="s">
        <v>515</v>
      </c>
      <c r="AZ68" s="87" t="s">
        <v>516</v>
      </c>
      <c r="BA68" s="16" t="s">
        <v>517</v>
      </c>
      <c r="BC68" s="19">
        <f t="shared" si="45"/>
        <v>0</v>
      </c>
      <c r="BD68" s="19">
        <f t="shared" si="46"/>
        <v>0</v>
      </c>
      <c r="BE68" s="19">
        <v>0</v>
      </c>
      <c r="BF68" s="19">
        <f t="shared" si="47"/>
        <v>0</v>
      </c>
      <c r="BH68" s="19">
        <f t="shared" si="48"/>
        <v>0</v>
      </c>
      <c r="BI68" s="19">
        <f t="shared" si="49"/>
        <v>0</v>
      </c>
      <c r="BJ68" s="19">
        <f t="shared" si="50"/>
        <v>0</v>
      </c>
      <c r="BK68" s="19"/>
      <c r="BL68" s="19">
        <v>722</v>
      </c>
      <c r="BW68" s="19" t="str">
        <f t="shared" si="51"/>
        <v>12</v>
      </c>
      <c r="BX68" s="4" t="s">
        <v>141</v>
      </c>
    </row>
    <row r="69" spans="1:76" x14ac:dyDescent="0.25">
      <c r="A69" s="1" t="s">
        <v>548</v>
      </c>
      <c r="B69" s="2" t="s">
        <v>73</v>
      </c>
      <c r="C69" s="2" t="s">
        <v>142</v>
      </c>
      <c r="D69" s="105" t="s">
        <v>143</v>
      </c>
      <c r="E69" s="99"/>
      <c r="F69" s="2" t="s">
        <v>31</v>
      </c>
      <c r="G69" s="19">
        <f>'Rozpočet - vybrané sloupce'!J68</f>
        <v>60</v>
      </c>
      <c r="H69" s="19">
        <f>'Rozpočet - vybrané sloupce'!K68</f>
        <v>0</v>
      </c>
      <c r="I69" s="87" t="s">
        <v>489</v>
      </c>
      <c r="J69" s="19">
        <f t="shared" si="26"/>
        <v>0</v>
      </c>
      <c r="K69" s="19">
        <f t="shared" si="27"/>
        <v>0</v>
      </c>
      <c r="L69" s="19">
        <f t="shared" si="28"/>
        <v>0</v>
      </c>
      <c r="M69" s="19">
        <f t="shared" si="29"/>
        <v>0</v>
      </c>
      <c r="N69" s="19">
        <v>0</v>
      </c>
      <c r="O69" s="19">
        <f t="shared" si="30"/>
        <v>0</v>
      </c>
      <c r="P69" s="88" t="s">
        <v>490</v>
      </c>
      <c r="Z69" s="19">
        <f t="shared" si="31"/>
        <v>0</v>
      </c>
      <c r="AB69" s="19">
        <f t="shared" si="32"/>
        <v>0</v>
      </c>
      <c r="AC69" s="19">
        <f t="shared" si="33"/>
        <v>0</v>
      </c>
      <c r="AD69" s="19">
        <f t="shared" si="34"/>
        <v>0</v>
      </c>
      <c r="AE69" s="19">
        <f t="shared" si="35"/>
        <v>0</v>
      </c>
      <c r="AF69" s="19">
        <f t="shared" si="36"/>
        <v>0</v>
      </c>
      <c r="AG69" s="19">
        <f t="shared" si="37"/>
        <v>0</v>
      </c>
      <c r="AH69" s="19">
        <f t="shared" si="38"/>
        <v>0</v>
      </c>
      <c r="AI69" s="16" t="s">
        <v>73</v>
      </c>
      <c r="AJ69" s="19">
        <f t="shared" si="39"/>
        <v>0</v>
      </c>
      <c r="AK69" s="19">
        <f t="shared" si="40"/>
        <v>0</v>
      </c>
      <c r="AL69" s="19">
        <f t="shared" si="41"/>
        <v>0</v>
      </c>
      <c r="AN69" s="19">
        <v>12</v>
      </c>
      <c r="AO69" s="19">
        <f>H69*0.017576286</f>
        <v>0</v>
      </c>
      <c r="AP69" s="19">
        <f>H69*(1-0.017576286)</f>
        <v>0</v>
      </c>
      <c r="AQ69" s="87" t="s">
        <v>491</v>
      </c>
      <c r="AV69" s="19">
        <f t="shared" si="42"/>
        <v>0</v>
      </c>
      <c r="AW69" s="19">
        <f t="shared" si="43"/>
        <v>0</v>
      </c>
      <c r="AX69" s="19">
        <f t="shared" si="44"/>
        <v>0</v>
      </c>
      <c r="AY69" s="87" t="s">
        <v>515</v>
      </c>
      <c r="AZ69" s="87" t="s">
        <v>516</v>
      </c>
      <c r="BA69" s="16" t="s">
        <v>517</v>
      </c>
      <c r="BC69" s="19">
        <f t="shared" si="45"/>
        <v>0</v>
      </c>
      <c r="BD69" s="19">
        <f t="shared" si="46"/>
        <v>0</v>
      </c>
      <c r="BE69" s="19">
        <v>0</v>
      </c>
      <c r="BF69" s="19">
        <f t="shared" si="47"/>
        <v>0</v>
      </c>
      <c r="BH69" s="19">
        <f t="shared" si="48"/>
        <v>0</v>
      </c>
      <c r="BI69" s="19">
        <f t="shared" si="49"/>
        <v>0</v>
      </c>
      <c r="BJ69" s="19">
        <f t="shared" si="50"/>
        <v>0</v>
      </c>
      <c r="BK69" s="19"/>
      <c r="BL69" s="19">
        <v>722</v>
      </c>
      <c r="BW69" s="19" t="str">
        <f t="shared" si="51"/>
        <v>12</v>
      </c>
      <c r="BX69" s="4" t="s">
        <v>143</v>
      </c>
    </row>
    <row r="70" spans="1:76" x14ac:dyDescent="0.25">
      <c r="A70" s="1" t="s">
        <v>549</v>
      </c>
      <c r="B70" s="2" t="s">
        <v>73</v>
      </c>
      <c r="C70" s="2" t="s">
        <v>144</v>
      </c>
      <c r="D70" s="105" t="s">
        <v>145</v>
      </c>
      <c r="E70" s="99"/>
      <c r="F70" s="2" t="s">
        <v>31</v>
      </c>
      <c r="G70" s="19">
        <f>'Rozpočet - vybrané sloupce'!J69</f>
        <v>34</v>
      </c>
      <c r="H70" s="19">
        <f>'Rozpočet - vybrané sloupce'!K69</f>
        <v>0</v>
      </c>
      <c r="I70" s="87" t="s">
        <v>489</v>
      </c>
      <c r="J70" s="19">
        <f t="shared" si="26"/>
        <v>0</v>
      </c>
      <c r="K70" s="19">
        <f t="shared" si="27"/>
        <v>0</v>
      </c>
      <c r="L70" s="19">
        <f t="shared" si="28"/>
        <v>0</v>
      </c>
      <c r="M70" s="19">
        <f t="shared" si="29"/>
        <v>0</v>
      </c>
      <c r="N70" s="19">
        <v>0</v>
      </c>
      <c r="O70" s="19">
        <f t="shared" si="30"/>
        <v>0</v>
      </c>
      <c r="P70" s="88" t="s">
        <v>490</v>
      </c>
      <c r="Z70" s="19">
        <f t="shared" si="31"/>
        <v>0</v>
      </c>
      <c r="AB70" s="19">
        <f t="shared" si="32"/>
        <v>0</v>
      </c>
      <c r="AC70" s="19">
        <f t="shared" si="33"/>
        <v>0</v>
      </c>
      <c r="AD70" s="19">
        <f t="shared" si="34"/>
        <v>0</v>
      </c>
      <c r="AE70" s="19">
        <f t="shared" si="35"/>
        <v>0</v>
      </c>
      <c r="AF70" s="19">
        <f t="shared" si="36"/>
        <v>0</v>
      </c>
      <c r="AG70" s="19">
        <f t="shared" si="37"/>
        <v>0</v>
      </c>
      <c r="AH70" s="19">
        <f t="shared" si="38"/>
        <v>0</v>
      </c>
      <c r="AI70" s="16" t="s">
        <v>73</v>
      </c>
      <c r="AJ70" s="19">
        <f t="shared" si="39"/>
        <v>0</v>
      </c>
      <c r="AK70" s="19">
        <f t="shared" si="40"/>
        <v>0</v>
      </c>
      <c r="AL70" s="19">
        <f t="shared" si="41"/>
        <v>0</v>
      </c>
      <c r="AN70" s="19">
        <v>12</v>
      </c>
      <c r="AO70" s="19">
        <f>H70*0.020307167</f>
        <v>0</v>
      </c>
      <c r="AP70" s="19">
        <f>H70*(1-0.020307167)</f>
        <v>0</v>
      </c>
      <c r="AQ70" s="87" t="s">
        <v>491</v>
      </c>
      <c r="AV70" s="19">
        <f t="shared" si="42"/>
        <v>0</v>
      </c>
      <c r="AW70" s="19">
        <f t="shared" si="43"/>
        <v>0</v>
      </c>
      <c r="AX70" s="19">
        <f t="shared" si="44"/>
        <v>0</v>
      </c>
      <c r="AY70" s="87" t="s">
        <v>515</v>
      </c>
      <c r="AZ70" s="87" t="s">
        <v>516</v>
      </c>
      <c r="BA70" s="16" t="s">
        <v>517</v>
      </c>
      <c r="BC70" s="19">
        <f t="shared" si="45"/>
        <v>0</v>
      </c>
      <c r="BD70" s="19">
        <f t="shared" si="46"/>
        <v>0</v>
      </c>
      <c r="BE70" s="19">
        <v>0</v>
      </c>
      <c r="BF70" s="19">
        <f t="shared" si="47"/>
        <v>0</v>
      </c>
      <c r="BH70" s="19">
        <f t="shared" si="48"/>
        <v>0</v>
      </c>
      <c r="BI70" s="19">
        <f t="shared" si="49"/>
        <v>0</v>
      </c>
      <c r="BJ70" s="19">
        <f t="shared" si="50"/>
        <v>0</v>
      </c>
      <c r="BK70" s="19"/>
      <c r="BL70" s="19">
        <v>722</v>
      </c>
      <c r="BW70" s="19" t="str">
        <f t="shared" si="51"/>
        <v>12</v>
      </c>
      <c r="BX70" s="4" t="s">
        <v>145</v>
      </c>
    </row>
    <row r="71" spans="1:76" x14ac:dyDescent="0.25">
      <c r="A71" s="1" t="s">
        <v>550</v>
      </c>
      <c r="B71" s="2" t="s">
        <v>73</v>
      </c>
      <c r="C71" s="2" t="s">
        <v>146</v>
      </c>
      <c r="D71" s="105" t="s">
        <v>147</v>
      </c>
      <c r="E71" s="99"/>
      <c r="F71" s="2" t="s">
        <v>35</v>
      </c>
      <c r="G71" s="19">
        <f>'Rozpočet - vybrané sloupce'!J70</f>
        <v>2</v>
      </c>
      <c r="H71" s="19">
        <f>'Rozpočet - vybrané sloupce'!K70</f>
        <v>0</v>
      </c>
      <c r="I71" s="87" t="s">
        <v>489</v>
      </c>
      <c r="J71" s="19">
        <f t="shared" si="26"/>
        <v>0</v>
      </c>
      <c r="K71" s="19">
        <f t="shared" si="27"/>
        <v>0</v>
      </c>
      <c r="L71" s="19">
        <f t="shared" si="28"/>
        <v>0</v>
      </c>
      <c r="M71" s="19">
        <f t="shared" si="29"/>
        <v>0</v>
      </c>
      <c r="N71" s="19">
        <v>2.4000000000000001E-4</v>
      </c>
      <c r="O71" s="19">
        <f t="shared" si="30"/>
        <v>4.8000000000000001E-4</v>
      </c>
      <c r="P71" s="88" t="s">
        <v>490</v>
      </c>
      <c r="Z71" s="19">
        <f t="shared" si="31"/>
        <v>0</v>
      </c>
      <c r="AB71" s="19">
        <f t="shared" si="32"/>
        <v>0</v>
      </c>
      <c r="AC71" s="19">
        <f t="shared" si="33"/>
        <v>0</v>
      </c>
      <c r="AD71" s="19">
        <f t="shared" si="34"/>
        <v>0</v>
      </c>
      <c r="AE71" s="19">
        <f t="shared" si="35"/>
        <v>0</v>
      </c>
      <c r="AF71" s="19">
        <f t="shared" si="36"/>
        <v>0</v>
      </c>
      <c r="AG71" s="19">
        <f t="shared" si="37"/>
        <v>0</v>
      </c>
      <c r="AH71" s="19">
        <f t="shared" si="38"/>
        <v>0</v>
      </c>
      <c r="AI71" s="16" t="s">
        <v>73</v>
      </c>
      <c r="AJ71" s="19">
        <f t="shared" si="39"/>
        <v>0</v>
      </c>
      <c r="AK71" s="19">
        <f t="shared" si="40"/>
        <v>0</v>
      </c>
      <c r="AL71" s="19">
        <f t="shared" si="41"/>
        <v>0</v>
      </c>
      <c r="AN71" s="19">
        <v>12</v>
      </c>
      <c r="AO71" s="19">
        <f>H71*0.872613027</f>
        <v>0</v>
      </c>
      <c r="AP71" s="19">
        <f>H71*(1-0.872613027)</f>
        <v>0</v>
      </c>
      <c r="AQ71" s="87" t="s">
        <v>491</v>
      </c>
      <c r="AV71" s="19">
        <f t="shared" si="42"/>
        <v>0</v>
      </c>
      <c r="AW71" s="19">
        <f t="shared" si="43"/>
        <v>0</v>
      </c>
      <c r="AX71" s="19">
        <f t="shared" si="44"/>
        <v>0</v>
      </c>
      <c r="AY71" s="87" t="s">
        <v>515</v>
      </c>
      <c r="AZ71" s="87" t="s">
        <v>516</v>
      </c>
      <c r="BA71" s="16" t="s">
        <v>517</v>
      </c>
      <c r="BC71" s="19">
        <f t="shared" si="45"/>
        <v>0</v>
      </c>
      <c r="BD71" s="19">
        <f t="shared" si="46"/>
        <v>0</v>
      </c>
      <c r="BE71" s="19">
        <v>0</v>
      </c>
      <c r="BF71" s="19">
        <f t="shared" si="47"/>
        <v>4.8000000000000001E-4</v>
      </c>
      <c r="BH71" s="19">
        <f t="shared" si="48"/>
        <v>0</v>
      </c>
      <c r="BI71" s="19">
        <f t="shared" si="49"/>
        <v>0</v>
      </c>
      <c r="BJ71" s="19">
        <f t="shared" si="50"/>
        <v>0</v>
      </c>
      <c r="BK71" s="19"/>
      <c r="BL71" s="19">
        <v>722</v>
      </c>
      <c r="BW71" s="19" t="str">
        <f t="shared" si="51"/>
        <v>12</v>
      </c>
      <c r="BX71" s="4" t="s">
        <v>147</v>
      </c>
    </row>
    <row r="72" spans="1:76" x14ac:dyDescent="0.25">
      <c r="A72" s="1" t="s">
        <v>551</v>
      </c>
      <c r="B72" s="2" t="s">
        <v>73</v>
      </c>
      <c r="C72" s="2" t="s">
        <v>148</v>
      </c>
      <c r="D72" s="105" t="s">
        <v>149</v>
      </c>
      <c r="E72" s="99"/>
      <c r="F72" s="2" t="s">
        <v>72</v>
      </c>
      <c r="G72" s="19">
        <f>'Rozpočet - vybrané sloupce'!J71</f>
        <v>0.2</v>
      </c>
      <c r="H72" s="19">
        <f>'Rozpočet - vybrané sloupce'!K71</f>
        <v>0</v>
      </c>
      <c r="I72" s="87" t="s">
        <v>489</v>
      </c>
      <c r="J72" s="19">
        <f t="shared" si="26"/>
        <v>0</v>
      </c>
      <c r="K72" s="19">
        <f t="shared" si="27"/>
        <v>0</v>
      </c>
      <c r="L72" s="19">
        <f t="shared" si="28"/>
        <v>0</v>
      </c>
      <c r="M72" s="19">
        <f t="shared" si="29"/>
        <v>0</v>
      </c>
      <c r="N72" s="19">
        <v>0</v>
      </c>
      <c r="O72" s="19">
        <f t="shared" si="30"/>
        <v>0</v>
      </c>
      <c r="P72" s="88" t="s">
        <v>490</v>
      </c>
      <c r="Z72" s="19">
        <f t="shared" si="31"/>
        <v>0</v>
      </c>
      <c r="AB72" s="19">
        <f t="shared" si="32"/>
        <v>0</v>
      </c>
      <c r="AC72" s="19">
        <f t="shared" si="33"/>
        <v>0</v>
      </c>
      <c r="AD72" s="19">
        <f t="shared" si="34"/>
        <v>0</v>
      </c>
      <c r="AE72" s="19">
        <f t="shared" si="35"/>
        <v>0</v>
      </c>
      <c r="AF72" s="19">
        <f t="shared" si="36"/>
        <v>0</v>
      </c>
      <c r="AG72" s="19">
        <f t="shared" si="37"/>
        <v>0</v>
      </c>
      <c r="AH72" s="19">
        <f t="shared" si="38"/>
        <v>0</v>
      </c>
      <c r="AI72" s="16" t="s">
        <v>73</v>
      </c>
      <c r="AJ72" s="19">
        <f t="shared" si="39"/>
        <v>0</v>
      </c>
      <c r="AK72" s="19">
        <f t="shared" si="40"/>
        <v>0</v>
      </c>
      <c r="AL72" s="19">
        <f t="shared" si="41"/>
        <v>0</v>
      </c>
      <c r="AN72" s="19">
        <v>12</v>
      </c>
      <c r="AO72" s="19">
        <f>H72*0</f>
        <v>0</v>
      </c>
      <c r="AP72" s="19">
        <f>H72*(1-0)</f>
        <v>0</v>
      </c>
      <c r="AQ72" s="87" t="s">
        <v>491</v>
      </c>
      <c r="AV72" s="19">
        <f t="shared" si="42"/>
        <v>0</v>
      </c>
      <c r="AW72" s="19">
        <f t="shared" si="43"/>
        <v>0</v>
      </c>
      <c r="AX72" s="19">
        <f t="shared" si="44"/>
        <v>0</v>
      </c>
      <c r="AY72" s="87" t="s">
        <v>515</v>
      </c>
      <c r="AZ72" s="87" t="s">
        <v>516</v>
      </c>
      <c r="BA72" s="16" t="s">
        <v>517</v>
      </c>
      <c r="BC72" s="19">
        <f t="shared" si="45"/>
        <v>0</v>
      </c>
      <c r="BD72" s="19">
        <f t="shared" si="46"/>
        <v>0</v>
      </c>
      <c r="BE72" s="19">
        <v>0</v>
      </c>
      <c r="BF72" s="19">
        <f t="shared" si="47"/>
        <v>0</v>
      </c>
      <c r="BH72" s="19">
        <f t="shared" si="48"/>
        <v>0</v>
      </c>
      <c r="BI72" s="19">
        <f t="shared" si="49"/>
        <v>0</v>
      </c>
      <c r="BJ72" s="19">
        <f t="shared" si="50"/>
        <v>0</v>
      </c>
      <c r="BK72" s="19"/>
      <c r="BL72" s="19">
        <v>722</v>
      </c>
      <c r="BW72" s="19" t="str">
        <f t="shared" si="51"/>
        <v>12</v>
      </c>
      <c r="BX72" s="4" t="s">
        <v>149</v>
      </c>
    </row>
    <row r="73" spans="1:76" x14ac:dyDescent="0.25">
      <c r="A73" s="1" t="s">
        <v>552</v>
      </c>
      <c r="B73" s="2" t="s">
        <v>73</v>
      </c>
      <c r="C73" s="2" t="s">
        <v>150</v>
      </c>
      <c r="D73" s="105" t="s">
        <v>151</v>
      </c>
      <c r="E73" s="99"/>
      <c r="F73" s="2" t="s">
        <v>43</v>
      </c>
      <c r="G73" s="19">
        <f>'Rozpočet - vybrané sloupce'!J72</f>
        <v>2358</v>
      </c>
      <c r="H73" s="19">
        <f>'Rozpočet - vybrané sloupce'!K72</f>
        <v>0</v>
      </c>
      <c r="I73" s="87" t="s">
        <v>489</v>
      </c>
      <c r="J73" s="19">
        <f t="shared" si="26"/>
        <v>0</v>
      </c>
      <c r="K73" s="19">
        <f t="shared" si="27"/>
        <v>0</v>
      </c>
      <c r="L73" s="19">
        <f t="shared" si="28"/>
        <v>0</v>
      </c>
      <c r="M73" s="19">
        <f t="shared" si="29"/>
        <v>0</v>
      </c>
      <c r="N73" s="19">
        <v>0</v>
      </c>
      <c r="O73" s="19">
        <f t="shared" si="30"/>
        <v>0</v>
      </c>
      <c r="P73" s="88" t="s">
        <v>490</v>
      </c>
      <c r="Z73" s="19">
        <f t="shared" si="31"/>
        <v>0</v>
      </c>
      <c r="AB73" s="19">
        <f t="shared" si="32"/>
        <v>0</v>
      </c>
      <c r="AC73" s="19">
        <f t="shared" si="33"/>
        <v>0</v>
      </c>
      <c r="AD73" s="19">
        <f t="shared" si="34"/>
        <v>0</v>
      </c>
      <c r="AE73" s="19">
        <f t="shared" si="35"/>
        <v>0</v>
      </c>
      <c r="AF73" s="19">
        <f t="shared" si="36"/>
        <v>0</v>
      </c>
      <c r="AG73" s="19">
        <f t="shared" si="37"/>
        <v>0</v>
      </c>
      <c r="AH73" s="19">
        <f t="shared" si="38"/>
        <v>0</v>
      </c>
      <c r="AI73" s="16" t="s">
        <v>73</v>
      </c>
      <c r="AJ73" s="19">
        <f t="shared" si="39"/>
        <v>0</v>
      </c>
      <c r="AK73" s="19">
        <f t="shared" si="40"/>
        <v>0</v>
      </c>
      <c r="AL73" s="19">
        <f t="shared" si="41"/>
        <v>0</v>
      </c>
      <c r="AN73" s="19">
        <v>12</v>
      </c>
      <c r="AO73" s="19">
        <f>H73*0</f>
        <v>0</v>
      </c>
      <c r="AP73" s="19">
        <f>H73*(1-0)</f>
        <v>0</v>
      </c>
      <c r="AQ73" s="87" t="s">
        <v>498</v>
      </c>
      <c r="AV73" s="19">
        <f t="shared" si="42"/>
        <v>0</v>
      </c>
      <c r="AW73" s="19">
        <f t="shared" si="43"/>
        <v>0</v>
      </c>
      <c r="AX73" s="19">
        <f t="shared" si="44"/>
        <v>0</v>
      </c>
      <c r="AY73" s="87" t="s">
        <v>515</v>
      </c>
      <c r="AZ73" s="87" t="s">
        <v>516</v>
      </c>
      <c r="BA73" s="16" t="s">
        <v>517</v>
      </c>
      <c r="BC73" s="19">
        <f t="shared" si="45"/>
        <v>0</v>
      </c>
      <c r="BD73" s="19">
        <f t="shared" si="46"/>
        <v>0</v>
      </c>
      <c r="BE73" s="19">
        <v>0</v>
      </c>
      <c r="BF73" s="19">
        <f t="shared" si="47"/>
        <v>0</v>
      </c>
      <c r="BH73" s="19">
        <f t="shared" si="48"/>
        <v>0</v>
      </c>
      <c r="BI73" s="19">
        <f t="shared" si="49"/>
        <v>0</v>
      </c>
      <c r="BJ73" s="19">
        <f t="shared" si="50"/>
        <v>0</v>
      </c>
      <c r="BK73" s="19"/>
      <c r="BL73" s="19">
        <v>722</v>
      </c>
      <c r="BW73" s="19" t="str">
        <f t="shared" si="51"/>
        <v>12</v>
      </c>
      <c r="BX73" s="4" t="s">
        <v>151</v>
      </c>
    </row>
    <row r="74" spans="1:76" x14ac:dyDescent="0.25">
      <c r="A74" s="84" t="s">
        <v>25</v>
      </c>
      <c r="B74" s="15" t="s">
        <v>152</v>
      </c>
      <c r="C74" s="15" t="s">
        <v>25</v>
      </c>
      <c r="D74" s="112" t="s">
        <v>153</v>
      </c>
      <c r="E74" s="113"/>
      <c r="F74" s="85" t="s">
        <v>23</v>
      </c>
      <c r="G74" s="85" t="s">
        <v>23</v>
      </c>
      <c r="H74" s="85" t="s">
        <v>23</v>
      </c>
      <c r="I74" s="85" t="s">
        <v>23</v>
      </c>
      <c r="J74" s="60">
        <f>J75+J100</f>
        <v>0</v>
      </c>
      <c r="K74" s="60">
        <f>K75+K100</f>
        <v>0</v>
      </c>
      <c r="L74" s="60">
        <f>L75+L100</f>
        <v>0</v>
      </c>
      <c r="M74" s="60">
        <f>M75+M100</f>
        <v>0</v>
      </c>
      <c r="N74" s="16" t="s">
        <v>25</v>
      </c>
      <c r="O74" s="60">
        <f>O75+O100</f>
        <v>0.56042000000000003</v>
      </c>
      <c r="P74" s="86" t="s">
        <v>25</v>
      </c>
    </row>
    <row r="75" spans="1:76" x14ac:dyDescent="0.25">
      <c r="A75" s="84" t="s">
        <v>25</v>
      </c>
      <c r="B75" s="15" t="s">
        <v>152</v>
      </c>
      <c r="C75" s="15" t="s">
        <v>75</v>
      </c>
      <c r="D75" s="112" t="s">
        <v>76</v>
      </c>
      <c r="E75" s="113"/>
      <c r="F75" s="85" t="s">
        <v>23</v>
      </c>
      <c r="G75" s="85" t="s">
        <v>23</v>
      </c>
      <c r="H75" s="85" t="s">
        <v>23</v>
      </c>
      <c r="I75" s="85" t="s">
        <v>23</v>
      </c>
      <c r="J75" s="60">
        <f>SUM(J76:J99)</f>
        <v>0</v>
      </c>
      <c r="K75" s="60">
        <f>SUM(K76:K99)</f>
        <v>0</v>
      </c>
      <c r="L75" s="60">
        <f>SUM(L76:L99)</f>
        <v>0</v>
      </c>
      <c r="M75" s="60">
        <f>SUM(M76:M99)</f>
        <v>0</v>
      </c>
      <c r="N75" s="16" t="s">
        <v>25</v>
      </c>
      <c r="O75" s="60">
        <f>SUM(O76:O99)</f>
        <v>0.30614000000000002</v>
      </c>
      <c r="P75" s="86" t="s">
        <v>25</v>
      </c>
      <c r="AI75" s="16" t="s">
        <v>152</v>
      </c>
      <c r="AS75" s="60">
        <f>SUM(AJ76:AJ99)</f>
        <v>0</v>
      </c>
      <c r="AT75" s="60">
        <f>SUM(AK76:AK99)</f>
        <v>0</v>
      </c>
      <c r="AU75" s="60">
        <f>SUM(AL76:AL99)</f>
        <v>0</v>
      </c>
    </row>
    <row r="76" spans="1:76" x14ac:dyDescent="0.25">
      <c r="A76" s="1" t="s">
        <v>553</v>
      </c>
      <c r="B76" s="2" t="s">
        <v>152</v>
      </c>
      <c r="C76" s="2" t="s">
        <v>79</v>
      </c>
      <c r="D76" s="105" t="s">
        <v>80</v>
      </c>
      <c r="E76" s="99"/>
      <c r="F76" s="2" t="s">
        <v>31</v>
      </c>
      <c r="G76" s="19">
        <f>'Rozpočet - vybrané sloupce'!J75</f>
        <v>137</v>
      </c>
      <c r="H76" s="19">
        <f>'Rozpočet - vybrané sloupce'!K75</f>
        <v>0</v>
      </c>
      <c r="I76" s="87" t="s">
        <v>489</v>
      </c>
      <c r="J76" s="19">
        <f t="shared" ref="J76:J99" si="52">G76*AO76</f>
        <v>0</v>
      </c>
      <c r="K76" s="19">
        <f t="shared" ref="K76:K99" si="53">G76*AP76</f>
        <v>0</v>
      </c>
      <c r="L76" s="19">
        <f t="shared" ref="L76:L99" si="54">G76*H76</f>
        <v>0</v>
      </c>
      <c r="M76" s="19">
        <f t="shared" ref="M76:M99" si="55">L76*(1+BW76/100)</f>
        <v>0</v>
      </c>
      <c r="N76" s="19">
        <v>2.7999999999999998E-4</v>
      </c>
      <c r="O76" s="19">
        <f t="shared" ref="O76:O99" si="56">G76*N76</f>
        <v>3.8359999999999998E-2</v>
      </c>
      <c r="P76" s="88" t="s">
        <v>490</v>
      </c>
      <c r="Z76" s="19">
        <f t="shared" ref="Z76:Z99" si="57">IF(AQ76="5",BJ76,0)</f>
        <v>0</v>
      </c>
      <c r="AB76" s="19">
        <f t="shared" ref="AB76:AB99" si="58">IF(AQ76="1",BH76,0)</f>
        <v>0</v>
      </c>
      <c r="AC76" s="19">
        <f t="shared" ref="AC76:AC99" si="59">IF(AQ76="1",BI76,0)</f>
        <v>0</v>
      </c>
      <c r="AD76" s="19">
        <f t="shared" ref="AD76:AD99" si="60">IF(AQ76="7",BH76,0)</f>
        <v>0</v>
      </c>
      <c r="AE76" s="19">
        <f t="shared" ref="AE76:AE99" si="61">IF(AQ76="7",BI76,0)</f>
        <v>0</v>
      </c>
      <c r="AF76" s="19">
        <f t="shared" ref="AF76:AF99" si="62">IF(AQ76="2",BH76,0)</f>
        <v>0</v>
      </c>
      <c r="AG76" s="19">
        <f t="shared" ref="AG76:AG99" si="63">IF(AQ76="2",BI76,0)</f>
        <v>0</v>
      </c>
      <c r="AH76" s="19">
        <f t="shared" ref="AH76:AH99" si="64">IF(AQ76="0",BJ76,0)</f>
        <v>0</v>
      </c>
      <c r="AI76" s="16" t="s">
        <v>152</v>
      </c>
      <c r="AJ76" s="19">
        <f t="shared" ref="AJ76:AJ99" si="65">IF(AN76=0,L76,0)</f>
        <v>0</v>
      </c>
      <c r="AK76" s="19">
        <f t="shared" ref="AK76:AK99" si="66">IF(AN76=12,L76,0)</f>
        <v>0</v>
      </c>
      <c r="AL76" s="19">
        <f t="shared" ref="AL76:AL99" si="67">IF(AN76=21,L76,0)</f>
        <v>0</v>
      </c>
      <c r="AN76" s="19">
        <v>12</v>
      </c>
      <c r="AO76" s="19">
        <f>H76*0</f>
        <v>0</v>
      </c>
      <c r="AP76" s="19">
        <f>H76*(1-0)</f>
        <v>0</v>
      </c>
      <c r="AQ76" s="87" t="s">
        <v>491</v>
      </c>
      <c r="AV76" s="19">
        <f t="shared" ref="AV76:AV99" si="68">AW76+AX76</f>
        <v>0</v>
      </c>
      <c r="AW76" s="19">
        <f t="shared" ref="AW76:AW99" si="69">G76*AO76</f>
        <v>0</v>
      </c>
      <c r="AX76" s="19">
        <f t="shared" ref="AX76:AX99" si="70">G76*AP76</f>
        <v>0</v>
      </c>
      <c r="AY76" s="87" t="s">
        <v>515</v>
      </c>
      <c r="AZ76" s="87" t="s">
        <v>554</v>
      </c>
      <c r="BA76" s="16" t="s">
        <v>555</v>
      </c>
      <c r="BC76" s="19">
        <f t="shared" ref="BC76:BC99" si="71">AW76+AX76</f>
        <v>0</v>
      </c>
      <c r="BD76" s="19">
        <f t="shared" ref="BD76:BD99" si="72">H76/(100-BE76)*100</f>
        <v>0</v>
      </c>
      <c r="BE76" s="19">
        <v>0</v>
      </c>
      <c r="BF76" s="19">
        <f t="shared" ref="BF76:BF99" si="73">O76</f>
        <v>3.8359999999999998E-2</v>
      </c>
      <c r="BH76" s="19">
        <f t="shared" ref="BH76:BH99" si="74">G76*AO76</f>
        <v>0</v>
      </c>
      <c r="BI76" s="19">
        <f t="shared" ref="BI76:BI99" si="75">G76*AP76</f>
        <v>0</v>
      </c>
      <c r="BJ76" s="19">
        <f t="shared" ref="BJ76:BJ99" si="76">G76*H76</f>
        <v>0</v>
      </c>
      <c r="BK76" s="19"/>
      <c r="BL76" s="19">
        <v>722</v>
      </c>
      <c r="BW76" s="19" t="str">
        <f t="shared" ref="BW76:BW99" si="77">I76</f>
        <v>12</v>
      </c>
      <c r="BX76" s="4" t="s">
        <v>80</v>
      </c>
    </row>
    <row r="77" spans="1:76" x14ac:dyDescent="0.25">
      <c r="A77" s="1" t="s">
        <v>556</v>
      </c>
      <c r="B77" s="2" t="s">
        <v>152</v>
      </c>
      <c r="C77" s="2" t="s">
        <v>81</v>
      </c>
      <c r="D77" s="105" t="s">
        <v>82</v>
      </c>
      <c r="E77" s="99"/>
      <c r="F77" s="2" t="s">
        <v>31</v>
      </c>
      <c r="G77" s="19">
        <f>'Rozpočet - vybrané sloupce'!J76</f>
        <v>20</v>
      </c>
      <c r="H77" s="19">
        <f>'Rozpočet - vybrané sloupce'!K76</f>
        <v>0</v>
      </c>
      <c r="I77" s="87" t="s">
        <v>489</v>
      </c>
      <c r="J77" s="19">
        <f t="shared" si="52"/>
        <v>0</v>
      </c>
      <c r="K77" s="19">
        <f t="shared" si="53"/>
        <v>0</v>
      </c>
      <c r="L77" s="19">
        <f t="shared" si="54"/>
        <v>0</v>
      </c>
      <c r="M77" s="19">
        <f t="shared" si="55"/>
        <v>0</v>
      </c>
      <c r="N77" s="19">
        <v>2.9E-4</v>
      </c>
      <c r="O77" s="19">
        <f t="shared" si="56"/>
        <v>5.7999999999999996E-3</v>
      </c>
      <c r="P77" s="88" t="s">
        <v>490</v>
      </c>
      <c r="Z77" s="19">
        <f t="shared" si="57"/>
        <v>0</v>
      </c>
      <c r="AB77" s="19">
        <f t="shared" si="58"/>
        <v>0</v>
      </c>
      <c r="AC77" s="19">
        <f t="shared" si="59"/>
        <v>0</v>
      </c>
      <c r="AD77" s="19">
        <f t="shared" si="60"/>
        <v>0</v>
      </c>
      <c r="AE77" s="19">
        <f t="shared" si="61"/>
        <v>0</v>
      </c>
      <c r="AF77" s="19">
        <f t="shared" si="62"/>
        <v>0</v>
      </c>
      <c r="AG77" s="19">
        <f t="shared" si="63"/>
        <v>0</v>
      </c>
      <c r="AH77" s="19">
        <f t="shared" si="64"/>
        <v>0</v>
      </c>
      <c r="AI77" s="16" t="s">
        <v>152</v>
      </c>
      <c r="AJ77" s="19">
        <f t="shared" si="65"/>
        <v>0</v>
      </c>
      <c r="AK77" s="19">
        <f t="shared" si="66"/>
        <v>0</v>
      </c>
      <c r="AL77" s="19">
        <f t="shared" si="67"/>
        <v>0</v>
      </c>
      <c r="AN77" s="19">
        <v>12</v>
      </c>
      <c r="AO77" s="19">
        <f>H77*0</f>
        <v>0</v>
      </c>
      <c r="AP77" s="19">
        <f>H77*(1-0)</f>
        <v>0</v>
      </c>
      <c r="AQ77" s="87" t="s">
        <v>491</v>
      </c>
      <c r="AV77" s="19">
        <f t="shared" si="68"/>
        <v>0</v>
      </c>
      <c r="AW77" s="19">
        <f t="shared" si="69"/>
        <v>0</v>
      </c>
      <c r="AX77" s="19">
        <f t="shared" si="70"/>
        <v>0</v>
      </c>
      <c r="AY77" s="87" t="s">
        <v>515</v>
      </c>
      <c r="AZ77" s="87" t="s">
        <v>554</v>
      </c>
      <c r="BA77" s="16" t="s">
        <v>555</v>
      </c>
      <c r="BC77" s="19">
        <f t="shared" si="71"/>
        <v>0</v>
      </c>
      <c r="BD77" s="19">
        <f t="shared" si="72"/>
        <v>0</v>
      </c>
      <c r="BE77" s="19">
        <v>0</v>
      </c>
      <c r="BF77" s="19">
        <f t="shared" si="73"/>
        <v>5.7999999999999996E-3</v>
      </c>
      <c r="BH77" s="19">
        <f t="shared" si="74"/>
        <v>0</v>
      </c>
      <c r="BI77" s="19">
        <f t="shared" si="75"/>
        <v>0</v>
      </c>
      <c r="BJ77" s="19">
        <f t="shared" si="76"/>
        <v>0</v>
      </c>
      <c r="BK77" s="19"/>
      <c r="BL77" s="19">
        <v>722</v>
      </c>
      <c r="BW77" s="19" t="str">
        <f t="shared" si="77"/>
        <v>12</v>
      </c>
      <c r="BX77" s="4" t="s">
        <v>82</v>
      </c>
    </row>
    <row r="78" spans="1:76" x14ac:dyDescent="0.25">
      <c r="A78" s="1" t="s">
        <v>557</v>
      </c>
      <c r="B78" s="2" t="s">
        <v>152</v>
      </c>
      <c r="C78" s="2" t="s">
        <v>154</v>
      </c>
      <c r="D78" s="105" t="s">
        <v>155</v>
      </c>
      <c r="E78" s="99"/>
      <c r="F78" s="2" t="s">
        <v>31</v>
      </c>
      <c r="G78" s="19">
        <f>'Rozpočet - vybrané sloupce'!J77</f>
        <v>36</v>
      </c>
      <c r="H78" s="19">
        <f>'Rozpočet - vybrané sloupce'!K77</f>
        <v>0</v>
      </c>
      <c r="I78" s="87" t="s">
        <v>489</v>
      </c>
      <c r="J78" s="19">
        <f t="shared" si="52"/>
        <v>0</v>
      </c>
      <c r="K78" s="19">
        <f t="shared" si="53"/>
        <v>0</v>
      </c>
      <c r="L78" s="19">
        <f t="shared" si="54"/>
        <v>0</v>
      </c>
      <c r="M78" s="19">
        <f t="shared" si="55"/>
        <v>0</v>
      </c>
      <c r="N78" s="19">
        <v>4.2999999999999999E-4</v>
      </c>
      <c r="O78" s="19">
        <f t="shared" si="56"/>
        <v>1.5479999999999999E-2</v>
      </c>
      <c r="P78" s="88" t="s">
        <v>490</v>
      </c>
      <c r="Z78" s="19">
        <f t="shared" si="57"/>
        <v>0</v>
      </c>
      <c r="AB78" s="19">
        <f t="shared" si="58"/>
        <v>0</v>
      </c>
      <c r="AC78" s="19">
        <f t="shared" si="59"/>
        <v>0</v>
      </c>
      <c r="AD78" s="19">
        <f t="shared" si="60"/>
        <v>0</v>
      </c>
      <c r="AE78" s="19">
        <f t="shared" si="61"/>
        <v>0</v>
      </c>
      <c r="AF78" s="19">
        <f t="shared" si="62"/>
        <v>0</v>
      </c>
      <c r="AG78" s="19">
        <f t="shared" si="63"/>
        <v>0</v>
      </c>
      <c r="AH78" s="19">
        <f t="shared" si="64"/>
        <v>0</v>
      </c>
      <c r="AI78" s="16" t="s">
        <v>152</v>
      </c>
      <c r="AJ78" s="19">
        <f t="shared" si="65"/>
        <v>0</v>
      </c>
      <c r="AK78" s="19">
        <f t="shared" si="66"/>
        <v>0</v>
      </c>
      <c r="AL78" s="19">
        <f t="shared" si="67"/>
        <v>0</v>
      </c>
      <c r="AN78" s="19">
        <v>12</v>
      </c>
      <c r="AO78" s="19">
        <f>H78*0.469006635</f>
        <v>0</v>
      </c>
      <c r="AP78" s="19">
        <f>H78*(1-0.469006635)</f>
        <v>0</v>
      </c>
      <c r="AQ78" s="87" t="s">
        <v>491</v>
      </c>
      <c r="AV78" s="19">
        <f t="shared" si="68"/>
        <v>0</v>
      </c>
      <c r="AW78" s="19">
        <f t="shared" si="69"/>
        <v>0</v>
      </c>
      <c r="AX78" s="19">
        <f t="shared" si="70"/>
        <v>0</v>
      </c>
      <c r="AY78" s="87" t="s">
        <v>515</v>
      </c>
      <c r="AZ78" s="87" t="s">
        <v>554</v>
      </c>
      <c r="BA78" s="16" t="s">
        <v>555</v>
      </c>
      <c r="BC78" s="19">
        <f t="shared" si="71"/>
        <v>0</v>
      </c>
      <c r="BD78" s="19">
        <f t="shared" si="72"/>
        <v>0</v>
      </c>
      <c r="BE78" s="19">
        <v>0</v>
      </c>
      <c r="BF78" s="19">
        <f t="shared" si="73"/>
        <v>1.5479999999999999E-2</v>
      </c>
      <c r="BH78" s="19">
        <f t="shared" si="74"/>
        <v>0</v>
      </c>
      <c r="BI78" s="19">
        <f t="shared" si="75"/>
        <v>0</v>
      </c>
      <c r="BJ78" s="19">
        <f t="shared" si="76"/>
        <v>0</v>
      </c>
      <c r="BK78" s="19"/>
      <c r="BL78" s="19">
        <v>722</v>
      </c>
      <c r="BW78" s="19" t="str">
        <f t="shared" si="77"/>
        <v>12</v>
      </c>
      <c r="BX78" s="4" t="s">
        <v>155</v>
      </c>
    </row>
    <row r="79" spans="1:76" x14ac:dyDescent="0.25">
      <c r="A79" s="1" t="s">
        <v>558</v>
      </c>
      <c r="B79" s="2" t="s">
        <v>152</v>
      </c>
      <c r="C79" s="2" t="s">
        <v>83</v>
      </c>
      <c r="D79" s="105" t="s">
        <v>84</v>
      </c>
      <c r="E79" s="99"/>
      <c r="F79" s="2" t="s">
        <v>31</v>
      </c>
      <c r="G79" s="19">
        <f>'Rozpočet - vybrané sloupce'!J78</f>
        <v>54</v>
      </c>
      <c r="H79" s="19">
        <f>'Rozpočet - vybrané sloupce'!K78</f>
        <v>0</v>
      </c>
      <c r="I79" s="87" t="s">
        <v>489</v>
      </c>
      <c r="J79" s="19">
        <f t="shared" si="52"/>
        <v>0</v>
      </c>
      <c r="K79" s="19">
        <f t="shared" si="53"/>
        <v>0</v>
      </c>
      <c r="L79" s="19">
        <f t="shared" si="54"/>
        <v>0</v>
      </c>
      <c r="M79" s="19">
        <f t="shared" si="55"/>
        <v>0</v>
      </c>
      <c r="N79" s="19">
        <v>5.2999999999999998E-4</v>
      </c>
      <c r="O79" s="19">
        <f t="shared" si="56"/>
        <v>2.862E-2</v>
      </c>
      <c r="P79" s="88" t="s">
        <v>490</v>
      </c>
      <c r="Z79" s="19">
        <f t="shared" si="57"/>
        <v>0</v>
      </c>
      <c r="AB79" s="19">
        <f t="shared" si="58"/>
        <v>0</v>
      </c>
      <c r="AC79" s="19">
        <f t="shared" si="59"/>
        <v>0</v>
      </c>
      <c r="AD79" s="19">
        <f t="shared" si="60"/>
        <v>0</v>
      </c>
      <c r="AE79" s="19">
        <f t="shared" si="61"/>
        <v>0</v>
      </c>
      <c r="AF79" s="19">
        <f t="shared" si="62"/>
        <v>0</v>
      </c>
      <c r="AG79" s="19">
        <f t="shared" si="63"/>
        <v>0</v>
      </c>
      <c r="AH79" s="19">
        <f t="shared" si="64"/>
        <v>0</v>
      </c>
      <c r="AI79" s="16" t="s">
        <v>152</v>
      </c>
      <c r="AJ79" s="19">
        <f t="shared" si="65"/>
        <v>0</v>
      </c>
      <c r="AK79" s="19">
        <f t="shared" si="66"/>
        <v>0</v>
      </c>
      <c r="AL79" s="19">
        <f t="shared" si="67"/>
        <v>0</v>
      </c>
      <c r="AN79" s="19">
        <v>12</v>
      </c>
      <c r="AO79" s="19">
        <f>H79*0.53460306</f>
        <v>0</v>
      </c>
      <c r="AP79" s="19">
        <f>H79*(1-0.53460306)</f>
        <v>0</v>
      </c>
      <c r="AQ79" s="87" t="s">
        <v>491</v>
      </c>
      <c r="AV79" s="19">
        <f t="shared" si="68"/>
        <v>0</v>
      </c>
      <c r="AW79" s="19">
        <f t="shared" si="69"/>
        <v>0</v>
      </c>
      <c r="AX79" s="19">
        <f t="shared" si="70"/>
        <v>0</v>
      </c>
      <c r="AY79" s="87" t="s">
        <v>515</v>
      </c>
      <c r="AZ79" s="87" t="s">
        <v>554</v>
      </c>
      <c r="BA79" s="16" t="s">
        <v>555</v>
      </c>
      <c r="BC79" s="19">
        <f t="shared" si="71"/>
        <v>0</v>
      </c>
      <c r="BD79" s="19">
        <f t="shared" si="72"/>
        <v>0</v>
      </c>
      <c r="BE79" s="19">
        <v>0</v>
      </c>
      <c r="BF79" s="19">
        <f t="shared" si="73"/>
        <v>2.862E-2</v>
      </c>
      <c r="BH79" s="19">
        <f t="shared" si="74"/>
        <v>0</v>
      </c>
      <c r="BI79" s="19">
        <f t="shared" si="75"/>
        <v>0</v>
      </c>
      <c r="BJ79" s="19">
        <f t="shared" si="76"/>
        <v>0</v>
      </c>
      <c r="BK79" s="19"/>
      <c r="BL79" s="19">
        <v>722</v>
      </c>
      <c r="BW79" s="19" t="str">
        <f t="shared" si="77"/>
        <v>12</v>
      </c>
      <c r="BX79" s="4" t="s">
        <v>84</v>
      </c>
    </row>
    <row r="80" spans="1:76" x14ac:dyDescent="0.25">
      <c r="A80" s="1" t="s">
        <v>559</v>
      </c>
      <c r="B80" s="2" t="s">
        <v>152</v>
      </c>
      <c r="C80" s="2" t="s">
        <v>85</v>
      </c>
      <c r="D80" s="105" t="s">
        <v>86</v>
      </c>
      <c r="E80" s="99"/>
      <c r="F80" s="2" t="s">
        <v>31</v>
      </c>
      <c r="G80" s="19">
        <f>'Rozpočet - vybrané sloupce'!J79</f>
        <v>38</v>
      </c>
      <c r="H80" s="19">
        <f>'Rozpočet - vybrané sloupce'!K79</f>
        <v>0</v>
      </c>
      <c r="I80" s="87" t="s">
        <v>489</v>
      </c>
      <c r="J80" s="19">
        <f t="shared" si="52"/>
        <v>0</v>
      </c>
      <c r="K80" s="19">
        <f t="shared" si="53"/>
        <v>0</v>
      </c>
      <c r="L80" s="19">
        <f t="shared" si="54"/>
        <v>0</v>
      </c>
      <c r="M80" s="19">
        <f t="shared" si="55"/>
        <v>0</v>
      </c>
      <c r="N80" s="19">
        <v>7.2999999999999996E-4</v>
      </c>
      <c r="O80" s="19">
        <f t="shared" si="56"/>
        <v>2.7739999999999997E-2</v>
      </c>
      <c r="P80" s="88" t="s">
        <v>490</v>
      </c>
      <c r="Z80" s="19">
        <f t="shared" si="57"/>
        <v>0</v>
      </c>
      <c r="AB80" s="19">
        <f t="shared" si="58"/>
        <v>0</v>
      </c>
      <c r="AC80" s="19">
        <f t="shared" si="59"/>
        <v>0</v>
      </c>
      <c r="AD80" s="19">
        <f t="shared" si="60"/>
        <v>0</v>
      </c>
      <c r="AE80" s="19">
        <f t="shared" si="61"/>
        <v>0</v>
      </c>
      <c r="AF80" s="19">
        <f t="shared" si="62"/>
        <v>0</v>
      </c>
      <c r="AG80" s="19">
        <f t="shared" si="63"/>
        <v>0</v>
      </c>
      <c r="AH80" s="19">
        <f t="shared" si="64"/>
        <v>0</v>
      </c>
      <c r="AI80" s="16" t="s">
        <v>152</v>
      </c>
      <c r="AJ80" s="19">
        <f t="shared" si="65"/>
        <v>0</v>
      </c>
      <c r="AK80" s="19">
        <f t="shared" si="66"/>
        <v>0</v>
      </c>
      <c r="AL80" s="19">
        <f t="shared" si="67"/>
        <v>0</v>
      </c>
      <c r="AN80" s="19">
        <v>12</v>
      </c>
      <c r="AO80" s="19">
        <f>H80*0.61214</f>
        <v>0</v>
      </c>
      <c r="AP80" s="19">
        <f>H80*(1-0.61214)</f>
        <v>0</v>
      </c>
      <c r="AQ80" s="87" t="s">
        <v>491</v>
      </c>
      <c r="AV80" s="19">
        <f t="shared" si="68"/>
        <v>0</v>
      </c>
      <c r="AW80" s="19">
        <f t="shared" si="69"/>
        <v>0</v>
      </c>
      <c r="AX80" s="19">
        <f t="shared" si="70"/>
        <v>0</v>
      </c>
      <c r="AY80" s="87" t="s">
        <v>515</v>
      </c>
      <c r="AZ80" s="87" t="s">
        <v>554</v>
      </c>
      <c r="BA80" s="16" t="s">
        <v>555</v>
      </c>
      <c r="BC80" s="19">
        <f t="shared" si="71"/>
        <v>0</v>
      </c>
      <c r="BD80" s="19">
        <f t="shared" si="72"/>
        <v>0</v>
      </c>
      <c r="BE80" s="19">
        <v>0</v>
      </c>
      <c r="BF80" s="19">
        <f t="shared" si="73"/>
        <v>2.7739999999999997E-2</v>
      </c>
      <c r="BH80" s="19">
        <f t="shared" si="74"/>
        <v>0</v>
      </c>
      <c r="BI80" s="19">
        <f t="shared" si="75"/>
        <v>0</v>
      </c>
      <c r="BJ80" s="19">
        <f t="shared" si="76"/>
        <v>0</v>
      </c>
      <c r="BK80" s="19"/>
      <c r="BL80" s="19">
        <v>722</v>
      </c>
      <c r="BW80" s="19" t="str">
        <f t="shared" si="77"/>
        <v>12</v>
      </c>
      <c r="BX80" s="4" t="s">
        <v>86</v>
      </c>
    </row>
    <row r="81" spans="1:76" x14ac:dyDescent="0.25">
      <c r="A81" s="1" t="s">
        <v>560</v>
      </c>
      <c r="B81" s="2" t="s">
        <v>152</v>
      </c>
      <c r="C81" s="2" t="s">
        <v>87</v>
      </c>
      <c r="D81" s="105" t="s">
        <v>88</v>
      </c>
      <c r="E81" s="99"/>
      <c r="F81" s="2" t="s">
        <v>31</v>
      </c>
      <c r="G81" s="19">
        <f>'Rozpočet - vybrané sloupce'!J80</f>
        <v>18</v>
      </c>
      <c r="H81" s="19">
        <f>'Rozpočet - vybrané sloupce'!K80</f>
        <v>0</v>
      </c>
      <c r="I81" s="87" t="s">
        <v>489</v>
      </c>
      <c r="J81" s="19">
        <f t="shared" si="52"/>
        <v>0</v>
      </c>
      <c r="K81" s="19">
        <f t="shared" si="53"/>
        <v>0</v>
      </c>
      <c r="L81" s="19">
        <f t="shared" si="54"/>
        <v>0</v>
      </c>
      <c r="M81" s="19">
        <f t="shared" si="55"/>
        <v>0</v>
      </c>
      <c r="N81" s="19">
        <v>1.0200000000000001E-3</v>
      </c>
      <c r="O81" s="19">
        <f t="shared" si="56"/>
        <v>1.8360000000000001E-2</v>
      </c>
      <c r="P81" s="88" t="s">
        <v>490</v>
      </c>
      <c r="Z81" s="19">
        <f t="shared" si="57"/>
        <v>0</v>
      </c>
      <c r="AB81" s="19">
        <f t="shared" si="58"/>
        <v>0</v>
      </c>
      <c r="AC81" s="19">
        <f t="shared" si="59"/>
        <v>0</v>
      </c>
      <c r="AD81" s="19">
        <f t="shared" si="60"/>
        <v>0</v>
      </c>
      <c r="AE81" s="19">
        <f t="shared" si="61"/>
        <v>0</v>
      </c>
      <c r="AF81" s="19">
        <f t="shared" si="62"/>
        <v>0</v>
      </c>
      <c r="AG81" s="19">
        <f t="shared" si="63"/>
        <v>0</v>
      </c>
      <c r="AH81" s="19">
        <f t="shared" si="64"/>
        <v>0</v>
      </c>
      <c r="AI81" s="16" t="s">
        <v>152</v>
      </c>
      <c r="AJ81" s="19">
        <f t="shared" si="65"/>
        <v>0</v>
      </c>
      <c r="AK81" s="19">
        <f t="shared" si="66"/>
        <v>0</v>
      </c>
      <c r="AL81" s="19">
        <f t="shared" si="67"/>
        <v>0</v>
      </c>
      <c r="AN81" s="19">
        <v>12</v>
      </c>
      <c r="AO81" s="19">
        <f>H81*0.70882782</f>
        <v>0</v>
      </c>
      <c r="AP81" s="19">
        <f>H81*(1-0.70882782)</f>
        <v>0</v>
      </c>
      <c r="AQ81" s="87" t="s">
        <v>491</v>
      </c>
      <c r="AV81" s="19">
        <f t="shared" si="68"/>
        <v>0</v>
      </c>
      <c r="AW81" s="19">
        <f t="shared" si="69"/>
        <v>0</v>
      </c>
      <c r="AX81" s="19">
        <f t="shared" si="70"/>
        <v>0</v>
      </c>
      <c r="AY81" s="87" t="s">
        <v>515</v>
      </c>
      <c r="AZ81" s="87" t="s">
        <v>554</v>
      </c>
      <c r="BA81" s="16" t="s">
        <v>555</v>
      </c>
      <c r="BC81" s="19">
        <f t="shared" si="71"/>
        <v>0</v>
      </c>
      <c r="BD81" s="19">
        <f t="shared" si="72"/>
        <v>0</v>
      </c>
      <c r="BE81" s="19">
        <v>0</v>
      </c>
      <c r="BF81" s="19">
        <f t="shared" si="73"/>
        <v>1.8360000000000001E-2</v>
      </c>
      <c r="BH81" s="19">
        <f t="shared" si="74"/>
        <v>0</v>
      </c>
      <c r="BI81" s="19">
        <f t="shared" si="75"/>
        <v>0</v>
      </c>
      <c r="BJ81" s="19">
        <f t="shared" si="76"/>
        <v>0</v>
      </c>
      <c r="BK81" s="19"/>
      <c r="BL81" s="19">
        <v>722</v>
      </c>
      <c r="BW81" s="19" t="str">
        <f t="shared" si="77"/>
        <v>12</v>
      </c>
      <c r="BX81" s="4" t="s">
        <v>88</v>
      </c>
    </row>
    <row r="82" spans="1:76" x14ac:dyDescent="0.25">
      <c r="A82" s="1" t="s">
        <v>561</v>
      </c>
      <c r="B82" s="2" t="s">
        <v>152</v>
      </c>
      <c r="C82" s="2" t="s">
        <v>156</v>
      </c>
      <c r="D82" s="105" t="s">
        <v>157</v>
      </c>
      <c r="E82" s="99"/>
      <c r="F82" s="2" t="s">
        <v>35</v>
      </c>
      <c r="G82" s="19">
        <f>'Rozpočet - vybrané sloupce'!J81</f>
        <v>24</v>
      </c>
      <c r="H82" s="19">
        <f>'Rozpočet - vybrané sloupce'!K81</f>
        <v>0</v>
      </c>
      <c r="I82" s="87" t="s">
        <v>489</v>
      </c>
      <c r="J82" s="19">
        <f t="shared" si="52"/>
        <v>0</v>
      </c>
      <c r="K82" s="19">
        <f t="shared" si="53"/>
        <v>0</v>
      </c>
      <c r="L82" s="19">
        <f t="shared" si="54"/>
        <v>0</v>
      </c>
      <c r="M82" s="19">
        <f t="shared" si="55"/>
        <v>0</v>
      </c>
      <c r="N82" s="19">
        <v>0</v>
      </c>
      <c r="O82" s="19">
        <f t="shared" si="56"/>
        <v>0</v>
      </c>
      <c r="P82" s="88" t="s">
        <v>490</v>
      </c>
      <c r="Z82" s="19">
        <f t="shared" si="57"/>
        <v>0</v>
      </c>
      <c r="AB82" s="19">
        <f t="shared" si="58"/>
        <v>0</v>
      </c>
      <c r="AC82" s="19">
        <f t="shared" si="59"/>
        <v>0</v>
      </c>
      <c r="AD82" s="19">
        <f t="shared" si="60"/>
        <v>0</v>
      </c>
      <c r="AE82" s="19">
        <f t="shared" si="61"/>
        <v>0</v>
      </c>
      <c r="AF82" s="19">
        <f t="shared" si="62"/>
        <v>0</v>
      </c>
      <c r="AG82" s="19">
        <f t="shared" si="63"/>
        <v>0</v>
      </c>
      <c r="AH82" s="19">
        <f t="shared" si="64"/>
        <v>0</v>
      </c>
      <c r="AI82" s="16" t="s">
        <v>152</v>
      </c>
      <c r="AJ82" s="19">
        <f t="shared" si="65"/>
        <v>0</v>
      </c>
      <c r="AK82" s="19">
        <f t="shared" si="66"/>
        <v>0</v>
      </c>
      <c r="AL82" s="19">
        <f t="shared" si="67"/>
        <v>0</v>
      </c>
      <c r="AN82" s="19">
        <v>12</v>
      </c>
      <c r="AO82" s="19">
        <f>H82*0</f>
        <v>0</v>
      </c>
      <c r="AP82" s="19">
        <f>H82*(1-0)</f>
        <v>0</v>
      </c>
      <c r="AQ82" s="87" t="s">
        <v>491</v>
      </c>
      <c r="AV82" s="19">
        <f t="shared" si="68"/>
        <v>0</v>
      </c>
      <c r="AW82" s="19">
        <f t="shared" si="69"/>
        <v>0</v>
      </c>
      <c r="AX82" s="19">
        <f t="shared" si="70"/>
        <v>0</v>
      </c>
      <c r="AY82" s="87" t="s">
        <v>515</v>
      </c>
      <c r="AZ82" s="87" t="s">
        <v>554</v>
      </c>
      <c r="BA82" s="16" t="s">
        <v>555</v>
      </c>
      <c r="BC82" s="19">
        <f t="shared" si="71"/>
        <v>0</v>
      </c>
      <c r="BD82" s="19">
        <f t="shared" si="72"/>
        <v>0</v>
      </c>
      <c r="BE82" s="19">
        <v>0</v>
      </c>
      <c r="BF82" s="19">
        <f t="shared" si="73"/>
        <v>0</v>
      </c>
      <c r="BH82" s="19">
        <f t="shared" si="74"/>
        <v>0</v>
      </c>
      <c r="BI82" s="19">
        <f t="shared" si="75"/>
        <v>0</v>
      </c>
      <c r="BJ82" s="19">
        <f t="shared" si="76"/>
        <v>0</v>
      </c>
      <c r="BK82" s="19"/>
      <c r="BL82" s="19">
        <v>722</v>
      </c>
      <c r="BW82" s="19" t="str">
        <f t="shared" si="77"/>
        <v>12</v>
      </c>
      <c r="BX82" s="4" t="s">
        <v>157</v>
      </c>
    </row>
    <row r="83" spans="1:76" x14ac:dyDescent="0.25">
      <c r="A83" s="1" t="s">
        <v>562</v>
      </c>
      <c r="B83" s="2" t="s">
        <v>152</v>
      </c>
      <c r="C83" s="2" t="s">
        <v>158</v>
      </c>
      <c r="D83" s="105" t="s">
        <v>159</v>
      </c>
      <c r="E83" s="99"/>
      <c r="F83" s="2" t="s">
        <v>31</v>
      </c>
      <c r="G83" s="19">
        <f>'Rozpočet - vybrané sloupce'!J82</f>
        <v>36</v>
      </c>
      <c r="H83" s="19">
        <f>'Rozpočet - vybrané sloupce'!K82</f>
        <v>0</v>
      </c>
      <c r="I83" s="87" t="s">
        <v>489</v>
      </c>
      <c r="J83" s="19">
        <f t="shared" si="52"/>
        <v>0</v>
      </c>
      <c r="K83" s="19">
        <f t="shared" si="53"/>
        <v>0</v>
      </c>
      <c r="L83" s="19">
        <f t="shared" si="54"/>
        <v>0</v>
      </c>
      <c r="M83" s="19">
        <f t="shared" si="55"/>
        <v>0</v>
      </c>
      <c r="N83" s="19">
        <v>3.0000000000000001E-5</v>
      </c>
      <c r="O83" s="19">
        <f t="shared" si="56"/>
        <v>1.08E-3</v>
      </c>
      <c r="P83" s="88" t="s">
        <v>490</v>
      </c>
      <c r="Z83" s="19">
        <f t="shared" si="57"/>
        <v>0</v>
      </c>
      <c r="AB83" s="19">
        <f t="shared" si="58"/>
        <v>0</v>
      </c>
      <c r="AC83" s="19">
        <f t="shared" si="59"/>
        <v>0</v>
      </c>
      <c r="AD83" s="19">
        <f t="shared" si="60"/>
        <v>0</v>
      </c>
      <c r="AE83" s="19">
        <f t="shared" si="61"/>
        <v>0</v>
      </c>
      <c r="AF83" s="19">
        <f t="shared" si="62"/>
        <v>0</v>
      </c>
      <c r="AG83" s="19">
        <f t="shared" si="63"/>
        <v>0</v>
      </c>
      <c r="AH83" s="19">
        <f t="shared" si="64"/>
        <v>0</v>
      </c>
      <c r="AI83" s="16" t="s">
        <v>152</v>
      </c>
      <c r="AJ83" s="19">
        <f t="shared" si="65"/>
        <v>0</v>
      </c>
      <c r="AK83" s="19">
        <f t="shared" si="66"/>
        <v>0</v>
      </c>
      <c r="AL83" s="19">
        <f t="shared" si="67"/>
        <v>0</v>
      </c>
      <c r="AN83" s="19">
        <v>12</v>
      </c>
      <c r="AO83" s="19">
        <f>H83*0.248762628</f>
        <v>0</v>
      </c>
      <c r="AP83" s="19">
        <f>H83*(1-0.248762628)</f>
        <v>0</v>
      </c>
      <c r="AQ83" s="87" t="s">
        <v>491</v>
      </c>
      <c r="AV83" s="19">
        <f t="shared" si="68"/>
        <v>0</v>
      </c>
      <c r="AW83" s="19">
        <f t="shared" si="69"/>
        <v>0</v>
      </c>
      <c r="AX83" s="19">
        <f t="shared" si="70"/>
        <v>0</v>
      </c>
      <c r="AY83" s="87" t="s">
        <v>515</v>
      </c>
      <c r="AZ83" s="87" t="s">
        <v>554</v>
      </c>
      <c r="BA83" s="16" t="s">
        <v>555</v>
      </c>
      <c r="BC83" s="19">
        <f t="shared" si="71"/>
        <v>0</v>
      </c>
      <c r="BD83" s="19">
        <f t="shared" si="72"/>
        <v>0</v>
      </c>
      <c r="BE83" s="19">
        <v>0</v>
      </c>
      <c r="BF83" s="19">
        <f t="shared" si="73"/>
        <v>1.08E-3</v>
      </c>
      <c r="BH83" s="19">
        <f t="shared" si="74"/>
        <v>0</v>
      </c>
      <c r="BI83" s="19">
        <f t="shared" si="75"/>
        <v>0</v>
      </c>
      <c r="BJ83" s="19">
        <f t="shared" si="76"/>
        <v>0</v>
      </c>
      <c r="BK83" s="19"/>
      <c r="BL83" s="19">
        <v>722</v>
      </c>
      <c r="BW83" s="19" t="str">
        <f t="shared" si="77"/>
        <v>12</v>
      </c>
      <c r="BX83" s="4" t="s">
        <v>159</v>
      </c>
    </row>
    <row r="84" spans="1:76" x14ac:dyDescent="0.25">
      <c r="A84" s="1" t="s">
        <v>563</v>
      </c>
      <c r="B84" s="2" t="s">
        <v>152</v>
      </c>
      <c r="C84" s="2" t="s">
        <v>91</v>
      </c>
      <c r="D84" s="105" t="s">
        <v>92</v>
      </c>
      <c r="E84" s="99"/>
      <c r="F84" s="2" t="s">
        <v>31</v>
      </c>
      <c r="G84" s="19">
        <f>'Rozpočet - vybrané sloupce'!J83</f>
        <v>10</v>
      </c>
      <c r="H84" s="19">
        <f>'Rozpočet - vybrané sloupce'!K83</f>
        <v>0</v>
      </c>
      <c r="I84" s="87" t="s">
        <v>489</v>
      </c>
      <c r="J84" s="19">
        <f t="shared" si="52"/>
        <v>0</v>
      </c>
      <c r="K84" s="19">
        <f t="shared" si="53"/>
        <v>0</v>
      </c>
      <c r="L84" s="19">
        <f t="shared" si="54"/>
        <v>0</v>
      </c>
      <c r="M84" s="19">
        <f t="shared" si="55"/>
        <v>0</v>
      </c>
      <c r="N84" s="19">
        <v>6.0000000000000002E-5</v>
      </c>
      <c r="O84" s="19">
        <f t="shared" si="56"/>
        <v>6.0000000000000006E-4</v>
      </c>
      <c r="P84" s="88" t="s">
        <v>490</v>
      </c>
      <c r="Z84" s="19">
        <f t="shared" si="57"/>
        <v>0</v>
      </c>
      <c r="AB84" s="19">
        <f t="shared" si="58"/>
        <v>0</v>
      </c>
      <c r="AC84" s="19">
        <f t="shared" si="59"/>
        <v>0</v>
      </c>
      <c r="AD84" s="19">
        <f t="shared" si="60"/>
        <v>0</v>
      </c>
      <c r="AE84" s="19">
        <f t="shared" si="61"/>
        <v>0</v>
      </c>
      <c r="AF84" s="19">
        <f t="shared" si="62"/>
        <v>0</v>
      </c>
      <c r="AG84" s="19">
        <f t="shared" si="63"/>
        <v>0</v>
      </c>
      <c r="AH84" s="19">
        <f t="shared" si="64"/>
        <v>0</v>
      </c>
      <c r="AI84" s="16" t="s">
        <v>152</v>
      </c>
      <c r="AJ84" s="19">
        <f t="shared" si="65"/>
        <v>0</v>
      </c>
      <c r="AK84" s="19">
        <f t="shared" si="66"/>
        <v>0</v>
      </c>
      <c r="AL84" s="19">
        <f t="shared" si="67"/>
        <v>0</v>
      </c>
      <c r="AN84" s="19">
        <v>12</v>
      </c>
      <c r="AO84" s="19">
        <f>H84*0.262608247</f>
        <v>0</v>
      </c>
      <c r="AP84" s="19">
        <f>H84*(1-0.262608247)</f>
        <v>0</v>
      </c>
      <c r="AQ84" s="87" t="s">
        <v>491</v>
      </c>
      <c r="AV84" s="19">
        <f t="shared" si="68"/>
        <v>0</v>
      </c>
      <c r="AW84" s="19">
        <f t="shared" si="69"/>
        <v>0</v>
      </c>
      <c r="AX84" s="19">
        <f t="shared" si="70"/>
        <v>0</v>
      </c>
      <c r="AY84" s="87" t="s">
        <v>515</v>
      </c>
      <c r="AZ84" s="87" t="s">
        <v>554</v>
      </c>
      <c r="BA84" s="16" t="s">
        <v>555</v>
      </c>
      <c r="BC84" s="19">
        <f t="shared" si="71"/>
        <v>0</v>
      </c>
      <c r="BD84" s="19">
        <f t="shared" si="72"/>
        <v>0</v>
      </c>
      <c r="BE84" s="19">
        <v>0</v>
      </c>
      <c r="BF84" s="19">
        <f t="shared" si="73"/>
        <v>6.0000000000000006E-4</v>
      </c>
      <c r="BH84" s="19">
        <f t="shared" si="74"/>
        <v>0</v>
      </c>
      <c r="BI84" s="19">
        <f t="shared" si="75"/>
        <v>0</v>
      </c>
      <c r="BJ84" s="19">
        <f t="shared" si="76"/>
        <v>0</v>
      </c>
      <c r="BK84" s="19"/>
      <c r="BL84" s="19">
        <v>722</v>
      </c>
      <c r="BW84" s="19" t="str">
        <f t="shared" si="77"/>
        <v>12</v>
      </c>
      <c r="BX84" s="4" t="s">
        <v>92</v>
      </c>
    </row>
    <row r="85" spans="1:76" x14ac:dyDescent="0.25">
      <c r="A85" s="1" t="s">
        <v>564</v>
      </c>
      <c r="B85" s="2" t="s">
        <v>152</v>
      </c>
      <c r="C85" s="2" t="s">
        <v>160</v>
      </c>
      <c r="D85" s="105" t="s">
        <v>161</v>
      </c>
      <c r="E85" s="99"/>
      <c r="F85" s="2" t="s">
        <v>31</v>
      </c>
      <c r="G85" s="19">
        <f>'Rozpočet - vybrané sloupce'!J84</f>
        <v>18</v>
      </c>
      <c r="H85" s="19">
        <f>'Rozpočet - vybrané sloupce'!K84</f>
        <v>0</v>
      </c>
      <c r="I85" s="87" t="s">
        <v>489</v>
      </c>
      <c r="J85" s="19">
        <f t="shared" si="52"/>
        <v>0</v>
      </c>
      <c r="K85" s="19">
        <f t="shared" si="53"/>
        <v>0</v>
      </c>
      <c r="L85" s="19">
        <f t="shared" si="54"/>
        <v>0</v>
      </c>
      <c r="M85" s="19">
        <f t="shared" si="55"/>
        <v>0</v>
      </c>
      <c r="N85" s="19">
        <v>5.0000000000000002E-5</v>
      </c>
      <c r="O85" s="19">
        <f t="shared" si="56"/>
        <v>9.0000000000000008E-4</v>
      </c>
      <c r="P85" s="88" t="s">
        <v>490</v>
      </c>
      <c r="Z85" s="19">
        <f t="shared" si="57"/>
        <v>0</v>
      </c>
      <c r="AB85" s="19">
        <f t="shared" si="58"/>
        <v>0</v>
      </c>
      <c r="AC85" s="19">
        <f t="shared" si="59"/>
        <v>0</v>
      </c>
      <c r="AD85" s="19">
        <f t="shared" si="60"/>
        <v>0</v>
      </c>
      <c r="AE85" s="19">
        <f t="shared" si="61"/>
        <v>0</v>
      </c>
      <c r="AF85" s="19">
        <f t="shared" si="62"/>
        <v>0</v>
      </c>
      <c r="AG85" s="19">
        <f t="shared" si="63"/>
        <v>0</v>
      </c>
      <c r="AH85" s="19">
        <f t="shared" si="64"/>
        <v>0</v>
      </c>
      <c r="AI85" s="16" t="s">
        <v>152</v>
      </c>
      <c r="AJ85" s="19">
        <f t="shared" si="65"/>
        <v>0</v>
      </c>
      <c r="AK85" s="19">
        <f t="shared" si="66"/>
        <v>0</v>
      </c>
      <c r="AL85" s="19">
        <f t="shared" si="67"/>
        <v>0</v>
      </c>
      <c r="AN85" s="19">
        <v>12</v>
      </c>
      <c r="AO85" s="19">
        <f>H85*0.261525547</f>
        <v>0</v>
      </c>
      <c r="AP85" s="19">
        <f>H85*(1-0.261525547)</f>
        <v>0</v>
      </c>
      <c r="AQ85" s="87" t="s">
        <v>491</v>
      </c>
      <c r="AV85" s="19">
        <f t="shared" si="68"/>
        <v>0</v>
      </c>
      <c r="AW85" s="19">
        <f t="shared" si="69"/>
        <v>0</v>
      </c>
      <c r="AX85" s="19">
        <f t="shared" si="70"/>
        <v>0</v>
      </c>
      <c r="AY85" s="87" t="s">
        <v>515</v>
      </c>
      <c r="AZ85" s="87" t="s">
        <v>554</v>
      </c>
      <c r="BA85" s="16" t="s">
        <v>555</v>
      </c>
      <c r="BC85" s="19">
        <f t="shared" si="71"/>
        <v>0</v>
      </c>
      <c r="BD85" s="19">
        <f t="shared" si="72"/>
        <v>0</v>
      </c>
      <c r="BE85" s="19">
        <v>0</v>
      </c>
      <c r="BF85" s="19">
        <f t="shared" si="73"/>
        <v>9.0000000000000008E-4</v>
      </c>
      <c r="BH85" s="19">
        <f t="shared" si="74"/>
        <v>0</v>
      </c>
      <c r="BI85" s="19">
        <f t="shared" si="75"/>
        <v>0</v>
      </c>
      <c r="BJ85" s="19">
        <f t="shared" si="76"/>
        <v>0</v>
      </c>
      <c r="BK85" s="19"/>
      <c r="BL85" s="19">
        <v>722</v>
      </c>
      <c r="BW85" s="19" t="str">
        <f t="shared" si="77"/>
        <v>12</v>
      </c>
      <c r="BX85" s="4" t="s">
        <v>161</v>
      </c>
    </row>
    <row r="86" spans="1:76" x14ac:dyDescent="0.25">
      <c r="A86" s="1" t="s">
        <v>565</v>
      </c>
      <c r="B86" s="2" t="s">
        <v>152</v>
      </c>
      <c r="C86" s="2" t="s">
        <v>93</v>
      </c>
      <c r="D86" s="105" t="s">
        <v>94</v>
      </c>
      <c r="E86" s="99"/>
      <c r="F86" s="2" t="s">
        <v>31</v>
      </c>
      <c r="G86" s="19">
        <f>'Rozpočet - vybrané sloupce'!J85</f>
        <v>9</v>
      </c>
      <c r="H86" s="19">
        <f>'Rozpočet - vybrané sloupce'!K85</f>
        <v>0</v>
      </c>
      <c r="I86" s="87" t="s">
        <v>489</v>
      </c>
      <c r="J86" s="19">
        <f t="shared" si="52"/>
        <v>0</v>
      </c>
      <c r="K86" s="19">
        <f t="shared" si="53"/>
        <v>0</v>
      </c>
      <c r="L86" s="19">
        <f t="shared" si="54"/>
        <v>0</v>
      </c>
      <c r="M86" s="19">
        <f t="shared" si="55"/>
        <v>0</v>
      </c>
      <c r="N86" s="19">
        <v>9.0000000000000006E-5</v>
      </c>
      <c r="O86" s="19">
        <f t="shared" si="56"/>
        <v>8.1000000000000006E-4</v>
      </c>
      <c r="P86" s="88" t="s">
        <v>490</v>
      </c>
      <c r="Z86" s="19">
        <f t="shared" si="57"/>
        <v>0</v>
      </c>
      <c r="AB86" s="19">
        <f t="shared" si="58"/>
        <v>0</v>
      </c>
      <c r="AC86" s="19">
        <f t="shared" si="59"/>
        <v>0</v>
      </c>
      <c r="AD86" s="19">
        <f t="shared" si="60"/>
        <v>0</v>
      </c>
      <c r="AE86" s="19">
        <f t="shared" si="61"/>
        <v>0</v>
      </c>
      <c r="AF86" s="19">
        <f t="shared" si="62"/>
        <v>0</v>
      </c>
      <c r="AG86" s="19">
        <f t="shared" si="63"/>
        <v>0</v>
      </c>
      <c r="AH86" s="19">
        <f t="shared" si="64"/>
        <v>0</v>
      </c>
      <c r="AI86" s="16" t="s">
        <v>152</v>
      </c>
      <c r="AJ86" s="19">
        <f t="shared" si="65"/>
        <v>0</v>
      </c>
      <c r="AK86" s="19">
        <f t="shared" si="66"/>
        <v>0</v>
      </c>
      <c r="AL86" s="19">
        <f t="shared" si="67"/>
        <v>0</v>
      </c>
      <c r="AN86" s="19">
        <v>12</v>
      </c>
      <c r="AO86" s="19">
        <f>H86*0.274242144</f>
        <v>0</v>
      </c>
      <c r="AP86" s="19">
        <f>H86*(1-0.274242144)</f>
        <v>0</v>
      </c>
      <c r="AQ86" s="87" t="s">
        <v>491</v>
      </c>
      <c r="AV86" s="19">
        <f t="shared" si="68"/>
        <v>0</v>
      </c>
      <c r="AW86" s="19">
        <f t="shared" si="69"/>
        <v>0</v>
      </c>
      <c r="AX86" s="19">
        <f t="shared" si="70"/>
        <v>0</v>
      </c>
      <c r="AY86" s="87" t="s">
        <v>515</v>
      </c>
      <c r="AZ86" s="87" t="s">
        <v>554</v>
      </c>
      <c r="BA86" s="16" t="s">
        <v>555</v>
      </c>
      <c r="BC86" s="19">
        <f t="shared" si="71"/>
        <v>0</v>
      </c>
      <c r="BD86" s="19">
        <f t="shared" si="72"/>
        <v>0</v>
      </c>
      <c r="BE86" s="19">
        <v>0</v>
      </c>
      <c r="BF86" s="19">
        <f t="shared" si="73"/>
        <v>8.1000000000000006E-4</v>
      </c>
      <c r="BH86" s="19">
        <f t="shared" si="74"/>
        <v>0</v>
      </c>
      <c r="BI86" s="19">
        <f t="shared" si="75"/>
        <v>0</v>
      </c>
      <c r="BJ86" s="19">
        <f t="shared" si="76"/>
        <v>0</v>
      </c>
      <c r="BK86" s="19"/>
      <c r="BL86" s="19">
        <v>722</v>
      </c>
      <c r="BW86" s="19" t="str">
        <f t="shared" si="77"/>
        <v>12</v>
      </c>
      <c r="BX86" s="4" t="s">
        <v>94</v>
      </c>
    </row>
    <row r="87" spans="1:76" x14ac:dyDescent="0.25">
      <c r="A87" s="1" t="s">
        <v>566</v>
      </c>
      <c r="B87" s="2" t="s">
        <v>152</v>
      </c>
      <c r="C87" s="2" t="s">
        <v>97</v>
      </c>
      <c r="D87" s="105" t="s">
        <v>98</v>
      </c>
      <c r="E87" s="99"/>
      <c r="F87" s="2" t="s">
        <v>31</v>
      </c>
      <c r="G87" s="19">
        <f>'Rozpočet - vybrané sloupce'!J86</f>
        <v>44</v>
      </c>
      <c r="H87" s="19">
        <f>'Rozpočet - vybrané sloupce'!K86</f>
        <v>0</v>
      </c>
      <c r="I87" s="87" t="s">
        <v>489</v>
      </c>
      <c r="J87" s="19">
        <f t="shared" si="52"/>
        <v>0</v>
      </c>
      <c r="K87" s="19">
        <f t="shared" si="53"/>
        <v>0</v>
      </c>
      <c r="L87" s="19">
        <f t="shared" si="54"/>
        <v>0</v>
      </c>
      <c r="M87" s="19">
        <f t="shared" si="55"/>
        <v>0</v>
      </c>
      <c r="N87" s="19">
        <v>6.9999999999999994E-5</v>
      </c>
      <c r="O87" s="19">
        <f t="shared" si="56"/>
        <v>3.0799999999999998E-3</v>
      </c>
      <c r="P87" s="88" t="s">
        <v>490</v>
      </c>
      <c r="Z87" s="19">
        <f t="shared" si="57"/>
        <v>0</v>
      </c>
      <c r="AB87" s="19">
        <f t="shared" si="58"/>
        <v>0</v>
      </c>
      <c r="AC87" s="19">
        <f t="shared" si="59"/>
        <v>0</v>
      </c>
      <c r="AD87" s="19">
        <f t="shared" si="60"/>
        <v>0</v>
      </c>
      <c r="AE87" s="19">
        <f t="shared" si="61"/>
        <v>0</v>
      </c>
      <c r="AF87" s="19">
        <f t="shared" si="62"/>
        <v>0</v>
      </c>
      <c r="AG87" s="19">
        <f t="shared" si="63"/>
        <v>0</v>
      </c>
      <c r="AH87" s="19">
        <f t="shared" si="64"/>
        <v>0</v>
      </c>
      <c r="AI87" s="16" t="s">
        <v>152</v>
      </c>
      <c r="AJ87" s="19">
        <f t="shared" si="65"/>
        <v>0</v>
      </c>
      <c r="AK87" s="19">
        <f t="shared" si="66"/>
        <v>0</v>
      </c>
      <c r="AL87" s="19">
        <f t="shared" si="67"/>
        <v>0</v>
      </c>
      <c r="AN87" s="19">
        <v>12</v>
      </c>
      <c r="AO87" s="19">
        <f>H87*0.547769629</f>
        <v>0</v>
      </c>
      <c r="AP87" s="19">
        <f>H87*(1-0.547769629)</f>
        <v>0</v>
      </c>
      <c r="AQ87" s="87" t="s">
        <v>491</v>
      </c>
      <c r="AV87" s="19">
        <f t="shared" si="68"/>
        <v>0</v>
      </c>
      <c r="AW87" s="19">
        <f t="shared" si="69"/>
        <v>0</v>
      </c>
      <c r="AX87" s="19">
        <f t="shared" si="70"/>
        <v>0</v>
      </c>
      <c r="AY87" s="87" t="s">
        <v>515</v>
      </c>
      <c r="AZ87" s="87" t="s">
        <v>554</v>
      </c>
      <c r="BA87" s="16" t="s">
        <v>555</v>
      </c>
      <c r="BC87" s="19">
        <f t="shared" si="71"/>
        <v>0</v>
      </c>
      <c r="BD87" s="19">
        <f t="shared" si="72"/>
        <v>0</v>
      </c>
      <c r="BE87" s="19">
        <v>0</v>
      </c>
      <c r="BF87" s="19">
        <f t="shared" si="73"/>
        <v>3.0799999999999998E-3</v>
      </c>
      <c r="BH87" s="19">
        <f t="shared" si="74"/>
        <v>0</v>
      </c>
      <c r="BI87" s="19">
        <f t="shared" si="75"/>
        <v>0</v>
      </c>
      <c r="BJ87" s="19">
        <f t="shared" si="76"/>
        <v>0</v>
      </c>
      <c r="BK87" s="19"/>
      <c r="BL87" s="19">
        <v>722</v>
      </c>
      <c r="BW87" s="19" t="str">
        <f t="shared" si="77"/>
        <v>12</v>
      </c>
      <c r="BX87" s="4" t="s">
        <v>98</v>
      </c>
    </row>
    <row r="88" spans="1:76" x14ac:dyDescent="0.25">
      <c r="A88" s="1" t="s">
        <v>567</v>
      </c>
      <c r="B88" s="2" t="s">
        <v>152</v>
      </c>
      <c r="C88" s="2" t="s">
        <v>99</v>
      </c>
      <c r="D88" s="105" t="s">
        <v>100</v>
      </c>
      <c r="E88" s="99"/>
      <c r="F88" s="2" t="s">
        <v>31</v>
      </c>
      <c r="G88" s="19">
        <f>'Rozpočet - vybrané sloupce'!J87</f>
        <v>18</v>
      </c>
      <c r="H88" s="19">
        <f>'Rozpočet - vybrané sloupce'!K87</f>
        <v>0</v>
      </c>
      <c r="I88" s="87" t="s">
        <v>489</v>
      </c>
      <c r="J88" s="19">
        <f t="shared" si="52"/>
        <v>0</v>
      </c>
      <c r="K88" s="19">
        <f t="shared" si="53"/>
        <v>0</v>
      </c>
      <c r="L88" s="19">
        <f t="shared" si="54"/>
        <v>0</v>
      </c>
      <c r="M88" s="19">
        <f t="shared" si="55"/>
        <v>0</v>
      </c>
      <c r="N88" s="19">
        <v>8.0000000000000007E-5</v>
      </c>
      <c r="O88" s="19">
        <f t="shared" si="56"/>
        <v>1.4400000000000001E-3</v>
      </c>
      <c r="P88" s="88" t="s">
        <v>490</v>
      </c>
      <c r="Z88" s="19">
        <f t="shared" si="57"/>
        <v>0</v>
      </c>
      <c r="AB88" s="19">
        <f t="shared" si="58"/>
        <v>0</v>
      </c>
      <c r="AC88" s="19">
        <f t="shared" si="59"/>
        <v>0</v>
      </c>
      <c r="AD88" s="19">
        <f t="shared" si="60"/>
        <v>0</v>
      </c>
      <c r="AE88" s="19">
        <f t="shared" si="61"/>
        <v>0</v>
      </c>
      <c r="AF88" s="19">
        <f t="shared" si="62"/>
        <v>0</v>
      </c>
      <c r="AG88" s="19">
        <f t="shared" si="63"/>
        <v>0</v>
      </c>
      <c r="AH88" s="19">
        <f t="shared" si="64"/>
        <v>0</v>
      </c>
      <c r="AI88" s="16" t="s">
        <v>152</v>
      </c>
      <c r="AJ88" s="19">
        <f t="shared" si="65"/>
        <v>0</v>
      </c>
      <c r="AK88" s="19">
        <f t="shared" si="66"/>
        <v>0</v>
      </c>
      <c r="AL88" s="19">
        <f t="shared" si="67"/>
        <v>0</v>
      </c>
      <c r="AN88" s="19">
        <v>12</v>
      </c>
      <c r="AO88" s="19">
        <f>H88*0.551609316</f>
        <v>0</v>
      </c>
      <c r="AP88" s="19">
        <f>H88*(1-0.551609316)</f>
        <v>0</v>
      </c>
      <c r="AQ88" s="87" t="s">
        <v>491</v>
      </c>
      <c r="AV88" s="19">
        <f t="shared" si="68"/>
        <v>0</v>
      </c>
      <c r="AW88" s="19">
        <f t="shared" si="69"/>
        <v>0</v>
      </c>
      <c r="AX88" s="19">
        <f t="shared" si="70"/>
        <v>0</v>
      </c>
      <c r="AY88" s="87" t="s">
        <v>515</v>
      </c>
      <c r="AZ88" s="87" t="s">
        <v>554</v>
      </c>
      <c r="BA88" s="16" t="s">
        <v>555</v>
      </c>
      <c r="BC88" s="19">
        <f t="shared" si="71"/>
        <v>0</v>
      </c>
      <c r="BD88" s="19">
        <f t="shared" si="72"/>
        <v>0</v>
      </c>
      <c r="BE88" s="19">
        <v>0</v>
      </c>
      <c r="BF88" s="19">
        <f t="shared" si="73"/>
        <v>1.4400000000000001E-3</v>
      </c>
      <c r="BH88" s="19">
        <f t="shared" si="74"/>
        <v>0</v>
      </c>
      <c r="BI88" s="19">
        <f t="shared" si="75"/>
        <v>0</v>
      </c>
      <c r="BJ88" s="19">
        <f t="shared" si="76"/>
        <v>0</v>
      </c>
      <c r="BK88" s="19"/>
      <c r="BL88" s="19">
        <v>722</v>
      </c>
      <c r="BW88" s="19" t="str">
        <f t="shared" si="77"/>
        <v>12</v>
      </c>
      <c r="BX88" s="4" t="s">
        <v>100</v>
      </c>
    </row>
    <row r="89" spans="1:76" x14ac:dyDescent="0.25">
      <c r="A89" s="1" t="s">
        <v>568</v>
      </c>
      <c r="B89" s="2" t="s">
        <v>152</v>
      </c>
      <c r="C89" s="2" t="s">
        <v>101</v>
      </c>
      <c r="D89" s="105" t="s">
        <v>102</v>
      </c>
      <c r="E89" s="99"/>
      <c r="F89" s="2" t="s">
        <v>31</v>
      </c>
      <c r="G89" s="19">
        <f>'Rozpočet - vybrané sloupce'!J88</f>
        <v>9</v>
      </c>
      <c r="H89" s="19">
        <f>'Rozpočet - vybrané sloupce'!K88</f>
        <v>0</v>
      </c>
      <c r="I89" s="87" t="s">
        <v>489</v>
      </c>
      <c r="J89" s="19">
        <f t="shared" si="52"/>
        <v>0</v>
      </c>
      <c r="K89" s="19">
        <f t="shared" si="53"/>
        <v>0</v>
      </c>
      <c r="L89" s="19">
        <f t="shared" si="54"/>
        <v>0</v>
      </c>
      <c r="M89" s="19">
        <f t="shared" si="55"/>
        <v>0</v>
      </c>
      <c r="N89" s="19">
        <v>1.2999999999999999E-4</v>
      </c>
      <c r="O89" s="19">
        <f t="shared" si="56"/>
        <v>1.1699999999999998E-3</v>
      </c>
      <c r="P89" s="88" t="s">
        <v>490</v>
      </c>
      <c r="Z89" s="19">
        <f t="shared" si="57"/>
        <v>0</v>
      </c>
      <c r="AB89" s="19">
        <f t="shared" si="58"/>
        <v>0</v>
      </c>
      <c r="AC89" s="19">
        <f t="shared" si="59"/>
        <v>0</v>
      </c>
      <c r="AD89" s="19">
        <f t="shared" si="60"/>
        <v>0</v>
      </c>
      <c r="AE89" s="19">
        <f t="shared" si="61"/>
        <v>0</v>
      </c>
      <c r="AF89" s="19">
        <f t="shared" si="62"/>
        <v>0</v>
      </c>
      <c r="AG89" s="19">
        <f t="shared" si="63"/>
        <v>0</v>
      </c>
      <c r="AH89" s="19">
        <f t="shared" si="64"/>
        <v>0</v>
      </c>
      <c r="AI89" s="16" t="s">
        <v>152</v>
      </c>
      <c r="AJ89" s="19">
        <f t="shared" si="65"/>
        <v>0</v>
      </c>
      <c r="AK89" s="19">
        <f t="shared" si="66"/>
        <v>0</v>
      </c>
      <c r="AL89" s="19">
        <f t="shared" si="67"/>
        <v>0</v>
      </c>
      <c r="AN89" s="19">
        <v>12</v>
      </c>
      <c r="AO89" s="19">
        <f>H89*0.550961009</f>
        <v>0</v>
      </c>
      <c r="AP89" s="19">
        <f>H89*(1-0.550961009)</f>
        <v>0</v>
      </c>
      <c r="AQ89" s="87" t="s">
        <v>491</v>
      </c>
      <c r="AV89" s="19">
        <f t="shared" si="68"/>
        <v>0</v>
      </c>
      <c r="AW89" s="19">
        <f t="shared" si="69"/>
        <v>0</v>
      </c>
      <c r="AX89" s="19">
        <f t="shared" si="70"/>
        <v>0</v>
      </c>
      <c r="AY89" s="87" t="s">
        <v>515</v>
      </c>
      <c r="AZ89" s="87" t="s">
        <v>554</v>
      </c>
      <c r="BA89" s="16" t="s">
        <v>555</v>
      </c>
      <c r="BC89" s="19">
        <f t="shared" si="71"/>
        <v>0</v>
      </c>
      <c r="BD89" s="19">
        <f t="shared" si="72"/>
        <v>0</v>
      </c>
      <c r="BE89" s="19">
        <v>0</v>
      </c>
      <c r="BF89" s="19">
        <f t="shared" si="73"/>
        <v>1.1699999999999998E-3</v>
      </c>
      <c r="BH89" s="19">
        <f t="shared" si="74"/>
        <v>0</v>
      </c>
      <c r="BI89" s="19">
        <f t="shared" si="75"/>
        <v>0</v>
      </c>
      <c r="BJ89" s="19">
        <f t="shared" si="76"/>
        <v>0</v>
      </c>
      <c r="BK89" s="19"/>
      <c r="BL89" s="19">
        <v>722</v>
      </c>
      <c r="BW89" s="19" t="str">
        <f t="shared" si="77"/>
        <v>12</v>
      </c>
      <c r="BX89" s="4" t="s">
        <v>102</v>
      </c>
    </row>
    <row r="90" spans="1:76" x14ac:dyDescent="0.25">
      <c r="A90" s="1" t="s">
        <v>569</v>
      </c>
      <c r="B90" s="2" t="s">
        <v>152</v>
      </c>
      <c r="C90" s="2" t="s">
        <v>162</v>
      </c>
      <c r="D90" s="105" t="s">
        <v>163</v>
      </c>
      <c r="E90" s="99"/>
      <c r="F90" s="2" t="s">
        <v>35</v>
      </c>
      <c r="G90" s="19">
        <f>'Rozpočet - vybrané sloupce'!J89</f>
        <v>48</v>
      </c>
      <c r="H90" s="19">
        <f>'Rozpočet - vybrané sloupce'!K89</f>
        <v>0</v>
      </c>
      <c r="I90" s="87" t="s">
        <v>489</v>
      </c>
      <c r="J90" s="19">
        <f t="shared" si="52"/>
        <v>0</v>
      </c>
      <c r="K90" s="19">
        <f t="shared" si="53"/>
        <v>0</v>
      </c>
      <c r="L90" s="19">
        <f t="shared" si="54"/>
        <v>0</v>
      </c>
      <c r="M90" s="19">
        <f t="shared" si="55"/>
        <v>0</v>
      </c>
      <c r="N90" s="19">
        <v>0</v>
      </c>
      <c r="O90" s="19">
        <f t="shared" si="56"/>
        <v>0</v>
      </c>
      <c r="P90" s="88" t="s">
        <v>490</v>
      </c>
      <c r="Z90" s="19">
        <f t="shared" si="57"/>
        <v>0</v>
      </c>
      <c r="AB90" s="19">
        <f t="shared" si="58"/>
        <v>0</v>
      </c>
      <c r="AC90" s="19">
        <f t="shared" si="59"/>
        <v>0</v>
      </c>
      <c r="AD90" s="19">
        <f t="shared" si="60"/>
        <v>0</v>
      </c>
      <c r="AE90" s="19">
        <f t="shared" si="61"/>
        <v>0</v>
      </c>
      <c r="AF90" s="19">
        <f t="shared" si="62"/>
        <v>0</v>
      </c>
      <c r="AG90" s="19">
        <f t="shared" si="63"/>
        <v>0</v>
      </c>
      <c r="AH90" s="19">
        <f t="shared" si="64"/>
        <v>0</v>
      </c>
      <c r="AI90" s="16" t="s">
        <v>152</v>
      </c>
      <c r="AJ90" s="19">
        <f t="shared" si="65"/>
        <v>0</v>
      </c>
      <c r="AK90" s="19">
        <f t="shared" si="66"/>
        <v>0</v>
      </c>
      <c r="AL90" s="19">
        <f t="shared" si="67"/>
        <v>0</v>
      </c>
      <c r="AN90" s="19">
        <v>12</v>
      </c>
      <c r="AO90" s="19">
        <f>H90*1.000045096</f>
        <v>0</v>
      </c>
      <c r="AP90" s="19">
        <f>H90*(1-1.000045096)</f>
        <v>0</v>
      </c>
      <c r="AQ90" s="87" t="s">
        <v>491</v>
      </c>
      <c r="AV90" s="19">
        <f t="shared" si="68"/>
        <v>0</v>
      </c>
      <c r="AW90" s="19">
        <f t="shared" si="69"/>
        <v>0</v>
      </c>
      <c r="AX90" s="19">
        <f t="shared" si="70"/>
        <v>0</v>
      </c>
      <c r="AY90" s="87" t="s">
        <v>515</v>
      </c>
      <c r="AZ90" s="87" t="s">
        <v>554</v>
      </c>
      <c r="BA90" s="16" t="s">
        <v>555</v>
      </c>
      <c r="BC90" s="19">
        <f t="shared" si="71"/>
        <v>0</v>
      </c>
      <c r="BD90" s="19">
        <f t="shared" si="72"/>
        <v>0</v>
      </c>
      <c r="BE90" s="19">
        <v>0</v>
      </c>
      <c r="BF90" s="19">
        <f t="shared" si="73"/>
        <v>0</v>
      </c>
      <c r="BH90" s="19">
        <f t="shared" si="74"/>
        <v>0</v>
      </c>
      <c r="BI90" s="19">
        <f t="shared" si="75"/>
        <v>0</v>
      </c>
      <c r="BJ90" s="19">
        <f t="shared" si="76"/>
        <v>0</v>
      </c>
      <c r="BK90" s="19"/>
      <c r="BL90" s="19">
        <v>722</v>
      </c>
      <c r="BW90" s="19" t="str">
        <f t="shared" si="77"/>
        <v>12</v>
      </c>
      <c r="BX90" s="4" t="s">
        <v>163</v>
      </c>
    </row>
    <row r="91" spans="1:76" x14ac:dyDescent="0.25">
      <c r="A91" s="1" t="s">
        <v>570</v>
      </c>
      <c r="B91" s="2" t="s">
        <v>152</v>
      </c>
      <c r="C91" s="2" t="s">
        <v>115</v>
      </c>
      <c r="D91" s="105" t="s">
        <v>164</v>
      </c>
      <c r="E91" s="99"/>
      <c r="F91" s="2" t="s">
        <v>35</v>
      </c>
      <c r="G91" s="19">
        <f>'Rozpočet - vybrané sloupce'!J90</f>
        <v>24</v>
      </c>
      <c r="H91" s="19">
        <f>'Rozpočet - vybrané sloupce'!K90</f>
        <v>0</v>
      </c>
      <c r="I91" s="87" t="s">
        <v>489</v>
      </c>
      <c r="J91" s="19">
        <f t="shared" si="52"/>
        <v>0</v>
      </c>
      <c r="K91" s="19">
        <f t="shared" si="53"/>
        <v>0</v>
      </c>
      <c r="L91" s="19">
        <f t="shared" si="54"/>
        <v>0</v>
      </c>
      <c r="M91" s="19">
        <f t="shared" si="55"/>
        <v>0</v>
      </c>
      <c r="N91" s="19">
        <v>2.4000000000000001E-4</v>
      </c>
      <c r="O91" s="19">
        <f t="shared" si="56"/>
        <v>5.7600000000000004E-3</v>
      </c>
      <c r="P91" s="88" t="s">
        <v>490</v>
      </c>
      <c r="Z91" s="19">
        <f t="shared" si="57"/>
        <v>0</v>
      </c>
      <c r="AB91" s="19">
        <f t="shared" si="58"/>
        <v>0</v>
      </c>
      <c r="AC91" s="19">
        <f t="shared" si="59"/>
        <v>0</v>
      </c>
      <c r="AD91" s="19">
        <f t="shared" si="60"/>
        <v>0</v>
      </c>
      <c r="AE91" s="19">
        <f t="shared" si="61"/>
        <v>0</v>
      </c>
      <c r="AF91" s="19">
        <f t="shared" si="62"/>
        <v>0</v>
      </c>
      <c r="AG91" s="19">
        <f t="shared" si="63"/>
        <v>0</v>
      </c>
      <c r="AH91" s="19">
        <f t="shared" si="64"/>
        <v>0</v>
      </c>
      <c r="AI91" s="16" t="s">
        <v>152</v>
      </c>
      <c r="AJ91" s="19">
        <f t="shared" si="65"/>
        <v>0</v>
      </c>
      <c r="AK91" s="19">
        <f t="shared" si="66"/>
        <v>0</v>
      </c>
      <c r="AL91" s="19">
        <f t="shared" si="67"/>
        <v>0</v>
      </c>
      <c r="AN91" s="19">
        <v>12</v>
      </c>
      <c r="AO91" s="19">
        <f>H91*0.74771806</f>
        <v>0</v>
      </c>
      <c r="AP91" s="19">
        <f>H91*(1-0.74771806)</f>
        <v>0</v>
      </c>
      <c r="AQ91" s="87" t="s">
        <v>491</v>
      </c>
      <c r="AV91" s="19">
        <f t="shared" si="68"/>
        <v>0</v>
      </c>
      <c r="AW91" s="19">
        <f t="shared" si="69"/>
        <v>0</v>
      </c>
      <c r="AX91" s="19">
        <f t="shared" si="70"/>
        <v>0</v>
      </c>
      <c r="AY91" s="87" t="s">
        <v>515</v>
      </c>
      <c r="AZ91" s="87" t="s">
        <v>554</v>
      </c>
      <c r="BA91" s="16" t="s">
        <v>555</v>
      </c>
      <c r="BC91" s="19">
        <f t="shared" si="71"/>
        <v>0</v>
      </c>
      <c r="BD91" s="19">
        <f t="shared" si="72"/>
        <v>0</v>
      </c>
      <c r="BE91" s="19">
        <v>0</v>
      </c>
      <c r="BF91" s="19">
        <f t="shared" si="73"/>
        <v>5.7600000000000004E-3</v>
      </c>
      <c r="BH91" s="19">
        <f t="shared" si="74"/>
        <v>0</v>
      </c>
      <c r="BI91" s="19">
        <f t="shared" si="75"/>
        <v>0</v>
      </c>
      <c r="BJ91" s="19">
        <f t="shared" si="76"/>
        <v>0</v>
      </c>
      <c r="BK91" s="19"/>
      <c r="BL91" s="19">
        <v>722</v>
      </c>
      <c r="BW91" s="19" t="str">
        <f t="shared" si="77"/>
        <v>12</v>
      </c>
      <c r="BX91" s="4" t="s">
        <v>164</v>
      </c>
    </row>
    <row r="92" spans="1:76" x14ac:dyDescent="0.25">
      <c r="A92" s="1" t="s">
        <v>571</v>
      </c>
      <c r="B92" s="2" t="s">
        <v>152</v>
      </c>
      <c r="C92" s="2" t="s">
        <v>165</v>
      </c>
      <c r="D92" s="105" t="s">
        <v>166</v>
      </c>
      <c r="E92" s="99"/>
      <c r="F92" s="2" t="s">
        <v>35</v>
      </c>
      <c r="G92" s="19">
        <f>'Rozpočet - vybrané sloupce'!J91</f>
        <v>24</v>
      </c>
      <c r="H92" s="19">
        <f>'Rozpočet - vybrané sloupce'!K91</f>
        <v>0</v>
      </c>
      <c r="I92" s="87" t="s">
        <v>489</v>
      </c>
      <c r="J92" s="19">
        <f t="shared" si="52"/>
        <v>0</v>
      </c>
      <c r="K92" s="19">
        <f t="shared" si="53"/>
        <v>0</v>
      </c>
      <c r="L92" s="19">
        <f t="shared" si="54"/>
        <v>0</v>
      </c>
      <c r="M92" s="19">
        <f t="shared" si="55"/>
        <v>0</v>
      </c>
      <c r="N92" s="19">
        <v>1.1E-4</v>
      </c>
      <c r="O92" s="19">
        <f t="shared" si="56"/>
        <v>2.64E-3</v>
      </c>
      <c r="P92" s="88" t="s">
        <v>490</v>
      </c>
      <c r="Z92" s="19">
        <f t="shared" si="57"/>
        <v>0</v>
      </c>
      <c r="AB92" s="19">
        <f t="shared" si="58"/>
        <v>0</v>
      </c>
      <c r="AC92" s="19">
        <f t="shared" si="59"/>
        <v>0</v>
      </c>
      <c r="AD92" s="19">
        <f t="shared" si="60"/>
        <v>0</v>
      </c>
      <c r="AE92" s="19">
        <f t="shared" si="61"/>
        <v>0</v>
      </c>
      <c r="AF92" s="19">
        <f t="shared" si="62"/>
        <v>0</v>
      </c>
      <c r="AG92" s="19">
        <f t="shared" si="63"/>
        <v>0</v>
      </c>
      <c r="AH92" s="19">
        <f t="shared" si="64"/>
        <v>0</v>
      </c>
      <c r="AI92" s="16" t="s">
        <v>152</v>
      </c>
      <c r="AJ92" s="19">
        <f t="shared" si="65"/>
        <v>0</v>
      </c>
      <c r="AK92" s="19">
        <f t="shared" si="66"/>
        <v>0</v>
      </c>
      <c r="AL92" s="19">
        <f t="shared" si="67"/>
        <v>0</v>
      </c>
      <c r="AN92" s="19">
        <v>12</v>
      </c>
      <c r="AO92" s="19">
        <f>H92*0.720194138</f>
        <v>0</v>
      </c>
      <c r="AP92" s="19">
        <f>H92*(1-0.720194138)</f>
        <v>0</v>
      </c>
      <c r="AQ92" s="87" t="s">
        <v>491</v>
      </c>
      <c r="AV92" s="19">
        <f t="shared" si="68"/>
        <v>0</v>
      </c>
      <c r="AW92" s="19">
        <f t="shared" si="69"/>
        <v>0</v>
      </c>
      <c r="AX92" s="19">
        <f t="shared" si="70"/>
        <v>0</v>
      </c>
      <c r="AY92" s="87" t="s">
        <v>515</v>
      </c>
      <c r="AZ92" s="87" t="s">
        <v>554</v>
      </c>
      <c r="BA92" s="16" t="s">
        <v>555</v>
      </c>
      <c r="BC92" s="19">
        <f t="shared" si="71"/>
        <v>0</v>
      </c>
      <c r="BD92" s="19">
        <f t="shared" si="72"/>
        <v>0</v>
      </c>
      <c r="BE92" s="19">
        <v>0</v>
      </c>
      <c r="BF92" s="19">
        <f t="shared" si="73"/>
        <v>2.64E-3</v>
      </c>
      <c r="BH92" s="19">
        <f t="shared" si="74"/>
        <v>0</v>
      </c>
      <c r="BI92" s="19">
        <f t="shared" si="75"/>
        <v>0</v>
      </c>
      <c r="BJ92" s="19">
        <f t="shared" si="76"/>
        <v>0</v>
      </c>
      <c r="BK92" s="19"/>
      <c r="BL92" s="19">
        <v>722</v>
      </c>
      <c r="BW92" s="19" t="str">
        <f t="shared" si="77"/>
        <v>12</v>
      </c>
      <c r="BX92" s="4" t="s">
        <v>166</v>
      </c>
    </row>
    <row r="93" spans="1:76" x14ac:dyDescent="0.25">
      <c r="A93" s="1" t="s">
        <v>572</v>
      </c>
      <c r="B93" s="2" t="s">
        <v>152</v>
      </c>
      <c r="C93" s="2" t="s">
        <v>167</v>
      </c>
      <c r="D93" s="105" t="s">
        <v>168</v>
      </c>
      <c r="E93" s="99"/>
      <c r="F93" s="2" t="s">
        <v>35</v>
      </c>
      <c r="G93" s="19">
        <f>'Rozpočet - vybrané sloupce'!J92</f>
        <v>28</v>
      </c>
      <c r="H93" s="19">
        <f>'Rozpočet - vybrané sloupce'!K92</f>
        <v>0</v>
      </c>
      <c r="I93" s="87" t="s">
        <v>489</v>
      </c>
      <c r="J93" s="19">
        <f t="shared" si="52"/>
        <v>0</v>
      </c>
      <c r="K93" s="19">
        <f t="shared" si="53"/>
        <v>0</v>
      </c>
      <c r="L93" s="19">
        <f t="shared" si="54"/>
        <v>0</v>
      </c>
      <c r="M93" s="19">
        <f t="shared" si="55"/>
        <v>0</v>
      </c>
      <c r="N93" s="19">
        <v>5.4900000000000001E-3</v>
      </c>
      <c r="O93" s="19">
        <f t="shared" si="56"/>
        <v>0.15372</v>
      </c>
      <c r="P93" s="88" t="s">
        <v>490</v>
      </c>
      <c r="Z93" s="19">
        <f t="shared" si="57"/>
        <v>0</v>
      </c>
      <c r="AB93" s="19">
        <f t="shared" si="58"/>
        <v>0</v>
      </c>
      <c r="AC93" s="19">
        <f t="shared" si="59"/>
        <v>0</v>
      </c>
      <c r="AD93" s="19">
        <f t="shared" si="60"/>
        <v>0</v>
      </c>
      <c r="AE93" s="19">
        <f t="shared" si="61"/>
        <v>0</v>
      </c>
      <c r="AF93" s="19">
        <f t="shared" si="62"/>
        <v>0</v>
      </c>
      <c r="AG93" s="19">
        <f t="shared" si="63"/>
        <v>0</v>
      </c>
      <c r="AH93" s="19">
        <f t="shared" si="64"/>
        <v>0</v>
      </c>
      <c r="AI93" s="16" t="s">
        <v>152</v>
      </c>
      <c r="AJ93" s="19">
        <f t="shared" si="65"/>
        <v>0</v>
      </c>
      <c r="AK93" s="19">
        <f t="shared" si="66"/>
        <v>0</v>
      </c>
      <c r="AL93" s="19">
        <f t="shared" si="67"/>
        <v>0</v>
      </c>
      <c r="AN93" s="19">
        <v>12</v>
      </c>
      <c r="AO93" s="19">
        <f>H93*0</f>
        <v>0</v>
      </c>
      <c r="AP93" s="19">
        <f>H93*(1-0)</f>
        <v>0</v>
      </c>
      <c r="AQ93" s="87" t="s">
        <v>491</v>
      </c>
      <c r="AV93" s="19">
        <f t="shared" si="68"/>
        <v>0</v>
      </c>
      <c r="AW93" s="19">
        <f t="shared" si="69"/>
        <v>0</v>
      </c>
      <c r="AX93" s="19">
        <f t="shared" si="70"/>
        <v>0</v>
      </c>
      <c r="AY93" s="87" t="s">
        <v>515</v>
      </c>
      <c r="AZ93" s="87" t="s">
        <v>554</v>
      </c>
      <c r="BA93" s="16" t="s">
        <v>555</v>
      </c>
      <c r="BC93" s="19">
        <f t="shared" si="71"/>
        <v>0</v>
      </c>
      <c r="BD93" s="19">
        <f t="shared" si="72"/>
        <v>0</v>
      </c>
      <c r="BE93" s="19">
        <v>0</v>
      </c>
      <c r="BF93" s="19">
        <f t="shared" si="73"/>
        <v>0.15372</v>
      </c>
      <c r="BH93" s="19">
        <f t="shared" si="74"/>
        <v>0</v>
      </c>
      <c r="BI93" s="19">
        <f t="shared" si="75"/>
        <v>0</v>
      </c>
      <c r="BJ93" s="19">
        <f t="shared" si="76"/>
        <v>0</v>
      </c>
      <c r="BK93" s="19"/>
      <c r="BL93" s="19">
        <v>722</v>
      </c>
      <c r="BW93" s="19" t="str">
        <f t="shared" si="77"/>
        <v>12</v>
      </c>
      <c r="BX93" s="4" t="s">
        <v>168</v>
      </c>
    </row>
    <row r="94" spans="1:76" x14ac:dyDescent="0.25">
      <c r="A94" s="1" t="s">
        <v>302</v>
      </c>
      <c r="B94" s="2" t="s">
        <v>152</v>
      </c>
      <c r="C94" s="2" t="s">
        <v>169</v>
      </c>
      <c r="D94" s="105" t="s">
        <v>170</v>
      </c>
      <c r="E94" s="99"/>
      <c r="F94" s="2" t="s">
        <v>35</v>
      </c>
      <c r="G94" s="19">
        <f>'Rozpočet - vybrané sloupce'!J93</f>
        <v>29</v>
      </c>
      <c r="H94" s="19">
        <f>'Rozpočet - vybrané sloupce'!K93</f>
        <v>0</v>
      </c>
      <c r="I94" s="87" t="s">
        <v>489</v>
      </c>
      <c r="J94" s="19">
        <f t="shared" si="52"/>
        <v>0</v>
      </c>
      <c r="K94" s="19">
        <f t="shared" si="53"/>
        <v>0</v>
      </c>
      <c r="L94" s="19">
        <f t="shared" si="54"/>
        <v>0</v>
      </c>
      <c r="M94" s="19">
        <f t="shared" si="55"/>
        <v>0</v>
      </c>
      <c r="N94" s="19">
        <v>2.0000000000000002E-5</v>
      </c>
      <c r="O94" s="19">
        <f t="shared" si="56"/>
        <v>5.8E-4</v>
      </c>
      <c r="P94" s="88" t="s">
        <v>490</v>
      </c>
      <c r="Z94" s="19">
        <f t="shared" si="57"/>
        <v>0</v>
      </c>
      <c r="AB94" s="19">
        <f t="shared" si="58"/>
        <v>0</v>
      </c>
      <c r="AC94" s="19">
        <f t="shared" si="59"/>
        <v>0</v>
      </c>
      <c r="AD94" s="19">
        <f t="shared" si="60"/>
        <v>0</v>
      </c>
      <c r="AE94" s="19">
        <f t="shared" si="61"/>
        <v>0</v>
      </c>
      <c r="AF94" s="19">
        <f t="shared" si="62"/>
        <v>0</v>
      </c>
      <c r="AG94" s="19">
        <f t="shared" si="63"/>
        <v>0</v>
      </c>
      <c r="AH94" s="19">
        <f t="shared" si="64"/>
        <v>0</v>
      </c>
      <c r="AI94" s="16" t="s">
        <v>152</v>
      </c>
      <c r="AJ94" s="19">
        <f t="shared" si="65"/>
        <v>0</v>
      </c>
      <c r="AK94" s="19">
        <f t="shared" si="66"/>
        <v>0</v>
      </c>
      <c r="AL94" s="19">
        <f t="shared" si="67"/>
        <v>0</v>
      </c>
      <c r="AN94" s="19">
        <v>12</v>
      </c>
      <c r="AO94" s="19">
        <f>H94*0.035565249</f>
        <v>0</v>
      </c>
      <c r="AP94" s="19">
        <f>H94*(1-0.035565249)</f>
        <v>0</v>
      </c>
      <c r="AQ94" s="87" t="s">
        <v>491</v>
      </c>
      <c r="AV94" s="19">
        <f t="shared" si="68"/>
        <v>0</v>
      </c>
      <c r="AW94" s="19">
        <f t="shared" si="69"/>
        <v>0</v>
      </c>
      <c r="AX94" s="19">
        <f t="shared" si="70"/>
        <v>0</v>
      </c>
      <c r="AY94" s="87" t="s">
        <v>515</v>
      </c>
      <c r="AZ94" s="87" t="s">
        <v>554</v>
      </c>
      <c r="BA94" s="16" t="s">
        <v>555</v>
      </c>
      <c r="BC94" s="19">
        <f t="shared" si="71"/>
        <v>0</v>
      </c>
      <c r="BD94" s="19">
        <f t="shared" si="72"/>
        <v>0</v>
      </c>
      <c r="BE94" s="19">
        <v>0</v>
      </c>
      <c r="BF94" s="19">
        <f t="shared" si="73"/>
        <v>5.8E-4</v>
      </c>
      <c r="BH94" s="19">
        <f t="shared" si="74"/>
        <v>0</v>
      </c>
      <c r="BI94" s="19">
        <f t="shared" si="75"/>
        <v>0</v>
      </c>
      <c r="BJ94" s="19">
        <f t="shared" si="76"/>
        <v>0</v>
      </c>
      <c r="BK94" s="19"/>
      <c r="BL94" s="19">
        <v>722</v>
      </c>
      <c r="BW94" s="19" t="str">
        <f t="shared" si="77"/>
        <v>12</v>
      </c>
      <c r="BX94" s="4" t="s">
        <v>170</v>
      </c>
    </row>
    <row r="95" spans="1:76" x14ac:dyDescent="0.25">
      <c r="A95" s="1" t="s">
        <v>573</v>
      </c>
      <c r="B95" s="2" t="s">
        <v>152</v>
      </c>
      <c r="C95" s="2" t="s">
        <v>171</v>
      </c>
      <c r="D95" s="105" t="s">
        <v>172</v>
      </c>
      <c r="E95" s="99"/>
      <c r="F95" s="2" t="s">
        <v>35</v>
      </c>
      <c r="G95" s="19">
        <f>'Rozpočet - vybrané sloupce'!J94</f>
        <v>29</v>
      </c>
      <c r="H95" s="19">
        <f>'Rozpočet - vybrané sloupce'!K94</f>
        <v>0</v>
      </c>
      <c r="I95" s="87" t="s">
        <v>489</v>
      </c>
      <c r="J95" s="19">
        <f t="shared" si="52"/>
        <v>0</v>
      </c>
      <c r="K95" s="19">
        <f t="shared" si="53"/>
        <v>0</v>
      </c>
      <c r="L95" s="19">
        <f t="shared" si="54"/>
        <v>0</v>
      </c>
      <c r="M95" s="19">
        <f t="shared" si="55"/>
        <v>0</v>
      </c>
      <c r="N95" s="19">
        <v>0</v>
      </c>
      <c r="O95" s="19">
        <f t="shared" si="56"/>
        <v>0</v>
      </c>
      <c r="P95" s="88" t="s">
        <v>490</v>
      </c>
      <c r="Z95" s="19">
        <f t="shared" si="57"/>
        <v>0</v>
      </c>
      <c r="AB95" s="19">
        <f t="shared" si="58"/>
        <v>0</v>
      </c>
      <c r="AC95" s="19">
        <f t="shared" si="59"/>
        <v>0</v>
      </c>
      <c r="AD95" s="19">
        <f t="shared" si="60"/>
        <v>0</v>
      </c>
      <c r="AE95" s="19">
        <f t="shared" si="61"/>
        <v>0</v>
      </c>
      <c r="AF95" s="19">
        <f t="shared" si="62"/>
        <v>0</v>
      </c>
      <c r="AG95" s="19">
        <f t="shared" si="63"/>
        <v>0</v>
      </c>
      <c r="AH95" s="19">
        <f t="shared" si="64"/>
        <v>0</v>
      </c>
      <c r="AI95" s="16" t="s">
        <v>152</v>
      </c>
      <c r="AJ95" s="19">
        <f t="shared" si="65"/>
        <v>0</v>
      </c>
      <c r="AK95" s="19">
        <f t="shared" si="66"/>
        <v>0</v>
      </c>
      <c r="AL95" s="19">
        <f t="shared" si="67"/>
        <v>0</v>
      </c>
      <c r="AN95" s="19">
        <v>12</v>
      </c>
      <c r="AO95" s="19">
        <f>H95*0.166666667</f>
        <v>0</v>
      </c>
      <c r="AP95" s="19">
        <f>H95*(1-0.166666667)</f>
        <v>0</v>
      </c>
      <c r="AQ95" s="87" t="s">
        <v>491</v>
      </c>
      <c r="AV95" s="19">
        <f t="shared" si="68"/>
        <v>0</v>
      </c>
      <c r="AW95" s="19">
        <f t="shared" si="69"/>
        <v>0</v>
      </c>
      <c r="AX95" s="19">
        <f t="shared" si="70"/>
        <v>0</v>
      </c>
      <c r="AY95" s="87" t="s">
        <v>515</v>
      </c>
      <c r="AZ95" s="87" t="s">
        <v>554</v>
      </c>
      <c r="BA95" s="16" t="s">
        <v>555</v>
      </c>
      <c r="BC95" s="19">
        <f t="shared" si="71"/>
        <v>0</v>
      </c>
      <c r="BD95" s="19">
        <f t="shared" si="72"/>
        <v>0</v>
      </c>
      <c r="BE95" s="19">
        <v>0</v>
      </c>
      <c r="BF95" s="19">
        <f t="shared" si="73"/>
        <v>0</v>
      </c>
      <c r="BH95" s="19">
        <f t="shared" si="74"/>
        <v>0</v>
      </c>
      <c r="BI95" s="19">
        <f t="shared" si="75"/>
        <v>0</v>
      </c>
      <c r="BJ95" s="19">
        <f t="shared" si="76"/>
        <v>0</v>
      </c>
      <c r="BK95" s="19"/>
      <c r="BL95" s="19">
        <v>722</v>
      </c>
      <c r="BW95" s="19" t="str">
        <f t="shared" si="77"/>
        <v>12</v>
      </c>
      <c r="BX95" s="4" t="s">
        <v>172</v>
      </c>
    </row>
    <row r="96" spans="1:76" x14ac:dyDescent="0.25">
      <c r="A96" s="1" t="s">
        <v>574</v>
      </c>
      <c r="B96" s="2" t="s">
        <v>152</v>
      </c>
      <c r="C96" s="2" t="s">
        <v>140</v>
      </c>
      <c r="D96" s="105" t="s">
        <v>141</v>
      </c>
      <c r="E96" s="99"/>
      <c r="F96" s="2" t="s">
        <v>31</v>
      </c>
      <c r="G96" s="19">
        <f>'Rozpočet - vybrané sloupce'!J95</f>
        <v>128</v>
      </c>
      <c r="H96" s="19">
        <f>'Rozpočet - vybrané sloupce'!K95</f>
        <v>0</v>
      </c>
      <c r="I96" s="87" t="s">
        <v>489</v>
      </c>
      <c r="J96" s="19">
        <f t="shared" si="52"/>
        <v>0</v>
      </c>
      <c r="K96" s="19">
        <f t="shared" si="53"/>
        <v>0</v>
      </c>
      <c r="L96" s="19">
        <f t="shared" si="54"/>
        <v>0</v>
      </c>
      <c r="M96" s="19">
        <f t="shared" si="55"/>
        <v>0</v>
      </c>
      <c r="N96" s="19">
        <v>0</v>
      </c>
      <c r="O96" s="19">
        <f t="shared" si="56"/>
        <v>0</v>
      </c>
      <c r="P96" s="88" t="s">
        <v>490</v>
      </c>
      <c r="Z96" s="19">
        <f t="shared" si="57"/>
        <v>0</v>
      </c>
      <c r="AB96" s="19">
        <f t="shared" si="58"/>
        <v>0</v>
      </c>
      <c r="AC96" s="19">
        <f t="shared" si="59"/>
        <v>0</v>
      </c>
      <c r="AD96" s="19">
        <f t="shared" si="60"/>
        <v>0</v>
      </c>
      <c r="AE96" s="19">
        <f t="shared" si="61"/>
        <v>0</v>
      </c>
      <c r="AF96" s="19">
        <f t="shared" si="62"/>
        <v>0</v>
      </c>
      <c r="AG96" s="19">
        <f t="shared" si="63"/>
        <v>0</v>
      </c>
      <c r="AH96" s="19">
        <f t="shared" si="64"/>
        <v>0</v>
      </c>
      <c r="AI96" s="16" t="s">
        <v>152</v>
      </c>
      <c r="AJ96" s="19">
        <f t="shared" si="65"/>
        <v>0</v>
      </c>
      <c r="AK96" s="19">
        <f t="shared" si="66"/>
        <v>0</v>
      </c>
      <c r="AL96" s="19">
        <f t="shared" si="67"/>
        <v>0</v>
      </c>
      <c r="AN96" s="19">
        <v>12</v>
      </c>
      <c r="AO96" s="19">
        <f>H96*0.015292779</f>
        <v>0</v>
      </c>
      <c r="AP96" s="19">
        <f>H96*(1-0.015292779)</f>
        <v>0</v>
      </c>
      <c r="AQ96" s="87" t="s">
        <v>491</v>
      </c>
      <c r="AV96" s="19">
        <f t="shared" si="68"/>
        <v>0</v>
      </c>
      <c r="AW96" s="19">
        <f t="shared" si="69"/>
        <v>0</v>
      </c>
      <c r="AX96" s="19">
        <f t="shared" si="70"/>
        <v>0</v>
      </c>
      <c r="AY96" s="87" t="s">
        <v>515</v>
      </c>
      <c r="AZ96" s="87" t="s">
        <v>554</v>
      </c>
      <c r="BA96" s="16" t="s">
        <v>555</v>
      </c>
      <c r="BC96" s="19">
        <f t="shared" si="71"/>
        <v>0</v>
      </c>
      <c r="BD96" s="19">
        <f t="shared" si="72"/>
        <v>0</v>
      </c>
      <c r="BE96" s="19">
        <v>0</v>
      </c>
      <c r="BF96" s="19">
        <f t="shared" si="73"/>
        <v>0</v>
      </c>
      <c r="BH96" s="19">
        <f t="shared" si="74"/>
        <v>0</v>
      </c>
      <c r="BI96" s="19">
        <f t="shared" si="75"/>
        <v>0</v>
      </c>
      <c r="BJ96" s="19">
        <f t="shared" si="76"/>
        <v>0</v>
      </c>
      <c r="BK96" s="19"/>
      <c r="BL96" s="19">
        <v>722</v>
      </c>
      <c r="BW96" s="19" t="str">
        <f t="shared" si="77"/>
        <v>12</v>
      </c>
      <c r="BX96" s="4" t="s">
        <v>141</v>
      </c>
    </row>
    <row r="97" spans="1:76" x14ac:dyDescent="0.25">
      <c r="A97" s="1" t="s">
        <v>575</v>
      </c>
      <c r="B97" s="2" t="s">
        <v>152</v>
      </c>
      <c r="C97" s="2" t="s">
        <v>142</v>
      </c>
      <c r="D97" s="105" t="s">
        <v>143</v>
      </c>
      <c r="E97" s="99"/>
      <c r="F97" s="2" t="s">
        <v>31</v>
      </c>
      <c r="G97" s="19">
        <f>'Rozpočet - vybrané sloupce'!J96</f>
        <v>18</v>
      </c>
      <c r="H97" s="19">
        <f>'Rozpočet - vybrané sloupce'!K96</f>
        <v>0</v>
      </c>
      <c r="I97" s="87" t="s">
        <v>489</v>
      </c>
      <c r="J97" s="19">
        <f t="shared" si="52"/>
        <v>0</v>
      </c>
      <c r="K97" s="19">
        <f t="shared" si="53"/>
        <v>0</v>
      </c>
      <c r="L97" s="19">
        <f t="shared" si="54"/>
        <v>0</v>
      </c>
      <c r="M97" s="19">
        <f t="shared" si="55"/>
        <v>0</v>
      </c>
      <c r="N97" s="19">
        <v>0</v>
      </c>
      <c r="O97" s="19">
        <f t="shared" si="56"/>
        <v>0</v>
      </c>
      <c r="P97" s="88" t="s">
        <v>490</v>
      </c>
      <c r="Z97" s="19">
        <f t="shared" si="57"/>
        <v>0</v>
      </c>
      <c r="AB97" s="19">
        <f t="shared" si="58"/>
        <v>0</v>
      </c>
      <c r="AC97" s="19">
        <f t="shared" si="59"/>
        <v>0</v>
      </c>
      <c r="AD97" s="19">
        <f t="shared" si="60"/>
        <v>0</v>
      </c>
      <c r="AE97" s="19">
        <f t="shared" si="61"/>
        <v>0</v>
      </c>
      <c r="AF97" s="19">
        <f t="shared" si="62"/>
        <v>0</v>
      </c>
      <c r="AG97" s="19">
        <f t="shared" si="63"/>
        <v>0</v>
      </c>
      <c r="AH97" s="19">
        <f t="shared" si="64"/>
        <v>0</v>
      </c>
      <c r="AI97" s="16" t="s">
        <v>152</v>
      </c>
      <c r="AJ97" s="19">
        <f t="shared" si="65"/>
        <v>0</v>
      </c>
      <c r="AK97" s="19">
        <f t="shared" si="66"/>
        <v>0</v>
      </c>
      <c r="AL97" s="19">
        <f t="shared" si="67"/>
        <v>0</v>
      </c>
      <c r="AN97" s="19">
        <v>12</v>
      </c>
      <c r="AO97" s="19">
        <f>H97*0.017581395</f>
        <v>0</v>
      </c>
      <c r="AP97" s="19">
        <f>H97*(1-0.017581395)</f>
        <v>0</v>
      </c>
      <c r="AQ97" s="87" t="s">
        <v>491</v>
      </c>
      <c r="AV97" s="19">
        <f t="shared" si="68"/>
        <v>0</v>
      </c>
      <c r="AW97" s="19">
        <f t="shared" si="69"/>
        <v>0</v>
      </c>
      <c r="AX97" s="19">
        <f t="shared" si="70"/>
        <v>0</v>
      </c>
      <c r="AY97" s="87" t="s">
        <v>515</v>
      </c>
      <c r="AZ97" s="87" t="s">
        <v>554</v>
      </c>
      <c r="BA97" s="16" t="s">
        <v>555</v>
      </c>
      <c r="BC97" s="19">
        <f t="shared" si="71"/>
        <v>0</v>
      </c>
      <c r="BD97" s="19">
        <f t="shared" si="72"/>
        <v>0</v>
      </c>
      <c r="BE97" s="19">
        <v>0</v>
      </c>
      <c r="BF97" s="19">
        <f t="shared" si="73"/>
        <v>0</v>
      </c>
      <c r="BH97" s="19">
        <f t="shared" si="74"/>
        <v>0</v>
      </c>
      <c r="BI97" s="19">
        <f t="shared" si="75"/>
        <v>0</v>
      </c>
      <c r="BJ97" s="19">
        <f t="shared" si="76"/>
        <v>0</v>
      </c>
      <c r="BK97" s="19"/>
      <c r="BL97" s="19">
        <v>722</v>
      </c>
      <c r="BW97" s="19" t="str">
        <f t="shared" si="77"/>
        <v>12</v>
      </c>
      <c r="BX97" s="4" t="s">
        <v>143</v>
      </c>
    </row>
    <row r="98" spans="1:76" x14ac:dyDescent="0.25">
      <c r="A98" s="1" t="s">
        <v>576</v>
      </c>
      <c r="B98" s="2" t="s">
        <v>152</v>
      </c>
      <c r="C98" s="2" t="s">
        <v>173</v>
      </c>
      <c r="D98" s="105" t="s">
        <v>174</v>
      </c>
      <c r="E98" s="99"/>
      <c r="F98" s="2" t="s">
        <v>72</v>
      </c>
      <c r="G98" s="19">
        <f>'Rozpočet - vybrané sloupce'!J97</f>
        <v>0.1</v>
      </c>
      <c r="H98" s="19">
        <f>'Rozpočet - vybrané sloupce'!K97</f>
        <v>0</v>
      </c>
      <c r="I98" s="87" t="s">
        <v>489</v>
      </c>
      <c r="J98" s="19">
        <f t="shared" si="52"/>
        <v>0</v>
      </c>
      <c r="K98" s="19">
        <f t="shared" si="53"/>
        <v>0</v>
      </c>
      <c r="L98" s="19">
        <f t="shared" si="54"/>
        <v>0</v>
      </c>
      <c r="M98" s="19">
        <f t="shared" si="55"/>
        <v>0</v>
      </c>
      <c r="N98" s="19">
        <v>0</v>
      </c>
      <c r="O98" s="19">
        <f t="shared" si="56"/>
        <v>0</v>
      </c>
      <c r="P98" s="88" t="s">
        <v>490</v>
      </c>
      <c r="Z98" s="19">
        <f t="shared" si="57"/>
        <v>0</v>
      </c>
      <c r="AB98" s="19">
        <f t="shared" si="58"/>
        <v>0</v>
      </c>
      <c r="AC98" s="19">
        <f t="shared" si="59"/>
        <v>0</v>
      </c>
      <c r="AD98" s="19">
        <f t="shared" si="60"/>
        <v>0</v>
      </c>
      <c r="AE98" s="19">
        <f t="shared" si="61"/>
        <v>0</v>
      </c>
      <c r="AF98" s="19">
        <f t="shared" si="62"/>
        <v>0</v>
      </c>
      <c r="AG98" s="19">
        <f t="shared" si="63"/>
        <v>0</v>
      </c>
      <c r="AH98" s="19">
        <f t="shared" si="64"/>
        <v>0</v>
      </c>
      <c r="AI98" s="16" t="s">
        <v>152</v>
      </c>
      <c r="AJ98" s="19">
        <f t="shared" si="65"/>
        <v>0</v>
      </c>
      <c r="AK98" s="19">
        <f t="shared" si="66"/>
        <v>0</v>
      </c>
      <c r="AL98" s="19">
        <f t="shared" si="67"/>
        <v>0</v>
      </c>
      <c r="AN98" s="19">
        <v>12</v>
      </c>
      <c r="AO98" s="19">
        <f>H98*0</f>
        <v>0</v>
      </c>
      <c r="AP98" s="19">
        <f>H98*(1-0)</f>
        <v>0</v>
      </c>
      <c r="AQ98" s="87" t="s">
        <v>491</v>
      </c>
      <c r="AV98" s="19">
        <f t="shared" si="68"/>
        <v>0</v>
      </c>
      <c r="AW98" s="19">
        <f t="shared" si="69"/>
        <v>0</v>
      </c>
      <c r="AX98" s="19">
        <f t="shared" si="70"/>
        <v>0</v>
      </c>
      <c r="AY98" s="87" t="s">
        <v>515</v>
      </c>
      <c r="AZ98" s="87" t="s">
        <v>554</v>
      </c>
      <c r="BA98" s="16" t="s">
        <v>555</v>
      </c>
      <c r="BC98" s="19">
        <f t="shared" si="71"/>
        <v>0</v>
      </c>
      <c r="BD98" s="19">
        <f t="shared" si="72"/>
        <v>0</v>
      </c>
      <c r="BE98" s="19">
        <v>0</v>
      </c>
      <c r="BF98" s="19">
        <f t="shared" si="73"/>
        <v>0</v>
      </c>
      <c r="BH98" s="19">
        <f t="shared" si="74"/>
        <v>0</v>
      </c>
      <c r="BI98" s="19">
        <f t="shared" si="75"/>
        <v>0</v>
      </c>
      <c r="BJ98" s="19">
        <f t="shared" si="76"/>
        <v>0</v>
      </c>
      <c r="BK98" s="19"/>
      <c r="BL98" s="19">
        <v>722</v>
      </c>
      <c r="BW98" s="19" t="str">
        <f t="shared" si="77"/>
        <v>12</v>
      </c>
      <c r="BX98" s="4" t="s">
        <v>174</v>
      </c>
    </row>
    <row r="99" spans="1:76" x14ac:dyDescent="0.25">
      <c r="A99" s="1" t="s">
        <v>577</v>
      </c>
      <c r="B99" s="2" t="s">
        <v>152</v>
      </c>
      <c r="C99" s="2" t="s">
        <v>150</v>
      </c>
      <c r="D99" s="105" t="s">
        <v>151</v>
      </c>
      <c r="E99" s="99"/>
      <c r="F99" s="2" t="s">
        <v>43</v>
      </c>
      <c r="G99" s="19">
        <f>'Rozpočet - vybrané sloupce'!J98</f>
        <v>1240</v>
      </c>
      <c r="H99" s="19">
        <f>'Rozpočet - vybrané sloupce'!K98</f>
        <v>0</v>
      </c>
      <c r="I99" s="87" t="s">
        <v>489</v>
      </c>
      <c r="J99" s="19">
        <f t="shared" si="52"/>
        <v>0</v>
      </c>
      <c r="K99" s="19">
        <f t="shared" si="53"/>
        <v>0</v>
      </c>
      <c r="L99" s="19">
        <f t="shared" si="54"/>
        <v>0</v>
      </c>
      <c r="M99" s="19">
        <f t="shared" si="55"/>
        <v>0</v>
      </c>
      <c r="N99" s="19">
        <v>0</v>
      </c>
      <c r="O99" s="19">
        <f t="shared" si="56"/>
        <v>0</v>
      </c>
      <c r="P99" s="88" t="s">
        <v>490</v>
      </c>
      <c r="Z99" s="19">
        <f t="shared" si="57"/>
        <v>0</v>
      </c>
      <c r="AB99" s="19">
        <f t="shared" si="58"/>
        <v>0</v>
      </c>
      <c r="AC99" s="19">
        <f t="shared" si="59"/>
        <v>0</v>
      </c>
      <c r="AD99" s="19">
        <f t="shared" si="60"/>
        <v>0</v>
      </c>
      <c r="AE99" s="19">
        <f t="shared" si="61"/>
        <v>0</v>
      </c>
      <c r="AF99" s="19">
        <f t="shared" si="62"/>
        <v>0</v>
      </c>
      <c r="AG99" s="19">
        <f t="shared" si="63"/>
        <v>0</v>
      </c>
      <c r="AH99" s="19">
        <f t="shared" si="64"/>
        <v>0</v>
      </c>
      <c r="AI99" s="16" t="s">
        <v>152</v>
      </c>
      <c r="AJ99" s="19">
        <f t="shared" si="65"/>
        <v>0</v>
      </c>
      <c r="AK99" s="19">
        <f t="shared" si="66"/>
        <v>0</v>
      </c>
      <c r="AL99" s="19">
        <f t="shared" si="67"/>
        <v>0</v>
      </c>
      <c r="AN99" s="19">
        <v>12</v>
      </c>
      <c r="AO99" s="19">
        <f>H99*0</f>
        <v>0</v>
      </c>
      <c r="AP99" s="19">
        <f>H99*(1-0)</f>
        <v>0</v>
      </c>
      <c r="AQ99" s="87" t="s">
        <v>498</v>
      </c>
      <c r="AV99" s="19">
        <f t="shared" si="68"/>
        <v>0</v>
      </c>
      <c r="AW99" s="19">
        <f t="shared" si="69"/>
        <v>0</v>
      </c>
      <c r="AX99" s="19">
        <f t="shared" si="70"/>
        <v>0</v>
      </c>
      <c r="AY99" s="87" t="s">
        <v>515</v>
      </c>
      <c r="AZ99" s="87" t="s">
        <v>554</v>
      </c>
      <c r="BA99" s="16" t="s">
        <v>555</v>
      </c>
      <c r="BC99" s="19">
        <f t="shared" si="71"/>
        <v>0</v>
      </c>
      <c r="BD99" s="19">
        <f t="shared" si="72"/>
        <v>0</v>
      </c>
      <c r="BE99" s="19">
        <v>0</v>
      </c>
      <c r="BF99" s="19">
        <f t="shared" si="73"/>
        <v>0</v>
      </c>
      <c r="BH99" s="19">
        <f t="shared" si="74"/>
        <v>0</v>
      </c>
      <c r="BI99" s="19">
        <f t="shared" si="75"/>
        <v>0</v>
      </c>
      <c r="BJ99" s="19">
        <f t="shared" si="76"/>
        <v>0</v>
      </c>
      <c r="BK99" s="19"/>
      <c r="BL99" s="19">
        <v>722</v>
      </c>
      <c r="BW99" s="19" t="str">
        <f t="shared" si="77"/>
        <v>12</v>
      </c>
      <c r="BX99" s="4" t="s">
        <v>151</v>
      </c>
    </row>
    <row r="100" spans="1:76" x14ac:dyDescent="0.25">
      <c r="A100" s="84" t="s">
        <v>25</v>
      </c>
      <c r="B100" s="15" t="s">
        <v>152</v>
      </c>
      <c r="C100" s="15" t="s">
        <v>175</v>
      </c>
      <c r="D100" s="112" t="s">
        <v>176</v>
      </c>
      <c r="E100" s="113"/>
      <c r="F100" s="85" t="s">
        <v>23</v>
      </c>
      <c r="G100" s="85" t="s">
        <v>23</v>
      </c>
      <c r="H100" s="85" t="s">
        <v>23</v>
      </c>
      <c r="I100" s="85" t="s">
        <v>23</v>
      </c>
      <c r="J100" s="60">
        <f>SUM(J101:J103)</f>
        <v>0</v>
      </c>
      <c r="K100" s="60">
        <f>SUM(K101:K103)</f>
        <v>0</v>
      </c>
      <c r="L100" s="60">
        <f>SUM(L101:L103)</f>
        <v>0</v>
      </c>
      <c r="M100" s="60">
        <f>SUM(M101:M103)</f>
        <v>0</v>
      </c>
      <c r="N100" s="16" t="s">
        <v>25</v>
      </c>
      <c r="O100" s="60">
        <f>SUM(O101:O103)</f>
        <v>0.25428000000000001</v>
      </c>
      <c r="P100" s="86" t="s">
        <v>25</v>
      </c>
      <c r="AI100" s="16" t="s">
        <v>152</v>
      </c>
      <c r="AS100" s="60">
        <f>SUM(AJ101:AJ103)</f>
        <v>0</v>
      </c>
      <c r="AT100" s="60">
        <f>SUM(AK101:AK103)</f>
        <v>0</v>
      </c>
      <c r="AU100" s="60">
        <f>SUM(AL101:AL103)</f>
        <v>0</v>
      </c>
    </row>
    <row r="101" spans="1:76" x14ac:dyDescent="0.25">
      <c r="A101" s="1" t="s">
        <v>578</v>
      </c>
      <c r="B101" s="2" t="s">
        <v>152</v>
      </c>
      <c r="C101" s="2" t="s">
        <v>177</v>
      </c>
      <c r="D101" s="105" t="s">
        <v>178</v>
      </c>
      <c r="E101" s="99"/>
      <c r="F101" s="2" t="s">
        <v>40</v>
      </c>
      <c r="G101" s="19">
        <f>'Rozpočet - vybrané sloupce'!J100</f>
        <v>12</v>
      </c>
      <c r="H101" s="19">
        <f>'Rozpočet - vybrané sloupce'!K100</f>
        <v>0</v>
      </c>
      <c r="I101" s="87" t="s">
        <v>489</v>
      </c>
      <c r="J101" s="19">
        <f>G101*AO101</f>
        <v>0</v>
      </c>
      <c r="K101" s="19">
        <f>G101*AP101</f>
        <v>0</v>
      </c>
      <c r="L101" s="19">
        <f>G101*H101</f>
        <v>0</v>
      </c>
      <c r="M101" s="19">
        <f>L101*(1+BW101/100)</f>
        <v>0</v>
      </c>
      <c r="N101" s="19">
        <v>1.933E-2</v>
      </c>
      <c r="O101" s="19">
        <f>G101*N101</f>
        <v>0.23196</v>
      </c>
      <c r="P101" s="88" t="s">
        <v>490</v>
      </c>
      <c r="Z101" s="19">
        <f>IF(AQ101="5",BJ101,0)</f>
        <v>0</v>
      </c>
      <c r="AB101" s="19">
        <f>IF(AQ101="1",BH101,0)</f>
        <v>0</v>
      </c>
      <c r="AC101" s="19">
        <f>IF(AQ101="1",BI101,0)</f>
        <v>0</v>
      </c>
      <c r="AD101" s="19">
        <f>IF(AQ101="7",BH101,0)</f>
        <v>0</v>
      </c>
      <c r="AE101" s="19">
        <f>IF(AQ101="7",BI101,0)</f>
        <v>0</v>
      </c>
      <c r="AF101" s="19">
        <f>IF(AQ101="2",BH101,0)</f>
        <v>0</v>
      </c>
      <c r="AG101" s="19">
        <f>IF(AQ101="2",BI101,0)</f>
        <v>0</v>
      </c>
      <c r="AH101" s="19">
        <f>IF(AQ101="0",BJ101,0)</f>
        <v>0</v>
      </c>
      <c r="AI101" s="16" t="s">
        <v>152</v>
      </c>
      <c r="AJ101" s="19">
        <f>IF(AN101=0,L101,0)</f>
        <v>0</v>
      </c>
      <c r="AK101" s="19">
        <f>IF(AN101=12,L101,0)</f>
        <v>0</v>
      </c>
      <c r="AL101" s="19">
        <f>IF(AN101=21,L101,0)</f>
        <v>0</v>
      </c>
      <c r="AN101" s="19">
        <v>12</v>
      </c>
      <c r="AO101" s="19">
        <f>H101*0</f>
        <v>0</v>
      </c>
      <c r="AP101" s="19">
        <f>H101*(1-0)</f>
        <v>0</v>
      </c>
      <c r="AQ101" s="87" t="s">
        <v>491</v>
      </c>
      <c r="AV101" s="19">
        <f>AW101+AX101</f>
        <v>0</v>
      </c>
      <c r="AW101" s="19">
        <f>G101*AO101</f>
        <v>0</v>
      </c>
      <c r="AX101" s="19">
        <f>G101*AP101</f>
        <v>0</v>
      </c>
      <c r="AY101" s="87" t="s">
        <v>579</v>
      </c>
      <c r="AZ101" s="87" t="s">
        <v>554</v>
      </c>
      <c r="BA101" s="16" t="s">
        <v>555</v>
      </c>
      <c r="BC101" s="19">
        <f>AW101+AX101</f>
        <v>0</v>
      </c>
      <c r="BD101" s="19">
        <f>H101/(100-BE101)*100</f>
        <v>0</v>
      </c>
      <c r="BE101" s="19">
        <v>0</v>
      </c>
      <c r="BF101" s="19">
        <f>O101</f>
        <v>0.23196</v>
      </c>
      <c r="BH101" s="19">
        <f>G101*AO101</f>
        <v>0</v>
      </c>
      <c r="BI101" s="19">
        <f>G101*AP101</f>
        <v>0</v>
      </c>
      <c r="BJ101" s="19">
        <f>G101*H101</f>
        <v>0</v>
      </c>
      <c r="BK101" s="19"/>
      <c r="BL101" s="19">
        <v>725</v>
      </c>
      <c r="BW101" s="19" t="str">
        <f>I101</f>
        <v>12</v>
      </c>
      <c r="BX101" s="4" t="s">
        <v>178</v>
      </c>
    </row>
    <row r="102" spans="1:76" x14ac:dyDescent="0.25">
      <c r="A102" s="1" t="s">
        <v>580</v>
      </c>
      <c r="B102" s="2" t="s">
        <v>152</v>
      </c>
      <c r="C102" s="2" t="s">
        <v>179</v>
      </c>
      <c r="D102" s="105" t="s">
        <v>180</v>
      </c>
      <c r="E102" s="99"/>
      <c r="F102" s="2" t="s">
        <v>40</v>
      </c>
      <c r="G102" s="19">
        <f>'Rozpočet - vybrané sloupce'!J101</f>
        <v>12</v>
      </c>
      <c r="H102" s="19">
        <f>'Rozpočet - vybrané sloupce'!K101</f>
        <v>0</v>
      </c>
      <c r="I102" s="87" t="s">
        <v>489</v>
      </c>
      <c r="J102" s="19">
        <f>G102*AO102</f>
        <v>0</v>
      </c>
      <c r="K102" s="19">
        <f>G102*AP102</f>
        <v>0</v>
      </c>
      <c r="L102" s="19">
        <f>G102*H102</f>
        <v>0</v>
      </c>
      <c r="M102" s="19">
        <f>L102*(1+BW102/100)</f>
        <v>0</v>
      </c>
      <c r="N102" s="19">
        <v>1.8600000000000001E-3</v>
      </c>
      <c r="O102" s="19">
        <f>G102*N102</f>
        <v>2.232E-2</v>
      </c>
      <c r="P102" s="88" t="s">
        <v>490</v>
      </c>
      <c r="Z102" s="19">
        <f>IF(AQ102="5",BJ102,0)</f>
        <v>0</v>
      </c>
      <c r="AB102" s="19">
        <f>IF(AQ102="1",BH102,0)</f>
        <v>0</v>
      </c>
      <c r="AC102" s="19">
        <f>IF(AQ102="1",BI102,0)</f>
        <v>0</v>
      </c>
      <c r="AD102" s="19">
        <f>IF(AQ102="7",BH102,0)</f>
        <v>0</v>
      </c>
      <c r="AE102" s="19">
        <f>IF(AQ102="7",BI102,0)</f>
        <v>0</v>
      </c>
      <c r="AF102" s="19">
        <f>IF(AQ102="2",BH102,0)</f>
        <v>0</v>
      </c>
      <c r="AG102" s="19">
        <f>IF(AQ102="2",BI102,0)</f>
        <v>0</v>
      </c>
      <c r="AH102" s="19">
        <f>IF(AQ102="0",BJ102,0)</f>
        <v>0</v>
      </c>
      <c r="AI102" s="16" t="s">
        <v>152</v>
      </c>
      <c r="AJ102" s="19">
        <f>IF(AN102=0,L102,0)</f>
        <v>0</v>
      </c>
      <c r="AK102" s="19">
        <f>IF(AN102=12,L102,0)</f>
        <v>0</v>
      </c>
      <c r="AL102" s="19">
        <f>IF(AN102=21,L102,0)</f>
        <v>0</v>
      </c>
      <c r="AN102" s="19">
        <v>12</v>
      </c>
      <c r="AO102" s="19">
        <f>H102*0.460774648</f>
        <v>0</v>
      </c>
      <c r="AP102" s="19">
        <f>H102*(1-0.460774648)</f>
        <v>0</v>
      </c>
      <c r="AQ102" s="87" t="s">
        <v>491</v>
      </c>
      <c r="AV102" s="19">
        <f>AW102+AX102</f>
        <v>0</v>
      </c>
      <c r="AW102" s="19">
        <f>G102*AO102</f>
        <v>0</v>
      </c>
      <c r="AX102" s="19">
        <f>G102*AP102</f>
        <v>0</v>
      </c>
      <c r="AY102" s="87" t="s">
        <v>579</v>
      </c>
      <c r="AZ102" s="87" t="s">
        <v>554</v>
      </c>
      <c r="BA102" s="16" t="s">
        <v>555</v>
      </c>
      <c r="BC102" s="19">
        <f>AW102+AX102</f>
        <v>0</v>
      </c>
      <c r="BD102" s="19">
        <f>H102/(100-BE102)*100</f>
        <v>0</v>
      </c>
      <c r="BE102" s="19">
        <v>0</v>
      </c>
      <c r="BF102" s="19">
        <f>O102</f>
        <v>2.232E-2</v>
      </c>
      <c r="BH102" s="19">
        <f>G102*AO102</f>
        <v>0</v>
      </c>
      <c r="BI102" s="19">
        <f>G102*AP102</f>
        <v>0</v>
      </c>
      <c r="BJ102" s="19">
        <f>G102*H102</f>
        <v>0</v>
      </c>
      <c r="BK102" s="19"/>
      <c r="BL102" s="19">
        <v>725</v>
      </c>
      <c r="BW102" s="19" t="str">
        <f>I102</f>
        <v>12</v>
      </c>
      <c r="BX102" s="4" t="s">
        <v>180</v>
      </c>
    </row>
    <row r="103" spans="1:76" x14ac:dyDescent="0.25">
      <c r="A103" s="1" t="s">
        <v>581</v>
      </c>
      <c r="B103" s="2" t="s">
        <v>152</v>
      </c>
      <c r="C103" s="2" t="s">
        <v>181</v>
      </c>
      <c r="D103" s="105" t="s">
        <v>182</v>
      </c>
      <c r="E103" s="99"/>
      <c r="F103" s="2" t="s">
        <v>43</v>
      </c>
      <c r="G103" s="19">
        <f>'Rozpočet - vybrané sloupce'!J102</f>
        <v>212</v>
      </c>
      <c r="H103" s="19">
        <f>'Rozpočet - vybrané sloupce'!K102</f>
        <v>0</v>
      </c>
      <c r="I103" s="87" t="s">
        <v>489</v>
      </c>
      <c r="J103" s="19">
        <f>G103*AO103</f>
        <v>0</v>
      </c>
      <c r="K103" s="19">
        <f>G103*AP103</f>
        <v>0</v>
      </c>
      <c r="L103" s="19">
        <f>G103*H103</f>
        <v>0</v>
      </c>
      <c r="M103" s="19">
        <f>L103*(1+BW103/100)</f>
        <v>0</v>
      </c>
      <c r="N103" s="19">
        <v>0</v>
      </c>
      <c r="O103" s="19">
        <f>G103*N103</f>
        <v>0</v>
      </c>
      <c r="P103" s="88" t="s">
        <v>490</v>
      </c>
      <c r="Z103" s="19">
        <f>IF(AQ103="5",BJ103,0)</f>
        <v>0</v>
      </c>
      <c r="AB103" s="19">
        <f>IF(AQ103="1",BH103,0)</f>
        <v>0</v>
      </c>
      <c r="AC103" s="19">
        <f>IF(AQ103="1",BI103,0)</f>
        <v>0</v>
      </c>
      <c r="AD103" s="19">
        <f>IF(AQ103="7",BH103,0)</f>
        <v>0</v>
      </c>
      <c r="AE103" s="19">
        <f>IF(AQ103="7",BI103,0)</f>
        <v>0</v>
      </c>
      <c r="AF103" s="19">
        <f>IF(AQ103="2",BH103,0)</f>
        <v>0</v>
      </c>
      <c r="AG103" s="19">
        <f>IF(AQ103="2",BI103,0)</f>
        <v>0</v>
      </c>
      <c r="AH103" s="19">
        <f>IF(AQ103="0",BJ103,0)</f>
        <v>0</v>
      </c>
      <c r="AI103" s="16" t="s">
        <v>152</v>
      </c>
      <c r="AJ103" s="19">
        <f>IF(AN103=0,L103,0)</f>
        <v>0</v>
      </c>
      <c r="AK103" s="19">
        <f>IF(AN103=12,L103,0)</f>
        <v>0</v>
      </c>
      <c r="AL103" s="19">
        <f>IF(AN103=21,L103,0)</f>
        <v>0</v>
      </c>
      <c r="AN103" s="19">
        <v>12</v>
      </c>
      <c r="AO103" s="19">
        <f>H103*0</f>
        <v>0</v>
      </c>
      <c r="AP103" s="19">
        <f>H103*(1-0)</f>
        <v>0</v>
      </c>
      <c r="AQ103" s="87" t="s">
        <v>498</v>
      </c>
      <c r="AV103" s="19">
        <f>AW103+AX103</f>
        <v>0</v>
      </c>
      <c r="AW103" s="19">
        <f>G103*AO103</f>
        <v>0</v>
      </c>
      <c r="AX103" s="19">
        <f>G103*AP103</f>
        <v>0</v>
      </c>
      <c r="AY103" s="87" t="s">
        <v>579</v>
      </c>
      <c r="AZ103" s="87" t="s">
        <v>554</v>
      </c>
      <c r="BA103" s="16" t="s">
        <v>555</v>
      </c>
      <c r="BC103" s="19">
        <f>AW103+AX103</f>
        <v>0</v>
      </c>
      <c r="BD103" s="19">
        <f>H103/(100-BE103)*100</f>
        <v>0</v>
      </c>
      <c r="BE103" s="19">
        <v>0</v>
      </c>
      <c r="BF103" s="19">
        <f>O103</f>
        <v>0</v>
      </c>
      <c r="BH103" s="19">
        <f>G103*AO103</f>
        <v>0</v>
      </c>
      <c r="BI103" s="19">
        <f>G103*AP103</f>
        <v>0</v>
      </c>
      <c r="BJ103" s="19">
        <f>G103*H103</f>
        <v>0</v>
      </c>
      <c r="BK103" s="19"/>
      <c r="BL103" s="19">
        <v>725</v>
      </c>
      <c r="BW103" s="19" t="str">
        <f>I103</f>
        <v>12</v>
      </c>
      <c r="BX103" s="4" t="s">
        <v>182</v>
      </c>
    </row>
    <row r="104" spans="1:76" x14ac:dyDescent="0.25">
      <c r="A104" s="84" t="s">
        <v>25</v>
      </c>
      <c r="B104" s="15" t="s">
        <v>183</v>
      </c>
      <c r="C104" s="15" t="s">
        <v>25</v>
      </c>
      <c r="D104" s="112" t="s">
        <v>184</v>
      </c>
      <c r="E104" s="113"/>
      <c r="F104" s="85" t="s">
        <v>23</v>
      </c>
      <c r="G104" s="85" t="s">
        <v>23</v>
      </c>
      <c r="H104" s="85" t="s">
        <v>23</v>
      </c>
      <c r="I104" s="85" t="s">
        <v>23</v>
      </c>
      <c r="J104" s="60">
        <f>J105</f>
        <v>0</v>
      </c>
      <c r="K104" s="60">
        <f>K105</f>
        <v>0</v>
      </c>
      <c r="L104" s="60">
        <f>L105</f>
        <v>0</v>
      </c>
      <c r="M104" s="60">
        <f>M105</f>
        <v>0</v>
      </c>
      <c r="N104" s="16" t="s">
        <v>25</v>
      </c>
      <c r="O104" s="60">
        <f>O105</f>
        <v>0.47950000000000004</v>
      </c>
      <c r="P104" s="86" t="s">
        <v>25</v>
      </c>
    </row>
    <row r="105" spans="1:76" x14ac:dyDescent="0.25">
      <c r="A105" s="84" t="s">
        <v>25</v>
      </c>
      <c r="B105" s="15" t="s">
        <v>183</v>
      </c>
      <c r="C105" s="15" t="s">
        <v>185</v>
      </c>
      <c r="D105" s="112" t="s">
        <v>186</v>
      </c>
      <c r="E105" s="113"/>
      <c r="F105" s="85" t="s">
        <v>23</v>
      </c>
      <c r="G105" s="85" t="s">
        <v>23</v>
      </c>
      <c r="H105" s="85" t="s">
        <v>23</v>
      </c>
      <c r="I105" s="85" t="s">
        <v>23</v>
      </c>
      <c r="J105" s="60">
        <f>SUM(J106:J128)</f>
        <v>0</v>
      </c>
      <c r="K105" s="60">
        <f>SUM(K106:K128)</f>
        <v>0</v>
      </c>
      <c r="L105" s="60">
        <f>SUM(L106:L128)</f>
        <v>0</v>
      </c>
      <c r="M105" s="60">
        <f>SUM(M106:M128)</f>
        <v>0</v>
      </c>
      <c r="N105" s="16" t="s">
        <v>25</v>
      </c>
      <c r="O105" s="60">
        <f>SUM(O106:O128)</f>
        <v>0.47950000000000004</v>
      </c>
      <c r="P105" s="86" t="s">
        <v>25</v>
      </c>
      <c r="AI105" s="16" t="s">
        <v>183</v>
      </c>
      <c r="AS105" s="60">
        <f>SUM(AJ106:AJ128)</f>
        <v>0</v>
      </c>
      <c r="AT105" s="60">
        <f>SUM(AK106:AK128)</f>
        <v>0</v>
      </c>
      <c r="AU105" s="60">
        <f>SUM(AL106:AL128)</f>
        <v>0</v>
      </c>
    </row>
    <row r="106" spans="1:76" x14ac:dyDescent="0.25">
      <c r="A106" s="1" t="s">
        <v>582</v>
      </c>
      <c r="B106" s="2" t="s">
        <v>183</v>
      </c>
      <c r="C106" s="2" t="s">
        <v>187</v>
      </c>
      <c r="D106" s="105" t="s">
        <v>188</v>
      </c>
      <c r="E106" s="99"/>
      <c r="F106" s="2" t="s">
        <v>31</v>
      </c>
      <c r="G106" s="19">
        <f>'Rozpočet - vybrané sloupce'!J105</f>
        <v>52</v>
      </c>
      <c r="H106" s="19">
        <f>'Rozpočet - vybrané sloupce'!K105</f>
        <v>0</v>
      </c>
      <c r="I106" s="87" t="s">
        <v>489</v>
      </c>
      <c r="J106" s="19">
        <f t="shared" ref="J106:J128" si="78">G106*AO106</f>
        <v>0</v>
      </c>
      <c r="K106" s="19">
        <f t="shared" ref="K106:K128" si="79">G106*AP106</f>
        <v>0</v>
      </c>
      <c r="L106" s="19">
        <f t="shared" ref="L106:L128" si="80">G106*H106</f>
        <v>0</v>
      </c>
      <c r="M106" s="19">
        <f t="shared" ref="M106:M128" si="81">L106*(1+BW106/100)</f>
        <v>0</v>
      </c>
      <c r="N106" s="19">
        <v>3.81E-3</v>
      </c>
      <c r="O106" s="19">
        <f t="shared" ref="O106:O128" si="82">G106*N106</f>
        <v>0.19811999999999999</v>
      </c>
      <c r="P106" s="88" t="s">
        <v>490</v>
      </c>
      <c r="Z106" s="19">
        <f t="shared" ref="Z106:Z128" si="83">IF(AQ106="5",BJ106,0)</f>
        <v>0</v>
      </c>
      <c r="AB106" s="19">
        <f t="shared" ref="AB106:AB128" si="84">IF(AQ106="1",BH106,0)</f>
        <v>0</v>
      </c>
      <c r="AC106" s="19">
        <f t="shared" ref="AC106:AC128" si="85">IF(AQ106="1",BI106,0)</f>
        <v>0</v>
      </c>
      <c r="AD106" s="19">
        <f t="shared" ref="AD106:AD128" si="86">IF(AQ106="7",BH106,0)</f>
        <v>0</v>
      </c>
      <c r="AE106" s="19">
        <f t="shared" ref="AE106:AE128" si="87">IF(AQ106="7",BI106,0)</f>
        <v>0</v>
      </c>
      <c r="AF106" s="19">
        <f t="shared" ref="AF106:AF128" si="88">IF(AQ106="2",BH106,0)</f>
        <v>0</v>
      </c>
      <c r="AG106" s="19">
        <f t="shared" ref="AG106:AG128" si="89">IF(AQ106="2",BI106,0)</f>
        <v>0</v>
      </c>
      <c r="AH106" s="19">
        <f t="shared" ref="AH106:AH128" si="90">IF(AQ106="0",BJ106,0)</f>
        <v>0</v>
      </c>
      <c r="AI106" s="16" t="s">
        <v>183</v>
      </c>
      <c r="AJ106" s="19">
        <f t="shared" ref="AJ106:AJ128" si="91">IF(AN106=0,L106,0)</f>
        <v>0</v>
      </c>
      <c r="AK106" s="19">
        <f t="shared" ref="AK106:AK128" si="92">IF(AN106=12,L106,0)</f>
        <v>0</v>
      </c>
      <c r="AL106" s="19">
        <f t="shared" ref="AL106:AL128" si="93">IF(AN106=21,L106,0)</f>
        <v>0</v>
      </c>
      <c r="AN106" s="19">
        <v>12</v>
      </c>
      <c r="AO106" s="19">
        <f>H106*0.894479116</f>
        <v>0</v>
      </c>
      <c r="AP106" s="19">
        <f>H106*(1-0.894479116)</f>
        <v>0</v>
      </c>
      <c r="AQ106" s="87" t="s">
        <v>491</v>
      </c>
      <c r="AV106" s="19">
        <f t="shared" ref="AV106:AV128" si="94">AW106+AX106</f>
        <v>0</v>
      </c>
      <c r="AW106" s="19">
        <f t="shared" ref="AW106:AW128" si="95">G106*AO106</f>
        <v>0</v>
      </c>
      <c r="AX106" s="19">
        <f t="shared" ref="AX106:AX128" si="96">G106*AP106</f>
        <v>0</v>
      </c>
      <c r="AY106" s="87" t="s">
        <v>583</v>
      </c>
      <c r="AZ106" s="87" t="s">
        <v>584</v>
      </c>
      <c r="BA106" s="16" t="s">
        <v>585</v>
      </c>
      <c r="BC106" s="19">
        <f t="shared" ref="BC106:BC128" si="97">AW106+AX106</f>
        <v>0</v>
      </c>
      <c r="BD106" s="19">
        <f t="shared" ref="BD106:BD128" si="98">H106/(100-BE106)*100</f>
        <v>0</v>
      </c>
      <c r="BE106" s="19">
        <v>0</v>
      </c>
      <c r="BF106" s="19">
        <f t="shared" ref="BF106:BF128" si="99">O106</f>
        <v>0.19811999999999999</v>
      </c>
      <c r="BH106" s="19">
        <f t="shared" ref="BH106:BH128" si="100">G106*AO106</f>
        <v>0</v>
      </c>
      <c r="BI106" s="19">
        <f t="shared" ref="BI106:BI128" si="101">G106*AP106</f>
        <v>0</v>
      </c>
      <c r="BJ106" s="19">
        <f t="shared" ref="BJ106:BJ128" si="102">G106*H106</f>
        <v>0</v>
      </c>
      <c r="BK106" s="19"/>
      <c r="BL106" s="19">
        <v>723</v>
      </c>
      <c r="BW106" s="19" t="str">
        <f t="shared" ref="BW106:BW128" si="103">I106</f>
        <v>12</v>
      </c>
      <c r="BX106" s="4" t="s">
        <v>188</v>
      </c>
    </row>
    <row r="107" spans="1:76" x14ac:dyDescent="0.25">
      <c r="A107" s="1" t="s">
        <v>586</v>
      </c>
      <c r="B107" s="2" t="s">
        <v>183</v>
      </c>
      <c r="C107" s="2" t="s">
        <v>189</v>
      </c>
      <c r="D107" s="105" t="s">
        <v>190</v>
      </c>
      <c r="E107" s="99"/>
      <c r="F107" s="2" t="s">
        <v>31</v>
      </c>
      <c r="G107" s="19">
        <f>'Rozpočet - vybrané sloupce'!J106</f>
        <v>52</v>
      </c>
      <c r="H107" s="19">
        <f>'Rozpočet - vybrané sloupce'!K106</f>
        <v>0</v>
      </c>
      <c r="I107" s="87" t="s">
        <v>489</v>
      </c>
      <c r="J107" s="19">
        <f t="shared" si="78"/>
        <v>0</v>
      </c>
      <c r="K107" s="19">
        <f t="shared" si="79"/>
        <v>0</v>
      </c>
      <c r="L107" s="19">
        <f t="shared" si="80"/>
        <v>0</v>
      </c>
      <c r="M107" s="19">
        <f t="shared" si="81"/>
        <v>0</v>
      </c>
      <c r="N107" s="19">
        <v>1.66E-3</v>
      </c>
      <c r="O107" s="19">
        <f t="shared" si="82"/>
        <v>8.6320000000000008E-2</v>
      </c>
      <c r="P107" s="88" t="s">
        <v>490</v>
      </c>
      <c r="Z107" s="19">
        <f t="shared" si="83"/>
        <v>0</v>
      </c>
      <c r="AB107" s="19">
        <f t="shared" si="84"/>
        <v>0</v>
      </c>
      <c r="AC107" s="19">
        <f t="shared" si="85"/>
        <v>0</v>
      </c>
      <c r="AD107" s="19">
        <f t="shared" si="86"/>
        <v>0</v>
      </c>
      <c r="AE107" s="19">
        <f t="shared" si="87"/>
        <v>0</v>
      </c>
      <c r="AF107" s="19">
        <f t="shared" si="88"/>
        <v>0</v>
      </c>
      <c r="AG107" s="19">
        <f t="shared" si="89"/>
        <v>0</v>
      </c>
      <c r="AH107" s="19">
        <f t="shared" si="90"/>
        <v>0</v>
      </c>
      <c r="AI107" s="16" t="s">
        <v>183</v>
      </c>
      <c r="AJ107" s="19">
        <f t="shared" si="91"/>
        <v>0</v>
      </c>
      <c r="AK107" s="19">
        <f t="shared" si="92"/>
        <v>0</v>
      </c>
      <c r="AL107" s="19">
        <f t="shared" si="93"/>
        <v>0</v>
      </c>
      <c r="AN107" s="19">
        <v>12</v>
      </c>
      <c r="AO107" s="19">
        <f>H107*0.775019181</f>
        <v>0</v>
      </c>
      <c r="AP107" s="19">
        <f>H107*(1-0.775019181)</f>
        <v>0</v>
      </c>
      <c r="AQ107" s="87" t="s">
        <v>491</v>
      </c>
      <c r="AV107" s="19">
        <f t="shared" si="94"/>
        <v>0</v>
      </c>
      <c r="AW107" s="19">
        <f t="shared" si="95"/>
        <v>0</v>
      </c>
      <c r="AX107" s="19">
        <f t="shared" si="96"/>
        <v>0</v>
      </c>
      <c r="AY107" s="87" t="s">
        <v>583</v>
      </c>
      <c r="AZ107" s="87" t="s">
        <v>584</v>
      </c>
      <c r="BA107" s="16" t="s">
        <v>585</v>
      </c>
      <c r="BC107" s="19">
        <f t="shared" si="97"/>
        <v>0</v>
      </c>
      <c r="BD107" s="19">
        <f t="shared" si="98"/>
        <v>0</v>
      </c>
      <c r="BE107" s="19">
        <v>0</v>
      </c>
      <c r="BF107" s="19">
        <f t="shared" si="99"/>
        <v>8.6320000000000008E-2</v>
      </c>
      <c r="BH107" s="19">
        <f t="shared" si="100"/>
        <v>0</v>
      </c>
      <c r="BI107" s="19">
        <f t="shared" si="101"/>
        <v>0</v>
      </c>
      <c r="BJ107" s="19">
        <f t="shared" si="102"/>
        <v>0</v>
      </c>
      <c r="BK107" s="19"/>
      <c r="BL107" s="19">
        <v>723</v>
      </c>
      <c r="BW107" s="19" t="str">
        <f t="shared" si="103"/>
        <v>12</v>
      </c>
      <c r="BX107" s="4" t="s">
        <v>190</v>
      </c>
    </row>
    <row r="108" spans="1:76" x14ac:dyDescent="0.25">
      <c r="A108" s="1" t="s">
        <v>587</v>
      </c>
      <c r="B108" s="2" t="s">
        <v>183</v>
      </c>
      <c r="C108" s="2" t="s">
        <v>191</v>
      </c>
      <c r="D108" s="105" t="s">
        <v>192</v>
      </c>
      <c r="E108" s="99"/>
      <c r="F108" s="2" t="s">
        <v>31</v>
      </c>
      <c r="G108" s="19">
        <f>'Rozpočet - vybrané sloupce'!J107</f>
        <v>7.2</v>
      </c>
      <c r="H108" s="19">
        <f>'Rozpočet - vybrané sloupce'!K107</f>
        <v>0</v>
      </c>
      <c r="I108" s="87" t="s">
        <v>489</v>
      </c>
      <c r="J108" s="19">
        <f t="shared" si="78"/>
        <v>0</v>
      </c>
      <c r="K108" s="19">
        <f t="shared" si="79"/>
        <v>0</v>
      </c>
      <c r="L108" s="19">
        <f t="shared" si="80"/>
        <v>0</v>
      </c>
      <c r="M108" s="19">
        <f t="shared" si="81"/>
        <v>0</v>
      </c>
      <c r="N108" s="19">
        <v>2E-3</v>
      </c>
      <c r="O108" s="19">
        <f t="shared" si="82"/>
        <v>1.4400000000000001E-2</v>
      </c>
      <c r="P108" s="88" t="s">
        <v>490</v>
      </c>
      <c r="Z108" s="19">
        <f t="shared" si="83"/>
        <v>0</v>
      </c>
      <c r="AB108" s="19">
        <f t="shared" si="84"/>
        <v>0</v>
      </c>
      <c r="AC108" s="19">
        <f t="shared" si="85"/>
        <v>0</v>
      </c>
      <c r="AD108" s="19">
        <f t="shared" si="86"/>
        <v>0</v>
      </c>
      <c r="AE108" s="19">
        <f t="shared" si="87"/>
        <v>0</v>
      </c>
      <c r="AF108" s="19">
        <f t="shared" si="88"/>
        <v>0</v>
      </c>
      <c r="AG108" s="19">
        <f t="shared" si="89"/>
        <v>0</v>
      </c>
      <c r="AH108" s="19">
        <f t="shared" si="90"/>
        <v>0</v>
      </c>
      <c r="AI108" s="16" t="s">
        <v>183</v>
      </c>
      <c r="AJ108" s="19">
        <f t="shared" si="91"/>
        <v>0</v>
      </c>
      <c r="AK108" s="19">
        <f t="shared" si="92"/>
        <v>0</v>
      </c>
      <c r="AL108" s="19">
        <f t="shared" si="93"/>
        <v>0</v>
      </c>
      <c r="AN108" s="19">
        <v>12</v>
      </c>
      <c r="AO108" s="19">
        <f>H108*0.817443488</f>
        <v>0</v>
      </c>
      <c r="AP108" s="19">
        <f>H108*(1-0.817443488)</f>
        <v>0</v>
      </c>
      <c r="AQ108" s="87" t="s">
        <v>491</v>
      </c>
      <c r="AV108" s="19">
        <f t="shared" si="94"/>
        <v>0</v>
      </c>
      <c r="AW108" s="19">
        <f t="shared" si="95"/>
        <v>0</v>
      </c>
      <c r="AX108" s="19">
        <f t="shared" si="96"/>
        <v>0</v>
      </c>
      <c r="AY108" s="87" t="s">
        <v>583</v>
      </c>
      <c r="AZ108" s="87" t="s">
        <v>584</v>
      </c>
      <c r="BA108" s="16" t="s">
        <v>585</v>
      </c>
      <c r="BC108" s="19">
        <f t="shared" si="97"/>
        <v>0</v>
      </c>
      <c r="BD108" s="19">
        <f t="shared" si="98"/>
        <v>0</v>
      </c>
      <c r="BE108" s="19">
        <v>0</v>
      </c>
      <c r="BF108" s="19">
        <f t="shared" si="99"/>
        <v>1.4400000000000001E-2</v>
      </c>
      <c r="BH108" s="19">
        <f t="shared" si="100"/>
        <v>0</v>
      </c>
      <c r="BI108" s="19">
        <f t="shared" si="101"/>
        <v>0</v>
      </c>
      <c r="BJ108" s="19">
        <f t="shared" si="102"/>
        <v>0</v>
      </c>
      <c r="BK108" s="19"/>
      <c r="BL108" s="19">
        <v>723</v>
      </c>
      <c r="BW108" s="19" t="str">
        <f t="shared" si="103"/>
        <v>12</v>
      </c>
      <c r="BX108" s="4" t="s">
        <v>192</v>
      </c>
    </row>
    <row r="109" spans="1:76" x14ac:dyDescent="0.25">
      <c r="A109" s="1" t="s">
        <v>588</v>
      </c>
      <c r="B109" s="2" t="s">
        <v>183</v>
      </c>
      <c r="C109" s="2" t="s">
        <v>193</v>
      </c>
      <c r="D109" s="105" t="s">
        <v>194</v>
      </c>
      <c r="E109" s="99"/>
      <c r="F109" s="2" t="s">
        <v>35</v>
      </c>
      <c r="G109" s="19">
        <f>'Rozpočet - vybrané sloupce'!J108</f>
        <v>15</v>
      </c>
      <c r="H109" s="19">
        <f>'Rozpočet - vybrané sloupce'!K108</f>
        <v>0</v>
      </c>
      <c r="I109" s="87" t="s">
        <v>489</v>
      </c>
      <c r="J109" s="19">
        <f t="shared" si="78"/>
        <v>0</v>
      </c>
      <c r="K109" s="19">
        <f t="shared" si="79"/>
        <v>0</v>
      </c>
      <c r="L109" s="19">
        <f t="shared" si="80"/>
        <v>0</v>
      </c>
      <c r="M109" s="19">
        <f t="shared" si="81"/>
        <v>0</v>
      </c>
      <c r="N109" s="19">
        <v>6.6E-4</v>
      </c>
      <c r="O109" s="19">
        <f t="shared" si="82"/>
        <v>9.8999999999999991E-3</v>
      </c>
      <c r="P109" s="88" t="s">
        <v>490</v>
      </c>
      <c r="Z109" s="19">
        <f t="shared" si="83"/>
        <v>0</v>
      </c>
      <c r="AB109" s="19">
        <f t="shared" si="84"/>
        <v>0</v>
      </c>
      <c r="AC109" s="19">
        <f t="shared" si="85"/>
        <v>0</v>
      </c>
      <c r="AD109" s="19">
        <f t="shared" si="86"/>
        <v>0</v>
      </c>
      <c r="AE109" s="19">
        <f t="shared" si="87"/>
        <v>0</v>
      </c>
      <c r="AF109" s="19">
        <f t="shared" si="88"/>
        <v>0</v>
      </c>
      <c r="AG109" s="19">
        <f t="shared" si="89"/>
        <v>0</v>
      </c>
      <c r="AH109" s="19">
        <f t="shared" si="90"/>
        <v>0</v>
      </c>
      <c r="AI109" s="16" t="s">
        <v>183</v>
      </c>
      <c r="AJ109" s="19">
        <f t="shared" si="91"/>
        <v>0</v>
      </c>
      <c r="AK109" s="19">
        <f t="shared" si="92"/>
        <v>0</v>
      </c>
      <c r="AL109" s="19">
        <f t="shared" si="93"/>
        <v>0</v>
      </c>
      <c r="AN109" s="19">
        <v>12</v>
      </c>
      <c r="AO109" s="19">
        <f>H109*0.865670921</f>
        <v>0</v>
      </c>
      <c r="AP109" s="19">
        <f>H109*(1-0.865670921)</f>
        <v>0</v>
      </c>
      <c r="AQ109" s="87" t="s">
        <v>491</v>
      </c>
      <c r="AV109" s="19">
        <f t="shared" si="94"/>
        <v>0</v>
      </c>
      <c r="AW109" s="19">
        <f t="shared" si="95"/>
        <v>0</v>
      </c>
      <c r="AX109" s="19">
        <f t="shared" si="96"/>
        <v>0</v>
      </c>
      <c r="AY109" s="87" t="s">
        <v>583</v>
      </c>
      <c r="AZ109" s="87" t="s">
        <v>584</v>
      </c>
      <c r="BA109" s="16" t="s">
        <v>585</v>
      </c>
      <c r="BC109" s="19">
        <f t="shared" si="97"/>
        <v>0</v>
      </c>
      <c r="BD109" s="19">
        <f t="shared" si="98"/>
        <v>0</v>
      </c>
      <c r="BE109" s="19">
        <v>0</v>
      </c>
      <c r="BF109" s="19">
        <f t="shared" si="99"/>
        <v>9.8999999999999991E-3</v>
      </c>
      <c r="BH109" s="19">
        <f t="shared" si="100"/>
        <v>0</v>
      </c>
      <c r="BI109" s="19">
        <f t="shared" si="101"/>
        <v>0</v>
      </c>
      <c r="BJ109" s="19">
        <f t="shared" si="102"/>
        <v>0</v>
      </c>
      <c r="BK109" s="19"/>
      <c r="BL109" s="19">
        <v>723</v>
      </c>
      <c r="BW109" s="19" t="str">
        <f t="shared" si="103"/>
        <v>12</v>
      </c>
      <c r="BX109" s="4" t="s">
        <v>194</v>
      </c>
    </row>
    <row r="110" spans="1:76" x14ac:dyDescent="0.25">
      <c r="A110" s="1" t="s">
        <v>589</v>
      </c>
      <c r="B110" s="2" t="s">
        <v>183</v>
      </c>
      <c r="C110" s="2" t="s">
        <v>195</v>
      </c>
      <c r="D110" s="105" t="s">
        <v>196</v>
      </c>
      <c r="E110" s="99"/>
      <c r="F110" s="2" t="s">
        <v>31</v>
      </c>
      <c r="G110" s="19">
        <f>'Rozpočet - vybrané sloupce'!J109</f>
        <v>78</v>
      </c>
      <c r="H110" s="19">
        <f>'Rozpočet - vybrané sloupce'!K109</f>
        <v>0</v>
      </c>
      <c r="I110" s="87" t="s">
        <v>489</v>
      </c>
      <c r="J110" s="19">
        <f t="shared" si="78"/>
        <v>0</v>
      </c>
      <c r="K110" s="19">
        <f t="shared" si="79"/>
        <v>0</v>
      </c>
      <c r="L110" s="19">
        <f t="shared" si="80"/>
        <v>0</v>
      </c>
      <c r="M110" s="19">
        <f t="shared" si="81"/>
        <v>0</v>
      </c>
      <c r="N110" s="19">
        <v>0</v>
      </c>
      <c r="O110" s="19">
        <f t="shared" si="82"/>
        <v>0</v>
      </c>
      <c r="P110" s="88" t="s">
        <v>490</v>
      </c>
      <c r="Z110" s="19">
        <f t="shared" si="83"/>
        <v>0</v>
      </c>
      <c r="AB110" s="19">
        <f t="shared" si="84"/>
        <v>0</v>
      </c>
      <c r="AC110" s="19">
        <f t="shared" si="85"/>
        <v>0</v>
      </c>
      <c r="AD110" s="19">
        <f t="shared" si="86"/>
        <v>0</v>
      </c>
      <c r="AE110" s="19">
        <f t="shared" si="87"/>
        <v>0</v>
      </c>
      <c r="AF110" s="19">
        <f t="shared" si="88"/>
        <v>0</v>
      </c>
      <c r="AG110" s="19">
        <f t="shared" si="89"/>
        <v>0</v>
      </c>
      <c r="AH110" s="19">
        <f t="shared" si="90"/>
        <v>0</v>
      </c>
      <c r="AI110" s="16" t="s">
        <v>183</v>
      </c>
      <c r="AJ110" s="19">
        <f t="shared" si="91"/>
        <v>0</v>
      </c>
      <c r="AK110" s="19">
        <f t="shared" si="92"/>
        <v>0</v>
      </c>
      <c r="AL110" s="19">
        <f t="shared" si="93"/>
        <v>0</v>
      </c>
      <c r="AN110" s="19">
        <v>12</v>
      </c>
      <c r="AO110" s="19">
        <f>H110*0</f>
        <v>0</v>
      </c>
      <c r="AP110" s="19">
        <f>H110*(1-0)</f>
        <v>0</v>
      </c>
      <c r="AQ110" s="87" t="s">
        <v>491</v>
      </c>
      <c r="AV110" s="19">
        <f t="shared" si="94"/>
        <v>0</v>
      </c>
      <c r="AW110" s="19">
        <f t="shared" si="95"/>
        <v>0</v>
      </c>
      <c r="AX110" s="19">
        <f t="shared" si="96"/>
        <v>0</v>
      </c>
      <c r="AY110" s="87" t="s">
        <v>583</v>
      </c>
      <c r="AZ110" s="87" t="s">
        <v>584</v>
      </c>
      <c r="BA110" s="16" t="s">
        <v>585</v>
      </c>
      <c r="BC110" s="19">
        <f t="shared" si="97"/>
        <v>0</v>
      </c>
      <c r="BD110" s="19">
        <f t="shared" si="98"/>
        <v>0</v>
      </c>
      <c r="BE110" s="19">
        <v>0</v>
      </c>
      <c r="BF110" s="19">
        <f t="shared" si="99"/>
        <v>0</v>
      </c>
      <c r="BH110" s="19">
        <f t="shared" si="100"/>
        <v>0</v>
      </c>
      <c r="BI110" s="19">
        <f t="shared" si="101"/>
        <v>0</v>
      </c>
      <c r="BJ110" s="19">
        <f t="shared" si="102"/>
        <v>0</v>
      </c>
      <c r="BK110" s="19"/>
      <c r="BL110" s="19">
        <v>723</v>
      </c>
      <c r="BW110" s="19" t="str">
        <f t="shared" si="103"/>
        <v>12</v>
      </c>
      <c r="BX110" s="4" t="s">
        <v>196</v>
      </c>
    </row>
    <row r="111" spans="1:76" x14ac:dyDescent="0.25">
      <c r="A111" s="1" t="s">
        <v>590</v>
      </c>
      <c r="B111" s="2" t="s">
        <v>183</v>
      </c>
      <c r="C111" s="2" t="s">
        <v>197</v>
      </c>
      <c r="D111" s="105" t="s">
        <v>198</v>
      </c>
      <c r="E111" s="99"/>
      <c r="F111" s="2" t="s">
        <v>35</v>
      </c>
      <c r="G111" s="19">
        <f>'Rozpočet - vybrané sloupce'!J110</f>
        <v>4</v>
      </c>
      <c r="H111" s="19">
        <f>'Rozpočet - vybrané sloupce'!K110</f>
        <v>0</v>
      </c>
      <c r="I111" s="87" t="s">
        <v>489</v>
      </c>
      <c r="J111" s="19">
        <f t="shared" si="78"/>
        <v>0</v>
      </c>
      <c r="K111" s="19">
        <f t="shared" si="79"/>
        <v>0</v>
      </c>
      <c r="L111" s="19">
        <f t="shared" si="80"/>
        <v>0</v>
      </c>
      <c r="M111" s="19">
        <f t="shared" si="81"/>
        <v>0</v>
      </c>
      <c r="N111" s="19">
        <v>0</v>
      </c>
      <c r="O111" s="19">
        <f t="shared" si="82"/>
        <v>0</v>
      </c>
      <c r="P111" s="88" t="s">
        <v>490</v>
      </c>
      <c r="Z111" s="19">
        <f t="shared" si="83"/>
        <v>0</v>
      </c>
      <c r="AB111" s="19">
        <f t="shared" si="84"/>
        <v>0</v>
      </c>
      <c r="AC111" s="19">
        <f t="shared" si="85"/>
        <v>0</v>
      </c>
      <c r="AD111" s="19">
        <f t="shared" si="86"/>
        <v>0</v>
      </c>
      <c r="AE111" s="19">
        <f t="shared" si="87"/>
        <v>0</v>
      </c>
      <c r="AF111" s="19">
        <f t="shared" si="88"/>
        <v>0</v>
      </c>
      <c r="AG111" s="19">
        <f t="shared" si="89"/>
        <v>0</v>
      </c>
      <c r="AH111" s="19">
        <f t="shared" si="90"/>
        <v>0</v>
      </c>
      <c r="AI111" s="16" t="s">
        <v>183</v>
      </c>
      <c r="AJ111" s="19">
        <f t="shared" si="91"/>
        <v>0</v>
      </c>
      <c r="AK111" s="19">
        <f t="shared" si="92"/>
        <v>0</v>
      </c>
      <c r="AL111" s="19">
        <f t="shared" si="93"/>
        <v>0</v>
      </c>
      <c r="AN111" s="19">
        <v>12</v>
      </c>
      <c r="AO111" s="19">
        <f>H111*0</f>
        <v>0</v>
      </c>
      <c r="AP111" s="19">
        <f>H111*(1-0)</f>
        <v>0</v>
      </c>
      <c r="AQ111" s="87" t="s">
        <v>491</v>
      </c>
      <c r="AV111" s="19">
        <f t="shared" si="94"/>
        <v>0</v>
      </c>
      <c r="AW111" s="19">
        <f t="shared" si="95"/>
        <v>0</v>
      </c>
      <c r="AX111" s="19">
        <f t="shared" si="96"/>
        <v>0</v>
      </c>
      <c r="AY111" s="87" t="s">
        <v>583</v>
      </c>
      <c r="AZ111" s="87" t="s">
        <v>584</v>
      </c>
      <c r="BA111" s="16" t="s">
        <v>585</v>
      </c>
      <c r="BC111" s="19">
        <f t="shared" si="97"/>
        <v>0</v>
      </c>
      <c r="BD111" s="19">
        <f t="shared" si="98"/>
        <v>0</v>
      </c>
      <c r="BE111" s="19">
        <v>0</v>
      </c>
      <c r="BF111" s="19">
        <f t="shared" si="99"/>
        <v>0</v>
      </c>
      <c r="BH111" s="19">
        <f t="shared" si="100"/>
        <v>0</v>
      </c>
      <c r="BI111" s="19">
        <f t="shared" si="101"/>
        <v>0</v>
      </c>
      <c r="BJ111" s="19">
        <f t="shared" si="102"/>
        <v>0</v>
      </c>
      <c r="BK111" s="19"/>
      <c r="BL111" s="19">
        <v>723</v>
      </c>
      <c r="BW111" s="19" t="str">
        <f t="shared" si="103"/>
        <v>12</v>
      </c>
      <c r="BX111" s="4" t="s">
        <v>198</v>
      </c>
    </row>
    <row r="112" spans="1:76" x14ac:dyDescent="0.25">
      <c r="A112" s="1" t="s">
        <v>591</v>
      </c>
      <c r="B112" s="2" t="s">
        <v>183</v>
      </c>
      <c r="C112" s="2" t="s">
        <v>199</v>
      </c>
      <c r="D112" s="105" t="s">
        <v>200</v>
      </c>
      <c r="E112" s="99"/>
      <c r="F112" s="2" t="s">
        <v>35</v>
      </c>
      <c r="G112" s="19">
        <f>'Rozpočet - vybrané sloupce'!J111</f>
        <v>4</v>
      </c>
      <c r="H112" s="19">
        <f>'Rozpočet - vybrané sloupce'!K111</f>
        <v>0</v>
      </c>
      <c r="I112" s="87" t="s">
        <v>489</v>
      </c>
      <c r="J112" s="19">
        <f t="shared" si="78"/>
        <v>0</v>
      </c>
      <c r="K112" s="19">
        <f t="shared" si="79"/>
        <v>0</v>
      </c>
      <c r="L112" s="19">
        <f t="shared" si="80"/>
        <v>0</v>
      </c>
      <c r="M112" s="19">
        <f t="shared" si="81"/>
        <v>0</v>
      </c>
      <c r="N112" s="19">
        <v>0</v>
      </c>
      <c r="O112" s="19">
        <f t="shared" si="82"/>
        <v>0</v>
      </c>
      <c r="P112" s="88" t="s">
        <v>490</v>
      </c>
      <c r="Z112" s="19">
        <f t="shared" si="83"/>
        <v>0</v>
      </c>
      <c r="AB112" s="19">
        <f t="shared" si="84"/>
        <v>0</v>
      </c>
      <c r="AC112" s="19">
        <f t="shared" si="85"/>
        <v>0</v>
      </c>
      <c r="AD112" s="19">
        <f t="shared" si="86"/>
        <v>0</v>
      </c>
      <c r="AE112" s="19">
        <f t="shared" si="87"/>
        <v>0</v>
      </c>
      <c r="AF112" s="19">
        <f t="shared" si="88"/>
        <v>0</v>
      </c>
      <c r="AG112" s="19">
        <f t="shared" si="89"/>
        <v>0</v>
      </c>
      <c r="AH112" s="19">
        <f t="shared" si="90"/>
        <v>0</v>
      </c>
      <c r="AI112" s="16" t="s">
        <v>183</v>
      </c>
      <c r="AJ112" s="19">
        <f t="shared" si="91"/>
        <v>0</v>
      </c>
      <c r="AK112" s="19">
        <f t="shared" si="92"/>
        <v>0</v>
      </c>
      <c r="AL112" s="19">
        <f t="shared" si="93"/>
        <v>0</v>
      </c>
      <c r="AN112" s="19">
        <v>12</v>
      </c>
      <c r="AO112" s="19">
        <f>H112*0</f>
        <v>0</v>
      </c>
      <c r="AP112" s="19">
        <f>H112*(1-0)</f>
        <v>0</v>
      </c>
      <c r="AQ112" s="87" t="s">
        <v>491</v>
      </c>
      <c r="AV112" s="19">
        <f t="shared" si="94"/>
        <v>0</v>
      </c>
      <c r="AW112" s="19">
        <f t="shared" si="95"/>
        <v>0</v>
      </c>
      <c r="AX112" s="19">
        <f t="shared" si="96"/>
        <v>0</v>
      </c>
      <c r="AY112" s="87" t="s">
        <v>583</v>
      </c>
      <c r="AZ112" s="87" t="s">
        <v>584</v>
      </c>
      <c r="BA112" s="16" t="s">
        <v>585</v>
      </c>
      <c r="BC112" s="19">
        <f t="shared" si="97"/>
        <v>0</v>
      </c>
      <c r="BD112" s="19">
        <f t="shared" si="98"/>
        <v>0</v>
      </c>
      <c r="BE112" s="19">
        <v>0</v>
      </c>
      <c r="BF112" s="19">
        <f t="shared" si="99"/>
        <v>0</v>
      </c>
      <c r="BH112" s="19">
        <f t="shared" si="100"/>
        <v>0</v>
      </c>
      <c r="BI112" s="19">
        <f t="shared" si="101"/>
        <v>0</v>
      </c>
      <c r="BJ112" s="19">
        <f t="shared" si="102"/>
        <v>0</v>
      </c>
      <c r="BK112" s="19"/>
      <c r="BL112" s="19">
        <v>723</v>
      </c>
      <c r="BW112" s="19" t="str">
        <f t="shared" si="103"/>
        <v>12</v>
      </c>
      <c r="BX112" s="4" t="s">
        <v>200</v>
      </c>
    </row>
    <row r="113" spans="1:76" x14ac:dyDescent="0.25">
      <c r="A113" s="1" t="s">
        <v>592</v>
      </c>
      <c r="B113" s="2" t="s">
        <v>183</v>
      </c>
      <c r="C113" s="2" t="s">
        <v>201</v>
      </c>
      <c r="D113" s="105" t="s">
        <v>202</v>
      </c>
      <c r="E113" s="99"/>
      <c r="F113" s="2" t="s">
        <v>40</v>
      </c>
      <c r="G113" s="19">
        <f>'Rozpočet - vybrané sloupce'!J112</f>
        <v>4</v>
      </c>
      <c r="H113" s="19">
        <f>'Rozpočet - vybrané sloupce'!K112</f>
        <v>0</v>
      </c>
      <c r="I113" s="87" t="s">
        <v>489</v>
      </c>
      <c r="J113" s="19">
        <f t="shared" si="78"/>
        <v>0</v>
      </c>
      <c r="K113" s="19">
        <f t="shared" si="79"/>
        <v>0</v>
      </c>
      <c r="L113" s="19">
        <f t="shared" si="80"/>
        <v>0</v>
      </c>
      <c r="M113" s="19">
        <f t="shared" si="81"/>
        <v>0</v>
      </c>
      <c r="N113" s="19">
        <v>0</v>
      </c>
      <c r="O113" s="19">
        <f t="shared" si="82"/>
        <v>0</v>
      </c>
      <c r="P113" s="88" t="s">
        <v>490</v>
      </c>
      <c r="Z113" s="19">
        <f t="shared" si="83"/>
        <v>0</v>
      </c>
      <c r="AB113" s="19">
        <f t="shared" si="84"/>
        <v>0</v>
      </c>
      <c r="AC113" s="19">
        <f t="shared" si="85"/>
        <v>0</v>
      </c>
      <c r="AD113" s="19">
        <f t="shared" si="86"/>
        <v>0</v>
      </c>
      <c r="AE113" s="19">
        <f t="shared" si="87"/>
        <v>0</v>
      </c>
      <c r="AF113" s="19">
        <f t="shared" si="88"/>
        <v>0</v>
      </c>
      <c r="AG113" s="19">
        <f t="shared" si="89"/>
        <v>0</v>
      </c>
      <c r="AH113" s="19">
        <f t="shared" si="90"/>
        <v>0</v>
      </c>
      <c r="AI113" s="16" t="s">
        <v>183</v>
      </c>
      <c r="AJ113" s="19">
        <f t="shared" si="91"/>
        <v>0</v>
      </c>
      <c r="AK113" s="19">
        <f t="shared" si="92"/>
        <v>0</v>
      </c>
      <c r="AL113" s="19">
        <f t="shared" si="93"/>
        <v>0</v>
      </c>
      <c r="AN113" s="19">
        <v>12</v>
      </c>
      <c r="AO113" s="19">
        <f>H113*0</f>
        <v>0</v>
      </c>
      <c r="AP113" s="19">
        <f>H113*(1-0)</f>
        <v>0</v>
      </c>
      <c r="AQ113" s="87" t="s">
        <v>491</v>
      </c>
      <c r="AV113" s="19">
        <f t="shared" si="94"/>
        <v>0</v>
      </c>
      <c r="AW113" s="19">
        <f t="shared" si="95"/>
        <v>0</v>
      </c>
      <c r="AX113" s="19">
        <f t="shared" si="96"/>
        <v>0</v>
      </c>
      <c r="AY113" s="87" t="s">
        <v>583</v>
      </c>
      <c r="AZ113" s="87" t="s">
        <v>584</v>
      </c>
      <c r="BA113" s="16" t="s">
        <v>585</v>
      </c>
      <c r="BC113" s="19">
        <f t="shared" si="97"/>
        <v>0</v>
      </c>
      <c r="BD113" s="19">
        <f t="shared" si="98"/>
        <v>0</v>
      </c>
      <c r="BE113" s="19">
        <v>0</v>
      </c>
      <c r="BF113" s="19">
        <f t="shared" si="99"/>
        <v>0</v>
      </c>
      <c r="BH113" s="19">
        <f t="shared" si="100"/>
        <v>0</v>
      </c>
      <c r="BI113" s="19">
        <f t="shared" si="101"/>
        <v>0</v>
      </c>
      <c r="BJ113" s="19">
        <f t="shared" si="102"/>
        <v>0</v>
      </c>
      <c r="BK113" s="19"/>
      <c r="BL113" s="19">
        <v>723</v>
      </c>
      <c r="BW113" s="19" t="str">
        <f t="shared" si="103"/>
        <v>12</v>
      </c>
      <c r="BX113" s="4" t="s">
        <v>202</v>
      </c>
    </row>
    <row r="114" spans="1:76" x14ac:dyDescent="0.25">
      <c r="A114" s="1" t="s">
        <v>593</v>
      </c>
      <c r="B114" s="2" t="s">
        <v>183</v>
      </c>
      <c r="C114" s="2" t="s">
        <v>203</v>
      </c>
      <c r="D114" s="105" t="s">
        <v>204</v>
      </c>
      <c r="E114" s="99"/>
      <c r="F114" s="2" t="s">
        <v>35</v>
      </c>
      <c r="G114" s="19">
        <f>'Rozpočet - vybrané sloupce'!J113</f>
        <v>3</v>
      </c>
      <c r="H114" s="19">
        <f>'Rozpočet - vybrané sloupce'!K113</f>
        <v>0</v>
      </c>
      <c r="I114" s="87" t="s">
        <v>489</v>
      </c>
      <c r="J114" s="19">
        <f t="shared" si="78"/>
        <v>0</v>
      </c>
      <c r="K114" s="19">
        <f t="shared" si="79"/>
        <v>0</v>
      </c>
      <c r="L114" s="19">
        <f t="shared" si="80"/>
        <v>0</v>
      </c>
      <c r="M114" s="19">
        <f t="shared" si="81"/>
        <v>0</v>
      </c>
      <c r="N114" s="19">
        <v>0</v>
      </c>
      <c r="O114" s="19">
        <f t="shared" si="82"/>
        <v>0</v>
      </c>
      <c r="P114" s="88" t="s">
        <v>490</v>
      </c>
      <c r="Z114" s="19">
        <f t="shared" si="83"/>
        <v>0</v>
      </c>
      <c r="AB114" s="19">
        <f t="shared" si="84"/>
        <v>0</v>
      </c>
      <c r="AC114" s="19">
        <f t="shared" si="85"/>
        <v>0</v>
      </c>
      <c r="AD114" s="19">
        <f t="shared" si="86"/>
        <v>0</v>
      </c>
      <c r="AE114" s="19">
        <f t="shared" si="87"/>
        <v>0</v>
      </c>
      <c r="AF114" s="19">
        <f t="shared" si="88"/>
        <v>0</v>
      </c>
      <c r="AG114" s="19">
        <f t="shared" si="89"/>
        <v>0</v>
      </c>
      <c r="AH114" s="19">
        <f t="shared" si="90"/>
        <v>0</v>
      </c>
      <c r="AI114" s="16" t="s">
        <v>183</v>
      </c>
      <c r="AJ114" s="19">
        <f t="shared" si="91"/>
        <v>0</v>
      </c>
      <c r="AK114" s="19">
        <f t="shared" si="92"/>
        <v>0</v>
      </c>
      <c r="AL114" s="19">
        <f t="shared" si="93"/>
        <v>0</v>
      </c>
      <c r="AN114" s="19">
        <v>12</v>
      </c>
      <c r="AO114" s="19">
        <f>H114*0.133192389</f>
        <v>0</v>
      </c>
      <c r="AP114" s="19">
        <f>H114*(1-0.133192389)</f>
        <v>0</v>
      </c>
      <c r="AQ114" s="87" t="s">
        <v>491</v>
      </c>
      <c r="AV114" s="19">
        <f t="shared" si="94"/>
        <v>0</v>
      </c>
      <c r="AW114" s="19">
        <f t="shared" si="95"/>
        <v>0</v>
      </c>
      <c r="AX114" s="19">
        <f t="shared" si="96"/>
        <v>0</v>
      </c>
      <c r="AY114" s="87" t="s">
        <v>583</v>
      </c>
      <c r="AZ114" s="87" t="s">
        <v>584</v>
      </c>
      <c r="BA114" s="16" t="s">
        <v>585</v>
      </c>
      <c r="BC114" s="19">
        <f t="shared" si="97"/>
        <v>0</v>
      </c>
      <c r="BD114" s="19">
        <f t="shared" si="98"/>
        <v>0</v>
      </c>
      <c r="BE114" s="19">
        <v>0</v>
      </c>
      <c r="BF114" s="19">
        <f t="shared" si="99"/>
        <v>0</v>
      </c>
      <c r="BH114" s="19">
        <f t="shared" si="100"/>
        <v>0</v>
      </c>
      <c r="BI114" s="19">
        <f t="shared" si="101"/>
        <v>0</v>
      </c>
      <c r="BJ114" s="19">
        <f t="shared" si="102"/>
        <v>0</v>
      </c>
      <c r="BK114" s="19"/>
      <c r="BL114" s="19">
        <v>723</v>
      </c>
      <c r="BW114" s="19" t="str">
        <f t="shared" si="103"/>
        <v>12</v>
      </c>
      <c r="BX114" s="4" t="s">
        <v>204</v>
      </c>
    </row>
    <row r="115" spans="1:76" ht="25.5" x14ac:dyDescent="0.25">
      <c r="A115" s="1" t="s">
        <v>594</v>
      </c>
      <c r="B115" s="2" t="s">
        <v>183</v>
      </c>
      <c r="C115" s="2" t="s">
        <v>205</v>
      </c>
      <c r="D115" s="105" t="s">
        <v>206</v>
      </c>
      <c r="E115" s="99"/>
      <c r="F115" s="2" t="s">
        <v>35</v>
      </c>
      <c r="G115" s="19">
        <f>'Rozpočet - vybrané sloupce'!J114</f>
        <v>12</v>
      </c>
      <c r="H115" s="19">
        <f>'Rozpočet - vybrané sloupce'!K114</f>
        <v>0</v>
      </c>
      <c r="I115" s="87" t="s">
        <v>489</v>
      </c>
      <c r="J115" s="19">
        <f t="shared" si="78"/>
        <v>0</v>
      </c>
      <c r="K115" s="19">
        <f t="shared" si="79"/>
        <v>0</v>
      </c>
      <c r="L115" s="19">
        <f t="shared" si="80"/>
        <v>0</v>
      </c>
      <c r="M115" s="19">
        <f t="shared" si="81"/>
        <v>0</v>
      </c>
      <c r="N115" s="19">
        <v>0</v>
      </c>
      <c r="O115" s="19">
        <f t="shared" si="82"/>
        <v>0</v>
      </c>
      <c r="P115" s="88" t="s">
        <v>490</v>
      </c>
      <c r="Z115" s="19">
        <f t="shared" si="83"/>
        <v>0</v>
      </c>
      <c r="AB115" s="19">
        <f t="shared" si="84"/>
        <v>0</v>
      </c>
      <c r="AC115" s="19">
        <f t="shared" si="85"/>
        <v>0</v>
      </c>
      <c r="AD115" s="19">
        <f t="shared" si="86"/>
        <v>0</v>
      </c>
      <c r="AE115" s="19">
        <f t="shared" si="87"/>
        <v>0</v>
      </c>
      <c r="AF115" s="19">
        <f t="shared" si="88"/>
        <v>0</v>
      </c>
      <c r="AG115" s="19">
        <f t="shared" si="89"/>
        <v>0</v>
      </c>
      <c r="AH115" s="19">
        <f t="shared" si="90"/>
        <v>0</v>
      </c>
      <c r="AI115" s="16" t="s">
        <v>183</v>
      </c>
      <c r="AJ115" s="19">
        <f t="shared" si="91"/>
        <v>0</v>
      </c>
      <c r="AK115" s="19">
        <f t="shared" si="92"/>
        <v>0</v>
      </c>
      <c r="AL115" s="19">
        <f t="shared" si="93"/>
        <v>0</v>
      </c>
      <c r="AN115" s="19">
        <v>12</v>
      </c>
      <c r="AO115" s="19">
        <f>H115*0.5</f>
        <v>0</v>
      </c>
      <c r="AP115" s="19">
        <f>H115*(1-0.5)</f>
        <v>0</v>
      </c>
      <c r="AQ115" s="87" t="s">
        <v>491</v>
      </c>
      <c r="AV115" s="19">
        <f t="shared" si="94"/>
        <v>0</v>
      </c>
      <c r="AW115" s="19">
        <f t="shared" si="95"/>
        <v>0</v>
      </c>
      <c r="AX115" s="19">
        <f t="shared" si="96"/>
        <v>0</v>
      </c>
      <c r="AY115" s="87" t="s">
        <v>583</v>
      </c>
      <c r="AZ115" s="87" t="s">
        <v>584</v>
      </c>
      <c r="BA115" s="16" t="s">
        <v>585</v>
      </c>
      <c r="BC115" s="19">
        <f t="shared" si="97"/>
        <v>0</v>
      </c>
      <c r="BD115" s="19">
        <f t="shared" si="98"/>
        <v>0</v>
      </c>
      <c r="BE115" s="19">
        <v>0</v>
      </c>
      <c r="BF115" s="19">
        <f t="shared" si="99"/>
        <v>0</v>
      </c>
      <c r="BH115" s="19">
        <f t="shared" si="100"/>
        <v>0</v>
      </c>
      <c r="BI115" s="19">
        <f t="shared" si="101"/>
        <v>0</v>
      </c>
      <c r="BJ115" s="19">
        <f t="shared" si="102"/>
        <v>0</v>
      </c>
      <c r="BK115" s="19"/>
      <c r="BL115" s="19">
        <v>723</v>
      </c>
      <c r="BW115" s="19" t="str">
        <f t="shared" si="103"/>
        <v>12</v>
      </c>
      <c r="BX115" s="4" t="s">
        <v>206</v>
      </c>
    </row>
    <row r="116" spans="1:76" x14ac:dyDescent="0.25">
      <c r="A116" s="1" t="s">
        <v>595</v>
      </c>
      <c r="B116" s="2" t="s">
        <v>183</v>
      </c>
      <c r="C116" s="2" t="s">
        <v>207</v>
      </c>
      <c r="D116" s="105" t="s">
        <v>208</v>
      </c>
      <c r="E116" s="99"/>
      <c r="F116" s="2" t="s">
        <v>31</v>
      </c>
      <c r="G116" s="19">
        <f>'Rozpočet - vybrané sloupce'!J115</f>
        <v>52</v>
      </c>
      <c r="H116" s="19">
        <f>'Rozpočet - vybrané sloupce'!K115</f>
        <v>0</v>
      </c>
      <c r="I116" s="87" t="s">
        <v>489</v>
      </c>
      <c r="J116" s="19">
        <f t="shared" si="78"/>
        <v>0</v>
      </c>
      <c r="K116" s="19">
        <f t="shared" si="79"/>
        <v>0</v>
      </c>
      <c r="L116" s="19">
        <f t="shared" si="80"/>
        <v>0</v>
      </c>
      <c r="M116" s="19">
        <f t="shared" si="81"/>
        <v>0</v>
      </c>
      <c r="N116" s="19">
        <v>0</v>
      </c>
      <c r="O116" s="19">
        <f t="shared" si="82"/>
        <v>0</v>
      </c>
      <c r="P116" s="88" t="s">
        <v>490</v>
      </c>
      <c r="Z116" s="19">
        <f t="shared" si="83"/>
        <v>0</v>
      </c>
      <c r="AB116" s="19">
        <f t="shared" si="84"/>
        <v>0</v>
      </c>
      <c r="AC116" s="19">
        <f t="shared" si="85"/>
        <v>0</v>
      </c>
      <c r="AD116" s="19">
        <f t="shared" si="86"/>
        <v>0</v>
      </c>
      <c r="AE116" s="19">
        <f t="shared" si="87"/>
        <v>0</v>
      </c>
      <c r="AF116" s="19">
        <f t="shared" si="88"/>
        <v>0</v>
      </c>
      <c r="AG116" s="19">
        <f t="shared" si="89"/>
        <v>0</v>
      </c>
      <c r="AH116" s="19">
        <f t="shared" si="90"/>
        <v>0</v>
      </c>
      <c r="AI116" s="16" t="s">
        <v>183</v>
      </c>
      <c r="AJ116" s="19">
        <f t="shared" si="91"/>
        <v>0</v>
      </c>
      <c r="AK116" s="19">
        <f t="shared" si="92"/>
        <v>0</v>
      </c>
      <c r="AL116" s="19">
        <f t="shared" si="93"/>
        <v>0</v>
      </c>
      <c r="AN116" s="19">
        <v>12</v>
      </c>
      <c r="AO116" s="19">
        <f>H116*0.5</f>
        <v>0</v>
      </c>
      <c r="AP116" s="19">
        <f>H116*(1-0.5)</f>
        <v>0</v>
      </c>
      <c r="AQ116" s="87" t="s">
        <v>491</v>
      </c>
      <c r="AV116" s="19">
        <f t="shared" si="94"/>
        <v>0</v>
      </c>
      <c r="AW116" s="19">
        <f t="shared" si="95"/>
        <v>0</v>
      </c>
      <c r="AX116" s="19">
        <f t="shared" si="96"/>
        <v>0</v>
      </c>
      <c r="AY116" s="87" t="s">
        <v>583</v>
      </c>
      <c r="AZ116" s="87" t="s">
        <v>584</v>
      </c>
      <c r="BA116" s="16" t="s">
        <v>585</v>
      </c>
      <c r="BC116" s="19">
        <f t="shared" si="97"/>
        <v>0</v>
      </c>
      <c r="BD116" s="19">
        <f t="shared" si="98"/>
        <v>0</v>
      </c>
      <c r="BE116" s="19">
        <v>0</v>
      </c>
      <c r="BF116" s="19">
        <f t="shared" si="99"/>
        <v>0</v>
      </c>
      <c r="BH116" s="19">
        <f t="shared" si="100"/>
        <v>0</v>
      </c>
      <c r="BI116" s="19">
        <f t="shared" si="101"/>
        <v>0</v>
      </c>
      <c r="BJ116" s="19">
        <f t="shared" si="102"/>
        <v>0</v>
      </c>
      <c r="BK116" s="19"/>
      <c r="BL116" s="19">
        <v>723</v>
      </c>
      <c r="BW116" s="19" t="str">
        <f t="shared" si="103"/>
        <v>12</v>
      </c>
      <c r="BX116" s="4" t="s">
        <v>208</v>
      </c>
    </row>
    <row r="117" spans="1:76" x14ac:dyDescent="0.25">
      <c r="A117" s="1" t="s">
        <v>596</v>
      </c>
      <c r="B117" s="2" t="s">
        <v>183</v>
      </c>
      <c r="C117" s="2" t="s">
        <v>209</v>
      </c>
      <c r="D117" s="105" t="s">
        <v>210</v>
      </c>
      <c r="E117" s="99"/>
      <c r="F117" s="2" t="s">
        <v>35</v>
      </c>
      <c r="G117" s="19">
        <f>'Rozpočet - vybrané sloupce'!J116</f>
        <v>12</v>
      </c>
      <c r="H117" s="19">
        <f>'Rozpočet - vybrané sloupce'!K116</f>
        <v>0</v>
      </c>
      <c r="I117" s="87" t="s">
        <v>489</v>
      </c>
      <c r="J117" s="19">
        <f t="shared" si="78"/>
        <v>0</v>
      </c>
      <c r="K117" s="19">
        <f t="shared" si="79"/>
        <v>0</v>
      </c>
      <c r="L117" s="19">
        <f t="shared" si="80"/>
        <v>0</v>
      </c>
      <c r="M117" s="19">
        <f t="shared" si="81"/>
        <v>0</v>
      </c>
      <c r="N117" s="19">
        <v>4.3800000000000002E-3</v>
      </c>
      <c r="O117" s="19">
        <f t="shared" si="82"/>
        <v>5.2560000000000003E-2</v>
      </c>
      <c r="P117" s="88" t="s">
        <v>490</v>
      </c>
      <c r="Z117" s="19">
        <f t="shared" si="83"/>
        <v>0</v>
      </c>
      <c r="AB117" s="19">
        <f t="shared" si="84"/>
        <v>0</v>
      </c>
      <c r="AC117" s="19">
        <f t="shared" si="85"/>
        <v>0</v>
      </c>
      <c r="AD117" s="19">
        <f t="shared" si="86"/>
        <v>0</v>
      </c>
      <c r="AE117" s="19">
        <f t="shared" si="87"/>
        <v>0</v>
      </c>
      <c r="AF117" s="19">
        <f t="shared" si="88"/>
        <v>0</v>
      </c>
      <c r="AG117" s="19">
        <f t="shared" si="89"/>
        <v>0</v>
      </c>
      <c r="AH117" s="19">
        <f t="shared" si="90"/>
        <v>0</v>
      </c>
      <c r="AI117" s="16" t="s">
        <v>183</v>
      </c>
      <c r="AJ117" s="19">
        <f t="shared" si="91"/>
        <v>0</v>
      </c>
      <c r="AK117" s="19">
        <f t="shared" si="92"/>
        <v>0</v>
      </c>
      <c r="AL117" s="19">
        <f t="shared" si="93"/>
        <v>0</v>
      </c>
      <c r="AN117" s="19">
        <v>12</v>
      </c>
      <c r="AO117" s="19">
        <f>H117*0.235102292</f>
        <v>0</v>
      </c>
      <c r="AP117" s="19">
        <f>H117*(1-0.235102292)</f>
        <v>0</v>
      </c>
      <c r="AQ117" s="87" t="s">
        <v>491</v>
      </c>
      <c r="AV117" s="19">
        <f t="shared" si="94"/>
        <v>0</v>
      </c>
      <c r="AW117" s="19">
        <f t="shared" si="95"/>
        <v>0</v>
      </c>
      <c r="AX117" s="19">
        <f t="shared" si="96"/>
        <v>0</v>
      </c>
      <c r="AY117" s="87" t="s">
        <v>583</v>
      </c>
      <c r="AZ117" s="87" t="s">
        <v>584</v>
      </c>
      <c r="BA117" s="16" t="s">
        <v>585</v>
      </c>
      <c r="BC117" s="19">
        <f t="shared" si="97"/>
        <v>0</v>
      </c>
      <c r="BD117" s="19">
        <f t="shared" si="98"/>
        <v>0</v>
      </c>
      <c r="BE117" s="19">
        <v>0</v>
      </c>
      <c r="BF117" s="19">
        <f t="shared" si="99"/>
        <v>5.2560000000000003E-2</v>
      </c>
      <c r="BH117" s="19">
        <f t="shared" si="100"/>
        <v>0</v>
      </c>
      <c r="BI117" s="19">
        <f t="shared" si="101"/>
        <v>0</v>
      </c>
      <c r="BJ117" s="19">
        <f t="shared" si="102"/>
        <v>0</v>
      </c>
      <c r="BK117" s="19"/>
      <c r="BL117" s="19">
        <v>723</v>
      </c>
      <c r="BW117" s="19" t="str">
        <f t="shared" si="103"/>
        <v>12</v>
      </c>
      <c r="BX117" s="4" t="s">
        <v>210</v>
      </c>
    </row>
    <row r="118" spans="1:76" x14ac:dyDescent="0.25">
      <c r="A118" s="1" t="s">
        <v>333</v>
      </c>
      <c r="B118" s="2" t="s">
        <v>183</v>
      </c>
      <c r="C118" s="2" t="s">
        <v>211</v>
      </c>
      <c r="D118" s="105" t="s">
        <v>212</v>
      </c>
      <c r="E118" s="99"/>
      <c r="F118" s="2" t="s">
        <v>35</v>
      </c>
      <c r="G118" s="19">
        <f>'Rozpočet - vybrané sloupce'!J117</f>
        <v>12</v>
      </c>
      <c r="H118" s="19">
        <f>'Rozpočet - vybrané sloupce'!K117</f>
        <v>0</v>
      </c>
      <c r="I118" s="87" t="s">
        <v>489</v>
      </c>
      <c r="J118" s="19">
        <f t="shared" si="78"/>
        <v>0</v>
      </c>
      <c r="K118" s="19">
        <f t="shared" si="79"/>
        <v>0</v>
      </c>
      <c r="L118" s="19">
        <f t="shared" si="80"/>
        <v>0</v>
      </c>
      <c r="M118" s="19">
        <f t="shared" si="81"/>
        <v>0</v>
      </c>
      <c r="N118" s="19">
        <v>8.8999999999999995E-4</v>
      </c>
      <c r="O118" s="19">
        <f t="shared" si="82"/>
        <v>1.0679999999999999E-2</v>
      </c>
      <c r="P118" s="88" t="s">
        <v>490</v>
      </c>
      <c r="Z118" s="19">
        <f t="shared" si="83"/>
        <v>0</v>
      </c>
      <c r="AB118" s="19">
        <f t="shared" si="84"/>
        <v>0</v>
      </c>
      <c r="AC118" s="19">
        <f t="shared" si="85"/>
        <v>0</v>
      </c>
      <c r="AD118" s="19">
        <f t="shared" si="86"/>
        <v>0</v>
      </c>
      <c r="AE118" s="19">
        <f t="shared" si="87"/>
        <v>0</v>
      </c>
      <c r="AF118" s="19">
        <f t="shared" si="88"/>
        <v>0</v>
      </c>
      <c r="AG118" s="19">
        <f t="shared" si="89"/>
        <v>0</v>
      </c>
      <c r="AH118" s="19">
        <f t="shared" si="90"/>
        <v>0</v>
      </c>
      <c r="AI118" s="16" t="s">
        <v>183</v>
      </c>
      <c r="AJ118" s="19">
        <f t="shared" si="91"/>
        <v>0</v>
      </c>
      <c r="AK118" s="19">
        <f t="shared" si="92"/>
        <v>0</v>
      </c>
      <c r="AL118" s="19">
        <f t="shared" si="93"/>
        <v>0</v>
      </c>
      <c r="AN118" s="19">
        <v>12</v>
      </c>
      <c r="AO118" s="19">
        <f>H118*0</f>
        <v>0</v>
      </c>
      <c r="AP118" s="19">
        <f>H118*(1-0)</f>
        <v>0</v>
      </c>
      <c r="AQ118" s="87" t="s">
        <v>491</v>
      </c>
      <c r="AV118" s="19">
        <f t="shared" si="94"/>
        <v>0</v>
      </c>
      <c r="AW118" s="19">
        <f t="shared" si="95"/>
        <v>0</v>
      </c>
      <c r="AX118" s="19">
        <f t="shared" si="96"/>
        <v>0</v>
      </c>
      <c r="AY118" s="87" t="s">
        <v>583</v>
      </c>
      <c r="AZ118" s="87" t="s">
        <v>584</v>
      </c>
      <c r="BA118" s="16" t="s">
        <v>585</v>
      </c>
      <c r="BC118" s="19">
        <f t="shared" si="97"/>
        <v>0</v>
      </c>
      <c r="BD118" s="19">
        <f t="shared" si="98"/>
        <v>0</v>
      </c>
      <c r="BE118" s="19">
        <v>0</v>
      </c>
      <c r="BF118" s="19">
        <f t="shared" si="99"/>
        <v>1.0679999999999999E-2</v>
      </c>
      <c r="BH118" s="19">
        <f t="shared" si="100"/>
        <v>0</v>
      </c>
      <c r="BI118" s="19">
        <f t="shared" si="101"/>
        <v>0</v>
      </c>
      <c r="BJ118" s="19">
        <f t="shared" si="102"/>
        <v>0</v>
      </c>
      <c r="BK118" s="19"/>
      <c r="BL118" s="19">
        <v>723</v>
      </c>
      <c r="BW118" s="19" t="str">
        <f t="shared" si="103"/>
        <v>12</v>
      </c>
      <c r="BX118" s="4" t="s">
        <v>212</v>
      </c>
    </row>
    <row r="119" spans="1:76" x14ac:dyDescent="0.25">
      <c r="A119" s="1" t="s">
        <v>337</v>
      </c>
      <c r="B119" s="2" t="s">
        <v>183</v>
      </c>
      <c r="C119" s="2" t="s">
        <v>213</v>
      </c>
      <c r="D119" s="105" t="s">
        <v>214</v>
      </c>
      <c r="E119" s="99"/>
      <c r="F119" s="2" t="s">
        <v>215</v>
      </c>
      <c r="G119" s="19">
        <f>'Rozpočet - vybrané sloupce'!J118</f>
        <v>12</v>
      </c>
      <c r="H119" s="19">
        <f>'Rozpočet - vybrané sloupce'!K118</f>
        <v>0</v>
      </c>
      <c r="I119" s="87" t="s">
        <v>489</v>
      </c>
      <c r="J119" s="19">
        <f t="shared" si="78"/>
        <v>0</v>
      </c>
      <c r="K119" s="19">
        <f t="shared" si="79"/>
        <v>0</v>
      </c>
      <c r="L119" s="19">
        <f t="shared" si="80"/>
        <v>0</v>
      </c>
      <c r="M119" s="19">
        <f t="shared" si="81"/>
        <v>0</v>
      </c>
      <c r="N119" s="19">
        <v>5.13E-3</v>
      </c>
      <c r="O119" s="19">
        <f t="shared" si="82"/>
        <v>6.1560000000000004E-2</v>
      </c>
      <c r="P119" s="88" t="s">
        <v>490</v>
      </c>
      <c r="Z119" s="19">
        <f t="shared" si="83"/>
        <v>0</v>
      </c>
      <c r="AB119" s="19">
        <f t="shared" si="84"/>
        <v>0</v>
      </c>
      <c r="AC119" s="19">
        <f t="shared" si="85"/>
        <v>0</v>
      </c>
      <c r="AD119" s="19">
        <f t="shared" si="86"/>
        <v>0</v>
      </c>
      <c r="AE119" s="19">
        <f t="shared" si="87"/>
        <v>0</v>
      </c>
      <c r="AF119" s="19">
        <f t="shared" si="88"/>
        <v>0</v>
      </c>
      <c r="AG119" s="19">
        <f t="shared" si="89"/>
        <v>0</v>
      </c>
      <c r="AH119" s="19">
        <f t="shared" si="90"/>
        <v>0</v>
      </c>
      <c r="AI119" s="16" t="s">
        <v>183</v>
      </c>
      <c r="AJ119" s="19">
        <f t="shared" si="91"/>
        <v>0</v>
      </c>
      <c r="AK119" s="19">
        <f t="shared" si="92"/>
        <v>0</v>
      </c>
      <c r="AL119" s="19">
        <f t="shared" si="93"/>
        <v>0</v>
      </c>
      <c r="AN119" s="19">
        <v>12</v>
      </c>
      <c r="AO119" s="19">
        <f>H119*0</f>
        <v>0</v>
      </c>
      <c r="AP119" s="19">
        <f>H119*(1-0)</f>
        <v>0</v>
      </c>
      <c r="AQ119" s="87" t="s">
        <v>491</v>
      </c>
      <c r="AV119" s="19">
        <f t="shared" si="94"/>
        <v>0</v>
      </c>
      <c r="AW119" s="19">
        <f t="shared" si="95"/>
        <v>0</v>
      </c>
      <c r="AX119" s="19">
        <f t="shared" si="96"/>
        <v>0</v>
      </c>
      <c r="AY119" s="87" t="s">
        <v>583</v>
      </c>
      <c r="AZ119" s="87" t="s">
        <v>584</v>
      </c>
      <c r="BA119" s="16" t="s">
        <v>585</v>
      </c>
      <c r="BC119" s="19">
        <f t="shared" si="97"/>
        <v>0</v>
      </c>
      <c r="BD119" s="19">
        <f t="shared" si="98"/>
        <v>0</v>
      </c>
      <c r="BE119" s="19">
        <v>0</v>
      </c>
      <c r="BF119" s="19">
        <f t="shared" si="99"/>
        <v>6.1560000000000004E-2</v>
      </c>
      <c r="BH119" s="19">
        <f t="shared" si="100"/>
        <v>0</v>
      </c>
      <c r="BI119" s="19">
        <f t="shared" si="101"/>
        <v>0</v>
      </c>
      <c r="BJ119" s="19">
        <f t="shared" si="102"/>
        <v>0</v>
      </c>
      <c r="BK119" s="19"/>
      <c r="BL119" s="19">
        <v>723</v>
      </c>
      <c r="BW119" s="19" t="str">
        <f t="shared" si="103"/>
        <v>12</v>
      </c>
      <c r="BX119" s="4" t="s">
        <v>214</v>
      </c>
    </row>
    <row r="120" spans="1:76" x14ac:dyDescent="0.25">
      <c r="A120" s="1" t="s">
        <v>341</v>
      </c>
      <c r="B120" s="2" t="s">
        <v>183</v>
      </c>
      <c r="C120" s="2" t="s">
        <v>216</v>
      </c>
      <c r="D120" s="105" t="s">
        <v>217</v>
      </c>
      <c r="E120" s="99"/>
      <c r="F120" s="2" t="s">
        <v>40</v>
      </c>
      <c r="G120" s="19">
        <f>'Rozpočet - vybrané sloupce'!J119</f>
        <v>12</v>
      </c>
      <c r="H120" s="19">
        <f>'Rozpočet - vybrané sloupce'!K119</f>
        <v>0</v>
      </c>
      <c r="I120" s="87" t="s">
        <v>489</v>
      </c>
      <c r="J120" s="19">
        <f t="shared" si="78"/>
        <v>0</v>
      </c>
      <c r="K120" s="19">
        <f t="shared" si="79"/>
        <v>0</v>
      </c>
      <c r="L120" s="19">
        <f t="shared" si="80"/>
        <v>0</v>
      </c>
      <c r="M120" s="19">
        <f t="shared" si="81"/>
        <v>0</v>
      </c>
      <c r="N120" s="19">
        <v>3.2499999999999999E-3</v>
      </c>
      <c r="O120" s="19">
        <f t="shared" si="82"/>
        <v>3.9E-2</v>
      </c>
      <c r="P120" s="88" t="s">
        <v>490</v>
      </c>
      <c r="Z120" s="19">
        <f t="shared" si="83"/>
        <v>0</v>
      </c>
      <c r="AB120" s="19">
        <f t="shared" si="84"/>
        <v>0</v>
      </c>
      <c r="AC120" s="19">
        <f t="shared" si="85"/>
        <v>0</v>
      </c>
      <c r="AD120" s="19">
        <f t="shared" si="86"/>
        <v>0</v>
      </c>
      <c r="AE120" s="19">
        <f t="shared" si="87"/>
        <v>0</v>
      </c>
      <c r="AF120" s="19">
        <f t="shared" si="88"/>
        <v>0</v>
      </c>
      <c r="AG120" s="19">
        <f t="shared" si="89"/>
        <v>0</v>
      </c>
      <c r="AH120" s="19">
        <f t="shared" si="90"/>
        <v>0</v>
      </c>
      <c r="AI120" s="16" t="s">
        <v>183</v>
      </c>
      <c r="AJ120" s="19">
        <f t="shared" si="91"/>
        <v>0</v>
      </c>
      <c r="AK120" s="19">
        <f t="shared" si="92"/>
        <v>0</v>
      </c>
      <c r="AL120" s="19">
        <f t="shared" si="93"/>
        <v>0</v>
      </c>
      <c r="AN120" s="19">
        <v>12</v>
      </c>
      <c r="AO120" s="19">
        <f>H120*0.500447005</f>
        <v>0</v>
      </c>
      <c r="AP120" s="19">
        <f>H120*(1-0.500447005)</f>
        <v>0</v>
      </c>
      <c r="AQ120" s="87" t="s">
        <v>491</v>
      </c>
      <c r="AV120" s="19">
        <f t="shared" si="94"/>
        <v>0</v>
      </c>
      <c r="AW120" s="19">
        <f t="shared" si="95"/>
        <v>0</v>
      </c>
      <c r="AX120" s="19">
        <f t="shared" si="96"/>
        <v>0</v>
      </c>
      <c r="AY120" s="87" t="s">
        <v>583</v>
      </c>
      <c r="AZ120" s="87" t="s">
        <v>584</v>
      </c>
      <c r="BA120" s="16" t="s">
        <v>585</v>
      </c>
      <c r="BC120" s="19">
        <f t="shared" si="97"/>
        <v>0</v>
      </c>
      <c r="BD120" s="19">
        <f t="shared" si="98"/>
        <v>0</v>
      </c>
      <c r="BE120" s="19">
        <v>0</v>
      </c>
      <c r="BF120" s="19">
        <f t="shared" si="99"/>
        <v>3.9E-2</v>
      </c>
      <c r="BH120" s="19">
        <f t="shared" si="100"/>
        <v>0</v>
      </c>
      <c r="BI120" s="19">
        <f t="shared" si="101"/>
        <v>0</v>
      </c>
      <c r="BJ120" s="19">
        <f t="shared" si="102"/>
        <v>0</v>
      </c>
      <c r="BK120" s="19"/>
      <c r="BL120" s="19">
        <v>723</v>
      </c>
      <c r="BW120" s="19" t="str">
        <f t="shared" si="103"/>
        <v>12</v>
      </c>
      <c r="BX120" s="4" t="s">
        <v>217</v>
      </c>
    </row>
    <row r="121" spans="1:76" x14ac:dyDescent="0.25">
      <c r="A121" s="1" t="s">
        <v>597</v>
      </c>
      <c r="B121" s="2" t="s">
        <v>183</v>
      </c>
      <c r="C121" s="2" t="s">
        <v>218</v>
      </c>
      <c r="D121" s="105" t="s">
        <v>219</v>
      </c>
      <c r="E121" s="99"/>
      <c r="F121" s="2" t="s">
        <v>40</v>
      </c>
      <c r="G121" s="19">
        <f>'Rozpočet - vybrané sloupce'!J120</f>
        <v>12</v>
      </c>
      <c r="H121" s="19">
        <f>'Rozpočet - vybrané sloupce'!K120</f>
        <v>0</v>
      </c>
      <c r="I121" s="87" t="s">
        <v>489</v>
      </c>
      <c r="J121" s="19">
        <f t="shared" si="78"/>
        <v>0</v>
      </c>
      <c r="K121" s="19">
        <f t="shared" si="79"/>
        <v>0</v>
      </c>
      <c r="L121" s="19">
        <f t="shared" si="80"/>
        <v>0</v>
      </c>
      <c r="M121" s="19">
        <f t="shared" si="81"/>
        <v>0</v>
      </c>
      <c r="N121" s="19">
        <v>1.8000000000000001E-4</v>
      </c>
      <c r="O121" s="19">
        <f t="shared" si="82"/>
        <v>2.16E-3</v>
      </c>
      <c r="P121" s="88" t="s">
        <v>490</v>
      </c>
      <c r="Z121" s="19">
        <f t="shared" si="83"/>
        <v>0</v>
      </c>
      <c r="AB121" s="19">
        <f t="shared" si="84"/>
        <v>0</v>
      </c>
      <c r="AC121" s="19">
        <f t="shared" si="85"/>
        <v>0</v>
      </c>
      <c r="AD121" s="19">
        <f t="shared" si="86"/>
        <v>0</v>
      </c>
      <c r="AE121" s="19">
        <f t="shared" si="87"/>
        <v>0</v>
      </c>
      <c r="AF121" s="19">
        <f t="shared" si="88"/>
        <v>0</v>
      </c>
      <c r="AG121" s="19">
        <f t="shared" si="89"/>
        <v>0</v>
      </c>
      <c r="AH121" s="19">
        <f t="shared" si="90"/>
        <v>0</v>
      </c>
      <c r="AI121" s="16" t="s">
        <v>183</v>
      </c>
      <c r="AJ121" s="19">
        <f t="shared" si="91"/>
        <v>0</v>
      </c>
      <c r="AK121" s="19">
        <f t="shared" si="92"/>
        <v>0</v>
      </c>
      <c r="AL121" s="19">
        <f t="shared" si="93"/>
        <v>0</v>
      </c>
      <c r="AN121" s="19">
        <v>12</v>
      </c>
      <c r="AO121" s="19">
        <f>H121*0.068861566</f>
        <v>0</v>
      </c>
      <c r="AP121" s="19">
        <f>H121*(1-0.068861566)</f>
        <v>0</v>
      </c>
      <c r="AQ121" s="87" t="s">
        <v>491</v>
      </c>
      <c r="AV121" s="19">
        <f t="shared" si="94"/>
        <v>0</v>
      </c>
      <c r="AW121" s="19">
        <f t="shared" si="95"/>
        <v>0</v>
      </c>
      <c r="AX121" s="19">
        <f t="shared" si="96"/>
        <v>0</v>
      </c>
      <c r="AY121" s="87" t="s">
        <v>583</v>
      </c>
      <c r="AZ121" s="87" t="s">
        <v>584</v>
      </c>
      <c r="BA121" s="16" t="s">
        <v>585</v>
      </c>
      <c r="BC121" s="19">
        <f t="shared" si="97"/>
        <v>0</v>
      </c>
      <c r="BD121" s="19">
        <f t="shared" si="98"/>
        <v>0</v>
      </c>
      <c r="BE121" s="19">
        <v>0</v>
      </c>
      <c r="BF121" s="19">
        <f t="shared" si="99"/>
        <v>2.16E-3</v>
      </c>
      <c r="BH121" s="19">
        <f t="shared" si="100"/>
        <v>0</v>
      </c>
      <c r="BI121" s="19">
        <f t="shared" si="101"/>
        <v>0</v>
      </c>
      <c r="BJ121" s="19">
        <f t="shared" si="102"/>
        <v>0</v>
      </c>
      <c r="BK121" s="19"/>
      <c r="BL121" s="19">
        <v>723</v>
      </c>
      <c r="BW121" s="19" t="str">
        <f t="shared" si="103"/>
        <v>12</v>
      </c>
      <c r="BX121" s="4" t="s">
        <v>219</v>
      </c>
    </row>
    <row r="122" spans="1:76" x14ac:dyDescent="0.25">
      <c r="A122" s="1" t="s">
        <v>598</v>
      </c>
      <c r="B122" s="2" t="s">
        <v>183</v>
      </c>
      <c r="C122" s="2" t="s">
        <v>220</v>
      </c>
      <c r="D122" s="105" t="s">
        <v>221</v>
      </c>
      <c r="E122" s="99"/>
      <c r="F122" s="2" t="s">
        <v>35</v>
      </c>
      <c r="G122" s="19">
        <f>'Rozpočet - vybrané sloupce'!J121</f>
        <v>12</v>
      </c>
      <c r="H122" s="19">
        <f>'Rozpočet - vybrané sloupce'!K121</f>
        <v>0</v>
      </c>
      <c r="I122" s="87" t="s">
        <v>489</v>
      </c>
      <c r="J122" s="19">
        <f t="shared" si="78"/>
        <v>0</v>
      </c>
      <c r="K122" s="19">
        <f t="shared" si="79"/>
        <v>0</v>
      </c>
      <c r="L122" s="19">
        <f t="shared" si="80"/>
        <v>0</v>
      </c>
      <c r="M122" s="19">
        <f t="shared" si="81"/>
        <v>0</v>
      </c>
      <c r="N122" s="19">
        <v>1.7000000000000001E-4</v>
      </c>
      <c r="O122" s="19">
        <f t="shared" si="82"/>
        <v>2.0400000000000001E-3</v>
      </c>
      <c r="P122" s="88" t="s">
        <v>490</v>
      </c>
      <c r="Z122" s="19">
        <f t="shared" si="83"/>
        <v>0</v>
      </c>
      <c r="AB122" s="19">
        <f t="shared" si="84"/>
        <v>0</v>
      </c>
      <c r="AC122" s="19">
        <f t="shared" si="85"/>
        <v>0</v>
      </c>
      <c r="AD122" s="19">
        <f t="shared" si="86"/>
        <v>0</v>
      </c>
      <c r="AE122" s="19">
        <f t="shared" si="87"/>
        <v>0</v>
      </c>
      <c r="AF122" s="19">
        <f t="shared" si="88"/>
        <v>0</v>
      </c>
      <c r="AG122" s="19">
        <f t="shared" si="89"/>
        <v>0</v>
      </c>
      <c r="AH122" s="19">
        <f t="shared" si="90"/>
        <v>0</v>
      </c>
      <c r="AI122" s="16" t="s">
        <v>183</v>
      </c>
      <c r="AJ122" s="19">
        <f t="shared" si="91"/>
        <v>0</v>
      </c>
      <c r="AK122" s="19">
        <f t="shared" si="92"/>
        <v>0</v>
      </c>
      <c r="AL122" s="19">
        <f t="shared" si="93"/>
        <v>0</v>
      </c>
      <c r="AN122" s="19">
        <v>12</v>
      </c>
      <c r="AO122" s="19">
        <f>H122*0.264093298</f>
        <v>0</v>
      </c>
      <c r="AP122" s="19">
        <f>H122*(1-0.264093298)</f>
        <v>0</v>
      </c>
      <c r="AQ122" s="87" t="s">
        <v>491</v>
      </c>
      <c r="AV122" s="19">
        <f t="shared" si="94"/>
        <v>0</v>
      </c>
      <c r="AW122" s="19">
        <f t="shared" si="95"/>
        <v>0</v>
      </c>
      <c r="AX122" s="19">
        <f t="shared" si="96"/>
        <v>0</v>
      </c>
      <c r="AY122" s="87" t="s">
        <v>583</v>
      </c>
      <c r="AZ122" s="87" t="s">
        <v>584</v>
      </c>
      <c r="BA122" s="16" t="s">
        <v>585</v>
      </c>
      <c r="BC122" s="19">
        <f t="shared" si="97"/>
        <v>0</v>
      </c>
      <c r="BD122" s="19">
        <f t="shared" si="98"/>
        <v>0</v>
      </c>
      <c r="BE122" s="19">
        <v>0</v>
      </c>
      <c r="BF122" s="19">
        <f t="shared" si="99"/>
        <v>2.0400000000000001E-3</v>
      </c>
      <c r="BH122" s="19">
        <f t="shared" si="100"/>
        <v>0</v>
      </c>
      <c r="BI122" s="19">
        <f t="shared" si="101"/>
        <v>0</v>
      </c>
      <c r="BJ122" s="19">
        <f t="shared" si="102"/>
        <v>0</v>
      </c>
      <c r="BK122" s="19"/>
      <c r="BL122" s="19">
        <v>723</v>
      </c>
      <c r="BW122" s="19" t="str">
        <f t="shared" si="103"/>
        <v>12</v>
      </c>
      <c r="BX122" s="4" t="s">
        <v>221</v>
      </c>
    </row>
    <row r="123" spans="1:76" x14ac:dyDescent="0.25">
      <c r="A123" s="1" t="s">
        <v>599</v>
      </c>
      <c r="B123" s="2" t="s">
        <v>183</v>
      </c>
      <c r="C123" s="2" t="s">
        <v>222</v>
      </c>
      <c r="D123" s="105" t="s">
        <v>223</v>
      </c>
      <c r="E123" s="99"/>
      <c r="F123" s="2" t="s">
        <v>35</v>
      </c>
      <c r="G123" s="19">
        <f>'Rozpočet - vybrané sloupce'!J122</f>
        <v>12</v>
      </c>
      <c r="H123" s="19">
        <f>'Rozpočet - vybrané sloupce'!K122</f>
        <v>0</v>
      </c>
      <c r="I123" s="87" t="s">
        <v>489</v>
      </c>
      <c r="J123" s="19">
        <f t="shared" si="78"/>
        <v>0</v>
      </c>
      <c r="K123" s="19">
        <f t="shared" si="79"/>
        <v>0</v>
      </c>
      <c r="L123" s="19">
        <f t="shared" si="80"/>
        <v>0</v>
      </c>
      <c r="M123" s="19">
        <f t="shared" si="81"/>
        <v>0</v>
      </c>
      <c r="N123" s="19">
        <v>0</v>
      </c>
      <c r="O123" s="19">
        <f t="shared" si="82"/>
        <v>0</v>
      </c>
      <c r="P123" s="88" t="s">
        <v>490</v>
      </c>
      <c r="Z123" s="19">
        <f t="shared" si="83"/>
        <v>0</v>
      </c>
      <c r="AB123" s="19">
        <f t="shared" si="84"/>
        <v>0</v>
      </c>
      <c r="AC123" s="19">
        <f t="shared" si="85"/>
        <v>0</v>
      </c>
      <c r="AD123" s="19">
        <f t="shared" si="86"/>
        <v>0</v>
      </c>
      <c r="AE123" s="19">
        <f t="shared" si="87"/>
        <v>0</v>
      </c>
      <c r="AF123" s="19">
        <f t="shared" si="88"/>
        <v>0</v>
      </c>
      <c r="AG123" s="19">
        <f t="shared" si="89"/>
        <v>0</v>
      </c>
      <c r="AH123" s="19">
        <f t="shared" si="90"/>
        <v>0</v>
      </c>
      <c r="AI123" s="16" t="s">
        <v>183</v>
      </c>
      <c r="AJ123" s="19">
        <f t="shared" si="91"/>
        <v>0</v>
      </c>
      <c r="AK123" s="19">
        <f t="shared" si="92"/>
        <v>0</v>
      </c>
      <c r="AL123" s="19">
        <f t="shared" si="93"/>
        <v>0</v>
      </c>
      <c r="AN123" s="19">
        <v>12</v>
      </c>
      <c r="AO123" s="19">
        <f>H123*0.125</f>
        <v>0</v>
      </c>
      <c r="AP123" s="19">
        <f>H123*(1-0.125)</f>
        <v>0</v>
      </c>
      <c r="AQ123" s="87" t="s">
        <v>491</v>
      </c>
      <c r="AV123" s="19">
        <f t="shared" si="94"/>
        <v>0</v>
      </c>
      <c r="AW123" s="19">
        <f t="shared" si="95"/>
        <v>0</v>
      </c>
      <c r="AX123" s="19">
        <f t="shared" si="96"/>
        <v>0</v>
      </c>
      <c r="AY123" s="87" t="s">
        <v>583</v>
      </c>
      <c r="AZ123" s="87" t="s">
        <v>584</v>
      </c>
      <c r="BA123" s="16" t="s">
        <v>585</v>
      </c>
      <c r="BC123" s="19">
        <f t="shared" si="97"/>
        <v>0</v>
      </c>
      <c r="BD123" s="19">
        <f t="shared" si="98"/>
        <v>0</v>
      </c>
      <c r="BE123" s="19">
        <v>0</v>
      </c>
      <c r="BF123" s="19">
        <f t="shared" si="99"/>
        <v>0</v>
      </c>
      <c r="BH123" s="19">
        <f t="shared" si="100"/>
        <v>0</v>
      </c>
      <c r="BI123" s="19">
        <f t="shared" si="101"/>
        <v>0</v>
      </c>
      <c r="BJ123" s="19">
        <f t="shared" si="102"/>
        <v>0</v>
      </c>
      <c r="BK123" s="19"/>
      <c r="BL123" s="19">
        <v>723</v>
      </c>
      <c r="BW123" s="19" t="str">
        <f t="shared" si="103"/>
        <v>12</v>
      </c>
      <c r="BX123" s="4" t="s">
        <v>223</v>
      </c>
    </row>
    <row r="124" spans="1:76" x14ac:dyDescent="0.25">
      <c r="A124" s="1" t="s">
        <v>600</v>
      </c>
      <c r="B124" s="2" t="s">
        <v>183</v>
      </c>
      <c r="C124" s="2" t="s">
        <v>224</v>
      </c>
      <c r="D124" s="105" t="s">
        <v>225</v>
      </c>
      <c r="E124" s="99"/>
      <c r="F124" s="2" t="s">
        <v>40</v>
      </c>
      <c r="G124" s="19">
        <f>'Rozpočet - vybrané sloupce'!J123</f>
        <v>12</v>
      </c>
      <c r="H124" s="19">
        <f>'Rozpočet - vybrané sloupce'!K123</f>
        <v>0</v>
      </c>
      <c r="I124" s="87" t="s">
        <v>489</v>
      </c>
      <c r="J124" s="19">
        <f t="shared" si="78"/>
        <v>0</v>
      </c>
      <c r="K124" s="19">
        <f t="shared" si="79"/>
        <v>0</v>
      </c>
      <c r="L124" s="19">
        <f t="shared" si="80"/>
        <v>0</v>
      </c>
      <c r="M124" s="19">
        <f t="shared" si="81"/>
        <v>0</v>
      </c>
      <c r="N124" s="19">
        <v>0</v>
      </c>
      <c r="O124" s="19">
        <f t="shared" si="82"/>
        <v>0</v>
      </c>
      <c r="P124" s="88" t="s">
        <v>490</v>
      </c>
      <c r="Z124" s="19">
        <f t="shared" si="83"/>
        <v>0</v>
      </c>
      <c r="AB124" s="19">
        <f t="shared" si="84"/>
        <v>0</v>
      </c>
      <c r="AC124" s="19">
        <f t="shared" si="85"/>
        <v>0</v>
      </c>
      <c r="AD124" s="19">
        <f t="shared" si="86"/>
        <v>0</v>
      </c>
      <c r="AE124" s="19">
        <f t="shared" si="87"/>
        <v>0</v>
      </c>
      <c r="AF124" s="19">
        <f t="shared" si="88"/>
        <v>0</v>
      </c>
      <c r="AG124" s="19">
        <f t="shared" si="89"/>
        <v>0</v>
      </c>
      <c r="AH124" s="19">
        <f t="shared" si="90"/>
        <v>0</v>
      </c>
      <c r="AI124" s="16" t="s">
        <v>183</v>
      </c>
      <c r="AJ124" s="19">
        <f t="shared" si="91"/>
        <v>0</v>
      </c>
      <c r="AK124" s="19">
        <f t="shared" si="92"/>
        <v>0</v>
      </c>
      <c r="AL124" s="19">
        <f t="shared" si="93"/>
        <v>0</v>
      </c>
      <c r="AN124" s="19">
        <v>12</v>
      </c>
      <c r="AO124" s="19">
        <f>H124*0.692307692</f>
        <v>0</v>
      </c>
      <c r="AP124" s="19">
        <f>H124*(1-0.692307692)</f>
        <v>0</v>
      </c>
      <c r="AQ124" s="87" t="s">
        <v>491</v>
      </c>
      <c r="AV124" s="19">
        <f t="shared" si="94"/>
        <v>0</v>
      </c>
      <c r="AW124" s="19">
        <f t="shared" si="95"/>
        <v>0</v>
      </c>
      <c r="AX124" s="19">
        <f t="shared" si="96"/>
        <v>0</v>
      </c>
      <c r="AY124" s="87" t="s">
        <v>583</v>
      </c>
      <c r="AZ124" s="87" t="s">
        <v>584</v>
      </c>
      <c r="BA124" s="16" t="s">
        <v>585</v>
      </c>
      <c r="BC124" s="19">
        <f t="shared" si="97"/>
        <v>0</v>
      </c>
      <c r="BD124" s="19">
        <f t="shared" si="98"/>
        <v>0</v>
      </c>
      <c r="BE124" s="19">
        <v>0</v>
      </c>
      <c r="BF124" s="19">
        <f t="shared" si="99"/>
        <v>0</v>
      </c>
      <c r="BH124" s="19">
        <f t="shared" si="100"/>
        <v>0</v>
      </c>
      <c r="BI124" s="19">
        <f t="shared" si="101"/>
        <v>0</v>
      </c>
      <c r="BJ124" s="19">
        <f t="shared" si="102"/>
        <v>0</v>
      </c>
      <c r="BK124" s="19"/>
      <c r="BL124" s="19">
        <v>723</v>
      </c>
      <c r="BW124" s="19" t="str">
        <f t="shared" si="103"/>
        <v>12</v>
      </c>
      <c r="BX124" s="4" t="s">
        <v>225</v>
      </c>
    </row>
    <row r="125" spans="1:76" x14ac:dyDescent="0.25">
      <c r="A125" s="1" t="s">
        <v>601</v>
      </c>
      <c r="B125" s="2" t="s">
        <v>183</v>
      </c>
      <c r="C125" s="2" t="s">
        <v>226</v>
      </c>
      <c r="D125" s="105" t="s">
        <v>227</v>
      </c>
      <c r="E125" s="99"/>
      <c r="F125" s="2" t="s">
        <v>40</v>
      </c>
      <c r="G125" s="19">
        <f>'Rozpočet - vybrané sloupce'!J124</f>
        <v>3</v>
      </c>
      <c r="H125" s="19">
        <f>'Rozpočet - vybrané sloupce'!K124</f>
        <v>0</v>
      </c>
      <c r="I125" s="87" t="s">
        <v>489</v>
      </c>
      <c r="J125" s="19">
        <f t="shared" si="78"/>
        <v>0</v>
      </c>
      <c r="K125" s="19">
        <f t="shared" si="79"/>
        <v>0</v>
      </c>
      <c r="L125" s="19">
        <f t="shared" si="80"/>
        <v>0</v>
      </c>
      <c r="M125" s="19">
        <f t="shared" si="81"/>
        <v>0</v>
      </c>
      <c r="N125" s="19">
        <v>0</v>
      </c>
      <c r="O125" s="19">
        <f t="shared" si="82"/>
        <v>0</v>
      </c>
      <c r="P125" s="88" t="s">
        <v>490</v>
      </c>
      <c r="Z125" s="19">
        <f t="shared" si="83"/>
        <v>0</v>
      </c>
      <c r="AB125" s="19">
        <f t="shared" si="84"/>
        <v>0</v>
      </c>
      <c r="AC125" s="19">
        <f t="shared" si="85"/>
        <v>0</v>
      </c>
      <c r="AD125" s="19">
        <f t="shared" si="86"/>
        <v>0</v>
      </c>
      <c r="AE125" s="19">
        <f t="shared" si="87"/>
        <v>0</v>
      </c>
      <c r="AF125" s="19">
        <f t="shared" si="88"/>
        <v>0</v>
      </c>
      <c r="AG125" s="19">
        <f t="shared" si="89"/>
        <v>0</v>
      </c>
      <c r="AH125" s="19">
        <f t="shared" si="90"/>
        <v>0</v>
      </c>
      <c r="AI125" s="16" t="s">
        <v>183</v>
      </c>
      <c r="AJ125" s="19">
        <f t="shared" si="91"/>
        <v>0</v>
      </c>
      <c r="AK125" s="19">
        <f t="shared" si="92"/>
        <v>0</v>
      </c>
      <c r="AL125" s="19">
        <f t="shared" si="93"/>
        <v>0</v>
      </c>
      <c r="AN125" s="19">
        <v>12</v>
      </c>
      <c r="AO125" s="19">
        <f>H125*0.391304348</f>
        <v>0</v>
      </c>
      <c r="AP125" s="19">
        <f>H125*(1-0.391304348)</f>
        <v>0</v>
      </c>
      <c r="AQ125" s="87" t="s">
        <v>491</v>
      </c>
      <c r="AV125" s="19">
        <f t="shared" si="94"/>
        <v>0</v>
      </c>
      <c r="AW125" s="19">
        <f t="shared" si="95"/>
        <v>0</v>
      </c>
      <c r="AX125" s="19">
        <f t="shared" si="96"/>
        <v>0</v>
      </c>
      <c r="AY125" s="87" t="s">
        <v>583</v>
      </c>
      <c r="AZ125" s="87" t="s">
        <v>584</v>
      </c>
      <c r="BA125" s="16" t="s">
        <v>585</v>
      </c>
      <c r="BC125" s="19">
        <f t="shared" si="97"/>
        <v>0</v>
      </c>
      <c r="BD125" s="19">
        <f t="shared" si="98"/>
        <v>0</v>
      </c>
      <c r="BE125" s="19">
        <v>0</v>
      </c>
      <c r="BF125" s="19">
        <f t="shared" si="99"/>
        <v>0</v>
      </c>
      <c r="BH125" s="19">
        <f t="shared" si="100"/>
        <v>0</v>
      </c>
      <c r="BI125" s="19">
        <f t="shared" si="101"/>
        <v>0</v>
      </c>
      <c r="BJ125" s="19">
        <f t="shared" si="102"/>
        <v>0</v>
      </c>
      <c r="BK125" s="19"/>
      <c r="BL125" s="19">
        <v>723</v>
      </c>
      <c r="BW125" s="19" t="str">
        <f t="shared" si="103"/>
        <v>12</v>
      </c>
      <c r="BX125" s="4" t="s">
        <v>227</v>
      </c>
    </row>
    <row r="126" spans="1:76" x14ac:dyDescent="0.25">
      <c r="A126" s="1" t="s">
        <v>602</v>
      </c>
      <c r="B126" s="2" t="s">
        <v>183</v>
      </c>
      <c r="C126" s="2" t="s">
        <v>228</v>
      </c>
      <c r="D126" s="105" t="s">
        <v>229</v>
      </c>
      <c r="E126" s="99"/>
      <c r="F126" s="2" t="s">
        <v>35</v>
      </c>
      <c r="G126" s="19">
        <f>'Rozpočet - vybrané sloupce'!J125</f>
        <v>12</v>
      </c>
      <c r="H126" s="19">
        <f>'Rozpočet - vybrané sloupce'!K125</f>
        <v>0</v>
      </c>
      <c r="I126" s="87" t="s">
        <v>489</v>
      </c>
      <c r="J126" s="19">
        <f t="shared" si="78"/>
        <v>0</v>
      </c>
      <c r="K126" s="19">
        <f t="shared" si="79"/>
        <v>0</v>
      </c>
      <c r="L126" s="19">
        <f t="shared" si="80"/>
        <v>0</v>
      </c>
      <c r="M126" s="19">
        <f t="shared" si="81"/>
        <v>0</v>
      </c>
      <c r="N126" s="19">
        <v>2.3000000000000001E-4</v>
      </c>
      <c r="O126" s="19">
        <f t="shared" si="82"/>
        <v>2.7600000000000003E-3</v>
      </c>
      <c r="P126" s="88" t="s">
        <v>490</v>
      </c>
      <c r="Z126" s="19">
        <f t="shared" si="83"/>
        <v>0</v>
      </c>
      <c r="AB126" s="19">
        <f t="shared" si="84"/>
        <v>0</v>
      </c>
      <c r="AC126" s="19">
        <f t="shared" si="85"/>
        <v>0</v>
      </c>
      <c r="AD126" s="19">
        <f t="shared" si="86"/>
        <v>0</v>
      </c>
      <c r="AE126" s="19">
        <f t="shared" si="87"/>
        <v>0</v>
      </c>
      <c r="AF126" s="19">
        <f t="shared" si="88"/>
        <v>0</v>
      </c>
      <c r="AG126" s="19">
        <f t="shared" si="89"/>
        <v>0</v>
      </c>
      <c r="AH126" s="19">
        <f t="shared" si="90"/>
        <v>0</v>
      </c>
      <c r="AI126" s="16" t="s">
        <v>183</v>
      </c>
      <c r="AJ126" s="19">
        <f t="shared" si="91"/>
        <v>0</v>
      </c>
      <c r="AK126" s="19">
        <f t="shared" si="92"/>
        <v>0</v>
      </c>
      <c r="AL126" s="19">
        <f t="shared" si="93"/>
        <v>0</v>
      </c>
      <c r="AN126" s="19">
        <v>12</v>
      </c>
      <c r="AO126" s="19">
        <f>H126*0.79105233</f>
        <v>0</v>
      </c>
      <c r="AP126" s="19">
        <f>H126*(1-0.79105233)</f>
        <v>0</v>
      </c>
      <c r="AQ126" s="87" t="s">
        <v>491</v>
      </c>
      <c r="AV126" s="19">
        <f t="shared" si="94"/>
        <v>0</v>
      </c>
      <c r="AW126" s="19">
        <f t="shared" si="95"/>
        <v>0</v>
      </c>
      <c r="AX126" s="19">
        <f t="shared" si="96"/>
        <v>0</v>
      </c>
      <c r="AY126" s="87" t="s">
        <v>583</v>
      </c>
      <c r="AZ126" s="87" t="s">
        <v>584</v>
      </c>
      <c r="BA126" s="16" t="s">
        <v>585</v>
      </c>
      <c r="BC126" s="19">
        <f t="shared" si="97"/>
        <v>0</v>
      </c>
      <c r="BD126" s="19">
        <f t="shared" si="98"/>
        <v>0</v>
      </c>
      <c r="BE126" s="19">
        <v>0</v>
      </c>
      <c r="BF126" s="19">
        <f t="shared" si="99"/>
        <v>2.7600000000000003E-3</v>
      </c>
      <c r="BH126" s="19">
        <f t="shared" si="100"/>
        <v>0</v>
      </c>
      <c r="BI126" s="19">
        <f t="shared" si="101"/>
        <v>0</v>
      </c>
      <c r="BJ126" s="19">
        <f t="shared" si="102"/>
        <v>0</v>
      </c>
      <c r="BK126" s="19"/>
      <c r="BL126" s="19">
        <v>723</v>
      </c>
      <c r="BW126" s="19" t="str">
        <f t="shared" si="103"/>
        <v>12</v>
      </c>
      <c r="BX126" s="4" t="s">
        <v>229</v>
      </c>
    </row>
    <row r="127" spans="1:76" x14ac:dyDescent="0.25">
      <c r="A127" s="1" t="s">
        <v>603</v>
      </c>
      <c r="B127" s="2" t="s">
        <v>183</v>
      </c>
      <c r="C127" s="2" t="s">
        <v>230</v>
      </c>
      <c r="D127" s="105" t="s">
        <v>231</v>
      </c>
      <c r="E127" s="99"/>
      <c r="F127" s="2" t="s">
        <v>72</v>
      </c>
      <c r="G127" s="19">
        <f>'Rozpočet - vybrané sloupce'!J126</f>
        <v>0.2</v>
      </c>
      <c r="H127" s="19">
        <f>'Rozpočet - vybrané sloupce'!K126</f>
        <v>0</v>
      </c>
      <c r="I127" s="87" t="s">
        <v>489</v>
      </c>
      <c r="J127" s="19">
        <f t="shared" si="78"/>
        <v>0</v>
      </c>
      <c r="K127" s="19">
        <f t="shared" si="79"/>
        <v>0</v>
      </c>
      <c r="L127" s="19">
        <f t="shared" si="80"/>
        <v>0</v>
      </c>
      <c r="M127" s="19">
        <f t="shared" si="81"/>
        <v>0</v>
      </c>
      <c r="N127" s="19">
        <v>0</v>
      </c>
      <c r="O127" s="19">
        <f t="shared" si="82"/>
        <v>0</v>
      </c>
      <c r="P127" s="88" t="s">
        <v>490</v>
      </c>
      <c r="Z127" s="19">
        <f t="shared" si="83"/>
        <v>0</v>
      </c>
      <c r="AB127" s="19">
        <f t="shared" si="84"/>
        <v>0</v>
      </c>
      <c r="AC127" s="19">
        <f t="shared" si="85"/>
        <v>0</v>
      </c>
      <c r="AD127" s="19">
        <f t="shared" si="86"/>
        <v>0</v>
      </c>
      <c r="AE127" s="19">
        <f t="shared" si="87"/>
        <v>0</v>
      </c>
      <c r="AF127" s="19">
        <f t="shared" si="88"/>
        <v>0</v>
      </c>
      <c r="AG127" s="19">
        <f t="shared" si="89"/>
        <v>0</v>
      </c>
      <c r="AH127" s="19">
        <f t="shared" si="90"/>
        <v>0</v>
      </c>
      <c r="AI127" s="16" t="s">
        <v>183</v>
      </c>
      <c r="AJ127" s="19">
        <f t="shared" si="91"/>
        <v>0</v>
      </c>
      <c r="AK127" s="19">
        <f t="shared" si="92"/>
        <v>0</v>
      </c>
      <c r="AL127" s="19">
        <f t="shared" si="93"/>
        <v>0</v>
      </c>
      <c r="AN127" s="19">
        <v>12</v>
      </c>
      <c r="AO127" s="19">
        <f>H127*0</f>
        <v>0</v>
      </c>
      <c r="AP127" s="19">
        <f>H127*(1-0)</f>
        <v>0</v>
      </c>
      <c r="AQ127" s="87" t="s">
        <v>491</v>
      </c>
      <c r="AV127" s="19">
        <f t="shared" si="94"/>
        <v>0</v>
      </c>
      <c r="AW127" s="19">
        <f t="shared" si="95"/>
        <v>0</v>
      </c>
      <c r="AX127" s="19">
        <f t="shared" si="96"/>
        <v>0</v>
      </c>
      <c r="AY127" s="87" t="s">
        <v>583</v>
      </c>
      <c r="AZ127" s="87" t="s">
        <v>584</v>
      </c>
      <c r="BA127" s="16" t="s">
        <v>585</v>
      </c>
      <c r="BC127" s="19">
        <f t="shared" si="97"/>
        <v>0</v>
      </c>
      <c r="BD127" s="19">
        <f t="shared" si="98"/>
        <v>0</v>
      </c>
      <c r="BE127" s="19">
        <v>0</v>
      </c>
      <c r="BF127" s="19">
        <f t="shared" si="99"/>
        <v>0</v>
      </c>
      <c r="BH127" s="19">
        <f t="shared" si="100"/>
        <v>0</v>
      </c>
      <c r="BI127" s="19">
        <f t="shared" si="101"/>
        <v>0</v>
      </c>
      <c r="BJ127" s="19">
        <f t="shared" si="102"/>
        <v>0</v>
      </c>
      <c r="BK127" s="19"/>
      <c r="BL127" s="19">
        <v>723</v>
      </c>
      <c r="BW127" s="19" t="str">
        <f t="shared" si="103"/>
        <v>12</v>
      </c>
      <c r="BX127" s="4" t="s">
        <v>231</v>
      </c>
    </row>
    <row r="128" spans="1:76" x14ac:dyDescent="0.25">
      <c r="A128" s="1" t="s">
        <v>604</v>
      </c>
      <c r="B128" s="2" t="s">
        <v>183</v>
      </c>
      <c r="C128" s="2" t="s">
        <v>232</v>
      </c>
      <c r="D128" s="105" t="s">
        <v>233</v>
      </c>
      <c r="E128" s="99"/>
      <c r="F128" s="2" t="s">
        <v>43</v>
      </c>
      <c r="G128" s="19">
        <f>'Rozpočet - vybrané sloupce'!J127</f>
        <v>1561</v>
      </c>
      <c r="H128" s="19">
        <f>'Rozpočet - vybrané sloupce'!K127</f>
        <v>0</v>
      </c>
      <c r="I128" s="87" t="s">
        <v>489</v>
      </c>
      <c r="J128" s="19">
        <f t="shared" si="78"/>
        <v>0</v>
      </c>
      <c r="K128" s="19">
        <f t="shared" si="79"/>
        <v>0</v>
      </c>
      <c r="L128" s="19">
        <f t="shared" si="80"/>
        <v>0</v>
      </c>
      <c r="M128" s="19">
        <f t="shared" si="81"/>
        <v>0</v>
      </c>
      <c r="N128" s="19">
        <v>0</v>
      </c>
      <c r="O128" s="19">
        <f t="shared" si="82"/>
        <v>0</v>
      </c>
      <c r="P128" s="88" t="s">
        <v>490</v>
      </c>
      <c r="Z128" s="19">
        <f t="shared" si="83"/>
        <v>0</v>
      </c>
      <c r="AB128" s="19">
        <f t="shared" si="84"/>
        <v>0</v>
      </c>
      <c r="AC128" s="19">
        <f t="shared" si="85"/>
        <v>0</v>
      </c>
      <c r="AD128" s="19">
        <f t="shared" si="86"/>
        <v>0</v>
      </c>
      <c r="AE128" s="19">
        <f t="shared" si="87"/>
        <v>0</v>
      </c>
      <c r="AF128" s="19">
        <f t="shared" si="88"/>
        <v>0</v>
      </c>
      <c r="AG128" s="19">
        <f t="shared" si="89"/>
        <v>0</v>
      </c>
      <c r="AH128" s="19">
        <f t="shared" si="90"/>
        <v>0</v>
      </c>
      <c r="AI128" s="16" t="s">
        <v>183</v>
      </c>
      <c r="AJ128" s="19">
        <f t="shared" si="91"/>
        <v>0</v>
      </c>
      <c r="AK128" s="19">
        <f t="shared" si="92"/>
        <v>0</v>
      </c>
      <c r="AL128" s="19">
        <f t="shared" si="93"/>
        <v>0</v>
      </c>
      <c r="AN128" s="19">
        <v>12</v>
      </c>
      <c r="AO128" s="19">
        <f>H128*0</f>
        <v>0</v>
      </c>
      <c r="AP128" s="19">
        <f>H128*(1-0)</f>
        <v>0</v>
      </c>
      <c r="AQ128" s="87" t="s">
        <v>498</v>
      </c>
      <c r="AV128" s="19">
        <f t="shared" si="94"/>
        <v>0</v>
      </c>
      <c r="AW128" s="19">
        <f t="shared" si="95"/>
        <v>0</v>
      </c>
      <c r="AX128" s="19">
        <f t="shared" si="96"/>
        <v>0</v>
      </c>
      <c r="AY128" s="87" t="s">
        <v>583</v>
      </c>
      <c r="AZ128" s="87" t="s">
        <v>584</v>
      </c>
      <c r="BA128" s="16" t="s">
        <v>585</v>
      </c>
      <c r="BC128" s="19">
        <f t="shared" si="97"/>
        <v>0</v>
      </c>
      <c r="BD128" s="19">
        <f t="shared" si="98"/>
        <v>0</v>
      </c>
      <c r="BE128" s="19">
        <v>0</v>
      </c>
      <c r="BF128" s="19">
        <f t="shared" si="99"/>
        <v>0</v>
      </c>
      <c r="BH128" s="19">
        <f t="shared" si="100"/>
        <v>0</v>
      </c>
      <c r="BI128" s="19">
        <f t="shared" si="101"/>
        <v>0</v>
      </c>
      <c r="BJ128" s="19">
        <f t="shared" si="102"/>
        <v>0</v>
      </c>
      <c r="BK128" s="19"/>
      <c r="BL128" s="19">
        <v>723</v>
      </c>
      <c r="BW128" s="19" t="str">
        <f t="shared" si="103"/>
        <v>12</v>
      </c>
      <c r="BX128" s="4" t="s">
        <v>233</v>
      </c>
    </row>
    <row r="129" spans="1:76" x14ac:dyDescent="0.25">
      <c r="A129" s="84" t="s">
        <v>25</v>
      </c>
      <c r="B129" s="15" t="s">
        <v>234</v>
      </c>
      <c r="C129" s="15" t="s">
        <v>25</v>
      </c>
      <c r="D129" s="112" t="s">
        <v>235</v>
      </c>
      <c r="E129" s="113"/>
      <c r="F129" s="85" t="s">
        <v>23</v>
      </c>
      <c r="G129" s="85" t="s">
        <v>23</v>
      </c>
      <c r="H129" s="85" t="s">
        <v>23</v>
      </c>
      <c r="I129" s="85" t="s">
        <v>23</v>
      </c>
      <c r="J129" s="60">
        <f>J130</f>
        <v>0</v>
      </c>
      <c r="K129" s="60">
        <f>K130</f>
        <v>0</v>
      </c>
      <c r="L129" s="60">
        <f>L130</f>
        <v>0</v>
      </c>
      <c r="M129" s="60">
        <f>M130</f>
        <v>0</v>
      </c>
      <c r="N129" s="16" t="s">
        <v>25</v>
      </c>
      <c r="O129" s="60">
        <f>O130</f>
        <v>0.96949800000000008</v>
      </c>
      <c r="P129" s="86" t="s">
        <v>25</v>
      </c>
    </row>
    <row r="130" spans="1:76" x14ac:dyDescent="0.25">
      <c r="A130" s="84" t="s">
        <v>25</v>
      </c>
      <c r="B130" s="15" t="s">
        <v>234</v>
      </c>
      <c r="C130" s="15" t="s">
        <v>185</v>
      </c>
      <c r="D130" s="112" t="s">
        <v>186</v>
      </c>
      <c r="E130" s="113"/>
      <c r="F130" s="85" t="s">
        <v>23</v>
      </c>
      <c r="G130" s="85" t="s">
        <v>23</v>
      </c>
      <c r="H130" s="85" t="s">
        <v>23</v>
      </c>
      <c r="I130" s="85" t="s">
        <v>23</v>
      </c>
      <c r="J130" s="60">
        <f>SUM(J131:J143)</f>
        <v>0</v>
      </c>
      <c r="K130" s="60">
        <f>SUM(K131:K143)</f>
        <v>0</v>
      </c>
      <c r="L130" s="60">
        <f>SUM(L131:L143)</f>
        <v>0</v>
      </c>
      <c r="M130" s="60">
        <f>SUM(M131:M143)</f>
        <v>0</v>
      </c>
      <c r="N130" s="16" t="s">
        <v>25</v>
      </c>
      <c r="O130" s="60">
        <f>SUM(O131:O143)</f>
        <v>0.96949800000000008</v>
      </c>
      <c r="P130" s="86" t="s">
        <v>25</v>
      </c>
      <c r="AI130" s="16" t="s">
        <v>234</v>
      </c>
      <c r="AS130" s="60">
        <f>SUM(AJ131:AJ143)</f>
        <v>0</v>
      </c>
      <c r="AT130" s="60">
        <f>SUM(AK131:AK143)</f>
        <v>0</v>
      </c>
      <c r="AU130" s="60">
        <f>SUM(AL131:AL143)</f>
        <v>0</v>
      </c>
    </row>
    <row r="131" spans="1:76" x14ac:dyDescent="0.25">
      <c r="A131" s="1" t="s">
        <v>605</v>
      </c>
      <c r="B131" s="2" t="s">
        <v>234</v>
      </c>
      <c r="C131" s="2" t="s">
        <v>236</v>
      </c>
      <c r="D131" s="105" t="s">
        <v>237</v>
      </c>
      <c r="E131" s="99"/>
      <c r="F131" s="2" t="s">
        <v>31</v>
      </c>
      <c r="G131" s="19">
        <f>'Rozpočet - vybrané sloupce'!J130</f>
        <v>42</v>
      </c>
      <c r="H131" s="19">
        <f>'Rozpočet - vybrané sloupce'!K130</f>
        <v>0</v>
      </c>
      <c r="I131" s="87" t="s">
        <v>489</v>
      </c>
      <c r="J131" s="19">
        <f t="shared" ref="J131:J143" si="104">G131*AO131</f>
        <v>0</v>
      </c>
      <c r="K131" s="19">
        <f t="shared" ref="K131:K143" si="105">G131*AP131</f>
        <v>0</v>
      </c>
      <c r="L131" s="19">
        <f t="shared" ref="L131:L143" si="106">G131*H131</f>
        <v>0</v>
      </c>
      <c r="M131" s="19">
        <f t="shared" ref="M131:M143" si="107">L131*(1+BW131/100)</f>
        <v>0</v>
      </c>
      <c r="N131" s="19">
        <v>2.2599999999999999E-3</v>
      </c>
      <c r="O131" s="19">
        <f t="shared" ref="O131:O143" si="108">G131*N131</f>
        <v>9.491999999999999E-2</v>
      </c>
      <c r="P131" s="88" t="s">
        <v>490</v>
      </c>
      <c r="Z131" s="19">
        <f t="shared" ref="Z131:Z143" si="109">IF(AQ131="5",BJ131,0)</f>
        <v>0</v>
      </c>
      <c r="AB131" s="19">
        <f t="shared" ref="AB131:AB143" si="110">IF(AQ131="1",BH131,0)</f>
        <v>0</v>
      </c>
      <c r="AC131" s="19">
        <f t="shared" ref="AC131:AC143" si="111">IF(AQ131="1",BI131,0)</f>
        <v>0</v>
      </c>
      <c r="AD131" s="19">
        <f t="shared" ref="AD131:AD143" si="112">IF(AQ131="7",BH131,0)</f>
        <v>0</v>
      </c>
      <c r="AE131" s="19">
        <f t="shared" ref="AE131:AE143" si="113">IF(AQ131="7",BI131,0)</f>
        <v>0</v>
      </c>
      <c r="AF131" s="19">
        <f t="shared" ref="AF131:AF143" si="114">IF(AQ131="2",BH131,0)</f>
        <v>0</v>
      </c>
      <c r="AG131" s="19">
        <f t="shared" ref="AG131:AG143" si="115">IF(AQ131="2",BI131,0)</f>
        <v>0</v>
      </c>
      <c r="AH131" s="19">
        <f t="shared" ref="AH131:AH143" si="116">IF(AQ131="0",BJ131,0)</f>
        <v>0</v>
      </c>
      <c r="AI131" s="16" t="s">
        <v>234</v>
      </c>
      <c r="AJ131" s="19">
        <f t="shared" ref="AJ131:AJ143" si="117">IF(AN131=0,L131,0)</f>
        <v>0</v>
      </c>
      <c r="AK131" s="19">
        <f t="shared" ref="AK131:AK143" si="118">IF(AN131=12,L131,0)</f>
        <v>0</v>
      </c>
      <c r="AL131" s="19">
        <f t="shared" ref="AL131:AL143" si="119">IF(AN131=21,L131,0)</f>
        <v>0</v>
      </c>
      <c r="AN131" s="19">
        <v>12</v>
      </c>
      <c r="AO131" s="19">
        <f>H131*0.784843918</f>
        <v>0</v>
      </c>
      <c r="AP131" s="19">
        <f>H131*(1-0.784843918)</f>
        <v>0</v>
      </c>
      <c r="AQ131" s="87" t="s">
        <v>491</v>
      </c>
      <c r="AV131" s="19">
        <f t="shared" ref="AV131:AV143" si="120">AW131+AX131</f>
        <v>0</v>
      </c>
      <c r="AW131" s="19">
        <f t="shared" ref="AW131:AW143" si="121">G131*AO131</f>
        <v>0</v>
      </c>
      <c r="AX131" s="19">
        <f t="shared" ref="AX131:AX143" si="122">G131*AP131</f>
        <v>0</v>
      </c>
      <c r="AY131" s="87" t="s">
        <v>583</v>
      </c>
      <c r="AZ131" s="87" t="s">
        <v>606</v>
      </c>
      <c r="BA131" s="16" t="s">
        <v>607</v>
      </c>
      <c r="BC131" s="19">
        <f t="shared" ref="BC131:BC143" si="123">AW131+AX131</f>
        <v>0</v>
      </c>
      <c r="BD131" s="19">
        <f t="shared" ref="BD131:BD143" si="124">H131/(100-BE131)*100</f>
        <v>0</v>
      </c>
      <c r="BE131" s="19">
        <v>0</v>
      </c>
      <c r="BF131" s="19">
        <f t="shared" ref="BF131:BF143" si="125">O131</f>
        <v>9.491999999999999E-2</v>
      </c>
      <c r="BH131" s="19">
        <f t="shared" ref="BH131:BH143" si="126">G131*AO131</f>
        <v>0</v>
      </c>
      <c r="BI131" s="19">
        <f t="shared" ref="BI131:BI143" si="127">G131*AP131</f>
        <v>0</v>
      </c>
      <c r="BJ131" s="19">
        <f t="shared" ref="BJ131:BJ143" si="128">G131*H131</f>
        <v>0</v>
      </c>
      <c r="BK131" s="19"/>
      <c r="BL131" s="19">
        <v>723</v>
      </c>
      <c r="BW131" s="19" t="str">
        <f t="shared" ref="BW131:BW143" si="129">I131</f>
        <v>12</v>
      </c>
      <c r="BX131" s="4" t="s">
        <v>237</v>
      </c>
    </row>
    <row r="132" spans="1:76" x14ac:dyDescent="0.25">
      <c r="A132" s="1" t="s">
        <v>608</v>
      </c>
      <c r="B132" s="2" t="s">
        <v>234</v>
      </c>
      <c r="C132" s="2" t="s">
        <v>238</v>
      </c>
      <c r="D132" s="105" t="s">
        <v>239</v>
      </c>
      <c r="E132" s="99"/>
      <c r="F132" s="2" t="s">
        <v>31</v>
      </c>
      <c r="G132" s="19">
        <f>'Rozpočet - vybrané sloupce'!J131</f>
        <v>42</v>
      </c>
      <c r="H132" s="19">
        <f>'Rozpočet - vybrané sloupce'!K131</f>
        <v>0</v>
      </c>
      <c r="I132" s="87" t="s">
        <v>489</v>
      </c>
      <c r="J132" s="19">
        <f t="shared" si="104"/>
        <v>0</v>
      </c>
      <c r="K132" s="19">
        <f t="shared" si="105"/>
        <v>0</v>
      </c>
      <c r="L132" s="19">
        <f t="shared" si="106"/>
        <v>0</v>
      </c>
      <c r="M132" s="19">
        <f t="shared" si="107"/>
        <v>0</v>
      </c>
      <c r="N132" s="19">
        <v>7.9000000000000001E-4</v>
      </c>
      <c r="O132" s="19">
        <f t="shared" si="108"/>
        <v>3.3180000000000001E-2</v>
      </c>
      <c r="P132" s="88" t="s">
        <v>490</v>
      </c>
      <c r="Z132" s="19">
        <f t="shared" si="109"/>
        <v>0</v>
      </c>
      <c r="AB132" s="19">
        <f t="shared" si="110"/>
        <v>0</v>
      </c>
      <c r="AC132" s="19">
        <f t="shared" si="111"/>
        <v>0</v>
      </c>
      <c r="AD132" s="19">
        <f t="shared" si="112"/>
        <v>0</v>
      </c>
      <c r="AE132" s="19">
        <f t="shared" si="113"/>
        <v>0</v>
      </c>
      <c r="AF132" s="19">
        <f t="shared" si="114"/>
        <v>0</v>
      </c>
      <c r="AG132" s="19">
        <f t="shared" si="115"/>
        <v>0</v>
      </c>
      <c r="AH132" s="19">
        <f t="shared" si="116"/>
        <v>0</v>
      </c>
      <c r="AI132" s="16" t="s">
        <v>234</v>
      </c>
      <c r="AJ132" s="19">
        <f t="shared" si="117"/>
        <v>0</v>
      </c>
      <c r="AK132" s="19">
        <f t="shared" si="118"/>
        <v>0</v>
      </c>
      <c r="AL132" s="19">
        <f t="shared" si="119"/>
        <v>0</v>
      </c>
      <c r="AN132" s="19">
        <v>12</v>
      </c>
      <c r="AO132" s="19">
        <f>H132*0.623688968</f>
        <v>0</v>
      </c>
      <c r="AP132" s="19">
        <f>H132*(1-0.623688968)</f>
        <v>0</v>
      </c>
      <c r="AQ132" s="87" t="s">
        <v>491</v>
      </c>
      <c r="AV132" s="19">
        <f t="shared" si="120"/>
        <v>0</v>
      </c>
      <c r="AW132" s="19">
        <f t="shared" si="121"/>
        <v>0</v>
      </c>
      <c r="AX132" s="19">
        <f t="shared" si="122"/>
        <v>0</v>
      </c>
      <c r="AY132" s="87" t="s">
        <v>583</v>
      </c>
      <c r="AZ132" s="87" t="s">
        <v>606</v>
      </c>
      <c r="BA132" s="16" t="s">
        <v>607</v>
      </c>
      <c r="BC132" s="19">
        <f t="shared" si="123"/>
        <v>0</v>
      </c>
      <c r="BD132" s="19">
        <f t="shared" si="124"/>
        <v>0</v>
      </c>
      <c r="BE132" s="19">
        <v>0</v>
      </c>
      <c r="BF132" s="19">
        <f t="shared" si="125"/>
        <v>3.3180000000000001E-2</v>
      </c>
      <c r="BH132" s="19">
        <f t="shared" si="126"/>
        <v>0</v>
      </c>
      <c r="BI132" s="19">
        <f t="shared" si="127"/>
        <v>0</v>
      </c>
      <c r="BJ132" s="19">
        <f t="shared" si="128"/>
        <v>0</v>
      </c>
      <c r="BK132" s="19"/>
      <c r="BL132" s="19">
        <v>723</v>
      </c>
      <c r="BW132" s="19" t="str">
        <f t="shared" si="129"/>
        <v>12</v>
      </c>
      <c r="BX132" s="4" t="s">
        <v>239</v>
      </c>
    </row>
    <row r="133" spans="1:76" x14ac:dyDescent="0.25">
      <c r="A133" s="1" t="s">
        <v>609</v>
      </c>
      <c r="B133" s="2" t="s">
        <v>234</v>
      </c>
      <c r="C133" s="2" t="s">
        <v>240</v>
      </c>
      <c r="D133" s="105" t="s">
        <v>241</v>
      </c>
      <c r="E133" s="99"/>
      <c r="F133" s="2" t="s">
        <v>31</v>
      </c>
      <c r="G133" s="19">
        <f>'Rozpočet - vybrané sloupce'!J132</f>
        <v>1.8</v>
      </c>
      <c r="H133" s="19">
        <f>'Rozpočet - vybrané sloupce'!K132</f>
        <v>0</v>
      </c>
      <c r="I133" s="87" t="s">
        <v>489</v>
      </c>
      <c r="J133" s="19">
        <f t="shared" si="104"/>
        <v>0</v>
      </c>
      <c r="K133" s="19">
        <f t="shared" si="105"/>
        <v>0</v>
      </c>
      <c r="L133" s="19">
        <f t="shared" si="106"/>
        <v>0</v>
      </c>
      <c r="M133" s="19">
        <f t="shared" si="107"/>
        <v>0</v>
      </c>
      <c r="N133" s="19">
        <v>9.1E-4</v>
      </c>
      <c r="O133" s="19">
        <f t="shared" si="108"/>
        <v>1.6380000000000001E-3</v>
      </c>
      <c r="P133" s="88" t="s">
        <v>490</v>
      </c>
      <c r="Z133" s="19">
        <f t="shared" si="109"/>
        <v>0</v>
      </c>
      <c r="AB133" s="19">
        <f t="shared" si="110"/>
        <v>0</v>
      </c>
      <c r="AC133" s="19">
        <f t="shared" si="111"/>
        <v>0</v>
      </c>
      <c r="AD133" s="19">
        <f t="shared" si="112"/>
        <v>0</v>
      </c>
      <c r="AE133" s="19">
        <f t="shared" si="113"/>
        <v>0</v>
      </c>
      <c r="AF133" s="19">
        <f t="shared" si="114"/>
        <v>0</v>
      </c>
      <c r="AG133" s="19">
        <f t="shared" si="115"/>
        <v>0</v>
      </c>
      <c r="AH133" s="19">
        <f t="shared" si="116"/>
        <v>0</v>
      </c>
      <c r="AI133" s="16" t="s">
        <v>234</v>
      </c>
      <c r="AJ133" s="19">
        <f t="shared" si="117"/>
        <v>0</v>
      </c>
      <c r="AK133" s="19">
        <f t="shared" si="118"/>
        <v>0</v>
      </c>
      <c r="AL133" s="19">
        <f t="shared" si="119"/>
        <v>0</v>
      </c>
      <c r="AN133" s="19">
        <v>12</v>
      </c>
      <c r="AO133" s="19">
        <f>H133*0.675236122</f>
        <v>0</v>
      </c>
      <c r="AP133" s="19">
        <f>H133*(1-0.675236122)</f>
        <v>0</v>
      </c>
      <c r="AQ133" s="87" t="s">
        <v>491</v>
      </c>
      <c r="AV133" s="19">
        <f t="shared" si="120"/>
        <v>0</v>
      </c>
      <c r="AW133" s="19">
        <f t="shared" si="121"/>
        <v>0</v>
      </c>
      <c r="AX133" s="19">
        <f t="shared" si="122"/>
        <v>0</v>
      </c>
      <c r="AY133" s="87" t="s">
        <v>583</v>
      </c>
      <c r="AZ133" s="87" t="s">
        <v>606</v>
      </c>
      <c r="BA133" s="16" t="s">
        <v>607</v>
      </c>
      <c r="BC133" s="19">
        <f t="shared" si="123"/>
        <v>0</v>
      </c>
      <c r="BD133" s="19">
        <f t="shared" si="124"/>
        <v>0</v>
      </c>
      <c r="BE133" s="19">
        <v>0</v>
      </c>
      <c r="BF133" s="19">
        <f t="shared" si="125"/>
        <v>1.6380000000000001E-3</v>
      </c>
      <c r="BH133" s="19">
        <f t="shared" si="126"/>
        <v>0</v>
      </c>
      <c r="BI133" s="19">
        <f t="shared" si="127"/>
        <v>0</v>
      </c>
      <c r="BJ133" s="19">
        <f t="shared" si="128"/>
        <v>0</v>
      </c>
      <c r="BK133" s="19"/>
      <c r="BL133" s="19">
        <v>723</v>
      </c>
      <c r="BW133" s="19" t="str">
        <f t="shared" si="129"/>
        <v>12</v>
      </c>
      <c r="BX133" s="4" t="s">
        <v>241</v>
      </c>
    </row>
    <row r="134" spans="1:76" x14ac:dyDescent="0.25">
      <c r="A134" s="1" t="s">
        <v>610</v>
      </c>
      <c r="B134" s="2" t="s">
        <v>234</v>
      </c>
      <c r="C134" s="2" t="s">
        <v>242</v>
      </c>
      <c r="D134" s="105" t="s">
        <v>243</v>
      </c>
      <c r="E134" s="99"/>
      <c r="F134" s="2" t="s">
        <v>35</v>
      </c>
      <c r="G134" s="19">
        <f>'Rozpočet - vybrané sloupce'!J133</f>
        <v>12</v>
      </c>
      <c r="H134" s="19">
        <f>'Rozpočet - vybrané sloupce'!K133</f>
        <v>0</v>
      </c>
      <c r="I134" s="87" t="s">
        <v>489</v>
      </c>
      <c r="J134" s="19">
        <f t="shared" si="104"/>
        <v>0</v>
      </c>
      <c r="K134" s="19">
        <f t="shared" si="105"/>
        <v>0</v>
      </c>
      <c r="L134" s="19">
        <f t="shared" si="106"/>
        <v>0</v>
      </c>
      <c r="M134" s="19">
        <f t="shared" si="107"/>
        <v>0</v>
      </c>
      <c r="N134" s="19">
        <v>9.3000000000000005E-4</v>
      </c>
      <c r="O134" s="19">
        <f t="shared" si="108"/>
        <v>1.116E-2</v>
      </c>
      <c r="P134" s="88" t="s">
        <v>490</v>
      </c>
      <c r="Z134" s="19">
        <f t="shared" si="109"/>
        <v>0</v>
      </c>
      <c r="AB134" s="19">
        <f t="shared" si="110"/>
        <v>0</v>
      </c>
      <c r="AC134" s="19">
        <f t="shared" si="111"/>
        <v>0</v>
      </c>
      <c r="AD134" s="19">
        <f t="shared" si="112"/>
        <v>0</v>
      </c>
      <c r="AE134" s="19">
        <f t="shared" si="113"/>
        <v>0</v>
      </c>
      <c r="AF134" s="19">
        <f t="shared" si="114"/>
        <v>0</v>
      </c>
      <c r="AG134" s="19">
        <f t="shared" si="115"/>
        <v>0</v>
      </c>
      <c r="AH134" s="19">
        <f t="shared" si="116"/>
        <v>0</v>
      </c>
      <c r="AI134" s="16" t="s">
        <v>234</v>
      </c>
      <c r="AJ134" s="19">
        <f t="shared" si="117"/>
        <v>0</v>
      </c>
      <c r="AK134" s="19">
        <f t="shared" si="118"/>
        <v>0</v>
      </c>
      <c r="AL134" s="19">
        <f t="shared" si="119"/>
        <v>0</v>
      </c>
      <c r="AN134" s="19">
        <v>12</v>
      </c>
      <c r="AO134" s="19">
        <f>H134*0.369503757</f>
        <v>0</v>
      </c>
      <c r="AP134" s="19">
        <f>H134*(1-0.369503757)</f>
        <v>0</v>
      </c>
      <c r="AQ134" s="87" t="s">
        <v>491</v>
      </c>
      <c r="AV134" s="19">
        <f t="shared" si="120"/>
        <v>0</v>
      </c>
      <c r="AW134" s="19">
        <f t="shared" si="121"/>
        <v>0</v>
      </c>
      <c r="AX134" s="19">
        <f t="shared" si="122"/>
        <v>0</v>
      </c>
      <c r="AY134" s="87" t="s">
        <v>583</v>
      </c>
      <c r="AZ134" s="87" t="s">
        <v>606</v>
      </c>
      <c r="BA134" s="16" t="s">
        <v>607</v>
      </c>
      <c r="BC134" s="19">
        <f t="shared" si="123"/>
        <v>0</v>
      </c>
      <c r="BD134" s="19">
        <f t="shared" si="124"/>
        <v>0</v>
      </c>
      <c r="BE134" s="19">
        <v>0</v>
      </c>
      <c r="BF134" s="19">
        <f t="shared" si="125"/>
        <v>1.116E-2</v>
      </c>
      <c r="BH134" s="19">
        <f t="shared" si="126"/>
        <v>0</v>
      </c>
      <c r="BI134" s="19">
        <f t="shared" si="127"/>
        <v>0</v>
      </c>
      <c r="BJ134" s="19">
        <f t="shared" si="128"/>
        <v>0</v>
      </c>
      <c r="BK134" s="19"/>
      <c r="BL134" s="19">
        <v>723</v>
      </c>
      <c r="BW134" s="19" t="str">
        <f t="shared" si="129"/>
        <v>12</v>
      </c>
      <c r="BX134" s="4" t="s">
        <v>243</v>
      </c>
    </row>
    <row r="135" spans="1:76" x14ac:dyDescent="0.25">
      <c r="A135" s="1" t="s">
        <v>611</v>
      </c>
      <c r="B135" s="2" t="s">
        <v>234</v>
      </c>
      <c r="C135" s="2" t="s">
        <v>197</v>
      </c>
      <c r="D135" s="105" t="s">
        <v>198</v>
      </c>
      <c r="E135" s="99"/>
      <c r="F135" s="2" t="s">
        <v>35</v>
      </c>
      <c r="G135" s="19">
        <f>'Rozpočet - vybrané sloupce'!J134</f>
        <v>12</v>
      </c>
      <c r="H135" s="19">
        <f>'Rozpočet - vybrané sloupce'!K134</f>
        <v>0</v>
      </c>
      <c r="I135" s="87" t="s">
        <v>489</v>
      </c>
      <c r="J135" s="19">
        <f t="shared" si="104"/>
        <v>0</v>
      </c>
      <c r="K135" s="19">
        <f t="shared" si="105"/>
        <v>0</v>
      </c>
      <c r="L135" s="19">
        <f t="shared" si="106"/>
        <v>0</v>
      </c>
      <c r="M135" s="19">
        <f t="shared" si="107"/>
        <v>0</v>
      </c>
      <c r="N135" s="19">
        <v>0</v>
      </c>
      <c r="O135" s="19">
        <f t="shared" si="108"/>
        <v>0</v>
      </c>
      <c r="P135" s="88" t="s">
        <v>490</v>
      </c>
      <c r="Z135" s="19">
        <f t="shared" si="109"/>
        <v>0</v>
      </c>
      <c r="AB135" s="19">
        <f t="shared" si="110"/>
        <v>0</v>
      </c>
      <c r="AC135" s="19">
        <f t="shared" si="111"/>
        <v>0</v>
      </c>
      <c r="AD135" s="19">
        <f t="shared" si="112"/>
        <v>0</v>
      </c>
      <c r="AE135" s="19">
        <f t="shared" si="113"/>
        <v>0</v>
      </c>
      <c r="AF135" s="19">
        <f t="shared" si="114"/>
        <v>0</v>
      </c>
      <c r="AG135" s="19">
        <f t="shared" si="115"/>
        <v>0</v>
      </c>
      <c r="AH135" s="19">
        <f t="shared" si="116"/>
        <v>0</v>
      </c>
      <c r="AI135" s="16" t="s">
        <v>234</v>
      </c>
      <c r="AJ135" s="19">
        <f t="shared" si="117"/>
        <v>0</v>
      </c>
      <c r="AK135" s="19">
        <f t="shared" si="118"/>
        <v>0</v>
      </c>
      <c r="AL135" s="19">
        <f t="shared" si="119"/>
        <v>0</v>
      </c>
      <c r="AN135" s="19">
        <v>12</v>
      </c>
      <c r="AO135" s="19">
        <f>H135*0</f>
        <v>0</v>
      </c>
      <c r="AP135" s="19">
        <f>H135*(1-0)</f>
        <v>0</v>
      </c>
      <c r="AQ135" s="87" t="s">
        <v>491</v>
      </c>
      <c r="AV135" s="19">
        <f t="shared" si="120"/>
        <v>0</v>
      </c>
      <c r="AW135" s="19">
        <f t="shared" si="121"/>
        <v>0</v>
      </c>
      <c r="AX135" s="19">
        <f t="shared" si="122"/>
        <v>0</v>
      </c>
      <c r="AY135" s="87" t="s">
        <v>583</v>
      </c>
      <c r="AZ135" s="87" t="s">
        <v>606</v>
      </c>
      <c r="BA135" s="16" t="s">
        <v>607</v>
      </c>
      <c r="BC135" s="19">
        <f t="shared" si="123"/>
        <v>0</v>
      </c>
      <c r="BD135" s="19">
        <f t="shared" si="124"/>
        <v>0</v>
      </c>
      <c r="BE135" s="19">
        <v>0</v>
      </c>
      <c r="BF135" s="19">
        <f t="shared" si="125"/>
        <v>0</v>
      </c>
      <c r="BH135" s="19">
        <f t="shared" si="126"/>
        <v>0</v>
      </c>
      <c r="BI135" s="19">
        <f t="shared" si="127"/>
        <v>0</v>
      </c>
      <c r="BJ135" s="19">
        <f t="shared" si="128"/>
        <v>0</v>
      </c>
      <c r="BK135" s="19"/>
      <c r="BL135" s="19">
        <v>723</v>
      </c>
      <c r="BW135" s="19" t="str">
        <f t="shared" si="129"/>
        <v>12</v>
      </c>
      <c r="BX135" s="4" t="s">
        <v>198</v>
      </c>
    </row>
    <row r="136" spans="1:76" x14ac:dyDescent="0.25">
      <c r="A136" s="1" t="s">
        <v>612</v>
      </c>
      <c r="B136" s="2" t="s">
        <v>234</v>
      </c>
      <c r="C136" s="2" t="s">
        <v>195</v>
      </c>
      <c r="D136" s="105" t="s">
        <v>196</v>
      </c>
      <c r="E136" s="99"/>
      <c r="F136" s="2" t="s">
        <v>31</v>
      </c>
      <c r="G136" s="19">
        <f>'Rozpočet - vybrané sloupce'!J135</f>
        <v>42</v>
      </c>
      <c r="H136" s="19">
        <f>'Rozpočet - vybrané sloupce'!K135</f>
        <v>0</v>
      </c>
      <c r="I136" s="87" t="s">
        <v>489</v>
      </c>
      <c r="J136" s="19">
        <f t="shared" si="104"/>
        <v>0</v>
      </c>
      <c r="K136" s="19">
        <f t="shared" si="105"/>
        <v>0</v>
      </c>
      <c r="L136" s="19">
        <f t="shared" si="106"/>
        <v>0</v>
      </c>
      <c r="M136" s="19">
        <f t="shared" si="107"/>
        <v>0</v>
      </c>
      <c r="N136" s="19">
        <v>0</v>
      </c>
      <c r="O136" s="19">
        <f t="shared" si="108"/>
        <v>0</v>
      </c>
      <c r="P136" s="88" t="s">
        <v>490</v>
      </c>
      <c r="Z136" s="19">
        <f t="shared" si="109"/>
        <v>0</v>
      </c>
      <c r="AB136" s="19">
        <f t="shared" si="110"/>
        <v>0</v>
      </c>
      <c r="AC136" s="19">
        <f t="shared" si="111"/>
        <v>0</v>
      </c>
      <c r="AD136" s="19">
        <f t="shared" si="112"/>
        <v>0</v>
      </c>
      <c r="AE136" s="19">
        <f t="shared" si="113"/>
        <v>0</v>
      </c>
      <c r="AF136" s="19">
        <f t="shared" si="114"/>
        <v>0</v>
      </c>
      <c r="AG136" s="19">
        <f t="shared" si="115"/>
        <v>0</v>
      </c>
      <c r="AH136" s="19">
        <f t="shared" si="116"/>
        <v>0</v>
      </c>
      <c r="AI136" s="16" t="s">
        <v>234</v>
      </c>
      <c r="AJ136" s="19">
        <f t="shared" si="117"/>
        <v>0</v>
      </c>
      <c r="AK136" s="19">
        <f t="shared" si="118"/>
        <v>0</v>
      </c>
      <c r="AL136" s="19">
        <f t="shared" si="119"/>
        <v>0</v>
      </c>
      <c r="AN136" s="19">
        <v>12</v>
      </c>
      <c r="AO136" s="19">
        <f>H136*0</f>
        <v>0</v>
      </c>
      <c r="AP136" s="19">
        <f>H136*(1-0)</f>
        <v>0</v>
      </c>
      <c r="AQ136" s="87" t="s">
        <v>491</v>
      </c>
      <c r="AV136" s="19">
        <f t="shared" si="120"/>
        <v>0</v>
      </c>
      <c r="AW136" s="19">
        <f t="shared" si="121"/>
        <v>0</v>
      </c>
      <c r="AX136" s="19">
        <f t="shared" si="122"/>
        <v>0</v>
      </c>
      <c r="AY136" s="87" t="s">
        <v>583</v>
      </c>
      <c r="AZ136" s="87" t="s">
        <v>606</v>
      </c>
      <c r="BA136" s="16" t="s">
        <v>607</v>
      </c>
      <c r="BC136" s="19">
        <f t="shared" si="123"/>
        <v>0</v>
      </c>
      <c r="BD136" s="19">
        <f t="shared" si="124"/>
        <v>0</v>
      </c>
      <c r="BE136" s="19">
        <v>0</v>
      </c>
      <c r="BF136" s="19">
        <f t="shared" si="125"/>
        <v>0</v>
      </c>
      <c r="BH136" s="19">
        <f t="shared" si="126"/>
        <v>0</v>
      </c>
      <c r="BI136" s="19">
        <f t="shared" si="127"/>
        <v>0</v>
      </c>
      <c r="BJ136" s="19">
        <f t="shared" si="128"/>
        <v>0</v>
      </c>
      <c r="BK136" s="19"/>
      <c r="BL136" s="19">
        <v>723</v>
      </c>
      <c r="BW136" s="19" t="str">
        <f t="shared" si="129"/>
        <v>12</v>
      </c>
      <c r="BX136" s="4" t="s">
        <v>196</v>
      </c>
    </row>
    <row r="137" spans="1:76" x14ac:dyDescent="0.25">
      <c r="A137" s="1" t="s">
        <v>613</v>
      </c>
      <c r="B137" s="2" t="s">
        <v>234</v>
      </c>
      <c r="C137" s="2" t="s">
        <v>199</v>
      </c>
      <c r="D137" s="105" t="s">
        <v>200</v>
      </c>
      <c r="E137" s="99"/>
      <c r="F137" s="2" t="s">
        <v>35</v>
      </c>
      <c r="G137" s="19">
        <f>'Rozpočet - vybrané sloupce'!J136</f>
        <v>12</v>
      </c>
      <c r="H137" s="19">
        <f>'Rozpočet - vybrané sloupce'!K136</f>
        <v>0</v>
      </c>
      <c r="I137" s="87" t="s">
        <v>489</v>
      </c>
      <c r="J137" s="19">
        <f t="shared" si="104"/>
        <v>0</v>
      </c>
      <c r="K137" s="19">
        <f t="shared" si="105"/>
        <v>0</v>
      </c>
      <c r="L137" s="19">
        <f t="shared" si="106"/>
        <v>0</v>
      </c>
      <c r="M137" s="19">
        <f t="shared" si="107"/>
        <v>0</v>
      </c>
      <c r="N137" s="19">
        <v>0</v>
      </c>
      <c r="O137" s="19">
        <f t="shared" si="108"/>
        <v>0</v>
      </c>
      <c r="P137" s="88" t="s">
        <v>490</v>
      </c>
      <c r="Z137" s="19">
        <f t="shared" si="109"/>
        <v>0</v>
      </c>
      <c r="AB137" s="19">
        <f t="shared" si="110"/>
        <v>0</v>
      </c>
      <c r="AC137" s="19">
        <f t="shared" si="111"/>
        <v>0</v>
      </c>
      <c r="AD137" s="19">
        <f t="shared" si="112"/>
        <v>0</v>
      </c>
      <c r="AE137" s="19">
        <f t="shared" si="113"/>
        <v>0</v>
      </c>
      <c r="AF137" s="19">
        <f t="shared" si="114"/>
        <v>0</v>
      </c>
      <c r="AG137" s="19">
        <f t="shared" si="115"/>
        <v>0</v>
      </c>
      <c r="AH137" s="19">
        <f t="shared" si="116"/>
        <v>0</v>
      </c>
      <c r="AI137" s="16" t="s">
        <v>234</v>
      </c>
      <c r="AJ137" s="19">
        <f t="shared" si="117"/>
        <v>0</v>
      </c>
      <c r="AK137" s="19">
        <f t="shared" si="118"/>
        <v>0</v>
      </c>
      <c r="AL137" s="19">
        <f t="shared" si="119"/>
        <v>0</v>
      </c>
      <c r="AN137" s="19">
        <v>12</v>
      </c>
      <c r="AO137" s="19">
        <f>H137*0</f>
        <v>0</v>
      </c>
      <c r="AP137" s="19">
        <f>H137*(1-0)</f>
        <v>0</v>
      </c>
      <c r="AQ137" s="87" t="s">
        <v>491</v>
      </c>
      <c r="AV137" s="19">
        <f t="shared" si="120"/>
        <v>0</v>
      </c>
      <c r="AW137" s="19">
        <f t="shared" si="121"/>
        <v>0</v>
      </c>
      <c r="AX137" s="19">
        <f t="shared" si="122"/>
        <v>0</v>
      </c>
      <c r="AY137" s="87" t="s">
        <v>583</v>
      </c>
      <c r="AZ137" s="87" t="s">
        <v>606</v>
      </c>
      <c r="BA137" s="16" t="s">
        <v>607</v>
      </c>
      <c r="BC137" s="19">
        <f t="shared" si="123"/>
        <v>0</v>
      </c>
      <c r="BD137" s="19">
        <f t="shared" si="124"/>
        <v>0</v>
      </c>
      <c r="BE137" s="19">
        <v>0</v>
      </c>
      <c r="BF137" s="19">
        <f t="shared" si="125"/>
        <v>0</v>
      </c>
      <c r="BH137" s="19">
        <f t="shared" si="126"/>
        <v>0</v>
      </c>
      <c r="BI137" s="19">
        <f t="shared" si="127"/>
        <v>0</v>
      </c>
      <c r="BJ137" s="19">
        <f t="shared" si="128"/>
        <v>0</v>
      </c>
      <c r="BK137" s="19"/>
      <c r="BL137" s="19">
        <v>723</v>
      </c>
      <c r="BW137" s="19" t="str">
        <f t="shared" si="129"/>
        <v>12</v>
      </c>
      <c r="BX137" s="4" t="s">
        <v>200</v>
      </c>
    </row>
    <row r="138" spans="1:76" x14ac:dyDescent="0.25">
      <c r="A138" s="1" t="s">
        <v>614</v>
      </c>
      <c r="B138" s="2" t="s">
        <v>234</v>
      </c>
      <c r="C138" s="2" t="s">
        <v>244</v>
      </c>
      <c r="D138" s="105" t="s">
        <v>245</v>
      </c>
      <c r="E138" s="99"/>
      <c r="F138" s="2" t="s">
        <v>40</v>
      </c>
      <c r="G138" s="19">
        <f>'Rozpočet - vybrané sloupce'!J137</f>
        <v>12</v>
      </c>
      <c r="H138" s="19">
        <f>'Rozpočet - vybrané sloupce'!K137</f>
        <v>0</v>
      </c>
      <c r="I138" s="87" t="s">
        <v>489</v>
      </c>
      <c r="J138" s="19">
        <f t="shared" si="104"/>
        <v>0</v>
      </c>
      <c r="K138" s="19">
        <f t="shared" si="105"/>
        <v>0</v>
      </c>
      <c r="L138" s="19">
        <f t="shared" si="106"/>
        <v>0</v>
      </c>
      <c r="M138" s="19">
        <f t="shared" si="107"/>
        <v>0</v>
      </c>
      <c r="N138" s="19">
        <v>6.7000000000000004E-2</v>
      </c>
      <c r="O138" s="19">
        <f t="shared" si="108"/>
        <v>0.80400000000000005</v>
      </c>
      <c r="P138" s="88" t="s">
        <v>490</v>
      </c>
      <c r="Z138" s="19">
        <f t="shared" si="109"/>
        <v>0</v>
      </c>
      <c r="AB138" s="19">
        <f t="shared" si="110"/>
        <v>0</v>
      </c>
      <c r="AC138" s="19">
        <f t="shared" si="111"/>
        <v>0</v>
      </c>
      <c r="AD138" s="19">
        <f t="shared" si="112"/>
        <v>0</v>
      </c>
      <c r="AE138" s="19">
        <f t="shared" si="113"/>
        <v>0</v>
      </c>
      <c r="AF138" s="19">
        <f t="shared" si="114"/>
        <v>0</v>
      </c>
      <c r="AG138" s="19">
        <f t="shared" si="115"/>
        <v>0</v>
      </c>
      <c r="AH138" s="19">
        <f t="shared" si="116"/>
        <v>0</v>
      </c>
      <c r="AI138" s="16" t="s">
        <v>234</v>
      </c>
      <c r="AJ138" s="19">
        <f t="shared" si="117"/>
        <v>0</v>
      </c>
      <c r="AK138" s="19">
        <f t="shared" si="118"/>
        <v>0</v>
      </c>
      <c r="AL138" s="19">
        <f t="shared" si="119"/>
        <v>0</v>
      </c>
      <c r="AN138" s="19">
        <v>12</v>
      </c>
      <c r="AO138" s="19">
        <f>H138*0</f>
        <v>0</v>
      </c>
      <c r="AP138" s="19">
        <f>H138*(1-0)</f>
        <v>0</v>
      </c>
      <c r="AQ138" s="87" t="s">
        <v>491</v>
      </c>
      <c r="AV138" s="19">
        <f t="shared" si="120"/>
        <v>0</v>
      </c>
      <c r="AW138" s="19">
        <f t="shared" si="121"/>
        <v>0</v>
      </c>
      <c r="AX138" s="19">
        <f t="shared" si="122"/>
        <v>0</v>
      </c>
      <c r="AY138" s="87" t="s">
        <v>583</v>
      </c>
      <c r="AZ138" s="87" t="s">
        <v>606</v>
      </c>
      <c r="BA138" s="16" t="s">
        <v>607</v>
      </c>
      <c r="BC138" s="19">
        <f t="shared" si="123"/>
        <v>0</v>
      </c>
      <c r="BD138" s="19">
        <f t="shared" si="124"/>
        <v>0</v>
      </c>
      <c r="BE138" s="19">
        <v>0</v>
      </c>
      <c r="BF138" s="19">
        <f t="shared" si="125"/>
        <v>0.80400000000000005</v>
      </c>
      <c r="BH138" s="19">
        <f t="shared" si="126"/>
        <v>0</v>
      </c>
      <c r="BI138" s="19">
        <f t="shared" si="127"/>
        <v>0</v>
      </c>
      <c r="BJ138" s="19">
        <f t="shared" si="128"/>
        <v>0</v>
      </c>
      <c r="BK138" s="19"/>
      <c r="BL138" s="19">
        <v>723</v>
      </c>
      <c r="BW138" s="19" t="str">
        <f t="shared" si="129"/>
        <v>12</v>
      </c>
      <c r="BX138" s="4" t="s">
        <v>245</v>
      </c>
    </row>
    <row r="139" spans="1:76" x14ac:dyDescent="0.25">
      <c r="A139" s="1" t="s">
        <v>615</v>
      </c>
      <c r="B139" s="2" t="s">
        <v>234</v>
      </c>
      <c r="C139" s="2" t="s">
        <v>246</v>
      </c>
      <c r="D139" s="105" t="s">
        <v>247</v>
      </c>
      <c r="E139" s="99"/>
      <c r="F139" s="2" t="s">
        <v>35</v>
      </c>
      <c r="G139" s="19">
        <f>'Rozpočet - vybrané sloupce'!J138</f>
        <v>12</v>
      </c>
      <c r="H139" s="19">
        <f>'Rozpočet - vybrané sloupce'!K138</f>
        <v>0</v>
      </c>
      <c r="I139" s="87" t="s">
        <v>489</v>
      </c>
      <c r="J139" s="19">
        <f t="shared" si="104"/>
        <v>0</v>
      </c>
      <c r="K139" s="19">
        <f t="shared" si="105"/>
        <v>0</v>
      </c>
      <c r="L139" s="19">
        <f t="shared" si="106"/>
        <v>0</v>
      </c>
      <c r="M139" s="19">
        <f t="shared" si="107"/>
        <v>0</v>
      </c>
      <c r="N139" s="19">
        <v>5.0000000000000002E-5</v>
      </c>
      <c r="O139" s="19">
        <f t="shared" si="108"/>
        <v>6.0000000000000006E-4</v>
      </c>
      <c r="P139" s="88" t="s">
        <v>490</v>
      </c>
      <c r="Z139" s="19">
        <f t="shared" si="109"/>
        <v>0</v>
      </c>
      <c r="AB139" s="19">
        <f t="shared" si="110"/>
        <v>0</v>
      </c>
      <c r="AC139" s="19">
        <f t="shared" si="111"/>
        <v>0</v>
      </c>
      <c r="AD139" s="19">
        <f t="shared" si="112"/>
        <v>0</v>
      </c>
      <c r="AE139" s="19">
        <f t="shared" si="113"/>
        <v>0</v>
      </c>
      <c r="AF139" s="19">
        <f t="shared" si="114"/>
        <v>0</v>
      </c>
      <c r="AG139" s="19">
        <f t="shared" si="115"/>
        <v>0</v>
      </c>
      <c r="AH139" s="19">
        <f t="shared" si="116"/>
        <v>0</v>
      </c>
      <c r="AI139" s="16" t="s">
        <v>234</v>
      </c>
      <c r="AJ139" s="19">
        <f t="shared" si="117"/>
        <v>0</v>
      </c>
      <c r="AK139" s="19">
        <f t="shared" si="118"/>
        <v>0</v>
      </c>
      <c r="AL139" s="19">
        <f t="shared" si="119"/>
        <v>0</v>
      </c>
      <c r="AN139" s="19">
        <v>12</v>
      </c>
      <c r="AO139" s="19">
        <f>H139*0.042222694</f>
        <v>0</v>
      </c>
      <c r="AP139" s="19">
        <f>H139*(1-0.042222694)</f>
        <v>0</v>
      </c>
      <c r="AQ139" s="87" t="s">
        <v>491</v>
      </c>
      <c r="AV139" s="19">
        <f t="shared" si="120"/>
        <v>0</v>
      </c>
      <c r="AW139" s="19">
        <f t="shared" si="121"/>
        <v>0</v>
      </c>
      <c r="AX139" s="19">
        <f t="shared" si="122"/>
        <v>0</v>
      </c>
      <c r="AY139" s="87" t="s">
        <v>583</v>
      </c>
      <c r="AZ139" s="87" t="s">
        <v>606</v>
      </c>
      <c r="BA139" s="16" t="s">
        <v>607</v>
      </c>
      <c r="BC139" s="19">
        <f t="shared" si="123"/>
        <v>0</v>
      </c>
      <c r="BD139" s="19">
        <f t="shared" si="124"/>
        <v>0</v>
      </c>
      <c r="BE139" s="19">
        <v>0</v>
      </c>
      <c r="BF139" s="19">
        <f t="shared" si="125"/>
        <v>6.0000000000000006E-4</v>
      </c>
      <c r="BH139" s="19">
        <f t="shared" si="126"/>
        <v>0</v>
      </c>
      <c r="BI139" s="19">
        <f t="shared" si="127"/>
        <v>0</v>
      </c>
      <c r="BJ139" s="19">
        <f t="shared" si="128"/>
        <v>0</v>
      </c>
      <c r="BK139" s="19"/>
      <c r="BL139" s="19">
        <v>723</v>
      </c>
      <c r="BW139" s="19" t="str">
        <f t="shared" si="129"/>
        <v>12</v>
      </c>
      <c r="BX139" s="4" t="s">
        <v>247</v>
      </c>
    </row>
    <row r="140" spans="1:76" ht="25.5" x14ac:dyDescent="0.25">
      <c r="A140" s="1" t="s">
        <v>616</v>
      </c>
      <c r="B140" s="2" t="s">
        <v>234</v>
      </c>
      <c r="C140" s="2" t="s">
        <v>248</v>
      </c>
      <c r="D140" s="105" t="s">
        <v>249</v>
      </c>
      <c r="E140" s="99"/>
      <c r="F140" s="2" t="s">
        <v>40</v>
      </c>
      <c r="G140" s="19">
        <f>'Rozpočet - vybrané sloupce'!J139</f>
        <v>12</v>
      </c>
      <c r="H140" s="19">
        <f>'Rozpočet - vybrané sloupce'!K139</f>
        <v>0</v>
      </c>
      <c r="I140" s="87" t="s">
        <v>489</v>
      </c>
      <c r="J140" s="19">
        <f t="shared" si="104"/>
        <v>0</v>
      </c>
      <c r="K140" s="19">
        <f t="shared" si="105"/>
        <v>0</v>
      </c>
      <c r="L140" s="19">
        <f t="shared" si="106"/>
        <v>0</v>
      </c>
      <c r="M140" s="19">
        <f t="shared" si="107"/>
        <v>0</v>
      </c>
      <c r="N140" s="19">
        <v>2E-3</v>
      </c>
      <c r="O140" s="19">
        <f t="shared" si="108"/>
        <v>2.4E-2</v>
      </c>
      <c r="P140" s="88" t="s">
        <v>490</v>
      </c>
      <c r="Z140" s="19">
        <f t="shared" si="109"/>
        <v>0</v>
      </c>
      <c r="AB140" s="19">
        <f t="shared" si="110"/>
        <v>0</v>
      </c>
      <c r="AC140" s="19">
        <f t="shared" si="111"/>
        <v>0</v>
      </c>
      <c r="AD140" s="19">
        <f t="shared" si="112"/>
        <v>0</v>
      </c>
      <c r="AE140" s="19">
        <f t="shared" si="113"/>
        <v>0</v>
      </c>
      <c r="AF140" s="19">
        <f t="shared" si="114"/>
        <v>0</v>
      </c>
      <c r="AG140" s="19">
        <f t="shared" si="115"/>
        <v>0</v>
      </c>
      <c r="AH140" s="19">
        <f t="shared" si="116"/>
        <v>0</v>
      </c>
      <c r="AI140" s="16" t="s">
        <v>234</v>
      </c>
      <c r="AJ140" s="19">
        <f t="shared" si="117"/>
        <v>0</v>
      </c>
      <c r="AK140" s="19">
        <f t="shared" si="118"/>
        <v>0</v>
      </c>
      <c r="AL140" s="19">
        <f t="shared" si="119"/>
        <v>0</v>
      </c>
      <c r="AN140" s="19">
        <v>12</v>
      </c>
      <c r="AO140" s="19">
        <f>H140*1</f>
        <v>0</v>
      </c>
      <c r="AP140" s="19">
        <f>H140*(1-1)</f>
        <v>0</v>
      </c>
      <c r="AQ140" s="87" t="s">
        <v>491</v>
      </c>
      <c r="AV140" s="19">
        <f t="shared" si="120"/>
        <v>0</v>
      </c>
      <c r="AW140" s="19">
        <f t="shared" si="121"/>
        <v>0</v>
      </c>
      <c r="AX140" s="19">
        <f t="shared" si="122"/>
        <v>0</v>
      </c>
      <c r="AY140" s="87" t="s">
        <v>583</v>
      </c>
      <c r="AZ140" s="87" t="s">
        <v>606</v>
      </c>
      <c r="BA140" s="16" t="s">
        <v>607</v>
      </c>
      <c r="BC140" s="19">
        <f t="shared" si="123"/>
        <v>0</v>
      </c>
      <c r="BD140" s="19">
        <f t="shared" si="124"/>
        <v>0</v>
      </c>
      <c r="BE140" s="19">
        <v>0</v>
      </c>
      <c r="BF140" s="19">
        <f t="shared" si="125"/>
        <v>2.4E-2</v>
      </c>
      <c r="BH140" s="19">
        <f t="shared" si="126"/>
        <v>0</v>
      </c>
      <c r="BI140" s="19">
        <f t="shared" si="127"/>
        <v>0</v>
      </c>
      <c r="BJ140" s="19">
        <f t="shared" si="128"/>
        <v>0</v>
      </c>
      <c r="BK140" s="19"/>
      <c r="BL140" s="19">
        <v>723</v>
      </c>
      <c r="BW140" s="19" t="str">
        <f t="shared" si="129"/>
        <v>12</v>
      </c>
      <c r="BX140" s="4" t="s">
        <v>249</v>
      </c>
    </row>
    <row r="141" spans="1:76" x14ac:dyDescent="0.25">
      <c r="A141" s="1" t="s">
        <v>617</v>
      </c>
      <c r="B141" s="2" t="s">
        <v>234</v>
      </c>
      <c r="C141" s="2" t="s">
        <v>250</v>
      </c>
      <c r="D141" s="105" t="s">
        <v>251</v>
      </c>
      <c r="E141" s="99"/>
      <c r="F141" s="2" t="s">
        <v>40</v>
      </c>
      <c r="G141" s="19">
        <f>'Rozpočet - vybrané sloupce'!J140</f>
        <v>12</v>
      </c>
      <c r="H141" s="19">
        <f>'Rozpočet - vybrané sloupce'!K140</f>
        <v>0</v>
      </c>
      <c r="I141" s="87" t="s">
        <v>489</v>
      </c>
      <c r="J141" s="19">
        <f t="shared" si="104"/>
        <v>0</v>
      </c>
      <c r="K141" s="19">
        <f t="shared" si="105"/>
        <v>0</v>
      </c>
      <c r="L141" s="19">
        <f t="shared" si="106"/>
        <v>0</v>
      </c>
      <c r="M141" s="19">
        <f t="shared" si="107"/>
        <v>0</v>
      </c>
      <c r="N141" s="19">
        <v>0</v>
      </c>
      <c r="O141" s="19">
        <f t="shared" si="108"/>
        <v>0</v>
      </c>
      <c r="P141" s="88" t="s">
        <v>490</v>
      </c>
      <c r="Z141" s="19">
        <f t="shared" si="109"/>
        <v>0</v>
      </c>
      <c r="AB141" s="19">
        <f t="shared" si="110"/>
        <v>0</v>
      </c>
      <c r="AC141" s="19">
        <f t="shared" si="111"/>
        <v>0</v>
      </c>
      <c r="AD141" s="19">
        <f t="shared" si="112"/>
        <v>0</v>
      </c>
      <c r="AE141" s="19">
        <f t="shared" si="113"/>
        <v>0</v>
      </c>
      <c r="AF141" s="19">
        <f t="shared" si="114"/>
        <v>0</v>
      </c>
      <c r="AG141" s="19">
        <f t="shared" si="115"/>
        <v>0</v>
      </c>
      <c r="AH141" s="19">
        <f t="shared" si="116"/>
        <v>0</v>
      </c>
      <c r="AI141" s="16" t="s">
        <v>234</v>
      </c>
      <c r="AJ141" s="19">
        <f t="shared" si="117"/>
        <v>0</v>
      </c>
      <c r="AK141" s="19">
        <f t="shared" si="118"/>
        <v>0</v>
      </c>
      <c r="AL141" s="19">
        <f t="shared" si="119"/>
        <v>0</v>
      </c>
      <c r="AN141" s="19">
        <v>12</v>
      </c>
      <c r="AO141" s="19">
        <f>H141*0</f>
        <v>0</v>
      </c>
      <c r="AP141" s="19">
        <f>H141*(1-0)</f>
        <v>0</v>
      </c>
      <c r="AQ141" s="87" t="s">
        <v>491</v>
      </c>
      <c r="AV141" s="19">
        <f t="shared" si="120"/>
        <v>0</v>
      </c>
      <c r="AW141" s="19">
        <f t="shared" si="121"/>
        <v>0</v>
      </c>
      <c r="AX141" s="19">
        <f t="shared" si="122"/>
        <v>0</v>
      </c>
      <c r="AY141" s="87" t="s">
        <v>583</v>
      </c>
      <c r="AZ141" s="87" t="s">
        <v>606</v>
      </c>
      <c r="BA141" s="16" t="s">
        <v>607</v>
      </c>
      <c r="BC141" s="19">
        <f t="shared" si="123"/>
        <v>0</v>
      </c>
      <c r="BD141" s="19">
        <f t="shared" si="124"/>
        <v>0</v>
      </c>
      <c r="BE141" s="19">
        <v>0</v>
      </c>
      <c r="BF141" s="19">
        <f t="shared" si="125"/>
        <v>0</v>
      </c>
      <c r="BH141" s="19">
        <f t="shared" si="126"/>
        <v>0</v>
      </c>
      <c r="BI141" s="19">
        <f t="shared" si="127"/>
        <v>0</v>
      </c>
      <c r="BJ141" s="19">
        <f t="shared" si="128"/>
        <v>0</v>
      </c>
      <c r="BK141" s="19"/>
      <c r="BL141" s="19">
        <v>723</v>
      </c>
      <c r="BW141" s="19" t="str">
        <f t="shared" si="129"/>
        <v>12</v>
      </c>
      <c r="BX141" s="4" t="s">
        <v>251</v>
      </c>
    </row>
    <row r="142" spans="1:76" x14ac:dyDescent="0.25">
      <c r="A142" s="1" t="s">
        <v>618</v>
      </c>
      <c r="B142" s="2" t="s">
        <v>234</v>
      </c>
      <c r="C142" s="2" t="s">
        <v>230</v>
      </c>
      <c r="D142" s="105" t="s">
        <v>231</v>
      </c>
      <c r="E142" s="99"/>
      <c r="F142" s="2" t="s">
        <v>72</v>
      </c>
      <c r="G142" s="19">
        <f>'Rozpočet - vybrané sloupce'!J141</f>
        <v>0.1</v>
      </c>
      <c r="H142" s="19">
        <f>'Rozpočet - vybrané sloupce'!K141</f>
        <v>0</v>
      </c>
      <c r="I142" s="87" t="s">
        <v>489</v>
      </c>
      <c r="J142" s="19">
        <f t="shared" si="104"/>
        <v>0</v>
      </c>
      <c r="K142" s="19">
        <f t="shared" si="105"/>
        <v>0</v>
      </c>
      <c r="L142" s="19">
        <f t="shared" si="106"/>
        <v>0</v>
      </c>
      <c r="M142" s="19">
        <f t="shared" si="107"/>
        <v>0</v>
      </c>
      <c r="N142" s="19">
        <v>0</v>
      </c>
      <c r="O142" s="19">
        <f t="shared" si="108"/>
        <v>0</v>
      </c>
      <c r="P142" s="88" t="s">
        <v>490</v>
      </c>
      <c r="Z142" s="19">
        <f t="shared" si="109"/>
        <v>0</v>
      </c>
      <c r="AB142" s="19">
        <f t="shared" si="110"/>
        <v>0</v>
      </c>
      <c r="AC142" s="19">
        <f t="shared" si="111"/>
        <v>0</v>
      </c>
      <c r="AD142" s="19">
        <f t="shared" si="112"/>
        <v>0</v>
      </c>
      <c r="AE142" s="19">
        <f t="shared" si="113"/>
        <v>0</v>
      </c>
      <c r="AF142" s="19">
        <f t="shared" si="114"/>
        <v>0</v>
      </c>
      <c r="AG142" s="19">
        <f t="shared" si="115"/>
        <v>0</v>
      </c>
      <c r="AH142" s="19">
        <f t="shared" si="116"/>
        <v>0</v>
      </c>
      <c r="AI142" s="16" t="s">
        <v>234</v>
      </c>
      <c r="AJ142" s="19">
        <f t="shared" si="117"/>
        <v>0</v>
      </c>
      <c r="AK142" s="19">
        <f t="shared" si="118"/>
        <v>0</v>
      </c>
      <c r="AL142" s="19">
        <f t="shared" si="119"/>
        <v>0</v>
      </c>
      <c r="AN142" s="19">
        <v>12</v>
      </c>
      <c r="AO142" s="19">
        <f>H142*0</f>
        <v>0</v>
      </c>
      <c r="AP142" s="19">
        <f>H142*(1-0)</f>
        <v>0</v>
      </c>
      <c r="AQ142" s="87" t="s">
        <v>491</v>
      </c>
      <c r="AV142" s="19">
        <f t="shared" si="120"/>
        <v>0</v>
      </c>
      <c r="AW142" s="19">
        <f t="shared" si="121"/>
        <v>0</v>
      </c>
      <c r="AX142" s="19">
        <f t="shared" si="122"/>
        <v>0</v>
      </c>
      <c r="AY142" s="87" t="s">
        <v>583</v>
      </c>
      <c r="AZ142" s="87" t="s">
        <v>606</v>
      </c>
      <c r="BA142" s="16" t="s">
        <v>607</v>
      </c>
      <c r="BC142" s="19">
        <f t="shared" si="123"/>
        <v>0</v>
      </c>
      <c r="BD142" s="19">
        <f t="shared" si="124"/>
        <v>0</v>
      </c>
      <c r="BE142" s="19">
        <v>0</v>
      </c>
      <c r="BF142" s="19">
        <f t="shared" si="125"/>
        <v>0</v>
      </c>
      <c r="BH142" s="19">
        <f t="shared" si="126"/>
        <v>0</v>
      </c>
      <c r="BI142" s="19">
        <f t="shared" si="127"/>
        <v>0</v>
      </c>
      <c r="BJ142" s="19">
        <f t="shared" si="128"/>
        <v>0</v>
      </c>
      <c r="BK142" s="19"/>
      <c r="BL142" s="19">
        <v>723</v>
      </c>
      <c r="BW142" s="19" t="str">
        <f t="shared" si="129"/>
        <v>12</v>
      </c>
      <c r="BX142" s="4" t="s">
        <v>231</v>
      </c>
    </row>
    <row r="143" spans="1:76" x14ac:dyDescent="0.25">
      <c r="A143" s="1" t="s">
        <v>619</v>
      </c>
      <c r="B143" s="2" t="s">
        <v>234</v>
      </c>
      <c r="C143" s="2" t="s">
        <v>232</v>
      </c>
      <c r="D143" s="105" t="s">
        <v>233</v>
      </c>
      <c r="E143" s="99"/>
      <c r="F143" s="2" t="s">
        <v>43</v>
      </c>
      <c r="G143" s="19">
        <f>'Rozpočet - vybrané sloupce'!J142</f>
        <v>611</v>
      </c>
      <c r="H143" s="19">
        <f>'Rozpočet - vybrané sloupce'!K142</f>
        <v>0</v>
      </c>
      <c r="I143" s="87" t="s">
        <v>489</v>
      </c>
      <c r="J143" s="19">
        <f t="shared" si="104"/>
        <v>0</v>
      </c>
      <c r="K143" s="19">
        <f t="shared" si="105"/>
        <v>0</v>
      </c>
      <c r="L143" s="19">
        <f t="shared" si="106"/>
        <v>0</v>
      </c>
      <c r="M143" s="19">
        <f t="shared" si="107"/>
        <v>0</v>
      </c>
      <c r="N143" s="19">
        <v>0</v>
      </c>
      <c r="O143" s="19">
        <f t="shared" si="108"/>
        <v>0</v>
      </c>
      <c r="P143" s="88" t="s">
        <v>490</v>
      </c>
      <c r="Z143" s="19">
        <f t="shared" si="109"/>
        <v>0</v>
      </c>
      <c r="AB143" s="19">
        <f t="shared" si="110"/>
        <v>0</v>
      </c>
      <c r="AC143" s="19">
        <f t="shared" si="111"/>
        <v>0</v>
      </c>
      <c r="AD143" s="19">
        <f t="shared" si="112"/>
        <v>0</v>
      </c>
      <c r="AE143" s="19">
        <f t="shared" si="113"/>
        <v>0</v>
      </c>
      <c r="AF143" s="19">
        <f t="shared" si="114"/>
        <v>0</v>
      </c>
      <c r="AG143" s="19">
        <f t="shared" si="115"/>
        <v>0</v>
      </c>
      <c r="AH143" s="19">
        <f t="shared" si="116"/>
        <v>0</v>
      </c>
      <c r="AI143" s="16" t="s">
        <v>234</v>
      </c>
      <c r="AJ143" s="19">
        <f t="shared" si="117"/>
        <v>0</v>
      </c>
      <c r="AK143" s="19">
        <f t="shared" si="118"/>
        <v>0</v>
      </c>
      <c r="AL143" s="19">
        <f t="shared" si="119"/>
        <v>0</v>
      </c>
      <c r="AN143" s="19">
        <v>12</v>
      </c>
      <c r="AO143" s="19">
        <f>H143*0</f>
        <v>0</v>
      </c>
      <c r="AP143" s="19">
        <f>H143*(1-0)</f>
        <v>0</v>
      </c>
      <c r="AQ143" s="87" t="s">
        <v>498</v>
      </c>
      <c r="AV143" s="19">
        <f t="shared" si="120"/>
        <v>0</v>
      </c>
      <c r="AW143" s="19">
        <f t="shared" si="121"/>
        <v>0</v>
      </c>
      <c r="AX143" s="19">
        <f t="shared" si="122"/>
        <v>0</v>
      </c>
      <c r="AY143" s="87" t="s">
        <v>583</v>
      </c>
      <c r="AZ143" s="87" t="s">
        <v>606</v>
      </c>
      <c r="BA143" s="16" t="s">
        <v>607</v>
      </c>
      <c r="BC143" s="19">
        <f t="shared" si="123"/>
        <v>0</v>
      </c>
      <c r="BD143" s="19">
        <f t="shared" si="124"/>
        <v>0</v>
      </c>
      <c r="BE143" s="19">
        <v>0</v>
      </c>
      <c r="BF143" s="19">
        <f t="shared" si="125"/>
        <v>0</v>
      </c>
      <c r="BH143" s="19">
        <f t="shared" si="126"/>
        <v>0</v>
      </c>
      <c r="BI143" s="19">
        <f t="shared" si="127"/>
        <v>0</v>
      </c>
      <c r="BJ143" s="19">
        <f t="shared" si="128"/>
        <v>0</v>
      </c>
      <c r="BK143" s="19"/>
      <c r="BL143" s="19">
        <v>723</v>
      </c>
      <c r="BW143" s="19" t="str">
        <f t="shared" si="129"/>
        <v>12</v>
      </c>
      <c r="BX143" s="4" t="s">
        <v>233</v>
      </c>
    </row>
    <row r="144" spans="1:76" x14ac:dyDescent="0.25">
      <c r="A144" s="84" t="s">
        <v>25</v>
      </c>
      <c r="B144" s="15" t="s">
        <v>252</v>
      </c>
      <c r="C144" s="15" t="s">
        <v>25</v>
      </c>
      <c r="D144" s="112" t="s">
        <v>253</v>
      </c>
      <c r="E144" s="113"/>
      <c r="F144" s="85" t="s">
        <v>23</v>
      </c>
      <c r="G144" s="85" t="s">
        <v>23</v>
      </c>
      <c r="H144" s="85" t="s">
        <v>23</v>
      </c>
      <c r="I144" s="85" t="s">
        <v>23</v>
      </c>
      <c r="J144" s="60">
        <f>J145</f>
        <v>0</v>
      </c>
      <c r="K144" s="60">
        <f>K145</f>
        <v>0</v>
      </c>
      <c r="L144" s="60">
        <f>L145</f>
        <v>0</v>
      </c>
      <c r="M144" s="60">
        <f>M145</f>
        <v>0</v>
      </c>
      <c r="N144" s="16" t="s">
        <v>25</v>
      </c>
      <c r="O144" s="60">
        <f>O145</f>
        <v>2.4910000000000002E-2</v>
      </c>
      <c r="P144" s="86" t="s">
        <v>25</v>
      </c>
    </row>
    <row r="145" spans="1:76" x14ac:dyDescent="0.25">
      <c r="A145" s="84" t="s">
        <v>25</v>
      </c>
      <c r="B145" s="15" t="s">
        <v>252</v>
      </c>
      <c r="C145" s="15" t="s">
        <v>185</v>
      </c>
      <c r="D145" s="112" t="s">
        <v>186</v>
      </c>
      <c r="E145" s="113"/>
      <c r="F145" s="85" t="s">
        <v>23</v>
      </c>
      <c r="G145" s="85" t="s">
        <v>23</v>
      </c>
      <c r="H145" s="85" t="s">
        <v>23</v>
      </c>
      <c r="I145" s="85" t="s">
        <v>23</v>
      </c>
      <c r="J145" s="60">
        <f>SUM(J146:J156)</f>
        <v>0</v>
      </c>
      <c r="K145" s="60">
        <f>SUM(K146:K156)</f>
        <v>0</v>
      </c>
      <c r="L145" s="60">
        <f>SUM(L146:L156)</f>
        <v>0</v>
      </c>
      <c r="M145" s="60">
        <f>SUM(M146:M156)</f>
        <v>0</v>
      </c>
      <c r="N145" s="16" t="s">
        <v>25</v>
      </c>
      <c r="O145" s="60">
        <f>SUM(O146:O156)</f>
        <v>2.4910000000000002E-2</v>
      </c>
      <c r="P145" s="86" t="s">
        <v>25</v>
      </c>
      <c r="AI145" s="16" t="s">
        <v>252</v>
      </c>
      <c r="AS145" s="60">
        <f>SUM(AJ146:AJ156)</f>
        <v>0</v>
      </c>
      <c r="AT145" s="60">
        <f>SUM(AK146:AK156)</f>
        <v>0</v>
      </c>
      <c r="AU145" s="60">
        <f>SUM(AL146:AL156)</f>
        <v>0</v>
      </c>
    </row>
    <row r="146" spans="1:76" x14ac:dyDescent="0.25">
      <c r="A146" s="1" t="s">
        <v>620</v>
      </c>
      <c r="B146" s="2" t="s">
        <v>252</v>
      </c>
      <c r="C146" s="2" t="s">
        <v>187</v>
      </c>
      <c r="D146" s="105" t="s">
        <v>254</v>
      </c>
      <c r="E146" s="99"/>
      <c r="F146" s="2" t="s">
        <v>31</v>
      </c>
      <c r="G146" s="19">
        <f>'Rozpočet - vybrané sloupce'!J145</f>
        <v>2</v>
      </c>
      <c r="H146" s="19">
        <f>'Rozpočet - vybrané sloupce'!K145</f>
        <v>0</v>
      </c>
      <c r="I146" s="87" t="s">
        <v>489</v>
      </c>
      <c r="J146" s="19">
        <f t="shared" ref="J146:J156" si="130">G146*AO146</f>
        <v>0</v>
      </c>
      <c r="K146" s="19">
        <f t="shared" ref="K146:K156" si="131">G146*AP146</f>
        <v>0</v>
      </c>
      <c r="L146" s="19">
        <f t="shared" ref="L146:L156" si="132">G146*H146</f>
        <v>0</v>
      </c>
      <c r="M146" s="19">
        <f t="shared" ref="M146:M156" si="133">L146*(1+BW146/100)</f>
        <v>0</v>
      </c>
      <c r="N146" s="19">
        <v>3.81E-3</v>
      </c>
      <c r="O146" s="19">
        <f t="shared" ref="O146:O156" si="134">G146*N146</f>
        <v>7.62E-3</v>
      </c>
      <c r="P146" s="88" t="s">
        <v>490</v>
      </c>
      <c r="Z146" s="19">
        <f t="shared" ref="Z146:Z156" si="135">IF(AQ146="5",BJ146,0)</f>
        <v>0</v>
      </c>
      <c r="AB146" s="19">
        <f t="shared" ref="AB146:AB156" si="136">IF(AQ146="1",BH146,0)</f>
        <v>0</v>
      </c>
      <c r="AC146" s="19">
        <f t="shared" ref="AC146:AC156" si="137">IF(AQ146="1",BI146,0)</f>
        <v>0</v>
      </c>
      <c r="AD146" s="19">
        <f t="shared" ref="AD146:AD156" si="138">IF(AQ146="7",BH146,0)</f>
        <v>0</v>
      </c>
      <c r="AE146" s="19">
        <f t="shared" ref="AE146:AE156" si="139">IF(AQ146="7",BI146,0)</f>
        <v>0</v>
      </c>
      <c r="AF146" s="19">
        <f t="shared" ref="AF146:AF156" si="140">IF(AQ146="2",BH146,0)</f>
        <v>0</v>
      </c>
      <c r="AG146" s="19">
        <f t="shared" ref="AG146:AG156" si="141">IF(AQ146="2",BI146,0)</f>
        <v>0</v>
      </c>
      <c r="AH146" s="19">
        <f t="shared" ref="AH146:AH156" si="142">IF(AQ146="0",BJ146,0)</f>
        <v>0</v>
      </c>
      <c r="AI146" s="16" t="s">
        <v>252</v>
      </c>
      <c r="AJ146" s="19">
        <f t="shared" ref="AJ146:AJ156" si="143">IF(AN146=0,L146,0)</f>
        <v>0</v>
      </c>
      <c r="AK146" s="19">
        <f t="shared" ref="AK146:AK156" si="144">IF(AN146=12,L146,0)</f>
        <v>0</v>
      </c>
      <c r="AL146" s="19">
        <f t="shared" ref="AL146:AL156" si="145">IF(AN146=21,L146,0)</f>
        <v>0</v>
      </c>
      <c r="AN146" s="19">
        <v>12</v>
      </c>
      <c r="AO146" s="19">
        <f>H146*0.894219144</f>
        <v>0</v>
      </c>
      <c r="AP146" s="19">
        <f>H146*(1-0.894219144)</f>
        <v>0</v>
      </c>
      <c r="AQ146" s="87" t="s">
        <v>491</v>
      </c>
      <c r="AV146" s="19">
        <f t="shared" ref="AV146:AV156" si="146">AW146+AX146</f>
        <v>0</v>
      </c>
      <c r="AW146" s="19">
        <f t="shared" ref="AW146:AW156" si="147">G146*AO146</f>
        <v>0</v>
      </c>
      <c r="AX146" s="19">
        <f t="shared" ref="AX146:AX156" si="148">G146*AP146</f>
        <v>0</v>
      </c>
      <c r="AY146" s="87" t="s">
        <v>583</v>
      </c>
      <c r="AZ146" s="87" t="s">
        <v>621</v>
      </c>
      <c r="BA146" s="16" t="s">
        <v>622</v>
      </c>
      <c r="BC146" s="19">
        <f t="shared" ref="BC146:BC156" si="149">AW146+AX146</f>
        <v>0</v>
      </c>
      <c r="BD146" s="19">
        <f t="shared" ref="BD146:BD156" si="150">H146/(100-BE146)*100</f>
        <v>0</v>
      </c>
      <c r="BE146" s="19">
        <v>0</v>
      </c>
      <c r="BF146" s="19">
        <f t="shared" ref="BF146:BF156" si="151">O146</f>
        <v>7.62E-3</v>
      </c>
      <c r="BH146" s="19">
        <f t="shared" ref="BH146:BH156" si="152">G146*AO146</f>
        <v>0</v>
      </c>
      <c r="BI146" s="19">
        <f t="shared" ref="BI146:BI156" si="153">G146*AP146</f>
        <v>0</v>
      </c>
      <c r="BJ146" s="19">
        <f t="shared" ref="BJ146:BJ156" si="154">G146*H146</f>
        <v>0</v>
      </c>
      <c r="BK146" s="19"/>
      <c r="BL146" s="19">
        <v>723</v>
      </c>
      <c r="BW146" s="19" t="str">
        <f t="shared" ref="BW146:BW156" si="155">I146</f>
        <v>12</v>
      </c>
      <c r="BX146" s="4" t="s">
        <v>254</v>
      </c>
    </row>
    <row r="147" spans="1:76" x14ac:dyDescent="0.25">
      <c r="A147" s="1" t="s">
        <v>623</v>
      </c>
      <c r="B147" s="2" t="s">
        <v>252</v>
      </c>
      <c r="C147" s="2" t="s">
        <v>255</v>
      </c>
      <c r="D147" s="105" t="s">
        <v>256</v>
      </c>
      <c r="E147" s="99"/>
      <c r="F147" s="2" t="s">
        <v>35</v>
      </c>
      <c r="G147" s="19">
        <f>'Rozpočet - vybrané sloupce'!J146</f>
        <v>2</v>
      </c>
      <c r="H147" s="19">
        <f>'Rozpočet - vybrané sloupce'!K146</f>
        <v>0</v>
      </c>
      <c r="I147" s="87" t="s">
        <v>489</v>
      </c>
      <c r="J147" s="19">
        <f t="shared" si="130"/>
        <v>0</v>
      </c>
      <c r="K147" s="19">
        <f t="shared" si="131"/>
        <v>0</v>
      </c>
      <c r="L147" s="19">
        <f t="shared" si="132"/>
        <v>0</v>
      </c>
      <c r="M147" s="19">
        <f t="shared" si="133"/>
        <v>0</v>
      </c>
      <c r="N147" s="19">
        <v>1.5E-3</v>
      </c>
      <c r="O147" s="19">
        <f t="shared" si="134"/>
        <v>3.0000000000000001E-3</v>
      </c>
      <c r="P147" s="88" t="s">
        <v>490</v>
      </c>
      <c r="Z147" s="19">
        <f t="shared" si="135"/>
        <v>0</v>
      </c>
      <c r="AB147" s="19">
        <f t="shared" si="136"/>
        <v>0</v>
      </c>
      <c r="AC147" s="19">
        <f t="shared" si="137"/>
        <v>0</v>
      </c>
      <c r="AD147" s="19">
        <f t="shared" si="138"/>
        <v>0</v>
      </c>
      <c r="AE147" s="19">
        <f t="shared" si="139"/>
        <v>0</v>
      </c>
      <c r="AF147" s="19">
        <f t="shared" si="140"/>
        <v>0</v>
      </c>
      <c r="AG147" s="19">
        <f t="shared" si="141"/>
        <v>0</v>
      </c>
      <c r="AH147" s="19">
        <f t="shared" si="142"/>
        <v>0</v>
      </c>
      <c r="AI147" s="16" t="s">
        <v>252</v>
      </c>
      <c r="AJ147" s="19">
        <f t="shared" si="143"/>
        <v>0</v>
      </c>
      <c r="AK147" s="19">
        <f t="shared" si="144"/>
        <v>0</v>
      </c>
      <c r="AL147" s="19">
        <f t="shared" si="145"/>
        <v>0</v>
      </c>
      <c r="AN147" s="19">
        <v>12</v>
      </c>
      <c r="AO147" s="19">
        <f>H147*0.52115842</f>
        <v>0</v>
      </c>
      <c r="AP147" s="19">
        <f>H147*(1-0.52115842)</f>
        <v>0</v>
      </c>
      <c r="AQ147" s="87" t="s">
        <v>491</v>
      </c>
      <c r="AV147" s="19">
        <f t="shared" si="146"/>
        <v>0</v>
      </c>
      <c r="AW147" s="19">
        <f t="shared" si="147"/>
        <v>0</v>
      </c>
      <c r="AX147" s="19">
        <f t="shared" si="148"/>
        <v>0</v>
      </c>
      <c r="AY147" s="87" t="s">
        <v>583</v>
      </c>
      <c r="AZ147" s="87" t="s">
        <v>621</v>
      </c>
      <c r="BA147" s="16" t="s">
        <v>622</v>
      </c>
      <c r="BC147" s="19">
        <f t="shared" si="149"/>
        <v>0</v>
      </c>
      <c r="BD147" s="19">
        <f t="shared" si="150"/>
        <v>0</v>
      </c>
      <c r="BE147" s="19">
        <v>0</v>
      </c>
      <c r="BF147" s="19">
        <f t="shared" si="151"/>
        <v>3.0000000000000001E-3</v>
      </c>
      <c r="BH147" s="19">
        <f t="shared" si="152"/>
        <v>0</v>
      </c>
      <c r="BI147" s="19">
        <f t="shared" si="153"/>
        <v>0</v>
      </c>
      <c r="BJ147" s="19">
        <f t="shared" si="154"/>
        <v>0</v>
      </c>
      <c r="BK147" s="19"/>
      <c r="BL147" s="19">
        <v>723</v>
      </c>
      <c r="BW147" s="19" t="str">
        <f t="shared" si="155"/>
        <v>12</v>
      </c>
      <c r="BX147" s="4" t="s">
        <v>256</v>
      </c>
    </row>
    <row r="148" spans="1:76" x14ac:dyDescent="0.25">
      <c r="A148" s="1" t="s">
        <v>624</v>
      </c>
      <c r="B148" s="2" t="s">
        <v>252</v>
      </c>
      <c r="C148" s="2" t="s">
        <v>257</v>
      </c>
      <c r="D148" s="105" t="s">
        <v>258</v>
      </c>
      <c r="E148" s="99"/>
      <c r="F148" s="2" t="s">
        <v>31</v>
      </c>
      <c r="G148" s="19">
        <f>'Rozpočet - vybrané sloupce'!J147</f>
        <v>5</v>
      </c>
      <c r="H148" s="19">
        <f>'Rozpočet - vybrané sloupce'!K147</f>
        <v>0</v>
      </c>
      <c r="I148" s="87" t="s">
        <v>489</v>
      </c>
      <c r="J148" s="19">
        <f t="shared" si="130"/>
        <v>0</v>
      </c>
      <c r="K148" s="19">
        <f t="shared" si="131"/>
        <v>0</v>
      </c>
      <c r="L148" s="19">
        <f t="shared" si="132"/>
        <v>0</v>
      </c>
      <c r="M148" s="19">
        <f t="shared" si="133"/>
        <v>0</v>
      </c>
      <c r="N148" s="19">
        <v>2E-3</v>
      </c>
      <c r="O148" s="19">
        <f t="shared" si="134"/>
        <v>0.01</v>
      </c>
      <c r="P148" s="88" t="s">
        <v>490</v>
      </c>
      <c r="Z148" s="19">
        <f t="shared" si="135"/>
        <v>0</v>
      </c>
      <c r="AB148" s="19">
        <f t="shared" si="136"/>
        <v>0</v>
      </c>
      <c r="AC148" s="19">
        <f t="shared" si="137"/>
        <v>0</v>
      </c>
      <c r="AD148" s="19">
        <f t="shared" si="138"/>
        <v>0</v>
      </c>
      <c r="AE148" s="19">
        <f t="shared" si="139"/>
        <v>0</v>
      </c>
      <c r="AF148" s="19">
        <f t="shared" si="140"/>
        <v>0</v>
      </c>
      <c r="AG148" s="19">
        <f t="shared" si="141"/>
        <v>0</v>
      </c>
      <c r="AH148" s="19">
        <f t="shared" si="142"/>
        <v>0</v>
      </c>
      <c r="AI148" s="16" t="s">
        <v>252</v>
      </c>
      <c r="AJ148" s="19">
        <f t="shared" si="143"/>
        <v>0</v>
      </c>
      <c r="AK148" s="19">
        <f t="shared" si="144"/>
        <v>0</v>
      </c>
      <c r="AL148" s="19">
        <f t="shared" si="145"/>
        <v>0</v>
      </c>
      <c r="AN148" s="19">
        <v>12</v>
      </c>
      <c r="AO148" s="19">
        <f>H148*0.815714501</f>
        <v>0</v>
      </c>
      <c r="AP148" s="19">
        <f>H148*(1-0.815714501)</f>
        <v>0</v>
      </c>
      <c r="AQ148" s="87" t="s">
        <v>491</v>
      </c>
      <c r="AV148" s="19">
        <f t="shared" si="146"/>
        <v>0</v>
      </c>
      <c r="AW148" s="19">
        <f t="shared" si="147"/>
        <v>0</v>
      </c>
      <c r="AX148" s="19">
        <f t="shared" si="148"/>
        <v>0</v>
      </c>
      <c r="AY148" s="87" t="s">
        <v>583</v>
      </c>
      <c r="AZ148" s="87" t="s">
        <v>621</v>
      </c>
      <c r="BA148" s="16" t="s">
        <v>622</v>
      </c>
      <c r="BC148" s="19">
        <f t="shared" si="149"/>
        <v>0</v>
      </c>
      <c r="BD148" s="19">
        <f t="shared" si="150"/>
        <v>0</v>
      </c>
      <c r="BE148" s="19">
        <v>0</v>
      </c>
      <c r="BF148" s="19">
        <f t="shared" si="151"/>
        <v>0.01</v>
      </c>
      <c r="BH148" s="19">
        <f t="shared" si="152"/>
        <v>0</v>
      </c>
      <c r="BI148" s="19">
        <f t="shared" si="153"/>
        <v>0</v>
      </c>
      <c r="BJ148" s="19">
        <f t="shared" si="154"/>
        <v>0</v>
      </c>
      <c r="BK148" s="19"/>
      <c r="BL148" s="19">
        <v>723</v>
      </c>
      <c r="BW148" s="19" t="str">
        <f t="shared" si="155"/>
        <v>12</v>
      </c>
      <c r="BX148" s="4" t="s">
        <v>258</v>
      </c>
    </row>
    <row r="149" spans="1:76" x14ac:dyDescent="0.25">
      <c r="A149" s="1" t="s">
        <v>625</v>
      </c>
      <c r="B149" s="2" t="s">
        <v>252</v>
      </c>
      <c r="C149" s="2" t="s">
        <v>259</v>
      </c>
      <c r="D149" s="105" t="s">
        <v>260</v>
      </c>
      <c r="E149" s="99"/>
      <c r="F149" s="2" t="s">
        <v>31</v>
      </c>
      <c r="G149" s="19">
        <f>'Rozpočet - vybrané sloupce'!J148</f>
        <v>1</v>
      </c>
      <c r="H149" s="19">
        <f>'Rozpočet - vybrané sloupce'!K148</f>
        <v>0</v>
      </c>
      <c r="I149" s="87" t="s">
        <v>489</v>
      </c>
      <c r="J149" s="19">
        <f t="shared" si="130"/>
        <v>0</v>
      </c>
      <c r="K149" s="19">
        <f t="shared" si="131"/>
        <v>0</v>
      </c>
      <c r="L149" s="19">
        <f t="shared" si="132"/>
        <v>0</v>
      </c>
      <c r="M149" s="19">
        <f t="shared" si="133"/>
        <v>0</v>
      </c>
      <c r="N149" s="19">
        <v>2.3500000000000001E-3</v>
      </c>
      <c r="O149" s="19">
        <f t="shared" si="134"/>
        <v>2.3500000000000001E-3</v>
      </c>
      <c r="P149" s="88" t="s">
        <v>490</v>
      </c>
      <c r="Z149" s="19">
        <f t="shared" si="135"/>
        <v>0</v>
      </c>
      <c r="AB149" s="19">
        <f t="shared" si="136"/>
        <v>0</v>
      </c>
      <c r="AC149" s="19">
        <f t="shared" si="137"/>
        <v>0</v>
      </c>
      <c r="AD149" s="19">
        <f t="shared" si="138"/>
        <v>0</v>
      </c>
      <c r="AE149" s="19">
        <f t="shared" si="139"/>
        <v>0</v>
      </c>
      <c r="AF149" s="19">
        <f t="shared" si="140"/>
        <v>0</v>
      </c>
      <c r="AG149" s="19">
        <f t="shared" si="141"/>
        <v>0</v>
      </c>
      <c r="AH149" s="19">
        <f t="shared" si="142"/>
        <v>0</v>
      </c>
      <c r="AI149" s="16" t="s">
        <v>252</v>
      </c>
      <c r="AJ149" s="19">
        <f t="shared" si="143"/>
        <v>0</v>
      </c>
      <c r="AK149" s="19">
        <f t="shared" si="144"/>
        <v>0</v>
      </c>
      <c r="AL149" s="19">
        <f t="shared" si="145"/>
        <v>0</v>
      </c>
      <c r="AN149" s="19">
        <v>12</v>
      </c>
      <c r="AO149" s="19">
        <f>H149*0.832416324</f>
        <v>0</v>
      </c>
      <c r="AP149" s="19">
        <f>H149*(1-0.832416324)</f>
        <v>0</v>
      </c>
      <c r="AQ149" s="87" t="s">
        <v>491</v>
      </c>
      <c r="AV149" s="19">
        <f t="shared" si="146"/>
        <v>0</v>
      </c>
      <c r="AW149" s="19">
        <f t="shared" si="147"/>
        <v>0</v>
      </c>
      <c r="AX149" s="19">
        <f t="shared" si="148"/>
        <v>0</v>
      </c>
      <c r="AY149" s="87" t="s">
        <v>583</v>
      </c>
      <c r="AZ149" s="87" t="s">
        <v>621</v>
      </c>
      <c r="BA149" s="16" t="s">
        <v>622</v>
      </c>
      <c r="BC149" s="19">
        <f t="shared" si="149"/>
        <v>0</v>
      </c>
      <c r="BD149" s="19">
        <f t="shared" si="150"/>
        <v>0</v>
      </c>
      <c r="BE149" s="19">
        <v>0</v>
      </c>
      <c r="BF149" s="19">
        <f t="shared" si="151"/>
        <v>2.3500000000000001E-3</v>
      </c>
      <c r="BH149" s="19">
        <f t="shared" si="152"/>
        <v>0</v>
      </c>
      <c r="BI149" s="19">
        <f t="shared" si="153"/>
        <v>0</v>
      </c>
      <c r="BJ149" s="19">
        <f t="shared" si="154"/>
        <v>0</v>
      </c>
      <c r="BK149" s="19"/>
      <c r="BL149" s="19">
        <v>723</v>
      </c>
      <c r="BW149" s="19" t="str">
        <f t="shared" si="155"/>
        <v>12</v>
      </c>
      <c r="BX149" s="4" t="s">
        <v>260</v>
      </c>
    </row>
    <row r="150" spans="1:76" x14ac:dyDescent="0.25">
      <c r="A150" s="1" t="s">
        <v>626</v>
      </c>
      <c r="B150" s="2" t="s">
        <v>252</v>
      </c>
      <c r="C150" s="2" t="s">
        <v>197</v>
      </c>
      <c r="D150" s="105" t="s">
        <v>198</v>
      </c>
      <c r="E150" s="99"/>
      <c r="F150" s="2" t="s">
        <v>35</v>
      </c>
      <c r="G150" s="19">
        <f>'Rozpočet - vybrané sloupce'!J149</f>
        <v>2</v>
      </c>
      <c r="H150" s="19">
        <f>'Rozpočet - vybrané sloupce'!K149</f>
        <v>0</v>
      </c>
      <c r="I150" s="87" t="s">
        <v>489</v>
      </c>
      <c r="J150" s="19">
        <f t="shared" si="130"/>
        <v>0</v>
      </c>
      <c r="K150" s="19">
        <f t="shared" si="131"/>
        <v>0</v>
      </c>
      <c r="L150" s="19">
        <f t="shared" si="132"/>
        <v>0</v>
      </c>
      <c r="M150" s="19">
        <f t="shared" si="133"/>
        <v>0</v>
      </c>
      <c r="N150" s="19">
        <v>0</v>
      </c>
      <c r="O150" s="19">
        <f t="shared" si="134"/>
        <v>0</v>
      </c>
      <c r="P150" s="88" t="s">
        <v>490</v>
      </c>
      <c r="Z150" s="19">
        <f t="shared" si="135"/>
        <v>0</v>
      </c>
      <c r="AB150" s="19">
        <f t="shared" si="136"/>
        <v>0</v>
      </c>
      <c r="AC150" s="19">
        <f t="shared" si="137"/>
        <v>0</v>
      </c>
      <c r="AD150" s="19">
        <f t="shared" si="138"/>
        <v>0</v>
      </c>
      <c r="AE150" s="19">
        <f t="shared" si="139"/>
        <v>0</v>
      </c>
      <c r="AF150" s="19">
        <f t="shared" si="140"/>
        <v>0</v>
      </c>
      <c r="AG150" s="19">
        <f t="shared" si="141"/>
        <v>0</v>
      </c>
      <c r="AH150" s="19">
        <f t="shared" si="142"/>
        <v>0</v>
      </c>
      <c r="AI150" s="16" t="s">
        <v>252</v>
      </c>
      <c r="AJ150" s="19">
        <f t="shared" si="143"/>
        <v>0</v>
      </c>
      <c r="AK150" s="19">
        <f t="shared" si="144"/>
        <v>0</v>
      </c>
      <c r="AL150" s="19">
        <f t="shared" si="145"/>
        <v>0</v>
      </c>
      <c r="AN150" s="19">
        <v>12</v>
      </c>
      <c r="AO150" s="19">
        <f>H150*0</f>
        <v>0</v>
      </c>
      <c r="AP150" s="19">
        <f>H150*(1-0)</f>
        <v>0</v>
      </c>
      <c r="AQ150" s="87" t="s">
        <v>491</v>
      </c>
      <c r="AV150" s="19">
        <f t="shared" si="146"/>
        <v>0</v>
      </c>
      <c r="AW150" s="19">
        <f t="shared" si="147"/>
        <v>0</v>
      </c>
      <c r="AX150" s="19">
        <f t="shared" si="148"/>
        <v>0</v>
      </c>
      <c r="AY150" s="87" t="s">
        <v>583</v>
      </c>
      <c r="AZ150" s="87" t="s">
        <v>621</v>
      </c>
      <c r="BA150" s="16" t="s">
        <v>622</v>
      </c>
      <c r="BC150" s="19">
        <f t="shared" si="149"/>
        <v>0</v>
      </c>
      <c r="BD150" s="19">
        <f t="shared" si="150"/>
        <v>0</v>
      </c>
      <c r="BE150" s="19">
        <v>0</v>
      </c>
      <c r="BF150" s="19">
        <f t="shared" si="151"/>
        <v>0</v>
      </c>
      <c r="BH150" s="19">
        <f t="shared" si="152"/>
        <v>0</v>
      </c>
      <c r="BI150" s="19">
        <f t="shared" si="153"/>
        <v>0</v>
      </c>
      <c r="BJ150" s="19">
        <f t="shared" si="154"/>
        <v>0</v>
      </c>
      <c r="BK150" s="19"/>
      <c r="BL150" s="19">
        <v>723</v>
      </c>
      <c r="BW150" s="19" t="str">
        <f t="shared" si="155"/>
        <v>12</v>
      </c>
      <c r="BX150" s="4" t="s">
        <v>198</v>
      </c>
    </row>
    <row r="151" spans="1:76" x14ac:dyDescent="0.25">
      <c r="A151" s="1" t="s">
        <v>627</v>
      </c>
      <c r="B151" s="2" t="s">
        <v>252</v>
      </c>
      <c r="C151" s="2" t="s">
        <v>195</v>
      </c>
      <c r="D151" s="105" t="s">
        <v>196</v>
      </c>
      <c r="E151" s="99"/>
      <c r="F151" s="2" t="s">
        <v>31</v>
      </c>
      <c r="G151" s="19">
        <f>'Rozpočet - vybrané sloupce'!J150</f>
        <v>24</v>
      </c>
      <c r="H151" s="19">
        <f>'Rozpočet - vybrané sloupce'!K150</f>
        <v>0</v>
      </c>
      <c r="I151" s="87" t="s">
        <v>489</v>
      </c>
      <c r="J151" s="19">
        <f t="shared" si="130"/>
        <v>0</v>
      </c>
      <c r="K151" s="19">
        <f t="shared" si="131"/>
        <v>0</v>
      </c>
      <c r="L151" s="19">
        <f t="shared" si="132"/>
        <v>0</v>
      </c>
      <c r="M151" s="19">
        <f t="shared" si="133"/>
        <v>0</v>
      </c>
      <c r="N151" s="19">
        <v>0</v>
      </c>
      <c r="O151" s="19">
        <f t="shared" si="134"/>
        <v>0</v>
      </c>
      <c r="P151" s="88" t="s">
        <v>490</v>
      </c>
      <c r="Z151" s="19">
        <f t="shared" si="135"/>
        <v>0</v>
      </c>
      <c r="AB151" s="19">
        <f t="shared" si="136"/>
        <v>0</v>
      </c>
      <c r="AC151" s="19">
        <f t="shared" si="137"/>
        <v>0</v>
      </c>
      <c r="AD151" s="19">
        <f t="shared" si="138"/>
        <v>0</v>
      </c>
      <c r="AE151" s="19">
        <f t="shared" si="139"/>
        <v>0</v>
      </c>
      <c r="AF151" s="19">
        <f t="shared" si="140"/>
        <v>0</v>
      </c>
      <c r="AG151" s="19">
        <f t="shared" si="141"/>
        <v>0</v>
      </c>
      <c r="AH151" s="19">
        <f t="shared" si="142"/>
        <v>0</v>
      </c>
      <c r="AI151" s="16" t="s">
        <v>252</v>
      </c>
      <c r="AJ151" s="19">
        <f t="shared" si="143"/>
        <v>0</v>
      </c>
      <c r="AK151" s="19">
        <f t="shared" si="144"/>
        <v>0</v>
      </c>
      <c r="AL151" s="19">
        <f t="shared" si="145"/>
        <v>0</v>
      </c>
      <c r="AN151" s="19">
        <v>12</v>
      </c>
      <c r="AO151" s="19">
        <f>H151*0</f>
        <v>0</v>
      </c>
      <c r="AP151" s="19">
        <f>H151*(1-0)</f>
        <v>0</v>
      </c>
      <c r="AQ151" s="87" t="s">
        <v>491</v>
      </c>
      <c r="AV151" s="19">
        <f t="shared" si="146"/>
        <v>0</v>
      </c>
      <c r="AW151" s="19">
        <f t="shared" si="147"/>
        <v>0</v>
      </c>
      <c r="AX151" s="19">
        <f t="shared" si="148"/>
        <v>0</v>
      </c>
      <c r="AY151" s="87" t="s">
        <v>583</v>
      </c>
      <c r="AZ151" s="87" t="s">
        <v>621</v>
      </c>
      <c r="BA151" s="16" t="s">
        <v>622</v>
      </c>
      <c r="BC151" s="19">
        <f t="shared" si="149"/>
        <v>0</v>
      </c>
      <c r="BD151" s="19">
        <f t="shared" si="150"/>
        <v>0</v>
      </c>
      <c r="BE151" s="19">
        <v>0</v>
      </c>
      <c r="BF151" s="19">
        <f t="shared" si="151"/>
        <v>0</v>
      </c>
      <c r="BH151" s="19">
        <f t="shared" si="152"/>
        <v>0</v>
      </c>
      <c r="BI151" s="19">
        <f t="shared" si="153"/>
        <v>0</v>
      </c>
      <c r="BJ151" s="19">
        <f t="shared" si="154"/>
        <v>0</v>
      </c>
      <c r="BK151" s="19"/>
      <c r="BL151" s="19">
        <v>723</v>
      </c>
      <c r="BW151" s="19" t="str">
        <f t="shared" si="155"/>
        <v>12</v>
      </c>
      <c r="BX151" s="4" t="s">
        <v>196</v>
      </c>
    </row>
    <row r="152" spans="1:76" x14ac:dyDescent="0.25">
      <c r="A152" s="1" t="s">
        <v>628</v>
      </c>
      <c r="B152" s="2" t="s">
        <v>252</v>
      </c>
      <c r="C152" s="2" t="s">
        <v>199</v>
      </c>
      <c r="D152" s="105" t="s">
        <v>200</v>
      </c>
      <c r="E152" s="99"/>
      <c r="F152" s="2" t="s">
        <v>35</v>
      </c>
      <c r="G152" s="19">
        <f>'Rozpočet - vybrané sloupce'!J151</f>
        <v>1</v>
      </c>
      <c r="H152" s="19">
        <f>'Rozpočet - vybrané sloupce'!K151</f>
        <v>0</v>
      </c>
      <c r="I152" s="87" t="s">
        <v>489</v>
      </c>
      <c r="J152" s="19">
        <f t="shared" si="130"/>
        <v>0</v>
      </c>
      <c r="K152" s="19">
        <f t="shared" si="131"/>
        <v>0</v>
      </c>
      <c r="L152" s="19">
        <f t="shared" si="132"/>
        <v>0</v>
      </c>
      <c r="M152" s="19">
        <f t="shared" si="133"/>
        <v>0</v>
      </c>
      <c r="N152" s="19">
        <v>0</v>
      </c>
      <c r="O152" s="19">
        <f t="shared" si="134"/>
        <v>0</v>
      </c>
      <c r="P152" s="88" t="s">
        <v>490</v>
      </c>
      <c r="Z152" s="19">
        <f t="shared" si="135"/>
        <v>0</v>
      </c>
      <c r="AB152" s="19">
        <f t="shared" si="136"/>
        <v>0</v>
      </c>
      <c r="AC152" s="19">
        <f t="shared" si="137"/>
        <v>0</v>
      </c>
      <c r="AD152" s="19">
        <f t="shared" si="138"/>
        <v>0</v>
      </c>
      <c r="AE152" s="19">
        <f t="shared" si="139"/>
        <v>0</v>
      </c>
      <c r="AF152" s="19">
        <f t="shared" si="140"/>
        <v>0</v>
      </c>
      <c r="AG152" s="19">
        <f t="shared" si="141"/>
        <v>0</v>
      </c>
      <c r="AH152" s="19">
        <f t="shared" si="142"/>
        <v>0</v>
      </c>
      <c r="AI152" s="16" t="s">
        <v>252</v>
      </c>
      <c r="AJ152" s="19">
        <f t="shared" si="143"/>
        <v>0</v>
      </c>
      <c r="AK152" s="19">
        <f t="shared" si="144"/>
        <v>0</v>
      </c>
      <c r="AL152" s="19">
        <f t="shared" si="145"/>
        <v>0</v>
      </c>
      <c r="AN152" s="19">
        <v>12</v>
      </c>
      <c r="AO152" s="19">
        <f>H152*0</f>
        <v>0</v>
      </c>
      <c r="AP152" s="19">
        <f>H152*(1-0)</f>
        <v>0</v>
      </c>
      <c r="AQ152" s="87" t="s">
        <v>491</v>
      </c>
      <c r="AV152" s="19">
        <f t="shared" si="146"/>
        <v>0</v>
      </c>
      <c r="AW152" s="19">
        <f t="shared" si="147"/>
        <v>0</v>
      </c>
      <c r="AX152" s="19">
        <f t="shared" si="148"/>
        <v>0</v>
      </c>
      <c r="AY152" s="87" t="s">
        <v>583</v>
      </c>
      <c r="AZ152" s="87" t="s">
        <v>621</v>
      </c>
      <c r="BA152" s="16" t="s">
        <v>622</v>
      </c>
      <c r="BC152" s="19">
        <f t="shared" si="149"/>
        <v>0</v>
      </c>
      <c r="BD152" s="19">
        <f t="shared" si="150"/>
        <v>0</v>
      </c>
      <c r="BE152" s="19">
        <v>0</v>
      </c>
      <c r="BF152" s="19">
        <f t="shared" si="151"/>
        <v>0</v>
      </c>
      <c r="BH152" s="19">
        <f t="shared" si="152"/>
        <v>0</v>
      </c>
      <c r="BI152" s="19">
        <f t="shared" si="153"/>
        <v>0</v>
      </c>
      <c r="BJ152" s="19">
        <f t="shared" si="154"/>
        <v>0</v>
      </c>
      <c r="BK152" s="19"/>
      <c r="BL152" s="19">
        <v>723</v>
      </c>
      <c r="BW152" s="19" t="str">
        <f t="shared" si="155"/>
        <v>12</v>
      </c>
      <c r="BX152" s="4" t="s">
        <v>200</v>
      </c>
    </row>
    <row r="153" spans="1:76" x14ac:dyDescent="0.25">
      <c r="A153" s="1" t="s">
        <v>629</v>
      </c>
      <c r="B153" s="2" t="s">
        <v>252</v>
      </c>
      <c r="C153" s="2" t="s">
        <v>261</v>
      </c>
      <c r="D153" s="105" t="s">
        <v>262</v>
      </c>
      <c r="E153" s="99"/>
      <c r="F153" s="2" t="s">
        <v>35</v>
      </c>
      <c r="G153" s="19">
        <f>'Rozpočet - vybrané sloupce'!J152</f>
        <v>2</v>
      </c>
      <c r="H153" s="19">
        <f>'Rozpočet - vybrané sloupce'!K152</f>
        <v>0</v>
      </c>
      <c r="I153" s="87" t="s">
        <v>489</v>
      </c>
      <c r="J153" s="19">
        <f t="shared" si="130"/>
        <v>0</v>
      </c>
      <c r="K153" s="19">
        <f t="shared" si="131"/>
        <v>0</v>
      </c>
      <c r="L153" s="19">
        <f t="shared" si="132"/>
        <v>0</v>
      </c>
      <c r="M153" s="19">
        <f t="shared" si="133"/>
        <v>0</v>
      </c>
      <c r="N153" s="19">
        <v>9.7000000000000005E-4</v>
      </c>
      <c r="O153" s="19">
        <f t="shared" si="134"/>
        <v>1.9400000000000001E-3</v>
      </c>
      <c r="P153" s="88" t="s">
        <v>490</v>
      </c>
      <c r="Z153" s="19">
        <f t="shared" si="135"/>
        <v>0</v>
      </c>
      <c r="AB153" s="19">
        <f t="shared" si="136"/>
        <v>0</v>
      </c>
      <c r="AC153" s="19">
        <f t="shared" si="137"/>
        <v>0</v>
      </c>
      <c r="AD153" s="19">
        <f t="shared" si="138"/>
        <v>0</v>
      </c>
      <c r="AE153" s="19">
        <f t="shared" si="139"/>
        <v>0</v>
      </c>
      <c r="AF153" s="19">
        <f t="shared" si="140"/>
        <v>0</v>
      </c>
      <c r="AG153" s="19">
        <f t="shared" si="141"/>
        <v>0</v>
      </c>
      <c r="AH153" s="19">
        <f t="shared" si="142"/>
        <v>0</v>
      </c>
      <c r="AI153" s="16" t="s">
        <v>252</v>
      </c>
      <c r="AJ153" s="19">
        <f t="shared" si="143"/>
        <v>0</v>
      </c>
      <c r="AK153" s="19">
        <f t="shared" si="144"/>
        <v>0</v>
      </c>
      <c r="AL153" s="19">
        <f t="shared" si="145"/>
        <v>0</v>
      </c>
      <c r="AN153" s="19">
        <v>12</v>
      </c>
      <c r="AO153" s="19">
        <f>H153*0.894189511</f>
        <v>0</v>
      </c>
      <c r="AP153" s="19">
        <f>H153*(1-0.894189511)</f>
        <v>0</v>
      </c>
      <c r="AQ153" s="87" t="s">
        <v>491</v>
      </c>
      <c r="AV153" s="19">
        <f t="shared" si="146"/>
        <v>0</v>
      </c>
      <c r="AW153" s="19">
        <f t="shared" si="147"/>
        <v>0</v>
      </c>
      <c r="AX153" s="19">
        <f t="shared" si="148"/>
        <v>0</v>
      </c>
      <c r="AY153" s="87" t="s">
        <v>583</v>
      </c>
      <c r="AZ153" s="87" t="s">
        <v>621</v>
      </c>
      <c r="BA153" s="16" t="s">
        <v>622</v>
      </c>
      <c r="BC153" s="19">
        <f t="shared" si="149"/>
        <v>0</v>
      </c>
      <c r="BD153" s="19">
        <f t="shared" si="150"/>
        <v>0</v>
      </c>
      <c r="BE153" s="19">
        <v>0</v>
      </c>
      <c r="BF153" s="19">
        <f t="shared" si="151"/>
        <v>1.9400000000000001E-3</v>
      </c>
      <c r="BH153" s="19">
        <f t="shared" si="152"/>
        <v>0</v>
      </c>
      <c r="BI153" s="19">
        <f t="shared" si="153"/>
        <v>0</v>
      </c>
      <c r="BJ153" s="19">
        <f t="shared" si="154"/>
        <v>0</v>
      </c>
      <c r="BK153" s="19"/>
      <c r="BL153" s="19">
        <v>723</v>
      </c>
      <c r="BW153" s="19" t="str">
        <f t="shared" si="155"/>
        <v>12</v>
      </c>
      <c r="BX153" s="4" t="s">
        <v>262</v>
      </c>
    </row>
    <row r="154" spans="1:76" x14ac:dyDescent="0.25">
      <c r="A154" s="1" t="s">
        <v>630</v>
      </c>
      <c r="B154" s="2" t="s">
        <v>252</v>
      </c>
      <c r="C154" s="2" t="s">
        <v>263</v>
      </c>
      <c r="D154" s="105" t="s">
        <v>264</v>
      </c>
      <c r="E154" s="99"/>
      <c r="F154" s="2" t="s">
        <v>35</v>
      </c>
      <c r="G154" s="19">
        <f>'Rozpočet - vybrané sloupce'!J153</f>
        <v>1</v>
      </c>
      <c r="H154" s="19">
        <f>'Rozpočet - vybrané sloupce'!K153</f>
        <v>0</v>
      </c>
      <c r="I154" s="87" t="s">
        <v>489</v>
      </c>
      <c r="J154" s="19">
        <f t="shared" si="130"/>
        <v>0</v>
      </c>
      <c r="K154" s="19">
        <f t="shared" si="131"/>
        <v>0</v>
      </c>
      <c r="L154" s="19">
        <f t="shared" si="132"/>
        <v>0</v>
      </c>
      <c r="M154" s="19">
        <f t="shared" si="133"/>
        <v>0</v>
      </c>
      <c r="N154" s="19">
        <v>0</v>
      </c>
      <c r="O154" s="19">
        <f t="shared" si="134"/>
        <v>0</v>
      </c>
      <c r="P154" s="88" t="s">
        <v>490</v>
      </c>
      <c r="Z154" s="19">
        <f t="shared" si="135"/>
        <v>0</v>
      </c>
      <c r="AB154" s="19">
        <f t="shared" si="136"/>
        <v>0</v>
      </c>
      <c r="AC154" s="19">
        <f t="shared" si="137"/>
        <v>0</v>
      </c>
      <c r="AD154" s="19">
        <f t="shared" si="138"/>
        <v>0</v>
      </c>
      <c r="AE154" s="19">
        <f t="shared" si="139"/>
        <v>0</v>
      </c>
      <c r="AF154" s="19">
        <f t="shared" si="140"/>
        <v>0</v>
      </c>
      <c r="AG154" s="19">
        <f t="shared" si="141"/>
        <v>0</v>
      </c>
      <c r="AH154" s="19">
        <f t="shared" si="142"/>
        <v>0</v>
      </c>
      <c r="AI154" s="16" t="s">
        <v>252</v>
      </c>
      <c r="AJ154" s="19">
        <f t="shared" si="143"/>
        <v>0</v>
      </c>
      <c r="AK154" s="19">
        <f t="shared" si="144"/>
        <v>0</v>
      </c>
      <c r="AL154" s="19">
        <f t="shared" si="145"/>
        <v>0</v>
      </c>
      <c r="AN154" s="19">
        <v>12</v>
      </c>
      <c r="AO154" s="19">
        <f>H154*0.333333333</f>
        <v>0</v>
      </c>
      <c r="AP154" s="19">
        <f>H154*(1-0.333333333)</f>
        <v>0</v>
      </c>
      <c r="AQ154" s="87" t="s">
        <v>491</v>
      </c>
      <c r="AV154" s="19">
        <f t="shared" si="146"/>
        <v>0</v>
      </c>
      <c r="AW154" s="19">
        <f t="shared" si="147"/>
        <v>0</v>
      </c>
      <c r="AX154" s="19">
        <f t="shared" si="148"/>
        <v>0</v>
      </c>
      <c r="AY154" s="87" t="s">
        <v>583</v>
      </c>
      <c r="AZ154" s="87" t="s">
        <v>621</v>
      </c>
      <c r="BA154" s="16" t="s">
        <v>622</v>
      </c>
      <c r="BC154" s="19">
        <f t="shared" si="149"/>
        <v>0</v>
      </c>
      <c r="BD154" s="19">
        <f t="shared" si="150"/>
        <v>0</v>
      </c>
      <c r="BE154" s="19">
        <v>0</v>
      </c>
      <c r="BF154" s="19">
        <f t="shared" si="151"/>
        <v>0</v>
      </c>
      <c r="BH154" s="19">
        <f t="shared" si="152"/>
        <v>0</v>
      </c>
      <c r="BI154" s="19">
        <f t="shared" si="153"/>
        <v>0</v>
      </c>
      <c r="BJ154" s="19">
        <f t="shared" si="154"/>
        <v>0</v>
      </c>
      <c r="BK154" s="19"/>
      <c r="BL154" s="19">
        <v>723</v>
      </c>
      <c r="BW154" s="19" t="str">
        <f t="shared" si="155"/>
        <v>12</v>
      </c>
      <c r="BX154" s="4" t="s">
        <v>264</v>
      </c>
    </row>
    <row r="155" spans="1:76" x14ac:dyDescent="0.25">
      <c r="A155" s="1" t="s">
        <v>631</v>
      </c>
      <c r="B155" s="2" t="s">
        <v>252</v>
      </c>
      <c r="C155" s="2" t="s">
        <v>265</v>
      </c>
      <c r="D155" s="105" t="s">
        <v>266</v>
      </c>
      <c r="E155" s="99"/>
      <c r="F155" s="2" t="s">
        <v>35</v>
      </c>
      <c r="G155" s="19">
        <f>'Rozpočet - vybrané sloupce'!J154</f>
        <v>1</v>
      </c>
      <c r="H155" s="19">
        <f>'Rozpočet - vybrané sloupce'!K154</f>
        <v>0</v>
      </c>
      <c r="I155" s="87" t="s">
        <v>489</v>
      </c>
      <c r="J155" s="19">
        <f t="shared" si="130"/>
        <v>0</v>
      </c>
      <c r="K155" s="19">
        <f t="shared" si="131"/>
        <v>0</v>
      </c>
      <c r="L155" s="19">
        <f t="shared" si="132"/>
        <v>0</v>
      </c>
      <c r="M155" s="19">
        <f t="shared" si="133"/>
        <v>0</v>
      </c>
      <c r="N155" s="19">
        <v>0</v>
      </c>
      <c r="O155" s="19">
        <f t="shared" si="134"/>
        <v>0</v>
      </c>
      <c r="P155" s="88" t="s">
        <v>490</v>
      </c>
      <c r="Z155" s="19">
        <f t="shared" si="135"/>
        <v>0</v>
      </c>
      <c r="AB155" s="19">
        <f t="shared" si="136"/>
        <v>0</v>
      </c>
      <c r="AC155" s="19">
        <f t="shared" si="137"/>
        <v>0</v>
      </c>
      <c r="AD155" s="19">
        <f t="shared" si="138"/>
        <v>0</v>
      </c>
      <c r="AE155" s="19">
        <f t="shared" si="139"/>
        <v>0</v>
      </c>
      <c r="AF155" s="19">
        <f t="shared" si="140"/>
        <v>0</v>
      </c>
      <c r="AG155" s="19">
        <f t="shared" si="141"/>
        <v>0</v>
      </c>
      <c r="AH155" s="19">
        <f t="shared" si="142"/>
        <v>0</v>
      </c>
      <c r="AI155" s="16" t="s">
        <v>252</v>
      </c>
      <c r="AJ155" s="19">
        <f t="shared" si="143"/>
        <v>0</v>
      </c>
      <c r="AK155" s="19">
        <f t="shared" si="144"/>
        <v>0</v>
      </c>
      <c r="AL155" s="19">
        <f t="shared" si="145"/>
        <v>0</v>
      </c>
      <c r="AN155" s="19">
        <v>12</v>
      </c>
      <c r="AO155" s="19">
        <f>H155*1</f>
        <v>0</v>
      </c>
      <c r="AP155" s="19">
        <f>H155*(1-1)</f>
        <v>0</v>
      </c>
      <c r="AQ155" s="87" t="s">
        <v>491</v>
      </c>
      <c r="AV155" s="19">
        <f t="shared" si="146"/>
        <v>0</v>
      </c>
      <c r="AW155" s="19">
        <f t="shared" si="147"/>
        <v>0</v>
      </c>
      <c r="AX155" s="19">
        <f t="shared" si="148"/>
        <v>0</v>
      </c>
      <c r="AY155" s="87" t="s">
        <v>583</v>
      </c>
      <c r="AZ155" s="87" t="s">
        <v>621</v>
      </c>
      <c r="BA155" s="16" t="s">
        <v>622</v>
      </c>
      <c r="BC155" s="19">
        <f t="shared" si="149"/>
        <v>0</v>
      </c>
      <c r="BD155" s="19">
        <f t="shared" si="150"/>
        <v>0</v>
      </c>
      <c r="BE155" s="19">
        <v>0</v>
      </c>
      <c r="BF155" s="19">
        <f t="shared" si="151"/>
        <v>0</v>
      </c>
      <c r="BH155" s="19">
        <f t="shared" si="152"/>
        <v>0</v>
      </c>
      <c r="BI155" s="19">
        <f t="shared" si="153"/>
        <v>0</v>
      </c>
      <c r="BJ155" s="19">
        <f t="shared" si="154"/>
        <v>0</v>
      </c>
      <c r="BK155" s="19"/>
      <c r="BL155" s="19">
        <v>723</v>
      </c>
      <c r="BW155" s="19" t="str">
        <f t="shared" si="155"/>
        <v>12</v>
      </c>
      <c r="BX155" s="4" t="s">
        <v>266</v>
      </c>
    </row>
    <row r="156" spans="1:76" x14ac:dyDescent="0.25">
      <c r="A156" s="1" t="s">
        <v>632</v>
      </c>
      <c r="B156" s="2" t="s">
        <v>252</v>
      </c>
      <c r="C156" s="2" t="s">
        <v>232</v>
      </c>
      <c r="D156" s="105" t="s">
        <v>233</v>
      </c>
      <c r="E156" s="99"/>
      <c r="F156" s="2" t="s">
        <v>43</v>
      </c>
      <c r="G156" s="19">
        <f>'Rozpočet - vybrané sloupce'!J155</f>
        <v>240</v>
      </c>
      <c r="H156" s="19">
        <f>'Rozpočet - vybrané sloupce'!K155</f>
        <v>0</v>
      </c>
      <c r="I156" s="87" t="s">
        <v>489</v>
      </c>
      <c r="J156" s="19">
        <f t="shared" si="130"/>
        <v>0</v>
      </c>
      <c r="K156" s="19">
        <f t="shared" si="131"/>
        <v>0</v>
      </c>
      <c r="L156" s="19">
        <f t="shared" si="132"/>
        <v>0</v>
      </c>
      <c r="M156" s="19">
        <f t="shared" si="133"/>
        <v>0</v>
      </c>
      <c r="N156" s="19">
        <v>0</v>
      </c>
      <c r="O156" s="19">
        <f t="shared" si="134"/>
        <v>0</v>
      </c>
      <c r="P156" s="88" t="s">
        <v>490</v>
      </c>
      <c r="Z156" s="19">
        <f t="shared" si="135"/>
        <v>0</v>
      </c>
      <c r="AB156" s="19">
        <f t="shared" si="136"/>
        <v>0</v>
      </c>
      <c r="AC156" s="19">
        <f t="shared" si="137"/>
        <v>0</v>
      </c>
      <c r="AD156" s="19">
        <f t="shared" si="138"/>
        <v>0</v>
      </c>
      <c r="AE156" s="19">
        <f t="shared" si="139"/>
        <v>0</v>
      </c>
      <c r="AF156" s="19">
        <f t="shared" si="140"/>
        <v>0</v>
      </c>
      <c r="AG156" s="19">
        <f t="shared" si="141"/>
        <v>0</v>
      </c>
      <c r="AH156" s="19">
        <f t="shared" si="142"/>
        <v>0</v>
      </c>
      <c r="AI156" s="16" t="s">
        <v>252</v>
      </c>
      <c r="AJ156" s="19">
        <f t="shared" si="143"/>
        <v>0</v>
      </c>
      <c r="AK156" s="19">
        <f t="shared" si="144"/>
        <v>0</v>
      </c>
      <c r="AL156" s="19">
        <f t="shared" si="145"/>
        <v>0</v>
      </c>
      <c r="AN156" s="19">
        <v>12</v>
      </c>
      <c r="AO156" s="19">
        <f>H156*0</f>
        <v>0</v>
      </c>
      <c r="AP156" s="19">
        <f>H156*(1-0)</f>
        <v>0</v>
      </c>
      <c r="AQ156" s="87" t="s">
        <v>498</v>
      </c>
      <c r="AV156" s="19">
        <f t="shared" si="146"/>
        <v>0</v>
      </c>
      <c r="AW156" s="19">
        <f t="shared" si="147"/>
        <v>0</v>
      </c>
      <c r="AX156" s="19">
        <f t="shared" si="148"/>
        <v>0</v>
      </c>
      <c r="AY156" s="87" t="s">
        <v>583</v>
      </c>
      <c r="AZ156" s="87" t="s">
        <v>621</v>
      </c>
      <c r="BA156" s="16" t="s">
        <v>622</v>
      </c>
      <c r="BC156" s="19">
        <f t="shared" si="149"/>
        <v>0</v>
      </c>
      <c r="BD156" s="19">
        <f t="shared" si="150"/>
        <v>0</v>
      </c>
      <c r="BE156" s="19">
        <v>0</v>
      </c>
      <c r="BF156" s="19">
        <f t="shared" si="151"/>
        <v>0</v>
      </c>
      <c r="BH156" s="19">
        <f t="shared" si="152"/>
        <v>0</v>
      </c>
      <c r="BI156" s="19">
        <f t="shared" si="153"/>
        <v>0</v>
      </c>
      <c r="BJ156" s="19">
        <f t="shared" si="154"/>
        <v>0</v>
      </c>
      <c r="BK156" s="19"/>
      <c r="BL156" s="19">
        <v>723</v>
      </c>
      <c r="BW156" s="19" t="str">
        <f t="shared" si="155"/>
        <v>12</v>
      </c>
      <c r="BX156" s="4" t="s">
        <v>233</v>
      </c>
    </row>
    <row r="157" spans="1:76" x14ac:dyDescent="0.25">
      <c r="A157" s="84" t="s">
        <v>25</v>
      </c>
      <c r="B157" s="15" t="s">
        <v>267</v>
      </c>
      <c r="C157" s="15" t="s">
        <v>25</v>
      </c>
      <c r="D157" s="112" t="s">
        <v>268</v>
      </c>
      <c r="E157" s="113"/>
      <c r="F157" s="85" t="s">
        <v>23</v>
      </c>
      <c r="G157" s="85" t="s">
        <v>23</v>
      </c>
      <c r="H157" s="85" t="s">
        <v>23</v>
      </c>
      <c r="I157" s="85" t="s">
        <v>23</v>
      </c>
      <c r="J157" s="60">
        <f>J158+J172+J174+J176+J181+J187+J189+J191+J193+J199</f>
        <v>0</v>
      </c>
      <c r="K157" s="60">
        <f>K158+K172+K174+K176+K181+K187+K189+K191+K193+K199</f>
        <v>0</v>
      </c>
      <c r="L157" s="60">
        <f>L158+L172+L174+L176+L181+L187+L189+L191+L193+L199</f>
        <v>0</v>
      </c>
      <c r="M157" s="60">
        <f>M158+M172+M174+M176+M181+M187+M189+M191+M193+M199</f>
        <v>0</v>
      </c>
      <c r="N157" s="16" t="s">
        <v>25</v>
      </c>
      <c r="O157" s="60">
        <f>O158+O172+O174+O176+O181+O187+O189+O191+O193+O199</f>
        <v>5.3989940000000001</v>
      </c>
      <c r="P157" s="86" t="s">
        <v>25</v>
      </c>
    </row>
    <row r="158" spans="1:76" x14ac:dyDescent="0.25">
      <c r="A158" s="84" t="s">
        <v>25</v>
      </c>
      <c r="B158" s="15" t="s">
        <v>267</v>
      </c>
      <c r="C158" s="15" t="s">
        <v>269</v>
      </c>
      <c r="D158" s="112" t="s">
        <v>270</v>
      </c>
      <c r="E158" s="113"/>
      <c r="F158" s="85" t="s">
        <v>23</v>
      </c>
      <c r="G158" s="85" t="s">
        <v>23</v>
      </c>
      <c r="H158" s="85" t="s">
        <v>23</v>
      </c>
      <c r="I158" s="85" t="s">
        <v>23</v>
      </c>
      <c r="J158" s="60">
        <f>SUM(J159:J171)</f>
        <v>0</v>
      </c>
      <c r="K158" s="60">
        <f>SUM(K159:K171)</f>
        <v>0</v>
      </c>
      <c r="L158" s="60">
        <f>SUM(L159:L171)</f>
        <v>0</v>
      </c>
      <c r="M158" s="60">
        <f>SUM(M159:M171)</f>
        <v>0</v>
      </c>
      <c r="N158" s="16" t="s">
        <v>25</v>
      </c>
      <c r="O158" s="60">
        <f>SUM(O159:O171)</f>
        <v>0.48662100000000003</v>
      </c>
      <c r="P158" s="86" t="s">
        <v>25</v>
      </c>
      <c r="AI158" s="16" t="s">
        <v>267</v>
      </c>
      <c r="AS158" s="60">
        <f>SUM(AJ159:AJ171)</f>
        <v>0</v>
      </c>
      <c r="AT158" s="60">
        <f>SUM(AK159:AK171)</f>
        <v>0</v>
      </c>
      <c r="AU158" s="60">
        <f>SUM(AL159:AL171)</f>
        <v>0</v>
      </c>
    </row>
    <row r="159" spans="1:76" x14ac:dyDescent="0.25">
      <c r="A159" s="1" t="s">
        <v>633</v>
      </c>
      <c r="B159" s="2" t="s">
        <v>267</v>
      </c>
      <c r="C159" s="2" t="s">
        <v>271</v>
      </c>
      <c r="D159" s="105" t="s">
        <v>272</v>
      </c>
      <c r="E159" s="99"/>
      <c r="F159" s="2" t="s">
        <v>40</v>
      </c>
      <c r="G159" s="19">
        <f>'Rozpočet - vybrané sloupce'!J158</f>
        <v>12</v>
      </c>
      <c r="H159" s="19">
        <f>'Rozpočet - vybrané sloupce'!K158</f>
        <v>0</v>
      </c>
      <c r="I159" s="87" t="s">
        <v>489</v>
      </c>
      <c r="J159" s="19">
        <f t="shared" ref="J159:J171" si="156">G159*AO159</f>
        <v>0</v>
      </c>
      <c r="K159" s="19">
        <f t="shared" ref="K159:K171" si="157">G159*AP159</f>
        <v>0</v>
      </c>
      <c r="L159" s="19">
        <f t="shared" ref="L159:L171" si="158">G159*H159</f>
        <v>0</v>
      </c>
      <c r="M159" s="19">
        <f t="shared" ref="M159:M171" si="159">L159*(1+BW159/100)</f>
        <v>0</v>
      </c>
      <c r="N159" s="19">
        <v>0</v>
      </c>
      <c r="O159" s="19">
        <f t="shared" ref="O159:O171" si="160">G159*N159</f>
        <v>0</v>
      </c>
      <c r="P159" s="88" t="s">
        <v>634</v>
      </c>
      <c r="Z159" s="19">
        <f t="shared" ref="Z159:Z171" si="161">IF(AQ159="5",BJ159,0)</f>
        <v>0</v>
      </c>
      <c r="AB159" s="19">
        <f t="shared" ref="AB159:AB171" si="162">IF(AQ159="1",BH159,0)</f>
        <v>0</v>
      </c>
      <c r="AC159" s="19">
        <f t="shared" ref="AC159:AC171" si="163">IF(AQ159="1",BI159,0)</f>
        <v>0</v>
      </c>
      <c r="AD159" s="19">
        <f t="shared" ref="AD159:AD171" si="164">IF(AQ159="7",BH159,0)</f>
        <v>0</v>
      </c>
      <c r="AE159" s="19">
        <f t="shared" ref="AE159:AE171" si="165">IF(AQ159="7",BI159,0)</f>
        <v>0</v>
      </c>
      <c r="AF159" s="19">
        <f t="shared" ref="AF159:AF171" si="166">IF(AQ159="2",BH159,0)</f>
        <v>0</v>
      </c>
      <c r="AG159" s="19">
        <f t="shared" ref="AG159:AG171" si="167">IF(AQ159="2",BI159,0)</f>
        <v>0</v>
      </c>
      <c r="AH159" s="19">
        <f t="shared" ref="AH159:AH171" si="168">IF(AQ159="0",BJ159,0)</f>
        <v>0</v>
      </c>
      <c r="AI159" s="16" t="s">
        <v>267</v>
      </c>
      <c r="AJ159" s="19">
        <f t="shared" ref="AJ159:AJ171" si="169">IF(AN159=0,L159,0)</f>
        <v>0</v>
      </c>
      <c r="AK159" s="19">
        <f t="shared" ref="AK159:AK171" si="170">IF(AN159=12,L159,0)</f>
        <v>0</v>
      </c>
      <c r="AL159" s="19">
        <f t="shared" ref="AL159:AL171" si="171">IF(AN159=21,L159,0)</f>
        <v>0</v>
      </c>
      <c r="AN159" s="19">
        <v>12</v>
      </c>
      <c r="AO159" s="19">
        <f>H159*0</f>
        <v>0</v>
      </c>
      <c r="AP159" s="19">
        <f>H159*(1-0)</f>
        <v>0</v>
      </c>
      <c r="AQ159" s="87" t="s">
        <v>488</v>
      </c>
      <c r="AV159" s="19">
        <f t="shared" ref="AV159:AV171" si="172">AW159+AX159</f>
        <v>0</v>
      </c>
      <c r="AW159" s="19">
        <f t="shared" ref="AW159:AW171" si="173">G159*AO159</f>
        <v>0</v>
      </c>
      <c r="AX159" s="19">
        <f t="shared" ref="AX159:AX171" si="174">G159*AP159</f>
        <v>0</v>
      </c>
      <c r="AY159" s="87" t="s">
        <v>635</v>
      </c>
      <c r="AZ159" s="87" t="s">
        <v>636</v>
      </c>
      <c r="BA159" s="16" t="s">
        <v>637</v>
      </c>
      <c r="BC159" s="19">
        <f t="shared" ref="BC159:BC171" si="175">AW159+AX159</f>
        <v>0</v>
      </c>
      <c r="BD159" s="19">
        <f t="shared" ref="BD159:BD171" si="176">H159/(100-BE159)*100</f>
        <v>0</v>
      </c>
      <c r="BE159" s="19">
        <v>0</v>
      </c>
      <c r="BF159" s="19">
        <f t="shared" ref="BF159:BF171" si="177">O159</f>
        <v>0</v>
      </c>
      <c r="BH159" s="19">
        <f t="shared" ref="BH159:BH171" si="178">G159*AO159</f>
        <v>0</v>
      </c>
      <c r="BI159" s="19">
        <f t="shared" ref="BI159:BI171" si="179">G159*AP159</f>
        <v>0</v>
      </c>
      <c r="BJ159" s="19">
        <f t="shared" ref="BJ159:BJ171" si="180">G159*H159</f>
        <v>0</v>
      </c>
      <c r="BK159" s="19"/>
      <c r="BL159" s="19">
        <v>34</v>
      </c>
      <c r="BW159" s="19" t="str">
        <f t="shared" ref="BW159:BW171" si="181">I159</f>
        <v>12</v>
      </c>
      <c r="BX159" s="4" t="s">
        <v>272</v>
      </c>
    </row>
    <row r="160" spans="1:76" x14ac:dyDescent="0.25">
      <c r="A160" s="1" t="s">
        <v>638</v>
      </c>
      <c r="B160" s="2" t="s">
        <v>267</v>
      </c>
      <c r="C160" s="2" t="s">
        <v>273</v>
      </c>
      <c r="D160" s="105" t="s">
        <v>274</v>
      </c>
      <c r="E160" s="99"/>
      <c r="F160" s="2" t="s">
        <v>40</v>
      </c>
      <c r="G160" s="19">
        <f>'Rozpočet - vybrané sloupce'!J159</f>
        <v>12</v>
      </c>
      <c r="H160" s="19">
        <f>'Rozpočet - vybrané sloupce'!K159</f>
        <v>0</v>
      </c>
      <c r="I160" s="87" t="s">
        <v>489</v>
      </c>
      <c r="J160" s="19">
        <f t="shared" si="156"/>
        <v>0</v>
      </c>
      <c r="K160" s="19">
        <f t="shared" si="157"/>
        <v>0</v>
      </c>
      <c r="L160" s="19">
        <f t="shared" si="158"/>
        <v>0</v>
      </c>
      <c r="M160" s="19">
        <f t="shared" si="159"/>
        <v>0</v>
      </c>
      <c r="N160" s="19">
        <v>0</v>
      </c>
      <c r="O160" s="19">
        <f t="shared" si="160"/>
        <v>0</v>
      </c>
      <c r="P160" s="88" t="s">
        <v>490</v>
      </c>
      <c r="Z160" s="19">
        <f t="shared" si="161"/>
        <v>0</v>
      </c>
      <c r="AB160" s="19">
        <f t="shared" si="162"/>
        <v>0</v>
      </c>
      <c r="AC160" s="19">
        <f t="shared" si="163"/>
        <v>0</v>
      </c>
      <c r="AD160" s="19">
        <f t="shared" si="164"/>
        <v>0</v>
      </c>
      <c r="AE160" s="19">
        <f t="shared" si="165"/>
        <v>0</v>
      </c>
      <c r="AF160" s="19">
        <f t="shared" si="166"/>
        <v>0</v>
      </c>
      <c r="AG160" s="19">
        <f t="shared" si="167"/>
        <v>0</v>
      </c>
      <c r="AH160" s="19">
        <f t="shared" si="168"/>
        <v>0</v>
      </c>
      <c r="AI160" s="16" t="s">
        <v>267</v>
      </c>
      <c r="AJ160" s="19">
        <f t="shared" si="169"/>
        <v>0</v>
      </c>
      <c r="AK160" s="19">
        <f t="shared" si="170"/>
        <v>0</v>
      </c>
      <c r="AL160" s="19">
        <f t="shared" si="171"/>
        <v>0</v>
      </c>
      <c r="AN160" s="19">
        <v>12</v>
      </c>
      <c r="AO160" s="19">
        <f>H160*0</f>
        <v>0</v>
      </c>
      <c r="AP160" s="19">
        <f>H160*(1-0)</f>
        <v>0</v>
      </c>
      <c r="AQ160" s="87" t="s">
        <v>488</v>
      </c>
      <c r="AV160" s="19">
        <f t="shared" si="172"/>
        <v>0</v>
      </c>
      <c r="AW160" s="19">
        <f t="shared" si="173"/>
        <v>0</v>
      </c>
      <c r="AX160" s="19">
        <f t="shared" si="174"/>
        <v>0</v>
      </c>
      <c r="AY160" s="87" t="s">
        <v>635</v>
      </c>
      <c r="AZ160" s="87" t="s">
        <v>636</v>
      </c>
      <c r="BA160" s="16" t="s">
        <v>637</v>
      </c>
      <c r="BC160" s="19">
        <f t="shared" si="175"/>
        <v>0</v>
      </c>
      <c r="BD160" s="19">
        <f t="shared" si="176"/>
        <v>0</v>
      </c>
      <c r="BE160" s="19">
        <v>0</v>
      </c>
      <c r="BF160" s="19">
        <f t="shared" si="177"/>
        <v>0</v>
      </c>
      <c r="BH160" s="19">
        <f t="shared" si="178"/>
        <v>0</v>
      </c>
      <c r="BI160" s="19">
        <f t="shared" si="179"/>
        <v>0</v>
      </c>
      <c r="BJ160" s="19">
        <f t="shared" si="180"/>
        <v>0</v>
      </c>
      <c r="BK160" s="19"/>
      <c r="BL160" s="19">
        <v>34</v>
      </c>
      <c r="BW160" s="19" t="str">
        <f t="shared" si="181"/>
        <v>12</v>
      </c>
      <c r="BX160" s="4" t="s">
        <v>274</v>
      </c>
    </row>
    <row r="161" spans="1:76" x14ac:dyDescent="0.25">
      <c r="A161" s="1" t="s">
        <v>639</v>
      </c>
      <c r="B161" s="2" t="s">
        <v>267</v>
      </c>
      <c r="C161" s="2" t="s">
        <v>275</v>
      </c>
      <c r="D161" s="105" t="s">
        <v>276</v>
      </c>
      <c r="E161" s="99"/>
      <c r="F161" s="2" t="s">
        <v>35</v>
      </c>
      <c r="G161" s="19">
        <f>'Rozpočet - vybrané sloupce'!J160</f>
        <v>12</v>
      </c>
      <c r="H161" s="19">
        <f>'Rozpočet - vybrané sloupce'!K160</f>
        <v>0</v>
      </c>
      <c r="I161" s="87" t="s">
        <v>489</v>
      </c>
      <c r="J161" s="19">
        <f t="shared" si="156"/>
        <v>0</v>
      </c>
      <c r="K161" s="19">
        <f t="shared" si="157"/>
        <v>0</v>
      </c>
      <c r="L161" s="19">
        <f t="shared" si="158"/>
        <v>0</v>
      </c>
      <c r="M161" s="19">
        <f t="shared" si="159"/>
        <v>0</v>
      </c>
      <c r="N161" s="19">
        <v>0</v>
      </c>
      <c r="O161" s="19">
        <f t="shared" si="160"/>
        <v>0</v>
      </c>
      <c r="P161" s="88" t="s">
        <v>490</v>
      </c>
      <c r="Z161" s="19">
        <f t="shared" si="161"/>
        <v>0</v>
      </c>
      <c r="AB161" s="19">
        <f t="shared" si="162"/>
        <v>0</v>
      </c>
      <c r="AC161" s="19">
        <f t="shared" si="163"/>
        <v>0</v>
      </c>
      <c r="AD161" s="19">
        <f t="shared" si="164"/>
        <v>0</v>
      </c>
      <c r="AE161" s="19">
        <f t="shared" si="165"/>
        <v>0</v>
      </c>
      <c r="AF161" s="19">
        <f t="shared" si="166"/>
        <v>0</v>
      </c>
      <c r="AG161" s="19">
        <f t="shared" si="167"/>
        <v>0</v>
      </c>
      <c r="AH161" s="19">
        <f t="shared" si="168"/>
        <v>0</v>
      </c>
      <c r="AI161" s="16" t="s">
        <v>267</v>
      </c>
      <c r="AJ161" s="19">
        <f t="shared" si="169"/>
        <v>0</v>
      </c>
      <c r="AK161" s="19">
        <f t="shared" si="170"/>
        <v>0</v>
      </c>
      <c r="AL161" s="19">
        <f t="shared" si="171"/>
        <v>0</v>
      </c>
      <c r="AN161" s="19">
        <v>12</v>
      </c>
      <c r="AO161" s="19">
        <f>H161*1</f>
        <v>0</v>
      </c>
      <c r="AP161" s="19">
        <f>H161*(1-1)</f>
        <v>0</v>
      </c>
      <c r="AQ161" s="87" t="s">
        <v>488</v>
      </c>
      <c r="AV161" s="19">
        <f t="shared" si="172"/>
        <v>0</v>
      </c>
      <c r="AW161" s="19">
        <f t="shared" si="173"/>
        <v>0</v>
      </c>
      <c r="AX161" s="19">
        <f t="shared" si="174"/>
        <v>0</v>
      </c>
      <c r="AY161" s="87" t="s">
        <v>635</v>
      </c>
      <c r="AZ161" s="87" t="s">
        <v>636</v>
      </c>
      <c r="BA161" s="16" t="s">
        <v>637</v>
      </c>
      <c r="BC161" s="19">
        <f t="shared" si="175"/>
        <v>0</v>
      </c>
      <c r="BD161" s="19">
        <f t="shared" si="176"/>
        <v>0</v>
      </c>
      <c r="BE161" s="19">
        <v>0</v>
      </c>
      <c r="BF161" s="19">
        <f t="shared" si="177"/>
        <v>0</v>
      </c>
      <c r="BH161" s="19">
        <f t="shared" si="178"/>
        <v>0</v>
      </c>
      <c r="BI161" s="19">
        <f t="shared" si="179"/>
        <v>0</v>
      </c>
      <c r="BJ161" s="19">
        <f t="shared" si="180"/>
        <v>0</v>
      </c>
      <c r="BK161" s="19"/>
      <c r="BL161" s="19">
        <v>34</v>
      </c>
      <c r="BW161" s="19" t="str">
        <f t="shared" si="181"/>
        <v>12</v>
      </c>
      <c r="BX161" s="4" t="s">
        <v>276</v>
      </c>
    </row>
    <row r="162" spans="1:76" x14ac:dyDescent="0.25">
      <c r="A162" s="1" t="s">
        <v>640</v>
      </c>
      <c r="B162" s="2" t="s">
        <v>267</v>
      </c>
      <c r="C162" s="2" t="s">
        <v>277</v>
      </c>
      <c r="D162" s="105" t="s">
        <v>278</v>
      </c>
      <c r="E162" s="99"/>
      <c r="F162" s="2" t="s">
        <v>35</v>
      </c>
      <c r="G162" s="19">
        <f>'Rozpočet - vybrané sloupce'!J161</f>
        <v>12</v>
      </c>
      <c r="H162" s="19">
        <f>'Rozpočet - vybrané sloupce'!K161</f>
        <v>0</v>
      </c>
      <c r="I162" s="87" t="s">
        <v>489</v>
      </c>
      <c r="J162" s="19">
        <f t="shared" si="156"/>
        <v>0</v>
      </c>
      <c r="K162" s="19">
        <f t="shared" si="157"/>
        <v>0</v>
      </c>
      <c r="L162" s="19">
        <f t="shared" si="158"/>
        <v>0</v>
      </c>
      <c r="M162" s="19">
        <f t="shared" si="159"/>
        <v>0</v>
      </c>
      <c r="N162" s="19">
        <v>2.4000000000000001E-4</v>
      </c>
      <c r="O162" s="19">
        <f t="shared" si="160"/>
        <v>2.8800000000000002E-3</v>
      </c>
      <c r="P162" s="88" t="s">
        <v>490</v>
      </c>
      <c r="Z162" s="19">
        <f t="shared" si="161"/>
        <v>0</v>
      </c>
      <c r="AB162" s="19">
        <f t="shared" si="162"/>
        <v>0</v>
      </c>
      <c r="AC162" s="19">
        <f t="shared" si="163"/>
        <v>0</v>
      </c>
      <c r="AD162" s="19">
        <f t="shared" si="164"/>
        <v>0</v>
      </c>
      <c r="AE162" s="19">
        <f t="shared" si="165"/>
        <v>0</v>
      </c>
      <c r="AF162" s="19">
        <f t="shared" si="166"/>
        <v>0</v>
      </c>
      <c r="AG162" s="19">
        <f t="shared" si="167"/>
        <v>0</v>
      </c>
      <c r="AH162" s="19">
        <f t="shared" si="168"/>
        <v>0</v>
      </c>
      <c r="AI162" s="16" t="s">
        <v>267</v>
      </c>
      <c r="AJ162" s="19">
        <f t="shared" si="169"/>
        <v>0</v>
      </c>
      <c r="AK162" s="19">
        <f t="shared" si="170"/>
        <v>0</v>
      </c>
      <c r="AL162" s="19">
        <f t="shared" si="171"/>
        <v>0</v>
      </c>
      <c r="AN162" s="19">
        <v>12</v>
      </c>
      <c r="AO162" s="19">
        <f>H162*0.02489332</f>
        <v>0</v>
      </c>
      <c r="AP162" s="19">
        <f>H162*(1-0.02489332)</f>
        <v>0</v>
      </c>
      <c r="AQ162" s="87" t="s">
        <v>488</v>
      </c>
      <c r="AV162" s="19">
        <f t="shared" si="172"/>
        <v>0</v>
      </c>
      <c r="AW162" s="19">
        <f t="shared" si="173"/>
        <v>0</v>
      </c>
      <c r="AX162" s="19">
        <f t="shared" si="174"/>
        <v>0</v>
      </c>
      <c r="AY162" s="87" t="s">
        <v>635</v>
      </c>
      <c r="AZ162" s="87" t="s">
        <v>636</v>
      </c>
      <c r="BA162" s="16" t="s">
        <v>637</v>
      </c>
      <c r="BC162" s="19">
        <f t="shared" si="175"/>
        <v>0</v>
      </c>
      <c r="BD162" s="19">
        <f t="shared" si="176"/>
        <v>0</v>
      </c>
      <c r="BE162" s="19">
        <v>0</v>
      </c>
      <c r="BF162" s="19">
        <f t="shared" si="177"/>
        <v>2.8800000000000002E-3</v>
      </c>
      <c r="BH162" s="19">
        <f t="shared" si="178"/>
        <v>0</v>
      </c>
      <c r="BI162" s="19">
        <f t="shared" si="179"/>
        <v>0</v>
      </c>
      <c r="BJ162" s="19">
        <f t="shared" si="180"/>
        <v>0</v>
      </c>
      <c r="BK162" s="19"/>
      <c r="BL162" s="19">
        <v>34</v>
      </c>
      <c r="BW162" s="19" t="str">
        <f t="shared" si="181"/>
        <v>12</v>
      </c>
      <c r="BX162" s="4" t="s">
        <v>278</v>
      </c>
    </row>
    <row r="163" spans="1:76" x14ac:dyDescent="0.25">
      <c r="A163" s="1" t="s">
        <v>641</v>
      </c>
      <c r="B163" s="2" t="s">
        <v>267</v>
      </c>
      <c r="C163" s="2" t="s">
        <v>279</v>
      </c>
      <c r="D163" s="105" t="s">
        <v>280</v>
      </c>
      <c r="E163" s="99"/>
      <c r="F163" s="2" t="s">
        <v>35</v>
      </c>
      <c r="G163" s="19">
        <f>'Rozpočet - vybrané sloupce'!J162</f>
        <v>12</v>
      </c>
      <c r="H163" s="19">
        <f>'Rozpočet - vybrané sloupce'!K162</f>
        <v>0</v>
      </c>
      <c r="I163" s="87" t="s">
        <v>489</v>
      </c>
      <c r="J163" s="19">
        <f t="shared" si="156"/>
        <v>0</v>
      </c>
      <c r="K163" s="19">
        <f t="shared" si="157"/>
        <v>0</v>
      </c>
      <c r="L163" s="19">
        <f t="shared" si="158"/>
        <v>0</v>
      </c>
      <c r="M163" s="19">
        <f t="shared" si="159"/>
        <v>0</v>
      </c>
      <c r="N163" s="19">
        <v>0</v>
      </c>
      <c r="O163" s="19">
        <f t="shared" si="160"/>
        <v>0</v>
      </c>
      <c r="P163" s="88" t="s">
        <v>490</v>
      </c>
      <c r="Z163" s="19">
        <f t="shared" si="161"/>
        <v>0</v>
      </c>
      <c r="AB163" s="19">
        <f t="shared" si="162"/>
        <v>0</v>
      </c>
      <c r="AC163" s="19">
        <f t="shared" si="163"/>
        <v>0</v>
      </c>
      <c r="AD163" s="19">
        <f t="shared" si="164"/>
        <v>0</v>
      </c>
      <c r="AE163" s="19">
        <f t="shared" si="165"/>
        <v>0</v>
      </c>
      <c r="AF163" s="19">
        <f t="shared" si="166"/>
        <v>0</v>
      </c>
      <c r="AG163" s="19">
        <f t="shared" si="167"/>
        <v>0</v>
      </c>
      <c r="AH163" s="19">
        <f t="shared" si="168"/>
        <v>0</v>
      </c>
      <c r="AI163" s="16" t="s">
        <v>267</v>
      </c>
      <c r="AJ163" s="19">
        <f t="shared" si="169"/>
        <v>0</v>
      </c>
      <c r="AK163" s="19">
        <f t="shared" si="170"/>
        <v>0</v>
      </c>
      <c r="AL163" s="19">
        <f t="shared" si="171"/>
        <v>0</v>
      </c>
      <c r="AN163" s="19">
        <v>12</v>
      </c>
      <c r="AO163" s="19">
        <f>H163*1</f>
        <v>0</v>
      </c>
      <c r="AP163" s="19">
        <f>H163*(1-1)</f>
        <v>0</v>
      </c>
      <c r="AQ163" s="87" t="s">
        <v>488</v>
      </c>
      <c r="AV163" s="19">
        <f t="shared" si="172"/>
        <v>0</v>
      </c>
      <c r="AW163" s="19">
        <f t="shared" si="173"/>
        <v>0</v>
      </c>
      <c r="AX163" s="19">
        <f t="shared" si="174"/>
        <v>0</v>
      </c>
      <c r="AY163" s="87" t="s">
        <v>635</v>
      </c>
      <c r="AZ163" s="87" t="s">
        <v>636</v>
      </c>
      <c r="BA163" s="16" t="s">
        <v>637</v>
      </c>
      <c r="BC163" s="19">
        <f t="shared" si="175"/>
        <v>0</v>
      </c>
      <c r="BD163" s="19">
        <f t="shared" si="176"/>
        <v>0</v>
      </c>
      <c r="BE163" s="19">
        <v>0</v>
      </c>
      <c r="BF163" s="19">
        <f t="shared" si="177"/>
        <v>0</v>
      </c>
      <c r="BH163" s="19">
        <f t="shared" si="178"/>
        <v>0</v>
      </c>
      <c r="BI163" s="19">
        <f t="shared" si="179"/>
        <v>0</v>
      </c>
      <c r="BJ163" s="19">
        <f t="shared" si="180"/>
        <v>0</v>
      </c>
      <c r="BK163" s="19"/>
      <c r="BL163" s="19">
        <v>34</v>
      </c>
      <c r="BW163" s="19" t="str">
        <f t="shared" si="181"/>
        <v>12</v>
      </c>
      <c r="BX163" s="4" t="s">
        <v>280</v>
      </c>
    </row>
    <row r="164" spans="1:76" x14ac:dyDescent="0.25">
      <c r="A164" s="1" t="s">
        <v>642</v>
      </c>
      <c r="B164" s="2" t="s">
        <v>267</v>
      </c>
      <c r="C164" s="2" t="s">
        <v>281</v>
      </c>
      <c r="D164" s="105" t="s">
        <v>282</v>
      </c>
      <c r="E164" s="99"/>
      <c r="F164" s="2" t="s">
        <v>283</v>
      </c>
      <c r="G164" s="19">
        <f>'Rozpočet - vybrané sloupce'!J163</f>
        <v>1.2</v>
      </c>
      <c r="H164" s="19">
        <f>'Rozpočet - vybrané sloupce'!K163</f>
        <v>0</v>
      </c>
      <c r="I164" s="87" t="s">
        <v>489</v>
      </c>
      <c r="J164" s="19">
        <f t="shared" si="156"/>
        <v>0</v>
      </c>
      <c r="K164" s="19">
        <f t="shared" si="157"/>
        <v>0</v>
      </c>
      <c r="L164" s="19">
        <f t="shared" si="158"/>
        <v>0</v>
      </c>
      <c r="M164" s="19">
        <f t="shared" si="159"/>
        <v>0</v>
      </c>
      <c r="N164" s="19">
        <v>0.25897999999999999</v>
      </c>
      <c r="O164" s="19">
        <f t="shared" si="160"/>
        <v>0.310776</v>
      </c>
      <c r="P164" s="88" t="s">
        <v>490</v>
      </c>
      <c r="Z164" s="19">
        <f t="shared" si="161"/>
        <v>0</v>
      </c>
      <c r="AB164" s="19">
        <f t="shared" si="162"/>
        <v>0</v>
      </c>
      <c r="AC164" s="19">
        <f t="shared" si="163"/>
        <v>0</v>
      </c>
      <c r="AD164" s="19">
        <f t="shared" si="164"/>
        <v>0</v>
      </c>
      <c r="AE164" s="19">
        <f t="shared" si="165"/>
        <v>0</v>
      </c>
      <c r="AF164" s="19">
        <f t="shared" si="166"/>
        <v>0</v>
      </c>
      <c r="AG164" s="19">
        <f t="shared" si="167"/>
        <v>0</v>
      </c>
      <c r="AH164" s="19">
        <f t="shared" si="168"/>
        <v>0</v>
      </c>
      <c r="AI164" s="16" t="s">
        <v>267</v>
      </c>
      <c r="AJ164" s="19">
        <f t="shared" si="169"/>
        <v>0</v>
      </c>
      <c r="AK164" s="19">
        <f t="shared" si="170"/>
        <v>0</v>
      </c>
      <c r="AL164" s="19">
        <f t="shared" si="171"/>
        <v>0</v>
      </c>
      <c r="AN164" s="19">
        <v>12</v>
      </c>
      <c r="AO164" s="19">
        <f>H164*0.512806621</f>
        <v>0</v>
      </c>
      <c r="AP164" s="19">
        <f>H164*(1-0.512806621)</f>
        <v>0</v>
      </c>
      <c r="AQ164" s="87" t="s">
        <v>488</v>
      </c>
      <c r="AV164" s="19">
        <f t="shared" si="172"/>
        <v>0</v>
      </c>
      <c r="AW164" s="19">
        <f t="shared" si="173"/>
        <v>0</v>
      </c>
      <c r="AX164" s="19">
        <f t="shared" si="174"/>
        <v>0</v>
      </c>
      <c r="AY164" s="87" t="s">
        <v>635</v>
      </c>
      <c r="AZ164" s="87" t="s">
        <v>636</v>
      </c>
      <c r="BA164" s="16" t="s">
        <v>637</v>
      </c>
      <c r="BC164" s="19">
        <f t="shared" si="175"/>
        <v>0</v>
      </c>
      <c r="BD164" s="19">
        <f t="shared" si="176"/>
        <v>0</v>
      </c>
      <c r="BE164" s="19">
        <v>0</v>
      </c>
      <c r="BF164" s="19">
        <f t="shared" si="177"/>
        <v>0.310776</v>
      </c>
      <c r="BH164" s="19">
        <f t="shared" si="178"/>
        <v>0</v>
      </c>
      <c r="BI164" s="19">
        <f t="shared" si="179"/>
        <v>0</v>
      </c>
      <c r="BJ164" s="19">
        <f t="shared" si="180"/>
        <v>0</v>
      </c>
      <c r="BK164" s="19"/>
      <c r="BL164" s="19">
        <v>34</v>
      </c>
      <c r="BW164" s="19" t="str">
        <f t="shared" si="181"/>
        <v>12</v>
      </c>
      <c r="BX164" s="4" t="s">
        <v>282</v>
      </c>
    </row>
    <row r="165" spans="1:76" x14ac:dyDescent="0.25">
      <c r="A165" s="1" t="s">
        <v>643</v>
      </c>
      <c r="B165" s="2" t="s">
        <v>267</v>
      </c>
      <c r="C165" s="2" t="s">
        <v>284</v>
      </c>
      <c r="D165" s="105" t="s">
        <v>285</v>
      </c>
      <c r="E165" s="99"/>
      <c r="F165" s="2" t="s">
        <v>283</v>
      </c>
      <c r="G165" s="19">
        <f>'Rozpočet - vybrané sloupce'!J164</f>
        <v>6.5</v>
      </c>
      <c r="H165" s="19">
        <f>'Rozpočet - vybrané sloupce'!K164</f>
        <v>0</v>
      </c>
      <c r="I165" s="87" t="s">
        <v>489</v>
      </c>
      <c r="J165" s="19">
        <f t="shared" si="156"/>
        <v>0</v>
      </c>
      <c r="K165" s="19">
        <f t="shared" si="157"/>
        <v>0</v>
      </c>
      <c r="L165" s="19">
        <f t="shared" si="158"/>
        <v>0</v>
      </c>
      <c r="M165" s="19">
        <f t="shared" si="159"/>
        <v>0</v>
      </c>
      <c r="N165" s="19">
        <v>1.2E-2</v>
      </c>
      <c r="O165" s="19">
        <f t="shared" si="160"/>
        <v>7.8E-2</v>
      </c>
      <c r="P165" s="88" t="s">
        <v>490</v>
      </c>
      <c r="Z165" s="19">
        <f t="shared" si="161"/>
        <v>0</v>
      </c>
      <c r="AB165" s="19">
        <f t="shared" si="162"/>
        <v>0</v>
      </c>
      <c r="AC165" s="19">
        <f t="shared" si="163"/>
        <v>0</v>
      </c>
      <c r="AD165" s="19">
        <f t="shared" si="164"/>
        <v>0</v>
      </c>
      <c r="AE165" s="19">
        <f t="shared" si="165"/>
        <v>0</v>
      </c>
      <c r="AF165" s="19">
        <f t="shared" si="166"/>
        <v>0</v>
      </c>
      <c r="AG165" s="19">
        <f t="shared" si="167"/>
        <v>0</v>
      </c>
      <c r="AH165" s="19">
        <f t="shared" si="168"/>
        <v>0</v>
      </c>
      <c r="AI165" s="16" t="s">
        <v>267</v>
      </c>
      <c r="AJ165" s="19">
        <f t="shared" si="169"/>
        <v>0</v>
      </c>
      <c r="AK165" s="19">
        <f t="shared" si="170"/>
        <v>0</v>
      </c>
      <c r="AL165" s="19">
        <f t="shared" si="171"/>
        <v>0</v>
      </c>
      <c r="AN165" s="19">
        <v>12</v>
      </c>
      <c r="AO165" s="19">
        <f>H165*0</f>
        <v>0</v>
      </c>
      <c r="AP165" s="19">
        <f>H165*(1-0)</f>
        <v>0</v>
      </c>
      <c r="AQ165" s="87" t="s">
        <v>488</v>
      </c>
      <c r="AV165" s="19">
        <f t="shared" si="172"/>
        <v>0</v>
      </c>
      <c r="AW165" s="19">
        <f t="shared" si="173"/>
        <v>0</v>
      </c>
      <c r="AX165" s="19">
        <f t="shared" si="174"/>
        <v>0</v>
      </c>
      <c r="AY165" s="87" t="s">
        <v>635</v>
      </c>
      <c r="AZ165" s="87" t="s">
        <v>636</v>
      </c>
      <c r="BA165" s="16" t="s">
        <v>637</v>
      </c>
      <c r="BC165" s="19">
        <f t="shared" si="175"/>
        <v>0</v>
      </c>
      <c r="BD165" s="19">
        <f t="shared" si="176"/>
        <v>0</v>
      </c>
      <c r="BE165" s="19">
        <v>0</v>
      </c>
      <c r="BF165" s="19">
        <f t="shared" si="177"/>
        <v>7.8E-2</v>
      </c>
      <c r="BH165" s="19">
        <f t="shared" si="178"/>
        <v>0</v>
      </c>
      <c r="BI165" s="19">
        <f t="shared" si="179"/>
        <v>0</v>
      </c>
      <c r="BJ165" s="19">
        <f t="shared" si="180"/>
        <v>0</v>
      </c>
      <c r="BK165" s="19"/>
      <c r="BL165" s="19">
        <v>34</v>
      </c>
      <c r="BW165" s="19" t="str">
        <f t="shared" si="181"/>
        <v>12</v>
      </c>
      <c r="BX165" s="4" t="s">
        <v>285</v>
      </c>
    </row>
    <row r="166" spans="1:76" x14ac:dyDescent="0.25">
      <c r="A166" s="1" t="s">
        <v>644</v>
      </c>
      <c r="B166" s="2" t="s">
        <v>267</v>
      </c>
      <c r="C166" s="2" t="s">
        <v>286</v>
      </c>
      <c r="D166" s="105" t="s">
        <v>287</v>
      </c>
      <c r="E166" s="99"/>
      <c r="F166" s="2" t="s">
        <v>283</v>
      </c>
      <c r="G166" s="19">
        <f>'Rozpočet - vybrané sloupce'!J165</f>
        <v>6.5</v>
      </c>
      <c r="H166" s="19">
        <f>'Rozpočet - vybrané sloupce'!K165</f>
        <v>0</v>
      </c>
      <c r="I166" s="87" t="s">
        <v>489</v>
      </c>
      <c r="J166" s="19">
        <f t="shared" si="156"/>
        <v>0</v>
      </c>
      <c r="K166" s="19">
        <f t="shared" si="157"/>
        <v>0</v>
      </c>
      <c r="L166" s="19">
        <f t="shared" si="158"/>
        <v>0</v>
      </c>
      <c r="M166" s="19">
        <f t="shared" si="159"/>
        <v>0</v>
      </c>
      <c r="N166" s="19">
        <v>1.3729999999999999E-2</v>
      </c>
      <c r="O166" s="19">
        <f t="shared" si="160"/>
        <v>8.9244999999999991E-2</v>
      </c>
      <c r="P166" s="88" t="s">
        <v>490</v>
      </c>
      <c r="Z166" s="19">
        <f t="shared" si="161"/>
        <v>0</v>
      </c>
      <c r="AB166" s="19">
        <f t="shared" si="162"/>
        <v>0</v>
      </c>
      <c r="AC166" s="19">
        <f t="shared" si="163"/>
        <v>0</v>
      </c>
      <c r="AD166" s="19">
        <f t="shared" si="164"/>
        <v>0</v>
      </c>
      <c r="AE166" s="19">
        <f t="shared" si="165"/>
        <v>0</v>
      </c>
      <c r="AF166" s="19">
        <f t="shared" si="166"/>
        <v>0</v>
      </c>
      <c r="AG166" s="19">
        <f t="shared" si="167"/>
        <v>0</v>
      </c>
      <c r="AH166" s="19">
        <f t="shared" si="168"/>
        <v>0</v>
      </c>
      <c r="AI166" s="16" t="s">
        <v>267</v>
      </c>
      <c r="AJ166" s="19">
        <f t="shared" si="169"/>
        <v>0</v>
      </c>
      <c r="AK166" s="19">
        <f t="shared" si="170"/>
        <v>0</v>
      </c>
      <c r="AL166" s="19">
        <f t="shared" si="171"/>
        <v>0</v>
      </c>
      <c r="AN166" s="19">
        <v>12</v>
      </c>
      <c r="AO166" s="19">
        <f>H166*0.464727608</f>
        <v>0</v>
      </c>
      <c r="AP166" s="19">
        <f>H166*(1-0.464727608)</f>
        <v>0</v>
      </c>
      <c r="AQ166" s="87" t="s">
        <v>488</v>
      </c>
      <c r="AV166" s="19">
        <f t="shared" si="172"/>
        <v>0</v>
      </c>
      <c r="AW166" s="19">
        <f t="shared" si="173"/>
        <v>0</v>
      </c>
      <c r="AX166" s="19">
        <f t="shared" si="174"/>
        <v>0</v>
      </c>
      <c r="AY166" s="87" t="s">
        <v>635</v>
      </c>
      <c r="AZ166" s="87" t="s">
        <v>636</v>
      </c>
      <c r="BA166" s="16" t="s">
        <v>637</v>
      </c>
      <c r="BC166" s="19">
        <f t="shared" si="175"/>
        <v>0</v>
      </c>
      <c r="BD166" s="19">
        <f t="shared" si="176"/>
        <v>0</v>
      </c>
      <c r="BE166" s="19">
        <v>0</v>
      </c>
      <c r="BF166" s="19">
        <f t="shared" si="177"/>
        <v>8.9244999999999991E-2</v>
      </c>
      <c r="BH166" s="19">
        <f t="shared" si="178"/>
        <v>0</v>
      </c>
      <c r="BI166" s="19">
        <f t="shared" si="179"/>
        <v>0</v>
      </c>
      <c r="BJ166" s="19">
        <f t="shared" si="180"/>
        <v>0</v>
      </c>
      <c r="BK166" s="19"/>
      <c r="BL166" s="19">
        <v>34</v>
      </c>
      <c r="BW166" s="19" t="str">
        <f t="shared" si="181"/>
        <v>12</v>
      </c>
      <c r="BX166" s="4" t="s">
        <v>287</v>
      </c>
    </row>
    <row r="167" spans="1:76" x14ac:dyDescent="0.25">
      <c r="A167" s="1" t="s">
        <v>645</v>
      </c>
      <c r="B167" s="2" t="s">
        <v>267</v>
      </c>
      <c r="C167" s="2" t="s">
        <v>288</v>
      </c>
      <c r="D167" s="105" t="s">
        <v>289</v>
      </c>
      <c r="E167" s="99"/>
      <c r="F167" s="2" t="s">
        <v>283</v>
      </c>
      <c r="G167" s="19">
        <f>'Rozpočet - vybrané sloupce'!J166</f>
        <v>6.5</v>
      </c>
      <c r="H167" s="19">
        <f>'Rozpočet - vybrané sloupce'!K166</f>
        <v>0</v>
      </c>
      <c r="I167" s="87" t="s">
        <v>489</v>
      </c>
      <c r="J167" s="19">
        <f t="shared" si="156"/>
        <v>0</v>
      </c>
      <c r="K167" s="19">
        <f t="shared" si="157"/>
        <v>0</v>
      </c>
      <c r="L167" s="19">
        <f t="shared" si="158"/>
        <v>0</v>
      </c>
      <c r="M167" s="19">
        <f t="shared" si="159"/>
        <v>0</v>
      </c>
      <c r="N167" s="19">
        <v>0</v>
      </c>
      <c r="O167" s="19">
        <f t="shared" si="160"/>
        <v>0</v>
      </c>
      <c r="P167" s="88" t="s">
        <v>490</v>
      </c>
      <c r="Z167" s="19">
        <f t="shared" si="161"/>
        <v>0</v>
      </c>
      <c r="AB167" s="19">
        <f t="shared" si="162"/>
        <v>0</v>
      </c>
      <c r="AC167" s="19">
        <f t="shared" si="163"/>
        <v>0</v>
      </c>
      <c r="AD167" s="19">
        <f t="shared" si="164"/>
        <v>0</v>
      </c>
      <c r="AE167" s="19">
        <f t="shared" si="165"/>
        <v>0</v>
      </c>
      <c r="AF167" s="19">
        <f t="shared" si="166"/>
        <v>0</v>
      </c>
      <c r="AG167" s="19">
        <f t="shared" si="167"/>
        <v>0</v>
      </c>
      <c r="AH167" s="19">
        <f t="shared" si="168"/>
        <v>0</v>
      </c>
      <c r="AI167" s="16" t="s">
        <v>267</v>
      </c>
      <c r="AJ167" s="19">
        <f t="shared" si="169"/>
        <v>0</v>
      </c>
      <c r="AK167" s="19">
        <f t="shared" si="170"/>
        <v>0</v>
      </c>
      <c r="AL167" s="19">
        <f t="shared" si="171"/>
        <v>0</v>
      </c>
      <c r="AN167" s="19">
        <v>12</v>
      </c>
      <c r="AO167" s="19">
        <f>H167*0</f>
        <v>0</v>
      </c>
      <c r="AP167" s="19">
        <f>H167*(1-0)</f>
        <v>0</v>
      </c>
      <c r="AQ167" s="87" t="s">
        <v>488</v>
      </c>
      <c r="AV167" s="19">
        <f t="shared" si="172"/>
        <v>0</v>
      </c>
      <c r="AW167" s="19">
        <f t="shared" si="173"/>
        <v>0</v>
      </c>
      <c r="AX167" s="19">
        <f t="shared" si="174"/>
        <v>0</v>
      </c>
      <c r="AY167" s="87" t="s">
        <v>635</v>
      </c>
      <c r="AZ167" s="87" t="s">
        <v>636</v>
      </c>
      <c r="BA167" s="16" t="s">
        <v>637</v>
      </c>
      <c r="BC167" s="19">
        <f t="shared" si="175"/>
        <v>0</v>
      </c>
      <c r="BD167" s="19">
        <f t="shared" si="176"/>
        <v>0</v>
      </c>
      <c r="BE167" s="19">
        <v>0</v>
      </c>
      <c r="BF167" s="19">
        <f t="shared" si="177"/>
        <v>0</v>
      </c>
      <c r="BH167" s="19">
        <f t="shared" si="178"/>
        <v>0</v>
      </c>
      <c r="BI167" s="19">
        <f t="shared" si="179"/>
        <v>0</v>
      </c>
      <c r="BJ167" s="19">
        <f t="shared" si="180"/>
        <v>0</v>
      </c>
      <c r="BK167" s="19"/>
      <c r="BL167" s="19">
        <v>34</v>
      </c>
      <c r="BW167" s="19" t="str">
        <f t="shared" si="181"/>
        <v>12</v>
      </c>
      <c r="BX167" s="4" t="s">
        <v>289</v>
      </c>
    </row>
    <row r="168" spans="1:76" x14ac:dyDescent="0.25">
      <c r="A168" s="1" t="s">
        <v>646</v>
      </c>
      <c r="B168" s="2" t="s">
        <v>267</v>
      </c>
      <c r="C168" s="2" t="s">
        <v>290</v>
      </c>
      <c r="D168" s="105" t="s">
        <v>291</v>
      </c>
      <c r="E168" s="99"/>
      <c r="F168" s="2" t="s">
        <v>35</v>
      </c>
      <c r="G168" s="19">
        <f>'Rozpočet - vybrané sloupce'!J167</f>
        <v>2</v>
      </c>
      <c r="H168" s="19">
        <f>'Rozpočet - vybrané sloupce'!K167</f>
        <v>0</v>
      </c>
      <c r="I168" s="87" t="s">
        <v>489</v>
      </c>
      <c r="J168" s="19">
        <f t="shared" si="156"/>
        <v>0</v>
      </c>
      <c r="K168" s="19">
        <f t="shared" si="157"/>
        <v>0</v>
      </c>
      <c r="L168" s="19">
        <f t="shared" si="158"/>
        <v>0</v>
      </c>
      <c r="M168" s="19">
        <f t="shared" si="159"/>
        <v>0</v>
      </c>
      <c r="N168" s="19">
        <v>1.6000000000000001E-4</v>
      </c>
      <c r="O168" s="19">
        <f t="shared" si="160"/>
        <v>3.2000000000000003E-4</v>
      </c>
      <c r="P168" s="88" t="s">
        <v>490</v>
      </c>
      <c r="Z168" s="19">
        <f t="shared" si="161"/>
        <v>0</v>
      </c>
      <c r="AB168" s="19">
        <f t="shared" si="162"/>
        <v>0</v>
      </c>
      <c r="AC168" s="19">
        <f t="shared" si="163"/>
        <v>0</v>
      </c>
      <c r="AD168" s="19">
        <f t="shared" si="164"/>
        <v>0</v>
      </c>
      <c r="AE168" s="19">
        <f t="shared" si="165"/>
        <v>0</v>
      </c>
      <c r="AF168" s="19">
        <f t="shared" si="166"/>
        <v>0</v>
      </c>
      <c r="AG168" s="19">
        <f t="shared" si="167"/>
        <v>0</v>
      </c>
      <c r="AH168" s="19">
        <f t="shared" si="168"/>
        <v>0</v>
      </c>
      <c r="AI168" s="16" t="s">
        <v>267</v>
      </c>
      <c r="AJ168" s="19">
        <f t="shared" si="169"/>
        <v>0</v>
      </c>
      <c r="AK168" s="19">
        <f t="shared" si="170"/>
        <v>0</v>
      </c>
      <c r="AL168" s="19">
        <f t="shared" si="171"/>
        <v>0</v>
      </c>
      <c r="AN168" s="19">
        <v>12</v>
      </c>
      <c r="AO168" s="19">
        <f>H168*0.018490909</f>
        <v>0</v>
      </c>
      <c r="AP168" s="19">
        <f>H168*(1-0.018490909)</f>
        <v>0</v>
      </c>
      <c r="AQ168" s="87" t="s">
        <v>488</v>
      </c>
      <c r="AV168" s="19">
        <f t="shared" si="172"/>
        <v>0</v>
      </c>
      <c r="AW168" s="19">
        <f t="shared" si="173"/>
        <v>0</v>
      </c>
      <c r="AX168" s="19">
        <f t="shared" si="174"/>
        <v>0</v>
      </c>
      <c r="AY168" s="87" t="s">
        <v>635</v>
      </c>
      <c r="AZ168" s="87" t="s">
        <v>636</v>
      </c>
      <c r="BA168" s="16" t="s">
        <v>637</v>
      </c>
      <c r="BC168" s="19">
        <f t="shared" si="175"/>
        <v>0</v>
      </c>
      <c r="BD168" s="19">
        <f t="shared" si="176"/>
        <v>0</v>
      </c>
      <c r="BE168" s="19">
        <v>0</v>
      </c>
      <c r="BF168" s="19">
        <f t="shared" si="177"/>
        <v>3.2000000000000003E-4</v>
      </c>
      <c r="BH168" s="19">
        <f t="shared" si="178"/>
        <v>0</v>
      </c>
      <c r="BI168" s="19">
        <f t="shared" si="179"/>
        <v>0</v>
      </c>
      <c r="BJ168" s="19">
        <f t="shared" si="180"/>
        <v>0</v>
      </c>
      <c r="BK168" s="19"/>
      <c r="BL168" s="19">
        <v>34</v>
      </c>
      <c r="BW168" s="19" t="str">
        <f t="shared" si="181"/>
        <v>12</v>
      </c>
      <c r="BX168" s="4" t="s">
        <v>291</v>
      </c>
    </row>
    <row r="169" spans="1:76" x14ac:dyDescent="0.25">
      <c r="A169" s="1" t="s">
        <v>647</v>
      </c>
      <c r="B169" s="2" t="s">
        <v>267</v>
      </c>
      <c r="C169" s="2" t="s">
        <v>292</v>
      </c>
      <c r="D169" s="105" t="s">
        <v>293</v>
      </c>
      <c r="E169" s="99"/>
      <c r="F169" s="2" t="s">
        <v>35</v>
      </c>
      <c r="G169" s="19">
        <f>'Rozpočet - vybrané sloupce'!J168</f>
        <v>1</v>
      </c>
      <c r="H169" s="19">
        <f>'Rozpočet - vybrané sloupce'!K168</f>
        <v>0</v>
      </c>
      <c r="I169" s="87" t="s">
        <v>489</v>
      </c>
      <c r="J169" s="19">
        <f t="shared" si="156"/>
        <v>0</v>
      </c>
      <c r="K169" s="19">
        <f t="shared" si="157"/>
        <v>0</v>
      </c>
      <c r="L169" s="19">
        <f t="shared" si="158"/>
        <v>0</v>
      </c>
      <c r="M169" s="19">
        <f t="shared" si="159"/>
        <v>0</v>
      </c>
      <c r="N169" s="19">
        <v>3.3999999999999998E-3</v>
      </c>
      <c r="O169" s="19">
        <f t="shared" si="160"/>
        <v>3.3999999999999998E-3</v>
      </c>
      <c r="P169" s="88" t="s">
        <v>490</v>
      </c>
      <c r="Z169" s="19">
        <f t="shared" si="161"/>
        <v>0</v>
      </c>
      <c r="AB169" s="19">
        <f t="shared" si="162"/>
        <v>0</v>
      </c>
      <c r="AC169" s="19">
        <f t="shared" si="163"/>
        <v>0</v>
      </c>
      <c r="AD169" s="19">
        <f t="shared" si="164"/>
        <v>0</v>
      </c>
      <c r="AE169" s="19">
        <f t="shared" si="165"/>
        <v>0</v>
      </c>
      <c r="AF169" s="19">
        <f t="shared" si="166"/>
        <v>0</v>
      </c>
      <c r="AG169" s="19">
        <f t="shared" si="167"/>
        <v>0</v>
      </c>
      <c r="AH169" s="19">
        <f t="shared" si="168"/>
        <v>0</v>
      </c>
      <c r="AI169" s="16" t="s">
        <v>267</v>
      </c>
      <c r="AJ169" s="19">
        <f t="shared" si="169"/>
        <v>0</v>
      </c>
      <c r="AK169" s="19">
        <f t="shared" si="170"/>
        <v>0</v>
      </c>
      <c r="AL169" s="19">
        <f t="shared" si="171"/>
        <v>0</v>
      </c>
      <c r="AN169" s="19">
        <v>12</v>
      </c>
      <c r="AO169" s="19">
        <f>H169*1</f>
        <v>0</v>
      </c>
      <c r="AP169" s="19">
        <f>H169*(1-1)</f>
        <v>0</v>
      </c>
      <c r="AQ169" s="87" t="s">
        <v>488</v>
      </c>
      <c r="AV169" s="19">
        <f t="shared" si="172"/>
        <v>0</v>
      </c>
      <c r="AW169" s="19">
        <f t="shared" si="173"/>
        <v>0</v>
      </c>
      <c r="AX169" s="19">
        <f t="shared" si="174"/>
        <v>0</v>
      </c>
      <c r="AY169" s="87" t="s">
        <v>635</v>
      </c>
      <c r="AZ169" s="87" t="s">
        <v>636</v>
      </c>
      <c r="BA169" s="16" t="s">
        <v>637</v>
      </c>
      <c r="BC169" s="19">
        <f t="shared" si="175"/>
        <v>0</v>
      </c>
      <c r="BD169" s="19">
        <f t="shared" si="176"/>
        <v>0</v>
      </c>
      <c r="BE169" s="19">
        <v>0</v>
      </c>
      <c r="BF169" s="19">
        <f t="shared" si="177"/>
        <v>3.3999999999999998E-3</v>
      </c>
      <c r="BH169" s="19">
        <f t="shared" si="178"/>
        <v>0</v>
      </c>
      <c r="BI169" s="19">
        <f t="shared" si="179"/>
        <v>0</v>
      </c>
      <c r="BJ169" s="19">
        <f t="shared" si="180"/>
        <v>0</v>
      </c>
      <c r="BK169" s="19"/>
      <c r="BL169" s="19">
        <v>34</v>
      </c>
      <c r="BW169" s="19" t="str">
        <f t="shared" si="181"/>
        <v>12</v>
      </c>
      <c r="BX169" s="4" t="s">
        <v>293</v>
      </c>
    </row>
    <row r="170" spans="1:76" x14ac:dyDescent="0.25">
      <c r="A170" s="1" t="s">
        <v>648</v>
      </c>
      <c r="B170" s="2" t="s">
        <v>267</v>
      </c>
      <c r="C170" s="2" t="s">
        <v>294</v>
      </c>
      <c r="D170" s="105" t="s">
        <v>295</v>
      </c>
      <c r="E170" s="99"/>
      <c r="F170" s="2" t="s">
        <v>35</v>
      </c>
      <c r="G170" s="19">
        <f>'Rozpočet - vybrané sloupce'!J169</f>
        <v>1</v>
      </c>
      <c r="H170" s="19">
        <f>'Rozpočet - vybrané sloupce'!K169</f>
        <v>0</v>
      </c>
      <c r="I170" s="87" t="s">
        <v>489</v>
      </c>
      <c r="J170" s="19">
        <f t="shared" si="156"/>
        <v>0</v>
      </c>
      <c r="K170" s="19">
        <f t="shared" si="157"/>
        <v>0</v>
      </c>
      <c r="L170" s="19">
        <f t="shared" si="158"/>
        <v>0</v>
      </c>
      <c r="M170" s="19">
        <f t="shared" si="159"/>
        <v>0</v>
      </c>
      <c r="N170" s="19">
        <v>2E-3</v>
      </c>
      <c r="O170" s="19">
        <f t="shared" si="160"/>
        <v>2E-3</v>
      </c>
      <c r="P170" s="88" t="s">
        <v>490</v>
      </c>
      <c r="Z170" s="19">
        <f t="shared" si="161"/>
        <v>0</v>
      </c>
      <c r="AB170" s="19">
        <f t="shared" si="162"/>
        <v>0</v>
      </c>
      <c r="AC170" s="19">
        <f t="shared" si="163"/>
        <v>0</v>
      </c>
      <c r="AD170" s="19">
        <f t="shared" si="164"/>
        <v>0</v>
      </c>
      <c r="AE170" s="19">
        <f t="shared" si="165"/>
        <v>0</v>
      </c>
      <c r="AF170" s="19">
        <f t="shared" si="166"/>
        <v>0</v>
      </c>
      <c r="AG170" s="19">
        <f t="shared" si="167"/>
        <v>0</v>
      </c>
      <c r="AH170" s="19">
        <f t="shared" si="168"/>
        <v>0</v>
      </c>
      <c r="AI170" s="16" t="s">
        <v>267</v>
      </c>
      <c r="AJ170" s="19">
        <f t="shared" si="169"/>
        <v>0</v>
      </c>
      <c r="AK170" s="19">
        <f t="shared" si="170"/>
        <v>0</v>
      </c>
      <c r="AL170" s="19">
        <f t="shared" si="171"/>
        <v>0</v>
      </c>
      <c r="AN170" s="19">
        <v>12</v>
      </c>
      <c r="AO170" s="19">
        <f>H170*1</f>
        <v>0</v>
      </c>
      <c r="AP170" s="19">
        <f>H170*(1-1)</f>
        <v>0</v>
      </c>
      <c r="AQ170" s="87" t="s">
        <v>488</v>
      </c>
      <c r="AV170" s="19">
        <f t="shared" si="172"/>
        <v>0</v>
      </c>
      <c r="AW170" s="19">
        <f t="shared" si="173"/>
        <v>0</v>
      </c>
      <c r="AX170" s="19">
        <f t="shared" si="174"/>
        <v>0</v>
      </c>
      <c r="AY170" s="87" t="s">
        <v>635</v>
      </c>
      <c r="AZ170" s="87" t="s">
        <v>636</v>
      </c>
      <c r="BA170" s="16" t="s">
        <v>637</v>
      </c>
      <c r="BC170" s="19">
        <f t="shared" si="175"/>
        <v>0</v>
      </c>
      <c r="BD170" s="19">
        <f t="shared" si="176"/>
        <v>0</v>
      </c>
      <c r="BE170" s="19">
        <v>0</v>
      </c>
      <c r="BF170" s="19">
        <f t="shared" si="177"/>
        <v>2E-3</v>
      </c>
      <c r="BH170" s="19">
        <f t="shared" si="178"/>
        <v>0</v>
      </c>
      <c r="BI170" s="19">
        <f t="shared" si="179"/>
        <v>0</v>
      </c>
      <c r="BJ170" s="19">
        <f t="shared" si="180"/>
        <v>0</v>
      </c>
      <c r="BK170" s="19"/>
      <c r="BL170" s="19">
        <v>34</v>
      </c>
      <c r="BW170" s="19" t="str">
        <f t="shared" si="181"/>
        <v>12</v>
      </c>
      <c r="BX170" s="4" t="s">
        <v>295</v>
      </c>
    </row>
    <row r="171" spans="1:76" x14ac:dyDescent="0.25">
      <c r="A171" s="1" t="s">
        <v>649</v>
      </c>
      <c r="B171" s="2" t="s">
        <v>267</v>
      </c>
      <c r="C171" s="2" t="s">
        <v>296</v>
      </c>
      <c r="D171" s="105" t="s">
        <v>297</v>
      </c>
      <c r="E171" s="99"/>
      <c r="F171" s="2" t="s">
        <v>72</v>
      </c>
      <c r="G171" s="19">
        <f>'Rozpočet - vybrané sloupce'!J170</f>
        <v>0.6</v>
      </c>
      <c r="H171" s="19">
        <f>'Rozpočet - vybrané sloupce'!K170</f>
        <v>0</v>
      </c>
      <c r="I171" s="87" t="s">
        <v>489</v>
      </c>
      <c r="J171" s="19">
        <f t="shared" si="156"/>
        <v>0</v>
      </c>
      <c r="K171" s="19">
        <f t="shared" si="157"/>
        <v>0</v>
      </c>
      <c r="L171" s="19">
        <f t="shared" si="158"/>
        <v>0</v>
      </c>
      <c r="M171" s="19">
        <f t="shared" si="159"/>
        <v>0</v>
      </c>
      <c r="N171" s="19">
        <v>0</v>
      </c>
      <c r="O171" s="19">
        <f t="shared" si="160"/>
        <v>0</v>
      </c>
      <c r="P171" s="88" t="s">
        <v>490</v>
      </c>
      <c r="Z171" s="19">
        <f t="shared" si="161"/>
        <v>0</v>
      </c>
      <c r="AB171" s="19">
        <f t="shared" si="162"/>
        <v>0</v>
      </c>
      <c r="AC171" s="19">
        <f t="shared" si="163"/>
        <v>0</v>
      </c>
      <c r="AD171" s="19">
        <f t="shared" si="164"/>
        <v>0</v>
      </c>
      <c r="AE171" s="19">
        <f t="shared" si="165"/>
        <v>0</v>
      </c>
      <c r="AF171" s="19">
        <f t="shared" si="166"/>
        <v>0</v>
      </c>
      <c r="AG171" s="19">
        <f t="shared" si="167"/>
        <v>0</v>
      </c>
      <c r="AH171" s="19">
        <f t="shared" si="168"/>
        <v>0</v>
      </c>
      <c r="AI171" s="16" t="s">
        <v>267</v>
      </c>
      <c r="AJ171" s="19">
        <f t="shared" si="169"/>
        <v>0</v>
      </c>
      <c r="AK171" s="19">
        <f t="shared" si="170"/>
        <v>0</v>
      </c>
      <c r="AL171" s="19">
        <f t="shared" si="171"/>
        <v>0</v>
      </c>
      <c r="AN171" s="19">
        <v>12</v>
      </c>
      <c r="AO171" s="19">
        <f>H171*0</f>
        <v>0</v>
      </c>
      <c r="AP171" s="19">
        <f>H171*(1-0)</f>
        <v>0</v>
      </c>
      <c r="AQ171" s="87" t="s">
        <v>498</v>
      </c>
      <c r="AV171" s="19">
        <f t="shared" si="172"/>
        <v>0</v>
      </c>
      <c r="AW171" s="19">
        <f t="shared" si="173"/>
        <v>0</v>
      </c>
      <c r="AX171" s="19">
        <f t="shared" si="174"/>
        <v>0</v>
      </c>
      <c r="AY171" s="87" t="s">
        <v>635</v>
      </c>
      <c r="AZ171" s="87" t="s">
        <v>636</v>
      </c>
      <c r="BA171" s="16" t="s">
        <v>637</v>
      </c>
      <c r="BC171" s="19">
        <f t="shared" si="175"/>
        <v>0</v>
      </c>
      <c r="BD171" s="19">
        <f t="shared" si="176"/>
        <v>0</v>
      </c>
      <c r="BE171" s="19">
        <v>0</v>
      </c>
      <c r="BF171" s="19">
        <f t="shared" si="177"/>
        <v>0</v>
      </c>
      <c r="BH171" s="19">
        <f t="shared" si="178"/>
        <v>0</v>
      </c>
      <c r="BI171" s="19">
        <f t="shared" si="179"/>
        <v>0</v>
      </c>
      <c r="BJ171" s="19">
        <f t="shared" si="180"/>
        <v>0</v>
      </c>
      <c r="BK171" s="19"/>
      <c r="BL171" s="19">
        <v>34</v>
      </c>
      <c r="BW171" s="19" t="str">
        <f t="shared" si="181"/>
        <v>12</v>
      </c>
      <c r="BX171" s="4" t="s">
        <v>297</v>
      </c>
    </row>
    <row r="172" spans="1:76" x14ac:dyDescent="0.25">
      <c r="A172" s="84" t="s">
        <v>25</v>
      </c>
      <c r="B172" s="15" t="s">
        <v>267</v>
      </c>
      <c r="C172" s="15" t="s">
        <v>298</v>
      </c>
      <c r="D172" s="112" t="s">
        <v>299</v>
      </c>
      <c r="E172" s="113"/>
      <c r="F172" s="85" t="s">
        <v>23</v>
      </c>
      <c r="G172" s="85" t="s">
        <v>23</v>
      </c>
      <c r="H172" s="85" t="s">
        <v>23</v>
      </c>
      <c r="I172" s="85" t="s">
        <v>23</v>
      </c>
      <c r="J172" s="60">
        <f>SUM(J173:J173)</f>
        <v>0</v>
      </c>
      <c r="K172" s="60">
        <f>SUM(K173:K173)</f>
        <v>0</v>
      </c>
      <c r="L172" s="60">
        <f>SUM(L173:L173)</f>
        <v>0</v>
      </c>
      <c r="M172" s="60">
        <f>SUM(M173:M173)</f>
        <v>0</v>
      </c>
      <c r="N172" s="16" t="s">
        <v>25</v>
      </c>
      <c r="O172" s="60">
        <f>SUM(O173:O173)</f>
        <v>0</v>
      </c>
      <c r="P172" s="86" t="s">
        <v>25</v>
      </c>
      <c r="AI172" s="16" t="s">
        <v>267</v>
      </c>
      <c r="AS172" s="60">
        <f>SUM(AJ173:AJ173)</f>
        <v>0</v>
      </c>
      <c r="AT172" s="60">
        <f>SUM(AK173:AK173)</f>
        <v>0</v>
      </c>
      <c r="AU172" s="60">
        <f>SUM(AL173:AL173)</f>
        <v>0</v>
      </c>
    </row>
    <row r="173" spans="1:76" ht="25.5" x14ac:dyDescent="0.25">
      <c r="A173" s="1" t="s">
        <v>650</v>
      </c>
      <c r="B173" s="2" t="s">
        <v>267</v>
      </c>
      <c r="C173" s="2" t="s">
        <v>300</v>
      </c>
      <c r="D173" s="105" t="s">
        <v>301</v>
      </c>
      <c r="E173" s="99"/>
      <c r="F173" s="2" t="s">
        <v>35</v>
      </c>
      <c r="G173" s="19">
        <f>'Rozpočet - vybrané sloupce'!J172</f>
        <v>12</v>
      </c>
      <c r="H173" s="19">
        <f>'Rozpočet - vybrané sloupce'!K172</f>
        <v>0</v>
      </c>
      <c r="I173" s="87" t="s">
        <v>489</v>
      </c>
      <c r="J173" s="19">
        <f>G173*AO173</f>
        <v>0</v>
      </c>
      <c r="K173" s="19">
        <f>G173*AP173</f>
        <v>0</v>
      </c>
      <c r="L173" s="19">
        <f>G173*H173</f>
        <v>0</v>
      </c>
      <c r="M173" s="19">
        <f>L173*(1+BW173/100)</f>
        <v>0</v>
      </c>
      <c r="N173" s="19">
        <v>0</v>
      </c>
      <c r="O173" s="19">
        <f>G173*N173</f>
        <v>0</v>
      </c>
      <c r="P173" s="88" t="s">
        <v>490</v>
      </c>
      <c r="Z173" s="19">
        <f>IF(AQ173="5",BJ173,0)</f>
        <v>0</v>
      </c>
      <c r="AB173" s="19">
        <f>IF(AQ173="1",BH173,0)</f>
        <v>0</v>
      </c>
      <c r="AC173" s="19">
        <f>IF(AQ173="1",BI173,0)</f>
        <v>0</v>
      </c>
      <c r="AD173" s="19">
        <f>IF(AQ173="7",BH173,0)</f>
        <v>0</v>
      </c>
      <c r="AE173" s="19">
        <f>IF(AQ173="7",BI173,0)</f>
        <v>0</v>
      </c>
      <c r="AF173" s="19">
        <f>IF(AQ173="2",BH173,0)</f>
        <v>0</v>
      </c>
      <c r="AG173" s="19">
        <f>IF(AQ173="2",BI173,0)</f>
        <v>0</v>
      </c>
      <c r="AH173" s="19">
        <f>IF(AQ173="0",BJ173,0)</f>
        <v>0</v>
      </c>
      <c r="AI173" s="16" t="s">
        <v>267</v>
      </c>
      <c r="AJ173" s="19">
        <f>IF(AN173=0,L173,0)</f>
        <v>0</v>
      </c>
      <c r="AK173" s="19">
        <f>IF(AN173=12,L173,0)</f>
        <v>0</v>
      </c>
      <c r="AL173" s="19">
        <f>IF(AN173=21,L173,0)</f>
        <v>0</v>
      </c>
      <c r="AN173" s="19">
        <v>12</v>
      </c>
      <c r="AO173" s="19">
        <f>H173*0.542372881</f>
        <v>0</v>
      </c>
      <c r="AP173" s="19">
        <f>H173*(1-0.542372881)</f>
        <v>0</v>
      </c>
      <c r="AQ173" s="87" t="s">
        <v>488</v>
      </c>
      <c r="AV173" s="19">
        <f>AW173+AX173</f>
        <v>0</v>
      </c>
      <c r="AW173" s="19">
        <f>G173*AO173</f>
        <v>0</v>
      </c>
      <c r="AX173" s="19">
        <f>G173*AP173</f>
        <v>0</v>
      </c>
      <c r="AY173" s="87" t="s">
        <v>651</v>
      </c>
      <c r="AZ173" s="87" t="s">
        <v>652</v>
      </c>
      <c r="BA173" s="16" t="s">
        <v>637</v>
      </c>
      <c r="BC173" s="19">
        <f>AW173+AX173</f>
        <v>0</v>
      </c>
      <c r="BD173" s="19">
        <f>H173/(100-BE173)*100</f>
        <v>0</v>
      </c>
      <c r="BE173" s="19">
        <v>0</v>
      </c>
      <c r="BF173" s="19">
        <f>O173</f>
        <v>0</v>
      </c>
      <c r="BH173" s="19">
        <f>G173*AO173</f>
        <v>0</v>
      </c>
      <c r="BI173" s="19">
        <f>G173*AP173</f>
        <v>0</v>
      </c>
      <c r="BJ173" s="19">
        <f>G173*H173</f>
        <v>0</v>
      </c>
      <c r="BK173" s="19"/>
      <c r="BL173" s="19">
        <v>411</v>
      </c>
      <c r="BW173" s="19" t="str">
        <f>I173</f>
        <v>12</v>
      </c>
      <c r="BX173" s="4" t="s">
        <v>301</v>
      </c>
    </row>
    <row r="174" spans="1:76" x14ac:dyDescent="0.25">
      <c r="A174" s="84" t="s">
        <v>25</v>
      </c>
      <c r="B174" s="15" t="s">
        <v>267</v>
      </c>
      <c r="C174" s="15" t="s">
        <v>302</v>
      </c>
      <c r="D174" s="112" t="s">
        <v>303</v>
      </c>
      <c r="E174" s="113"/>
      <c r="F174" s="85" t="s">
        <v>23</v>
      </c>
      <c r="G174" s="85" t="s">
        <v>23</v>
      </c>
      <c r="H174" s="85" t="s">
        <v>23</v>
      </c>
      <c r="I174" s="85" t="s">
        <v>23</v>
      </c>
      <c r="J174" s="60">
        <f>SUM(J175:J175)</f>
        <v>0</v>
      </c>
      <c r="K174" s="60">
        <f>SUM(K175:K175)</f>
        <v>0</v>
      </c>
      <c r="L174" s="60">
        <f>SUM(L175:L175)</f>
        <v>0</v>
      </c>
      <c r="M174" s="60">
        <f>SUM(M175:M175)</f>
        <v>0</v>
      </c>
      <c r="N174" s="16" t="s">
        <v>25</v>
      </c>
      <c r="O174" s="60">
        <f>SUM(O175:O175)</f>
        <v>0</v>
      </c>
      <c r="P174" s="86" t="s">
        <v>25</v>
      </c>
      <c r="AI174" s="16" t="s">
        <v>267</v>
      </c>
      <c r="AS174" s="60">
        <f>SUM(AJ175:AJ175)</f>
        <v>0</v>
      </c>
      <c r="AT174" s="60">
        <f>SUM(AK175:AK175)</f>
        <v>0</v>
      </c>
      <c r="AU174" s="60">
        <f>SUM(AL175:AL175)</f>
        <v>0</v>
      </c>
    </row>
    <row r="175" spans="1:76" x14ac:dyDescent="0.25">
      <c r="A175" s="1" t="s">
        <v>653</v>
      </c>
      <c r="B175" s="2" t="s">
        <v>267</v>
      </c>
      <c r="C175" s="2" t="s">
        <v>304</v>
      </c>
      <c r="D175" s="105" t="s">
        <v>305</v>
      </c>
      <c r="E175" s="99"/>
      <c r="F175" s="2" t="s">
        <v>40</v>
      </c>
      <c r="G175" s="19">
        <f>'Rozpočet - vybrané sloupce'!J174</f>
        <v>12</v>
      </c>
      <c r="H175" s="19">
        <f>'Rozpočet - vybrané sloupce'!K174</f>
        <v>0</v>
      </c>
      <c r="I175" s="87" t="s">
        <v>489</v>
      </c>
      <c r="J175" s="19">
        <f>G175*AO175</f>
        <v>0</v>
      </c>
      <c r="K175" s="19">
        <f>G175*AP175</f>
        <v>0</v>
      </c>
      <c r="L175" s="19">
        <f>G175*H175</f>
        <v>0</v>
      </c>
      <c r="M175" s="19">
        <f>L175*(1+BW175/100)</f>
        <v>0</v>
      </c>
      <c r="N175" s="19">
        <v>0</v>
      </c>
      <c r="O175" s="19">
        <f>G175*N175</f>
        <v>0</v>
      </c>
      <c r="P175" s="88" t="s">
        <v>490</v>
      </c>
      <c r="Z175" s="19">
        <f>IF(AQ175="5",BJ175,0)</f>
        <v>0</v>
      </c>
      <c r="AB175" s="19">
        <f>IF(AQ175="1",BH175,0)</f>
        <v>0</v>
      </c>
      <c r="AC175" s="19">
        <f>IF(AQ175="1",BI175,0)</f>
        <v>0</v>
      </c>
      <c r="AD175" s="19">
        <f>IF(AQ175="7",BH175,0)</f>
        <v>0</v>
      </c>
      <c r="AE175" s="19">
        <f>IF(AQ175="7",BI175,0)</f>
        <v>0</v>
      </c>
      <c r="AF175" s="19">
        <f>IF(AQ175="2",BH175,0)</f>
        <v>0</v>
      </c>
      <c r="AG175" s="19">
        <f>IF(AQ175="2",BI175,0)</f>
        <v>0</v>
      </c>
      <c r="AH175" s="19">
        <f>IF(AQ175="0",BJ175,0)</f>
        <v>0</v>
      </c>
      <c r="AI175" s="16" t="s">
        <v>267</v>
      </c>
      <c r="AJ175" s="19">
        <f>IF(AN175=0,L175,0)</f>
        <v>0</v>
      </c>
      <c r="AK175" s="19">
        <f>IF(AN175=12,L175,0)</f>
        <v>0</v>
      </c>
      <c r="AL175" s="19">
        <f>IF(AN175=21,L175,0)</f>
        <v>0</v>
      </c>
      <c r="AN175" s="19">
        <v>12</v>
      </c>
      <c r="AO175" s="19">
        <f>H175*0.5</f>
        <v>0</v>
      </c>
      <c r="AP175" s="19">
        <f>H175*(1-0.5)</f>
        <v>0</v>
      </c>
      <c r="AQ175" s="87" t="s">
        <v>491</v>
      </c>
      <c r="AV175" s="19">
        <f>AW175+AX175</f>
        <v>0</v>
      </c>
      <c r="AW175" s="19">
        <f>G175*AO175</f>
        <v>0</v>
      </c>
      <c r="AX175" s="19">
        <f>G175*AP175</f>
        <v>0</v>
      </c>
      <c r="AY175" s="87" t="s">
        <v>654</v>
      </c>
      <c r="AZ175" s="87" t="s">
        <v>655</v>
      </c>
      <c r="BA175" s="16" t="s">
        <v>637</v>
      </c>
      <c r="BC175" s="19">
        <f>AW175+AX175</f>
        <v>0</v>
      </c>
      <c r="BD175" s="19">
        <f>H175/(100-BE175)*100</f>
        <v>0</v>
      </c>
      <c r="BE175" s="19">
        <v>0</v>
      </c>
      <c r="BF175" s="19">
        <f>O175</f>
        <v>0</v>
      </c>
      <c r="BH175" s="19">
        <f>G175*AO175</f>
        <v>0</v>
      </c>
      <c r="BI175" s="19">
        <f>G175*AP175</f>
        <v>0</v>
      </c>
      <c r="BJ175" s="19">
        <f>G175*H175</f>
        <v>0</v>
      </c>
      <c r="BK175" s="19"/>
      <c r="BL175" s="19">
        <v>74</v>
      </c>
      <c r="BW175" s="19" t="str">
        <f>I175</f>
        <v>12</v>
      </c>
      <c r="BX175" s="4" t="s">
        <v>305</v>
      </c>
    </row>
    <row r="176" spans="1:76" x14ac:dyDescent="0.25">
      <c r="A176" s="84" t="s">
        <v>25</v>
      </c>
      <c r="B176" s="15" t="s">
        <v>267</v>
      </c>
      <c r="C176" s="15" t="s">
        <v>306</v>
      </c>
      <c r="D176" s="112" t="s">
        <v>307</v>
      </c>
      <c r="E176" s="113"/>
      <c r="F176" s="85" t="s">
        <v>23</v>
      </c>
      <c r="G176" s="85" t="s">
        <v>23</v>
      </c>
      <c r="H176" s="85" t="s">
        <v>23</v>
      </c>
      <c r="I176" s="85" t="s">
        <v>23</v>
      </c>
      <c r="J176" s="60">
        <f>SUM(J177:J180)</f>
        <v>0</v>
      </c>
      <c r="K176" s="60">
        <f>SUM(K177:K180)</f>
        <v>0</v>
      </c>
      <c r="L176" s="60">
        <f>SUM(L177:L180)</f>
        <v>0</v>
      </c>
      <c r="M176" s="60">
        <f>SUM(M177:M180)</f>
        <v>0</v>
      </c>
      <c r="N176" s="16" t="s">
        <v>25</v>
      </c>
      <c r="O176" s="60">
        <f>SUM(O177:O180)</f>
        <v>5.7600000000000004E-3</v>
      </c>
      <c r="P176" s="86" t="s">
        <v>25</v>
      </c>
      <c r="AI176" s="16" t="s">
        <v>267</v>
      </c>
      <c r="AS176" s="60">
        <f>SUM(AJ177:AJ180)</f>
        <v>0</v>
      </c>
      <c r="AT176" s="60">
        <f>SUM(AK177:AK180)</f>
        <v>0</v>
      </c>
      <c r="AU176" s="60">
        <f>SUM(AL177:AL180)</f>
        <v>0</v>
      </c>
    </row>
    <row r="177" spans="1:76" x14ac:dyDescent="0.25">
      <c r="A177" s="1" t="s">
        <v>656</v>
      </c>
      <c r="B177" s="2" t="s">
        <v>267</v>
      </c>
      <c r="C177" s="2" t="s">
        <v>308</v>
      </c>
      <c r="D177" s="105" t="s">
        <v>309</v>
      </c>
      <c r="E177" s="99"/>
      <c r="F177" s="2" t="s">
        <v>310</v>
      </c>
      <c r="G177" s="19">
        <f>'Rozpočet - vybrané sloupce'!J176</f>
        <v>48</v>
      </c>
      <c r="H177" s="19">
        <f>'Rozpočet - vybrané sloupce'!K176</f>
        <v>0</v>
      </c>
      <c r="I177" s="87" t="s">
        <v>489</v>
      </c>
      <c r="J177" s="19">
        <f>G177*AO177</f>
        <v>0</v>
      </c>
      <c r="K177" s="19">
        <f>G177*AP177</f>
        <v>0</v>
      </c>
      <c r="L177" s="19">
        <f>G177*H177</f>
        <v>0</v>
      </c>
      <c r="M177" s="19">
        <f>L177*(1+BW177/100)</f>
        <v>0</v>
      </c>
      <c r="N177" s="19">
        <v>1.2E-4</v>
      </c>
      <c r="O177" s="19">
        <f>G177*N177</f>
        <v>5.7600000000000004E-3</v>
      </c>
      <c r="P177" s="88" t="s">
        <v>490</v>
      </c>
      <c r="Z177" s="19">
        <f>IF(AQ177="5",BJ177,0)</f>
        <v>0</v>
      </c>
      <c r="AB177" s="19">
        <f>IF(AQ177="1",BH177,0)</f>
        <v>0</v>
      </c>
      <c r="AC177" s="19">
        <f>IF(AQ177="1",BI177,0)</f>
        <v>0</v>
      </c>
      <c r="AD177" s="19">
        <f>IF(AQ177="7",BH177,0)</f>
        <v>0</v>
      </c>
      <c r="AE177" s="19">
        <f>IF(AQ177="7",BI177,0)</f>
        <v>0</v>
      </c>
      <c r="AF177" s="19">
        <f>IF(AQ177="2",BH177,0)</f>
        <v>0</v>
      </c>
      <c r="AG177" s="19">
        <f>IF(AQ177="2",BI177,0)</f>
        <v>0</v>
      </c>
      <c r="AH177" s="19">
        <f>IF(AQ177="0",BJ177,0)</f>
        <v>0</v>
      </c>
      <c r="AI177" s="16" t="s">
        <v>267</v>
      </c>
      <c r="AJ177" s="19">
        <f>IF(AN177=0,L177,0)</f>
        <v>0</v>
      </c>
      <c r="AK177" s="19">
        <f>IF(AN177=12,L177,0)</f>
        <v>0</v>
      </c>
      <c r="AL177" s="19">
        <f>IF(AN177=21,L177,0)</f>
        <v>0</v>
      </c>
      <c r="AN177" s="19">
        <v>12</v>
      </c>
      <c r="AO177" s="19">
        <f>H177*0.44975407</f>
        <v>0</v>
      </c>
      <c r="AP177" s="19">
        <f>H177*(1-0.44975407)</f>
        <v>0</v>
      </c>
      <c r="AQ177" s="87" t="s">
        <v>491</v>
      </c>
      <c r="AV177" s="19">
        <f>AW177+AX177</f>
        <v>0</v>
      </c>
      <c r="AW177" s="19">
        <f>G177*AO177</f>
        <v>0</v>
      </c>
      <c r="AX177" s="19">
        <f>G177*AP177</f>
        <v>0</v>
      </c>
      <c r="AY177" s="87" t="s">
        <v>657</v>
      </c>
      <c r="AZ177" s="87" t="s">
        <v>658</v>
      </c>
      <c r="BA177" s="16" t="s">
        <v>637</v>
      </c>
      <c r="BC177" s="19">
        <f>AW177+AX177</f>
        <v>0</v>
      </c>
      <c r="BD177" s="19">
        <f>H177/(100-BE177)*100</f>
        <v>0</v>
      </c>
      <c r="BE177" s="19">
        <v>0</v>
      </c>
      <c r="BF177" s="19">
        <f>O177</f>
        <v>5.7600000000000004E-3</v>
      </c>
      <c r="BH177" s="19">
        <f>G177*AO177</f>
        <v>0</v>
      </c>
      <c r="BI177" s="19">
        <f>G177*AP177</f>
        <v>0</v>
      </c>
      <c r="BJ177" s="19">
        <f>G177*H177</f>
        <v>0</v>
      </c>
      <c r="BK177" s="19"/>
      <c r="BL177" s="19">
        <v>767</v>
      </c>
      <c r="BW177" s="19" t="str">
        <f>I177</f>
        <v>12</v>
      </c>
      <c r="BX177" s="4" t="s">
        <v>309</v>
      </c>
    </row>
    <row r="178" spans="1:76" x14ac:dyDescent="0.25">
      <c r="A178" s="1" t="s">
        <v>659</v>
      </c>
      <c r="B178" s="2" t="s">
        <v>267</v>
      </c>
      <c r="C178" s="2" t="s">
        <v>311</v>
      </c>
      <c r="D178" s="105" t="s">
        <v>312</v>
      </c>
      <c r="E178" s="99"/>
      <c r="F178" s="2" t="s">
        <v>35</v>
      </c>
      <c r="G178" s="19">
        <f>'Rozpočet - vybrané sloupce'!J177</f>
        <v>24</v>
      </c>
      <c r="H178" s="19">
        <f>'Rozpočet - vybrané sloupce'!K177</f>
        <v>0</v>
      </c>
      <c r="I178" s="87" t="s">
        <v>489</v>
      </c>
      <c r="J178" s="19">
        <f>G178*AO178</f>
        <v>0</v>
      </c>
      <c r="K178" s="19">
        <f>G178*AP178</f>
        <v>0</v>
      </c>
      <c r="L178" s="19">
        <f>G178*H178</f>
        <v>0</v>
      </c>
      <c r="M178" s="19">
        <f>L178*(1+BW178/100)</f>
        <v>0</v>
      </c>
      <c r="N178" s="19">
        <v>0</v>
      </c>
      <c r="O178" s="19">
        <f>G178*N178</f>
        <v>0</v>
      </c>
      <c r="P178" s="88" t="s">
        <v>490</v>
      </c>
      <c r="Z178" s="19">
        <f>IF(AQ178="5",BJ178,0)</f>
        <v>0</v>
      </c>
      <c r="AB178" s="19">
        <f>IF(AQ178="1",BH178,0)</f>
        <v>0</v>
      </c>
      <c r="AC178" s="19">
        <f>IF(AQ178="1",BI178,0)</f>
        <v>0</v>
      </c>
      <c r="AD178" s="19">
        <f>IF(AQ178="7",BH178,0)</f>
        <v>0</v>
      </c>
      <c r="AE178" s="19">
        <f>IF(AQ178="7",BI178,0)</f>
        <v>0</v>
      </c>
      <c r="AF178" s="19">
        <f>IF(AQ178="2",BH178,0)</f>
        <v>0</v>
      </c>
      <c r="AG178" s="19">
        <f>IF(AQ178="2",BI178,0)</f>
        <v>0</v>
      </c>
      <c r="AH178" s="19">
        <f>IF(AQ178="0",BJ178,0)</f>
        <v>0</v>
      </c>
      <c r="AI178" s="16" t="s">
        <v>267</v>
      </c>
      <c r="AJ178" s="19">
        <f>IF(AN178=0,L178,0)</f>
        <v>0</v>
      </c>
      <c r="AK178" s="19">
        <f>IF(AN178=12,L178,0)</f>
        <v>0</v>
      </c>
      <c r="AL178" s="19">
        <f>IF(AN178=21,L178,0)</f>
        <v>0</v>
      </c>
      <c r="AN178" s="19">
        <v>12</v>
      </c>
      <c r="AO178" s="19">
        <f>H178*1</f>
        <v>0</v>
      </c>
      <c r="AP178" s="19">
        <f>H178*(1-1)</f>
        <v>0</v>
      </c>
      <c r="AQ178" s="87" t="s">
        <v>491</v>
      </c>
      <c r="AV178" s="19">
        <f>AW178+AX178</f>
        <v>0</v>
      </c>
      <c r="AW178" s="19">
        <f>G178*AO178</f>
        <v>0</v>
      </c>
      <c r="AX178" s="19">
        <f>G178*AP178</f>
        <v>0</v>
      </c>
      <c r="AY178" s="87" t="s">
        <v>657</v>
      </c>
      <c r="AZ178" s="87" t="s">
        <v>658</v>
      </c>
      <c r="BA178" s="16" t="s">
        <v>637</v>
      </c>
      <c r="BC178" s="19">
        <f>AW178+AX178</f>
        <v>0</v>
      </c>
      <c r="BD178" s="19">
        <f>H178/(100-BE178)*100</f>
        <v>0</v>
      </c>
      <c r="BE178" s="19">
        <v>0</v>
      </c>
      <c r="BF178" s="19">
        <f>O178</f>
        <v>0</v>
      </c>
      <c r="BH178" s="19">
        <f>G178*AO178</f>
        <v>0</v>
      </c>
      <c r="BI178" s="19">
        <f>G178*AP178</f>
        <v>0</v>
      </c>
      <c r="BJ178" s="19">
        <f>G178*H178</f>
        <v>0</v>
      </c>
      <c r="BK178" s="19"/>
      <c r="BL178" s="19">
        <v>767</v>
      </c>
      <c r="BW178" s="19" t="str">
        <f>I178</f>
        <v>12</v>
      </c>
      <c r="BX178" s="4" t="s">
        <v>312</v>
      </c>
    </row>
    <row r="179" spans="1:76" x14ac:dyDescent="0.25">
      <c r="A179" s="1" t="s">
        <v>660</v>
      </c>
      <c r="B179" s="2" t="s">
        <v>267</v>
      </c>
      <c r="C179" s="2" t="s">
        <v>313</v>
      </c>
      <c r="D179" s="105" t="s">
        <v>314</v>
      </c>
      <c r="E179" s="99"/>
      <c r="F179" s="2" t="s">
        <v>35</v>
      </c>
      <c r="G179" s="19">
        <f>'Rozpočet - vybrané sloupce'!J178</f>
        <v>48</v>
      </c>
      <c r="H179" s="19">
        <f>'Rozpočet - vybrané sloupce'!K178</f>
        <v>0</v>
      </c>
      <c r="I179" s="87" t="s">
        <v>489</v>
      </c>
      <c r="J179" s="19">
        <f>G179*AO179</f>
        <v>0</v>
      </c>
      <c r="K179" s="19">
        <f>G179*AP179</f>
        <v>0</v>
      </c>
      <c r="L179" s="19">
        <f>G179*H179</f>
        <v>0</v>
      </c>
      <c r="M179" s="19">
        <f>L179*(1+BW179/100)</f>
        <v>0</v>
      </c>
      <c r="N179" s="19">
        <v>0</v>
      </c>
      <c r="O179" s="19">
        <f>G179*N179</f>
        <v>0</v>
      </c>
      <c r="P179" s="88" t="s">
        <v>490</v>
      </c>
      <c r="Z179" s="19">
        <f>IF(AQ179="5",BJ179,0)</f>
        <v>0</v>
      </c>
      <c r="AB179" s="19">
        <f>IF(AQ179="1",BH179,0)</f>
        <v>0</v>
      </c>
      <c r="AC179" s="19">
        <f>IF(AQ179="1",BI179,0)</f>
        <v>0</v>
      </c>
      <c r="AD179" s="19">
        <f>IF(AQ179="7",BH179,0)</f>
        <v>0</v>
      </c>
      <c r="AE179" s="19">
        <f>IF(AQ179="7",BI179,0)</f>
        <v>0</v>
      </c>
      <c r="AF179" s="19">
        <f>IF(AQ179="2",BH179,0)</f>
        <v>0</v>
      </c>
      <c r="AG179" s="19">
        <f>IF(AQ179="2",BI179,0)</f>
        <v>0</v>
      </c>
      <c r="AH179" s="19">
        <f>IF(AQ179="0",BJ179,0)</f>
        <v>0</v>
      </c>
      <c r="AI179" s="16" t="s">
        <v>267</v>
      </c>
      <c r="AJ179" s="19">
        <f>IF(AN179=0,L179,0)</f>
        <v>0</v>
      </c>
      <c r="AK179" s="19">
        <f>IF(AN179=12,L179,0)</f>
        <v>0</v>
      </c>
      <c r="AL179" s="19">
        <f>IF(AN179=21,L179,0)</f>
        <v>0</v>
      </c>
      <c r="AN179" s="19">
        <v>12</v>
      </c>
      <c r="AO179" s="19">
        <f>H179*1</f>
        <v>0</v>
      </c>
      <c r="AP179" s="19">
        <f>H179*(1-1)</f>
        <v>0</v>
      </c>
      <c r="AQ179" s="87" t="s">
        <v>491</v>
      </c>
      <c r="AV179" s="19">
        <f>AW179+AX179</f>
        <v>0</v>
      </c>
      <c r="AW179" s="19">
        <f>G179*AO179</f>
        <v>0</v>
      </c>
      <c r="AX179" s="19">
        <f>G179*AP179</f>
        <v>0</v>
      </c>
      <c r="AY179" s="87" t="s">
        <v>657</v>
      </c>
      <c r="AZ179" s="87" t="s">
        <v>658</v>
      </c>
      <c r="BA179" s="16" t="s">
        <v>637</v>
      </c>
      <c r="BC179" s="19">
        <f>AW179+AX179</f>
        <v>0</v>
      </c>
      <c r="BD179" s="19">
        <f>H179/(100-BE179)*100</f>
        <v>0</v>
      </c>
      <c r="BE179" s="19">
        <v>0</v>
      </c>
      <c r="BF179" s="19">
        <f>O179</f>
        <v>0</v>
      </c>
      <c r="BH179" s="19">
        <f>G179*AO179</f>
        <v>0</v>
      </c>
      <c r="BI179" s="19">
        <f>G179*AP179</f>
        <v>0</v>
      </c>
      <c r="BJ179" s="19">
        <f>G179*H179</f>
        <v>0</v>
      </c>
      <c r="BK179" s="19"/>
      <c r="BL179" s="19">
        <v>767</v>
      </c>
      <c r="BW179" s="19" t="str">
        <f>I179</f>
        <v>12</v>
      </c>
      <c r="BX179" s="4" t="s">
        <v>314</v>
      </c>
    </row>
    <row r="180" spans="1:76" x14ac:dyDescent="0.25">
      <c r="A180" s="1" t="s">
        <v>661</v>
      </c>
      <c r="B180" s="2" t="s">
        <v>267</v>
      </c>
      <c r="C180" s="2" t="s">
        <v>315</v>
      </c>
      <c r="D180" s="105" t="s">
        <v>316</v>
      </c>
      <c r="E180" s="99"/>
      <c r="F180" s="2" t="s">
        <v>43</v>
      </c>
      <c r="G180" s="19">
        <f>'Rozpočet - vybrané sloupce'!J179</f>
        <v>241</v>
      </c>
      <c r="H180" s="19">
        <f>'Rozpočet - vybrané sloupce'!K179</f>
        <v>0</v>
      </c>
      <c r="I180" s="87" t="s">
        <v>489</v>
      </c>
      <c r="J180" s="19">
        <f>G180*AO180</f>
        <v>0</v>
      </c>
      <c r="K180" s="19">
        <f>G180*AP180</f>
        <v>0</v>
      </c>
      <c r="L180" s="19">
        <f>G180*H180</f>
        <v>0</v>
      </c>
      <c r="M180" s="19">
        <f>L180*(1+BW180/100)</f>
        <v>0</v>
      </c>
      <c r="N180" s="19">
        <v>0</v>
      </c>
      <c r="O180" s="19">
        <f>G180*N180</f>
        <v>0</v>
      </c>
      <c r="P180" s="88" t="s">
        <v>490</v>
      </c>
      <c r="Z180" s="19">
        <f>IF(AQ180="5",BJ180,0)</f>
        <v>0</v>
      </c>
      <c r="AB180" s="19">
        <f>IF(AQ180="1",BH180,0)</f>
        <v>0</v>
      </c>
      <c r="AC180" s="19">
        <f>IF(AQ180="1",BI180,0)</f>
        <v>0</v>
      </c>
      <c r="AD180" s="19">
        <f>IF(AQ180="7",BH180,0)</f>
        <v>0</v>
      </c>
      <c r="AE180" s="19">
        <f>IF(AQ180="7",BI180,0)</f>
        <v>0</v>
      </c>
      <c r="AF180" s="19">
        <f>IF(AQ180="2",BH180,0)</f>
        <v>0</v>
      </c>
      <c r="AG180" s="19">
        <f>IF(AQ180="2",BI180,0)</f>
        <v>0</v>
      </c>
      <c r="AH180" s="19">
        <f>IF(AQ180="0",BJ180,0)</f>
        <v>0</v>
      </c>
      <c r="AI180" s="16" t="s">
        <v>267</v>
      </c>
      <c r="AJ180" s="19">
        <f>IF(AN180=0,L180,0)</f>
        <v>0</v>
      </c>
      <c r="AK180" s="19">
        <f>IF(AN180=12,L180,0)</f>
        <v>0</v>
      </c>
      <c r="AL180" s="19">
        <f>IF(AN180=21,L180,0)</f>
        <v>0</v>
      </c>
      <c r="AN180" s="19">
        <v>12</v>
      </c>
      <c r="AO180" s="19">
        <f>H180*0</f>
        <v>0</v>
      </c>
      <c r="AP180" s="19">
        <f>H180*(1-0)</f>
        <v>0</v>
      </c>
      <c r="AQ180" s="87" t="s">
        <v>498</v>
      </c>
      <c r="AV180" s="19">
        <f>AW180+AX180</f>
        <v>0</v>
      </c>
      <c r="AW180" s="19">
        <f>G180*AO180</f>
        <v>0</v>
      </c>
      <c r="AX180" s="19">
        <f>G180*AP180</f>
        <v>0</v>
      </c>
      <c r="AY180" s="87" t="s">
        <v>657</v>
      </c>
      <c r="AZ180" s="87" t="s">
        <v>658</v>
      </c>
      <c r="BA180" s="16" t="s">
        <v>637</v>
      </c>
      <c r="BC180" s="19">
        <f>AW180+AX180</f>
        <v>0</v>
      </c>
      <c r="BD180" s="19">
        <f>H180/(100-BE180)*100</f>
        <v>0</v>
      </c>
      <c r="BE180" s="19">
        <v>0</v>
      </c>
      <c r="BF180" s="19">
        <f>O180</f>
        <v>0</v>
      </c>
      <c r="BH180" s="19">
        <f>G180*AO180</f>
        <v>0</v>
      </c>
      <c r="BI180" s="19">
        <f>G180*AP180</f>
        <v>0</v>
      </c>
      <c r="BJ180" s="19">
        <f>G180*H180</f>
        <v>0</v>
      </c>
      <c r="BK180" s="19"/>
      <c r="BL180" s="19">
        <v>767</v>
      </c>
      <c r="BW180" s="19" t="str">
        <f>I180</f>
        <v>12</v>
      </c>
      <c r="BX180" s="4" t="s">
        <v>316</v>
      </c>
    </row>
    <row r="181" spans="1:76" x14ac:dyDescent="0.25">
      <c r="A181" s="84" t="s">
        <v>25</v>
      </c>
      <c r="B181" s="15" t="s">
        <v>267</v>
      </c>
      <c r="C181" s="15" t="s">
        <v>317</v>
      </c>
      <c r="D181" s="112" t="s">
        <v>318</v>
      </c>
      <c r="E181" s="113"/>
      <c r="F181" s="85" t="s">
        <v>23</v>
      </c>
      <c r="G181" s="85" t="s">
        <v>23</v>
      </c>
      <c r="H181" s="85" t="s">
        <v>23</v>
      </c>
      <c r="I181" s="85" t="s">
        <v>23</v>
      </c>
      <c r="J181" s="60">
        <f>SUM(J182:J186)</f>
        <v>0</v>
      </c>
      <c r="K181" s="60">
        <f>SUM(K182:K186)</f>
        <v>0</v>
      </c>
      <c r="L181" s="60">
        <f>SUM(L182:L186)</f>
        <v>0</v>
      </c>
      <c r="M181" s="60">
        <f>SUM(M182:M186)</f>
        <v>0</v>
      </c>
      <c r="N181" s="16" t="s">
        <v>25</v>
      </c>
      <c r="O181" s="60">
        <f>SUM(O182:O186)</f>
        <v>0.68994199999999994</v>
      </c>
      <c r="P181" s="86" t="s">
        <v>25</v>
      </c>
      <c r="AI181" s="16" t="s">
        <v>267</v>
      </c>
      <c r="AS181" s="60">
        <f>SUM(AJ182:AJ186)</f>
        <v>0</v>
      </c>
      <c r="AT181" s="60">
        <f>SUM(AK182:AK186)</f>
        <v>0</v>
      </c>
      <c r="AU181" s="60">
        <f>SUM(AL182:AL186)</f>
        <v>0</v>
      </c>
    </row>
    <row r="182" spans="1:76" x14ac:dyDescent="0.25">
      <c r="A182" s="1" t="s">
        <v>662</v>
      </c>
      <c r="B182" s="2" t="s">
        <v>267</v>
      </c>
      <c r="C182" s="2" t="s">
        <v>319</v>
      </c>
      <c r="D182" s="105" t="s">
        <v>320</v>
      </c>
      <c r="E182" s="99"/>
      <c r="F182" s="2" t="s">
        <v>283</v>
      </c>
      <c r="G182" s="19">
        <f>'Rozpočet - vybrané sloupce'!J181</f>
        <v>22.2</v>
      </c>
      <c r="H182" s="19">
        <f>'Rozpočet - vybrané sloupce'!K181</f>
        <v>0</v>
      </c>
      <c r="I182" s="87" t="s">
        <v>489</v>
      </c>
      <c r="J182" s="19">
        <f>G182*AO182</f>
        <v>0</v>
      </c>
      <c r="K182" s="19">
        <f>G182*AP182</f>
        <v>0</v>
      </c>
      <c r="L182" s="19">
        <f>G182*H182</f>
        <v>0</v>
      </c>
      <c r="M182" s="19">
        <f>L182*(1+BW182/100)</f>
        <v>0</v>
      </c>
      <c r="N182" s="19">
        <v>2.1000000000000001E-4</v>
      </c>
      <c r="O182" s="19">
        <f>G182*N182</f>
        <v>4.6620000000000003E-3</v>
      </c>
      <c r="P182" s="88" t="s">
        <v>490</v>
      </c>
      <c r="Z182" s="19">
        <f>IF(AQ182="5",BJ182,0)</f>
        <v>0</v>
      </c>
      <c r="AB182" s="19">
        <f>IF(AQ182="1",BH182,0)</f>
        <v>0</v>
      </c>
      <c r="AC182" s="19">
        <f>IF(AQ182="1",BI182,0)</f>
        <v>0</v>
      </c>
      <c r="AD182" s="19">
        <f>IF(AQ182="7",BH182,0)</f>
        <v>0</v>
      </c>
      <c r="AE182" s="19">
        <f>IF(AQ182="7",BI182,0)</f>
        <v>0</v>
      </c>
      <c r="AF182" s="19">
        <f>IF(AQ182="2",BH182,0)</f>
        <v>0</v>
      </c>
      <c r="AG182" s="19">
        <f>IF(AQ182="2",BI182,0)</f>
        <v>0</v>
      </c>
      <c r="AH182" s="19">
        <f>IF(AQ182="0",BJ182,0)</f>
        <v>0</v>
      </c>
      <c r="AI182" s="16" t="s">
        <v>267</v>
      </c>
      <c r="AJ182" s="19">
        <f>IF(AN182=0,L182,0)</f>
        <v>0</v>
      </c>
      <c r="AK182" s="19">
        <f>IF(AN182=12,L182,0)</f>
        <v>0</v>
      </c>
      <c r="AL182" s="19">
        <f>IF(AN182=21,L182,0)</f>
        <v>0</v>
      </c>
      <c r="AN182" s="19">
        <v>12</v>
      </c>
      <c r="AO182" s="19">
        <f>H182*0.472450315</f>
        <v>0</v>
      </c>
      <c r="AP182" s="19">
        <f>H182*(1-0.472450315)</f>
        <v>0</v>
      </c>
      <c r="AQ182" s="87" t="s">
        <v>491</v>
      </c>
      <c r="AV182" s="19">
        <f>AW182+AX182</f>
        <v>0</v>
      </c>
      <c r="AW182" s="19">
        <f>G182*AO182</f>
        <v>0</v>
      </c>
      <c r="AX182" s="19">
        <f>G182*AP182</f>
        <v>0</v>
      </c>
      <c r="AY182" s="87" t="s">
        <v>663</v>
      </c>
      <c r="AZ182" s="87" t="s">
        <v>664</v>
      </c>
      <c r="BA182" s="16" t="s">
        <v>637</v>
      </c>
      <c r="BC182" s="19">
        <f>AW182+AX182</f>
        <v>0</v>
      </c>
      <c r="BD182" s="19">
        <f>H182/(100-BE182)*100</f>
        <v>0</v>
      </c>
      <c r="BE182" s="19">
        <v>0</v>
      </c>
      <c r="BF182" s="19">
        <f>O182</f>
        <v>4.6620000000000003E-3</v>
      </c>
      <c r="BH182" s="19">
        <f>G182*AO182</f>
        <v>0</v>
      </c>
      <c r="BI182" s="19">
        <f>G182*AP182</f>
        <v>0</v>
      </c>
      <c r="BJ182" s="19">
        <f>G182*H182</f>
        <v>0</v>
      </c>
      <c r="BK182" s="19"/>
      <c r="BL182" s="19">
        <v>781</v>
      </c>
      <c r="BW182" s="19" t="str">
        <f>I182</f>
        <v>12</v>
      </c>
      <c r="BX182" s="4" t="s">
        <v>320</v>
      </c>
    </row>
    <row r="183" spans="1:76" x14ac:dyDescent="0.25">
      <c r="A183" s="1" t="s">
        <v>665</v>
      </c>
      <c r="B183" s="2" t="s">
        <v>267</v>
      </c>
      <c r="C183" s="2" t="s">
        <v>321</v>
      </c>
      <c r="D183" s="105" t="s">
        <v>322</v>
      </c>
      <c r="E183" s="99"/>
      <c r="F183" s="2" t="s">
        <v>283</v>
      </c>
      <c r="G183" s="19">
        <f>'Rozpočet - vybrané sloupce'!J182</f>
        <v>22.2</v>
      </c>
      <c r="H183" s="19">
        <f>'Rozpočet - vybrané sloupce'!K182</f>
        <v>0</v>
      </c>
      <c r="I183" s="87" t="s">
        <v>489</v>
      </c>
      <c r="J183" s="19">
        <f>G183*AO183</f>
        <v>0</v>
      </c>
      <c r="K183" s="19">
        <f>G183*AP183</f>
        <v>0</v>
      </c>
      <c r="L183" s="19">
        <f>G183*H183</f>
        <v>0</v>
      </c>
      <c r="M183" s="19">
        <f>L183*(1+BW183/100)</f>
        <v>0</v>
      </c>
      <c r="N183" s="19">
        <v>0</v>
      </c>
      <c r="O183" s="19">
        <f>G183*N183</f>
        <v>0</v>
      </c>
      <c r="P183" s="88" t="s">
        <v>490</v>
      </c>
      <c r="Z183" s="19">
        <f>IF(AQ183="5",BJ183,0)</f>
        <v>0</v>
      </c>
      <c r="AB183" s="19">
        <f>IF(AQ183="1",BH183,0)</f>
        <v>0</v>
      </c>
      <c r="AC183" s="19">
        <f>IF(AQ183="1",BI183,0)</f>
        <v>0</v>
      </c>
      <c r="AD183" s="19">
        <f>IF(AQ183="7",BH183,0)</f>
        <v>0</v>
      </c>
      <c r="AE183" s="19">
        <f>IF(AQ183="7",BI183,0)</f>
        <v>0</v>
      </c>
      <c r="AF183" s="19">
        <f>IF(AQ183="2",BH183,0)</f>
        <v>0</v>
      </c>
      <c r="AG183" s="19">
        <f>IF(AQ183="2",BI183,0)</f>
        <v>0</v>
      </c>
      <c r="AH183" s="19">
        <f>IF(AQ183="0",BJ183,0)</f>
        <v>0</v>
      </c>
      <c r="AI183" s="16" t="s">
        <v>267</v>
      </c>
      <c r="AJ183" s="19">
        <f>IF(AN183=0,L183,0)</f>
        <v>0</v>
      </c>
      <c r="AK183" s="19">
        <f>IF(AN183=12,L183,0)</f>
        <v>0</v>
      </c>
      <c r="AL183" s="19">
        <f>IF(AN183=21,L183,0)</f>
        <v>0</v>
      </c>
      <c r="AN183" s="19">
        <v>12</v>
      </c>
      <c r="AO183" s="19">
        <f>H183*0</f>
        <v>0</v>
      </c>
      <c r="AP183" s="19">
        <f>H183*(1-0)</f>
        <v>0</v>
      </c>
      <c r="AQ183" s="87" t="s">
        <v>491</v>
      </c>
      <c r="AV183" s="19">
        <f>AW183+AX183</f>
        <v>0</v>
      </c>
      <c r="AW183" s="19">
        <f>G183*AO183</f>
        <v>0</v>
      </c>
      <c r="AX183" s="19">
        <f>G183*AP183</f>
        <v>0</v>
      </c>
      <c r="AY183" s="87" t="s">
        <v>663</v>
      </c>
      <c r="AZ183" s="87" t="s">
        <v>664</v>
      </c>
      <c r="BA183" s="16" t="s">
        <v>637</v>
      </c>
      <c r="BC183" s="19">
        <f>AW183+AX183</f>
        <v>0</v>
      </c>
      <c r="BD183" s="19">
        <f>H183/(100-BE183)*100</f>
        <v>0</v>
      </c>
      <c r="BE183" s="19">
        <v>0</v>
      </c>
      <c r="BF183" s="19">
        <f>O183</f>
        <v>0</v>
      </c>
      <c r="BH183" s="19">
        <f>G183*AO183</f>
        <v>0</v>
      </c>
      <c r="BI183" s="19">
        <f>G183*AP183</f>
        <v>0</v>
      </c>
      <c r="BJ183" s="19">
        <f>G183*H183</f>
        <v>0</v>
      </c>
      <c r="BK183" s="19"/>
      <c r="BL183" s="19">
        <v>781</v>
      </c>
      <c r="BW183" s="19" t="str">
        <f>I183</f>
        <v>12</v>
      </c>
      <c r="BX183" s="4" t="s">
        <v>322</v>
      </c>
    </row>
    <row r="184" spans="1:76" x14ac:dyDescent="0.25">
      <c r="A184" s="1" t="s">
        <v>666</v>
      </c>
      <c r="B184" s="2" t="s">
        <v>267</v>
      </c>
      <c r="C184" s="2" t="s">
        <v>323</v>
      </c>
      <c r="D184" s="105" t="s">
        <v>324</v>
      </c>
      <c r="E184" s="99"/>
      <c r="F184" s="2" t="s">
        <v>283</v>
      </c>
      <c r="G184" s="19">
        <f>'Rozpočet - vybrané sloupce'!J183</f>
        <v>23.3</v>
      </c>
      <c r="H184" s="19">
        <f>'Rozpočet - vybrané sloupce'!K183</f>
        <v>0</v>
      </c>
      <c r="I184" s="87" t="s">
        <v>489</v>
      </c>
      <c r="J184" s="19">
        <f>G184*AO184</f>
        <v>0</v>
      </c>
      <c r="K184" s="19">
        <f>G184*AP184</f>
        <v>0</v>
      </c>
      <c r="L184" s="19">
        <f>G184*H184</f>
        <v>0</v>
      </c>
      <c r="M184" s="19">
        <f>L184*(1+BW184/100)</f>
        <v>0</v>
      </c>
      <c r="N184" s="19">
        <v>1.3599999999999999E-2</v>
      </c>
      <c r="O184" s="19">
        <f>G184*N184</f>
        <v>0.31688</v>
      </c>
      <c r="P184" s="88" t="s">
        <v>490</v>
      </c>
      <c r="Z184" s="19">
        <f>IF(AQ184="5",BJ184,0)</f>
        <v>0</v>
      </c>
      <c r="AB184" s="19">
        <f>IF(AQ184="1",BH184,0)</f>
        <v>0</v>
      </c>
      <c r="AC184" s="19">
        <f>IF(AQ184="1",BI184,0)</f>
        <v>0</v>
      </c>
      <c r="AD184" s="19">
        <f>IF(AQ184="7",BH184,0)</f>
        <v>0</v>
      </c>
      <c r="AE184" s="19">
        <f>IF(AQ184="7",BI184,0)</f>
        <v>0</v>
      </c>
      <c r="AF184" s="19">
        <f>IF(AQ184="2",BH184,0)</f>
        <v>0</v>
      </c>
      <c r="AG184" s="19">
        <f>IF(AQ184="2",BI184,0)</f>
        <v>0</v>
      </c>
      <c r="AH184" s="19">
        <f>IF(AQ184="0",BJ184,0)</f>
        <v>0</v>
      </c>
      <c r="AI184" s="16" t="s">
        <v>267</v>
      </c>
      <c r="AJ184" s="19">
        <f>IF(AN184=0,L184,0)</f>
        <v>0</v>
      </c>
      <c r="AK184" s="19">
        <f>IF(AN184=12,L184,0)</f>
        <v>0</v>
      </c>
      <c r="AL184" s="19">
        <f>IF(AN184=21,L184,0)</f>
        <v>0</v>
      </c>
      <c r="AN184" s="19">
        <v>12</v>
      </c>
      <c r="AO184" s="19">
        <f>H184*1</f>
        <v>0</v>
      </c>
      <c r="AP184" s="19">
        <f>H184*(1-1)</f>
        <v>0</v>
      </c>
      <c r="AQ184" s="87" t="s">
        <v>491</v>
      </c>
      <c r="AV184" s="19">
        <f>AW184+AX184</f>
        <v>0</v>
      </c>
      <c r="AW184" s="19">
        <f>G184*AO184</f>
        <v>0</v>
      </c>
      <c r="AX184" s="19">
        <f>G184*AP184</f>
        <v>0</v>
      </c>
      <c r="AY184" s="87" t="s">
        <v>663</v>
      </c>
      <c r="AZ184" s="87" t="s">
        <v>664</v>
      </c>
      <c r="BA184" s="16" t="s">
        <v>637</v>
      </c>
      <c r="BC184" s="19">
        <f>AW184+AX184</f>
        <v>0</v>
      </c>
      <c r="BD184" s="19">
        <f>H184/(100-BE184)*100</f>
        <v>0</v>
      </c>
      <c r="BE184" s="19">
        <v>0</v>
      </c>
      <c r="BF184" s="19">
        <f>O184</f>
        <v>0.31688</v>
      </c>
      <c r="BH184" s="19">
        <f>G184*AO184</f>
        <v>0</v>
      </c>
      <c r="BI184" s="19">
        <f>G184*AP184</f>
        <v>0</v>
      </c>
      <c r="BJ184" s="19">
        <f>G184*H184</f>
        <v>0</v>
      </c>
      <c r="BK184" s="19"/>
      <c r="BL184" s="19">
        <v>781</v>
      </c>
      <c r="BW184" s="19" t="str">
        <f>I184</f>
        <v>12</v>
      </c>
      <c r="BX184" s="4" t="s">
        <v>324</v>
      </c>
    </row>
    <row r="185" spans="1:76" x14ac:dyDescent="0.25">
      <c r="A185" s="1" t="s">
        <v>667</v>
      </c>
      <c r="B185" s="2" t="s">
        <v>267</v>
      </c>
      <c r="C185" s="2" t="s">
        <v>325</v>
      </c>
      <c r="D185" s="105" t="s">
        <v>326</v>
      </c>
      <c r="E185" s="99"/>
      <c r="F185" s="2" t="s">
        <v>35</v>
      </c>
      <c r="G185" s="19">
        <f>'Rozpočet - vybrané sloupce'!J184</f>
        <v>120</v>
      </c>
      <c r="H185" s="19">
        <f>'Rozpočet - vybrané sloupce'!K184</f>
        <v>0</v>
      </c>
      <c r="I185" s="87" t="s">
        <v>489</v>
      </c>
      <c r="J185" s="19">
        <f>G185*AO185</f>
        <v>0</v>
      </c>
      <c r="K185" s="19">
        <f>G185*AP185</f>
        <v>0</v>
      </c>
      <c r="L185" s="19">
        <f>G185*H185</f>
        <v>0</v>
      </c>
      <c r="M185" s="19">
        <f>L185*(1+BW185/100)</f>
        <v>0</v>
      </c>
      <c r="N185" s="19">
        <v>3.0699999999999998E-3</v>
      </c>
      <c r="O185" s="19">
        <f>G185*N185</f>
        <v>0.36839999999999995</v>
      </c>
      <c r="P185" s="88" t="s">
        <v>490</v>
      </c>
      <c r="Z185" s="19">
        <f>IF(AQ185="5",BJ185,0)</f>
        <v>0</v>
      </c>
      <c r="AB185" s="19">
        <f>IF(AQ185="1",BH185,0)</f>
        <v>0</v>
      </c>
      <c r="AC185" s="19">
        <f>IF(AQ185="1",BI185,0)</f>
        <v>0</v>
      </c>
      <c r="AD185" s="19">
        <f>IF(AQ185="7",BH185,0)</f>
        <v>0</v>
      </c>
      <c r="AE185" s="19">
        <f>IF(AQ185="7",BI185,0)</f>
        <v>0</v>
      </c>
      <c r="AF185" s="19">
        <f>IF(AQ185="2",BH185,0)</f>
        <v>0</v>
      </c>
      <c r="AG185" s="19">
        <f>IF(AQ185="2",BI185,0)</f>
        <v>0</v>
      </c>
      <c r="AH185" s="19">
        <f>IF(AQ185="0",BJ185,0)</f>
        <v>0</v>
      </c>
      <c r="AI185" s="16" t="s">
        <v>267</v>
      </c>
      <c r="AJ185" s="19">
        <f>IF(AN185=0,L185,0)</f>
        <v>0</v>
      </c>
      <c r="AK185" s="19">
        <f>IF(AN185=12,L185,0)</f>
        <v>0</v>
      </c>
      <c r="AL185" s="19">
        <f>IF(AN185=21,L185,0)</f>
        <v>0</v>
      </c>
      <c r="AN185" s="19">
        <v>12</v>
      </c>
      <c r="AO185" s="19">
        <f>H185*0.304939467</f>
        <v>0</v>
      </c>
      <c r="AP185" s="19">
        <f>H185*(1-0.304939467)</f>
        <v>0</v>
      </c>
      <c r="AQ185" s="87" t="s">
        <v>491</v>
      </c>
      <c r="AV185" s="19">
        <f>AW185+AX185</f>
        <v>0</v>
      </c>
      <c r="AW185" s="19">
        <f>G185*AO185</f>
        <v>0</v>
      </c>
      <c r="AX185" s="19">
        <f>G185*AP185</f>
        <v>0</v>
      </c>
      <c r="AY185" s="87" t="s">
        <v>663</v>
      </c>
      <c r="AZ185" s="87" t="s">
        <v>664</v>
      </c>
      <c r="BA185" s="16" t="s">
        <v>637</v>
      </c>
      <c r="BC185" s="19">
        <f>AW185+AX185</f>
        <v>0</v>
      </c>
      <c r="BD185" s="19">
        <f>H185/(100-BE185)*100</f>
        <v>0</v>
      </c>
      <c r="BE185" s="19">
        <v>0</v>
      </c>
      <c r="BF185" s="19">
        <f>O185</f>
        <v>0.36839999999999995</v>
      </c>
      <c r="BH185" s="19">
        <f>G185*AO185</f>
        <v>0</v>
      </c>
      <c r="BI185" s="19">
        <f>G185*AP185</f>
        <v>0</v>
      </c>
      <c r="BJ185" s="19">
        <f>G185*H185</f>
        <v>0</v>
      </c>
      <c r="BK185" s="19"/>
      <c r="BL185" s="19">
        <v>781</v>
      </c>
      <c r="BW185" s="19" t="str">
        <f>I185</f>
        <v>12</v>
      </c>
      <c r="BX185" s="4" t="s">
        <v>326</v>
      </c>
    </row>
    <row r="186" spans="1:76" x14ac:dyDescent="0.25">
      <c r="A186" s="1" t="s">
        <v>668</v>
      </c>
      <c r="B186" s="2" t="s">
        <v>267</v>
      </c>
      <c r="C186" s="2" t="s">
        <v>327</v>
      </c>
      <c r="D186" s="105" t="s">
        <v>328</v>
      </c>
      <c r="E186" s="99"/>
      <c r="F186" s="2" t="s">
        <v>43</v>
      </c>
      <c r="G186" s="19">
        <f>'Rozpočet - vybrané sloupce'!J185</f>
        <v>561</v>
      </c>
      <c r="H186" s="19">
        <f>'Rozpočet - vybrané sloupce'!K185</f>
        <v>0</v>
      </c>
      <c r="I186" s="87" t="s">
        <v>489</v>
      </c>
      <c r="J186" s="19">
        <f>G186*AO186</f>
        <v>0</v>
      </c>
      <c r="K186" s="19">
        <f>G186*AP186</f>
        <v>0</v>
      </c>
      <c r="L186" s="19">
        <f>G186*H186</f>
        <v>0</v>
      </c>
      <c r="M186" s="19">
        <f>L186*(1+BW186/100)</f>
        <v>0</v>
      </c>
      <c r="N186" s="19">
        <v>0</v>
      </c>
      <c r="O186" s="19">
        <f>G186*N186</f>
        <v>0</v>
      </c>
      <c r="P186" s="88" t="s">
        <v>490</v>
      </c>
      <c r="Z186" s="19">
        <f>IF(AQ186="5",BJ186,0)</f>
        <v>0</v>
      </c>
      <c r="AB186" s="19">
        <f>IF(AQ186="1",BH186,0)</f>
        <v>0</v>
      </c>
      <c r="AC186" s="19">
        <f>IF(AQ186="1",BI186,0)</f>
        <v>0</v>
      </c>
      <c r="AD186" s="19">
        <f>IF(AQ186="7",BH186,0)</f>
        <v>0</v>
      </c>
      <c r="AE186" s="19">
        <f>IF(AQ186="7",BI186,0)</f>
        <v>0</v>
      </c>
      <c r="AF186" s="19">
        <f>IF(AQ186="2",BH186,0)</f>
        <v>0</v>
      </c>
      <c r="AG186" s="19">
        <f>IF(AQ186="2",BI186,0)</f>
        <v>0</v>
      </c>
      <c r="AH186" s="19">
        <f>IF(AQ186="0",BJ186,0)</f>
        <v>0</v>
      </c>
      <c r="AI186" s="16" t="s">
        <v>267</v>
      </c>
      <c r="AJ186" s="19">
        <f>IF(AN186=0,L186,0)</f>
        <v>0</v>
      </c>
      <c r="AK186" s="19">
        <f>IF(AN186=12,L186,0)</f>
        <v>0</v>
      </c>
      <c r="AL186" s="19">
        <f>IF(AN186=21,L186,0)</f>
        <v>0</v>
      </c>
      <c r="AN186" s="19">
        <v>12</v>
      </c>
      <c r="AO186" s="19">
        <f>H186*0</f>
        <v>0</v>
      </c>
      <c r="AP186" s="19">
        <f>H186*(1-0)</f>
        <v>0</v>
      </c>
      <c r="AQ186" s="87" t="s">
        <v>498</v>
      </c>
      <c r="AV186" s="19">
        <f>AW186+AX186</f>
        <v>0</v>
      </c>
      <c r="AW186" s="19">
        <f>G186*AO186</f>
        <v>0</v>
      </c>
      <c r="AX186" s="19">
        <f>G186*AP186</f>
        <v>0</v>
      </c>
      <c r="AY186" s="87" t="s">
        <v>663</v>
      </c>
      <c r="AZ186" s="87" t="s">
        <v>664</v>
      </c>
      <c r="BA186" s="16" t="s">
        <v>637</v>
      </c>
      <c r="BC186" s="19">
        <f>AW186+AX186</f>
        <v>0</v>
      </c>
      <c r="BD186" s="19">
        <f>H186/(100-BE186)*100</f>
        <v>0</v>
      </c>
      <c r="BE186" s="19">
        <v>0</v>
      </c>
      <c r="BF186" s="19">
        <f>O186</f>
        <v>0</v>
      </c>
      <c r="BH186" s="19">
        <f>G186*AO186</f>
        <v>0</v>
      </c>
      <c r="BI186" s="19">
        <f>G186*AP186</f>
        <v>0</v>
      </c>
      <c r="BJ186" s="19">
        <f>G186*H186</f>
        <v>0</v>
      </c>
      <c r="BK186" s="19"/>
      <c r="BL186" s="19">
        <v>781</v>
      </c>
      <c r="BW186" s="19" t="str">
        <f>I186</f>
        <v>12</v>
      </c>
      <c r="BX186" s="4" t="s">
        <v>328</v>
      </c>
    </row>
    <row r="187" spans="1:76" x14ac:dyDescent="0.25">
      <c r="A187" s="84" t="s">
        <v>25</v>
      </c>
      <c r="B187" s="15" t="s">
        <v>267</v>
      </c>
      <c r="C187" s="15" t="s">
        <v>329</v>
      </c>
      <c r="D187" s="112" t="s">
        <v>330</v>
      </c>
      <c r="E187" s="113"/>
      <c r="F187" s="85" t="s">
        <v>23</v>
      </c>
      <c r="G187" s="85" t="s">
        <v>23</v>
      </c>
      <c r="H187" s="85" t="s">
        <v>23</v>
      </c>
      <c r="I187" s="85" t="s">
        <v>23</v>
      </c>
      <c r="J187" s="60">
        <f>SUM(J188:J188)</f>
        <v>0</v>
      </c>
      <c r="K187" s="60">
        <f>SUM(K188:K188)</f>
        <v>0</v>
      </c>
      <c r="L187" s="60">
        <f>SUM(L188:L188)</f>
        <v>0</v>
      </c>
      <c r="M187" s="60">
        <f>SUM(M188:M188)</f>
        <v>0</v>
      </c>
      <c r="N187" s="16" t="s">
        <v>25</v>
      </c>
      <c r="O187" s="60">
        <f>SUM(O188:O188)</f>
        <v>1.7940000000000001E-2</v>
      </c>
      <c r="P187" s="86" t="s">
        <v>25</v>
      </c>
      <c r="AI187" s="16" t="s">
        <v>267</v>
      </c>
      <c r="AS187" s="60">
        <f>SUM(AJ188:AJ188)</f>
        <v>0</v>
      </c>
      <c r="AT187" s="60">
        <f>SUM(AK188:AK188)</f>
        <v>0</v>
      </c>
      <c r="AU187" s="60">
        <f>SUM(AL188:AL188)</f>
        <v>0</v>
      </c>
    </row>
    <row r="188" spans="1:76" x14ac:dyDescent="0.25">
      <c r="A188" s="1" t="s">
        <v>669</v>
      </c>
      <c r="B188" s="2" t="s">
        <v>267</v>
      </c>
      <c r="C188" s="2" t="s">
        <v>331</v>
      </c>
      <c r="D188" s="105" t="s">
        <v>332</v>
      </c>
      <c r="E188" s="99"/>
      <c r="F188" s="2" t="s">
        <v>283</v>
      </c>
      <c r="G188" s="19">
        <f>'Rozpočet - vybrané sloupce'!J187</f>
        <v>46</v>
      </c>
      <c r="H188" s="19">
        <f>'Rozpočet - vybrané sloupce'!K187</f>
        <v>0</v>
      </c>
      <c r="I188" s="87" t="s">
        <v>489</v>
      </c>
      <c r="J188" s="19">
        <f>G188*AO188</f>
        <v>0</v>
      </c>
      <c r="K188" s="19">
        <f>G188*AP188</f>
        <v>0</v>
      </c>
      <c r="L188" s="19">
        <f>G188*H188</f>
        <v>0</v>
      </c>
      <c r="M188" s="19">
        <f>L188*(1+BW188/100)</f>
        <v>0</v>
      </c>
      <c r="N188" s="19">
        <v>3.8999999999999999E-4</v>
      </c>
      <c r="O188" s="19">
        <f>G188*N188</f>
        <v>1.7940000000000001E-2</v>
      </c>
      <c r="P188" s="88" t="s">
        <v>490</v>
      </c>
      <c r="Z188" s="19">
        <f>IF(AQ188="5",BJ188,0)</f>
        <v>0</v>
      </c>
      <c r="AB188" s="19">
        <f>IF(AQ188="1",BH188,0)</f>
        <v>0</v>
      </c>
      <c r="AC188" s="19">
        <f>IF(AQ188="1",BI188,0)</f>
        <v>0</v>
      </c>
      <c r="AD188" s="19">
        <f>IF(AQ188="7",BH188,0)</f>
        <v>0</v>
      </c>
      <c r="AE188" s="19">
        <f>IF(AQ188="7",BI188,0)</f>
        <v>0</v>
      </c>
      <c r="AF188" s="19">
        <f>IF(AQ188="2",BH188,0)</f>
        <v>0</v>
      </c>
      <c r="AG188" s="19">
        <f>IF(AQ188="2",BI188,0)</f>
        <v>0</v>
      </c>
      <c r="AH188" s="19">
        <f>IF(AQ188="0",BJ188,0)</f>
        <v>0</v>
      </c>
      <c r="AI188" s="16" t="s">
        <v>267</v>
      </c>
      <c r="AJ188" s="19">
        <f>IF(AN188=0,L188,0)</f>
        <v>0</v>
      </c>
      <c r="AK188" s="19">
        <f>IF(AN188=12,L188,0)</f>
        <v>0</v>
      </c>
      <c r="AL188" s="19">
        <f>IF(AN188=21,L188,0)</f>
        <v>0</v>
      </c>
      <c r="AN188" s="19">
        <v>12</v>
      </c>
      <c r="AO188" s="19">
        <f>H188*0.218506479</f>
        <v>0</v>
      </c>
      <c r="AP188" s="19">
        <f>H188*(1-0.218506479)</f>
        <v>0</v>
      </c>
      <c r="AQ188" s="87" t="s">
        <v>491</v>
      </c>
      <c r="AV188" s="19">
        <f>AW188+AX188</f>
        <v>0</v>
      </c>
      <c r="AW188" s="19">
        <f>G188*AO188</f>
        <v>0</v>
      </c>
      <c r="AX188" s="19">
        <f>G188*AP188</f>
        <v>0</v>
      </c>
      <c r="AY188" s="87" t="s">
        <v>670</v>
      </c>
      <c r="AZ188" s="87" t="s">
        <v>664</v>
      </c>
      <c r="BA188" s="16" t="s">
        <v>637</v>
      </c>
      <c r="BC188" s="19">
        <f>AW188+AX188</f>
        <v>0</v>
      </c>
      <c r="BD188" s="19">
        <f>H188/(100-BE188)*100</f>
        <v>0</v>
      </c>
      <c r="BE188" s="19">
        <v>0</v>
      </c>
      <c r="BF188" s="19">
        <f>O188</f>
        <v>1.7940000000000001E-2</v>
      </c>
      <c r="BH188" s="19">
        <f>G188*AO188</f>
        <v>0</v>
      </c>
      <c r="BI188" s="19">
        <f>G188*AP188</f>
        <v>0</v>
      </c>
      <c r="BJ188" s="19">
        <f>G188*H188</f>
        <v>0</v>
      </c>
      <c r="BK188" s="19"/>
      <c r="BL188" s="19">
        <v>784</v>
      </c>
      <c r="BW188" s="19" t="str">
        <f>I188</f>
        <v>12</v>
      </c>
      <c r="BX188" s="4" t="s">
        <v>332</v>
      </c>
    </row>
    <row r="189" spans="1:76" x14ac:dyDescent="0.25">
      <c r="A189" s="84" t="s">
        <v>25</v>
      </c>
      <c r="B189" s="15" t="s">
        <v>267</v>
      </c>
      <c r="C189" s="15" t="s">
        <v>333</v>
      </c>
      <c r="D189" s="112" t="s">
        <v>334</v>
      </c>
      <c r="E189" s="113"/>
      <c r="F189" s="85" t="s">
        <v>23</v>
      </c>
      <c r="G189" s="85" t="s">
        <v>23</v>
      </c>
      <c r="H189" s="85" t="s">
        <v>23</v>
      </c>
      <c r="I189" s="85" t="s">
        <v>23</v>
      </c>
      <c r="J189" s="60">
        <f>SUM(J190:J190)</f>
        <v>0</v>
      </c>
      <c r="K189" s="60">
        <f>SUM(K190:K190)</f>
        <v>0</v>
      </c>
      <c r="L189" s="60">
        <f>SUM(L190:L190)</f>
        <v>0</v>
      </c>
      <c r="M189" s="60">
        <f>SUM(M190:M190)</f>
        <v>0</v>
      </c>
      <c r="N189" s="16" t="s">
        <v>25</v>
      </c>
      <c r="O189" s="60">
        <f>SUM(O190:O190)</f>
        <v>0</v>
      </c>
      <c r="P189" s="86" t="s">
        <v>25</v>
      </c>
      <c r="AI189" s="16" t="s">
        <v>267</v>
      </c>
      <c r="AS189" s="60">
        <f>SUM(AJ190:AJ190)</f>
        <v>0</v>
      </c>
      <c r="AT189" s="60">
        <f>SUM(AK190:AK190)</f>
        <v>0</v>
      </c>
      <c r="AU189" s="60">
        <f>SUM(AL190:AL190)</f>
        <v>0</v>
      </c>
    </row>
    <row r="190" spans="1:76" x14ac:dyDescent="0.25">
      <c r="A190" s="1" t="s">
        <v>671</v>
      </c>
      <c r="B190" s="2" t="s">
        <v>267</v>
      </c>
      <c r="C190" s="2" t="s">
        <v>335</v>
      </c>
      <c r="D190" s="105" t="s">
        <v>336</v>
      </c>
      <c r="E190" s="99"/>
      <c r="F190" s="2" t="s">
        <v>283</v>
      </c>
      <c r="G190" s="19">
        <f>'Rozpočet - vybrané sloupce'!J189</f>
        <v>550</v>
      </c>
      <c r="H190" s="19">
        <f>'Rozpočet - vybrané sloupce'!K189</f>
        <v>0</v>
      </c>
      <c r="I190" s="87" t="s">
        <v>489</v>
      </c>
      <c r="J190" s="19">
        <f>G190*AO190</f>
        <v>0</v>
      </c>
      <c r="K190" s="19">
        <f>G190*AP190</f>
        <v>0</v>
      </c>
      <c r="L190" s="19">
        <f>G190*H190</f>
        <v>0</v>
      </c>
      <c r="M190" s="19">
        <f>L190*(1+BW190/100)</f>
        <v>0</v>
      </c>
      <c r="N190" s="19">
        <v>0</v>
      </c>
      <c r="O190" s="19">
        <f>G190*N190</f>
        <v>0</v>
      </c>
      <c r="P190" s="88" t="s">
        <v>490</v>
      </c>
      <c r="Z190" s="19">
        <f>IF(AQ190="5",BJ190,0)</f>
        <v>0</v>
      </c>
      <c r="AB190" s="19">
        <f>IF(AQ190="1",BH190,0)</f>
        <v>0</v>
      </c>
      <c r="AC190" s="19">
        <f>IF(AQ190="1",BI190,0)</f>
        <v>0</v>
      </c>
      <c r="AD190" s="19">
        <f>IF(AQ190="7",BH190,0)</f>
        <v>0</v>
      </c>
      <c r="AE190" s="19">
        <f>IF(AQ190="7",BI190,0)</f>
        <v>0</v>
      </c>
      <c r="AF190" s="19">
        <f>IF(AQ190="2",BH190,0)</f>
        <v>0</v>
      </c>
      <c r="AG190" s="19">
        <f>IF(AQ190="2",BI190,0)</f>
        <v>0</v>
      </c>
      <c r="AH190" s="19">
        <f>IF(AQ190="0",BJ190,0)</f>
        <v>0</v>
      </c>
      <c r="AI190" s="16" t="s">
        <v>267</v>
      </c>
      <c r="AJ190" s="19">
        <f>IF(AN190=0,L190,0)</f>
        <v>0</v>
      </c>
      <c r="AK190" s="19">
        <f>IF(AN190=12,L190,0)</f>
        <v>0</v>
      </c>
      <c r="AL190" s="19">
        <f>IF(AN190=21,L190,0)</f>
        <v>0</v>
      </c>
      <c r="AN190" s="19">
        <v>12</v>
      </c>
      <c r="AO190" s="19">
        <f>H190*0</f>
        <v>0</v>
      </c>
      <c r="AP190" s="19">
        <f>H190*(1-0)</f>
        <v>0</v>
      </c>
      <c r="AQ190" s="87" t="s">
        <v>488</v>
      </c>
      <c r="AV190" s="19">
        <f>AW190+AX190</f>
        <v>0</v>
      </c>
      <c r="AW190" s="19">
        <f>G190*AO190</f>
        <v>0</v>
      </c>
      <c r="AX190" s="19">
        <f>G190*AP190</f>
        <v>0</v>
      </c>
      <c r="AY190" s="87" t="s">
        <v>672</v>
      </c>
      <c r="AZ190" s="87" t="s">
        <v>673</v>
      </c>
      <c r="BA190" s="16" t="s">
        <v>637</v>
      </c>
      <c r="BC190" s="19">
        <f>AW190+AX190</f>
        <v>0</v>
      </c>
      <c r="BD190" s="19">
        <f>H190/(100-BE190)*100</f>
        <v>0</v>
      </c>
      <c r="BE190" s="19">
        <v>0</v>
      </c>
      <c r="BF190" s="19">
        <f>O190</f>
        <v>0</v>
      </c>
      <c r="BH190" s="19">
        <f>G190*AO190</f>
        <v>0</v>
      </c>
      <c r="BI190" s="19">
        <f>G190*AP190</f>
        <v>0</v>
      </c>
      <c r="BJ190" s="19">
        <f>G190*H190</f>
        <v>0</v>
      </c>
      <c r="BK190" s="19"/>
      <c r="BL190" s="19">
        <v>95</v>
      </c>
      <c r="BW190" s="19" t="str">
        <f>I190</f>
        <v>12</v>
      </c>
      <c r="BX190" s="4" t="s">
        <v>336</v>
      </c>
    </row>
    <row r="191" spans="1:76" x14ac:dyDescent="0.25">
      <c r="A191" s="84" t="s">
        <v>25</v>
      </c>
      <c r="B191" s="15" t="s">
        <v>267</v>
      </c>
      <c r="C191" s="15" t="s">
        <v>337</v>
      </c>
      <c r="D191" s="112" t="s">
        <v>338</v>
      </c>
      <c r="E191" s="113"/>
      <c r="F191" s="85" t="s">
        <v>23</v>
      </c>
      <c r="G191" s="85" t="s">
        <v>23</v>
      </c>
      <c r="H191" s="85" t="s">
        <v>23</v>
      </c>
      <c r="I191" s="85" t="s">
        <v>23</v>
      </c>
      <c r="J191" s="60">
        <f>SUM(J192:J192)</f>
        <v>0</v>
      </c>
      <c r="K191" s="60">
        <f>SUM(K192:K192)</f>
        <v>0</v>
      </c>
      <c r="L191" s="60">
        <f>SUM(L192:L192)</f>
        <v>0</v>
      </c>
      <c r="M191" s="60">
        <f>SUM(M192:M192)</f>
        <v>0</v>
      </c>
      <c r="N191" s="16" t="s">
        <v>25</v>
      </c>
      <c r="O191" s="60">
        <f>SUM(O192:O192)</f>
        <v>3.0255270000000003</v>
      </c>
      <c r="P191" s="86" t="s">
        <v>25</v>
      </c>
      <c r="AI191" s="16" t="s">
        <v>267</v>
      </c>
      <c r="AS191" s="60">
        <f>SUM(AJ192:AJ192)</f>
        <v>0</v>
      </c>
      <c r="AT191" s="60">
        <f>SUM(AK192:AK192)</f>
        <v>0</v>
      </c>
      <c r="AU191" s="60">
        <f>SUM(AL192:AL192)</f>
        <v>0</v>
      </c>
    </row>
    <row r="192" spans="1:76" x14ac:dyDescent="0.25">
      <c r="A192" s="1" t="s">
        <v>674</v>
      </c>
      <c r="B192" s="2" t="s">
        <v>267</v>
      </c>
      <c r="C192" s="2" t="s">
        <v>339</v>
      </c>
      <c r="D192" s="105" t="s">
        <v>340</v>
      </c>
      <c r="E192" s="99"/>
      <c r="F192" s="2" t="s">
        <v>283</v>
      </c>
      <c r="G192" s="19">
        <f>'Rozpočet - vybrané sloupce'!J191</f>
        <v>28.1</v>
      </c>
      <c r="H192" s="19">
        <f>'Rozpočet - vybrané sloupce'!K191</f>
        <v>0</v>
      </c>
      <c r="I192" s="87" t="s">
        <v>489</v>
      </c>
      <c r="J192" s="19">
        <f>G192*AO192</f>
        <v>0</v>
      </c>
      <c r="K192" s="19">
        <f>G192*AP192</f>
        <v>0</v>
      </c>
      <c r="L192" s="19">
        <f>G192*H192</f>
        <v>0</v>
      </c>
      <c r="M192" s="19">
        <f>L192*(1+BW192/100)</f>
        <v>0</v>
      </c>
      <c r="N192" s="19">
        <v>0.10767</v>
      </c>
      <c r="O192" s="19">
        <f>G192*N192</f>
        <v>3.0255270000000003</v>
      </c>
      <c r="P192" s="88" t="s">
        <v>675</v>
      </c>
      <c r="Z192" s="19">
        <f>IF(AQ192="5",BJ192,0)</f>
        <v>0</v>
      </c>
      <c r="AB192" s="19">
        <f>IF(AQ192="1",BH192,0)</f>
        <v>0</v>
      </c>
      <c r="AC192" s="19">
        <f>IF(AQ192="1",BI192,0)</f>
        <v>0</v>
      </c>
      <c r="AD192" s="19">
        <f>IF(AQ192="7",BH192,0)</f>
        <v>0</v>
      </c>
      <c r="AE192" s="19">
        <f>IF(AQ192="7",BI192,0)</f>
        <v>0</v>
      </c>
      <c r="AF192" s="19">
        <f>IF(AQ192="2",BH192,0)</f>
        <v>0</v>
      </c>
      <c r="AG192" s="19">
        <f>IF(AQ192="2",BI192,0)</f>
        <v>0</v>
      </c>
      <c r="AH192" s="19">
        <f>IF(AQ192="0",BJ192,0)</f>
        <v>0</v>
      </c>
      <c r="AI192" s="16" t="s">
        <v>267</v>
      </c>
      <c r="AJ192" s="19">
        <f>IF(AN192=0,L192,0)</f>
        <v>0</v>
      </c>
      <c r="AK192" s="19">
        <f>IF(AN192=12,L192,0)</f>
        <v>0</v>
      </c>
      <c r="AL192" s="19">
        <f>IF(AN192=21,L192,0)</f>
        <v>0</v>
      </c>
      <c r="AN192" s="19">
        <v>12</v>
      </c>
      <c r="AO192" s="19">
        <f>H192*0.197071898</f>
        <v>0</v>
      </c>
      <c r="AP192" s="19">
        <f>H192*(1-0.197071898)</f>
        <v>0</v>
      </c>
      <c r="AQ192" s="87" t="s">
        <v>488</v>
      </c>
      <c r="AV192" s="19">
        <f>AW192+AX192</f>
        <v>0</v>
      </c>
      <c r="AW192" s="19">
        <f>G192*AO192</f>
        <v>0</v>
      </c>
      <c r="AX192" s="19">
        <f>G192*AP192</f>
        <v>0</v>
      </c>
      <c r="AY192" s="87" t="s">
        <v>676</v>
      </c>
      <c r="AZ192" s="87" t="s">
        <v>673</v>
      </c>
      <c r="BA192" s="16" t="s">
        <v>637</v>
      </c>
      <c r="BC192" s="19">
        <f>AW192+AX192</f>
        <v>0</v>
      </c>
      <c r="BD192" s="19">
        <f>H192/(100-BE192)*100</f>
        <v>0</v>
      </c>
      <c r="BE192" s="19">
        <v>0</v>
      </c>
      <c r="BF192" s="19">
        <f>O192</f>
        <v>3.0255270000000003</v>
      </c>
      <c r="BH192" s="19">
        <f>G192*AO192</f>
        <v>0</v>
      </c>
      <c r="BI192" s="19">
        <f>G192*AP192</f>
        <v>0</v>
      </c>
      <c r="BJ192" s="19">
        <f>G192*H192</f>
        <v>0</v>
      </c>
      <c r="BK192" s="19"/>
      <c r="BL192" s="19">
        <v>96</v>
      </c>
      <c r="BW192" s="19" t="str">
        <f>I192</f>
        <v>12</v>
      </c>
      <c r="BX192" s="4" t="s">
        <v>340</v>
      </c>
    </row>
    <row r="193" spans="1:76" x14ac:dyDescent="0.25">
      <c r="A193" s="84" t="s">
        <v>25</v>
      </c>
      <c r="B193" s="15" t="s">
        <v>267</v>
      </c>
      <c r="C193" s="15" t="s">
        <v>341</v>
      </c>
      <c r="D193" s="112" t="s">
        <v>342</v>
      </c>
      <c r="E193" s="113"/>
      <c r="F193" s="85" t="s">
        <v>23</v>
      </c>
      <c r="G193" s="85" t="s">
        <v>23</v>
      </c>
      <c r="H193" s="85" t="s">
        <v>23</v>
      </c>
      <c r="I193" s="85" t="s">
        <v>23</v>
      </c>
      <c r="J193" s="60">
        <f>SUM(J194:J198)</f>
        <v>0</v>
      </c>
      <c r="K193" s="60">
        <f>SUM(K194:K198)</f>
        <v>0</v>
      </c>
      <c r="L193" s="60">
        <f>SUM(L194:L198)</f>
        <v>0</v>
      </c>
      <c r="M193" s="60">
        <f>SUM(M194:M198)</f>
        <v>0</v>
      </c>
      <c r="N193" s="16" t="s">
        <v>25</v>
      </c>
      <c r="O193" s="60">
        <f>SUM(O194:O198)</f>
        <v>1.1732039999999999</v>
      </c>
      <c r="P193" s="86" t="s">
        <v>25</v>
      </c>
      <c r="AI193" s="16" t="s">
        <v>267</v>
      </c>
      <c r="AS193" s="60">
        <f>SUM(AJ194:AJ198)</f>
        <v>0</v>
      </c>
      <c r="AT193" s="60">
        <f>SUM(AK194:AK198)</f>
        <v>0</v>
      </c>
      <c r="AU193" s="60">
        <f>SUM(AL194:AL198)</f>
        <v>0</v>
      </c>
    </row>
    <row r="194" spans="1:76" x14ac:dyDescent="0.25">
      <c r="A194" s="1" t="s">
        <v>677</v>
      </c>
      <c r="B194" s="2" t="s">
        <v>267</v>
      </c>
      <c r="C194" s="2" t="s">
        <v>343</v>
      </c>
      <c r="D194" s="105" t="s">
        <v>344</v>
      </c>
      <c r="E194" s="99"/>
      <c r="F194" s="2" t="s">
        <v>35</v>
      </c>
      <c r="G194" s="19">
        <f>'Rozpočet - vybrané sloupce'!J193</f>
        <v>12</v>
      </c>
      <c r="H194" s="19">
        <f>'Rozpočet - vybrané sloupce'!K193</f>
        <v>0</v>
      </c>
      <c r="I194" s="87" t="s">
        <v>489</v>
      </c>
      <c r="J194" s="19">
        <f>G194*AO194</f>
        <v>0</v>
      </c>
      <c r="K194" s="19">
        <f>G194*AP194</f>
        <v>0</v>
      </c>
      <c r="L194" s="19">
        <f>G194*H194</f>
        <v>0</v>
      </c>
      <c r="M194" s="19">
        <f>L194*(1+BW194/100)</f>
        <v>0</v>
      </c>
      <c r="N194" s="19">
        <v>0.09</v>
      </c>
      <c r="O194" s="19">
        <f>G194*N194</f>
        <v>1.08</v>
      </c>
      <c r="P194" s="88" t="s">
        <v>490</v>
      </c>
      <c r="Z194" s="19">
        <f>IF(AQ194="5",BJ194,0)</f>
        <v>0</v>
      </c>
      <c r="AB194" s="19">
        <f>IF(AQ194="1",BH194,0)</f>
        <v>0</v>
      </c>
      <c r="AC194" s="19">
        <f>IF(AQ194="1",BI194,0)</f>
        <v>0</v>
      </c>
      <c r="AD194" s="19">
        <f>IF(AQ194="7",BH194,0)</f>
        <v>0</v>
      </c>
      <c r="AE194" s="19">
        <f>IF(AQ194="7",BI194,0)</f>
        <v>0</v>
      </c>
      <c r="AF194" s="19">
        <f>IF(AQ194="2",BH194,0)</f>
        <v>0</v>
      </c>
      <c r="AG194" s="19">
        <f>IF(AQ194="2",BI194,0)</f>
        <v>0</v>
      </c>
      <c r="AH194" s="19">
        <f>IF(AQ194="0",BJ194,0)</f>
        <v>0</v>
      </c>
      <c r="AI194" s="16" t="s">
        <v>267</v>
      </c>
      <c r="AJ194" s="19">
        <f>IF(AN194=0,L194,0)</f>
        <v>0</v>
      </c>
      <c r="AK194" s="19">
        <f>IF(AN194=12,L194,0)</f>
        <v>0</v>
      </c>
      <c r="AL194" s="19">
        <f>IF(AN194=21,L194,0)</f>
        <v>0</v>
      </c>
      <c r="AN194" s="19">
        <v>12</v>
      </c>
      <c r="AO194" s="19">
        <f>H194*0</f>
        <v>0</v>
      </c>
      <c r="AP194" s="19">
        <f>H194*(1-0)</f>
        <v>0</v>
      </c>
      <c r="AQ194" s="87" t="s">
        <v>488</v>
      </c>
      <c r="AV194" s="19">
        <f>AW194+AX194</f>
        <v>0</v>
      </c>
      <c r="AW194" s="19">
        <f>G194*AO194</f>
        <v>0</v>
      </c>
      <c r="AX194" s="19">
        <f>G194*AP194</f>
        <v>0</v>
      </c>
      <c r="AY194" s="87" t="s">
        <v>678</v>
      </c>
      <c r="AZ194" s="87" t="s">
        <v>673</v>
      </c>
      <c r="BA194" s="16" t="s">
        <v>637</v>
      </c>
      <c r="BC194" s="19">
        <f>AW194+AX194</f>
        <v>0</v>
      </c>
      <c r="BD194" s="19">
        <f>H194/(100-BE194)*100</f>
        <v>0</v>
      </c>
      <c r="BE194" s="19">
        <v>0</v>
      </c>
      <c r="BF194" s="19">
        <f>O194</f>
        <v>1.08</v>
      </c>
      <c r="BH194" s="19">
        <f>G194*AO194</f>
        <v>0</v>
      </c>
      <c r="BI194" s="19">
        <f>G194*AP194</f>
        <v>0</v>
      </c>
      <c r="BJ194" s="19">
        <f>G194*H194</f>
        <v>0</v>
      </c>
      <c r="BK194" s="19"/>
      <c r="BL194" s="19">
        <v>97</v>
      </c>
      <c r="BW194" s="19" t="str">
        <f>I194</f>
        <v>12</v>
      </c>
      <c r="BX194" s="4" t="s">
        <v>344</v>
      </c>
    </row>
    <row r="195" spans="1:76" x14ac:dyDescent="0.25">
      <c r="A195" s="1" t="s">
        <v>679</v>
      </c>
      <c r="B195" s="2" t="s">
        <v>267</v>
      </c>
      <c r="C195" s="2" t="s">
        <v>345</v>
      </c>
      <c r="D195" s="105" t="s">
        <v>346</v>
      </c>
      <c r="E195" s="99"/>
      <c r="F195" s="2" t="s">
        <v>31</v>
      </c>
      <c r="G195" s="19">
        <f>'Rozpočet - vybrané sloupce'!J194</f>
        <v>2.7</v>
      </c>
      <c r="H195" s="19">
        <f>'Rozpočet - vybrané sloupce'!K194</f>
        <v>0</v>
      </c>
      <c r="I195" s="87" t="s">
        <v>489</v>
      </c>
      <c r="J195" s="19">
        <f>G195*AO195</f>
        <v>0</v>
      </c>
      <c r="K195" s="19">
        <f>G195*AP195</f>
        <v>0</v>
      </c>
      <c r="L195" s="19">
        <f>G195*H195</f>
        <v>0</v>
      </c>
      <c r="M195" s="19">
        <f>L195*(1+BW195/100)</f>
        <v>0</v>
      </c>
      <c r="N195" s="19">
        <v>3.3169999999999998E-2</v>
      </c>
      <c r="O195" s="19">
        <f>G195*N195</f>
        <v>8.9559E-2</v>
      </c>
      <c r="P195" s="88" t="s">
        <v>490</v>
      </c>
      <c r="Z195" s="19">
        <f>IF(AQ195="5",BJ195,0)</f>
        <v>0</v>
      </c>
      <c r="AB195" s="19">
        <f>IF(AQ195="1",BH195,0)</f>
        <v>0</v>
      </c>
      <c r="AC195" s="19">
        <f>IF(AQ195="1",BI195,0)</f>
        <v>0</v>
      </c>
      <c r="AD195" s="19">
        <f>IF(AQ195="7",BH195,0)</f>
        <v>0</v>
      </c>
      <c r="AE195" s="19">
        <f>IF(AQ195="7",BI195,0)</f>
        <v>0</v>
      </c>
      <c r="AF195" s="19">
        <f>IF(AQ195="2",BH195,0)</f>
        <v>0</v>
      </c>
      <c r="AG195" s="19">
        <f>IF(AQ195="2",BI195,0)</f>
        <v>0</v>
      </c>
      <c r="AH195" s="19">
        <f>IF(AQ195="0",BJ195,0)</f>
        <v>0</v>
      </c>
      <c r="AI195" s="16" t="s">
        <v>267</v>
      </c>
      <c r="AJ195" s="19">
        <f>IF(AN195=0,L195,0)</f>
        <v>0</v>
      </c>
      <c r="AK195" s="19">
        <f>IF(AN195=12,L195,0)</f>
        <v>0</v>
      </c>
      <c r="AL195" s="19">
        <f>IF(AN195=21,L195,0)</f>
        <v>0</v>
      </c>
      <c r="AN195" s="19">
        <v>12</v>
      </c>
      <c r="AO195" s="19">
        <f>H195*0.331604195</f>
        <v>0</v>
      </c>
      <c r="AP195" s="19">
        <f>H195*(1-0.331604195)</f>
        <v>0</v>
      </c>
      <c r="AQ195" s="87" t="s">
        <v>488</v>
      </c>
      <c r="AV195" s="19">
        <f>AW195+AX195</f>
        <v>0</v>
      </c>
      <c r="AW195" s="19">
        <f>G195*AO195</f>
        <v>0</v>
      </c>
      <c r="AX195" s="19">
        <f>G195*AP195</f>
        <v>0</v>
      </c>
      <c r="AY195" s="87" t="s">
        <v>678</v>
      </c>
      <c r="AZ195" s="87" t="s">
        <v>673</v>
      </c>
      <c r="BA195" s="16" t="s">
        <v>637</v>
      </c>
      <c r="BC195" s="19">
        <f>AW195+AX195</f>
        <v>0</v>
      </c>
      <c r="BD195" s="19">
        <f>H195/(100-BE195)*100</f>
        <v>0</v>
      </c>
      <c r="BE195" s="19">
        <v>0</v>
      </c>
      <c r="BF195" s="19">
        <f>O195</f>
        <v>8.9559E-2</v>
      </c>
      <c r="BH195" s="19">
        <f>G195*AO195</f>
        <v>0</v>
      </c>
      <c r="BI195" s="19">
        <f>G195*AP195</f>
        <v>0</v>
      </c>
      <c r="BJ195" s="19">
        <f>G195*H195</f>
        <v>0</v>
      </c>
      <c r="BK195" s="19"/>
      <c r="BL195" s="19">
        <v>97</v>
      </c>
      <c r="BW195" s="19" t="str">
        <f>I195</f>
        <v>12</v>
      </c>
      <c r="BX195" s="4" t="s">
        <v>346</v>
      </c>
    </row>
    <row r="196" spans="1:76" x14ac:dyDescent="0.25">
      <c r="A196" s="1" t="s">
        <v>680</v>
      </c>
      <c r="B196" s="2" t="s">
        <v>267</v>
      </c>
      <c r="C196" s="2" t="s">
        <v>347</v>
      </c>
      <c r="D196" s="105" t="s">
        <v>348</v>
      </c>
      <c r="E196" s="99"/>
      <c r="F196" s="2" t="s">
        <v>31</v>
      </c>
      <c r="G196" s="19">
        <f>'Rozpočet - vybrané sloupce'!J195</f>
        <v>2.7</v>
      </c>
      <c r="H196" s="19">
        <f>'Rozpočet - vybrané sloupce'!K195</f>
        <v>0</v>
      </c>
      <c r="I196" s="87" t="s">
        <v>489</v>
      </c>
      <c r="J196" s="19">
        <f>G196*AO196</f>
        <v>0</v>
      </c>
      <c r="K196" s="19">
        <f>G196*AP196</f>
        <v>0</v>
      </c>
      <c r="L196" s="19">
        <f>G196*H196</f>
        <v>0</v>
      </c>
      <c r="M196" s="19">
        <f>L196*(1+BW196/100)</f>
        <v>0</v>
      </c>
      <c r="N196" s="19">
        <v>1.0000000000000001E-5</v>
      </c>
      <c r="O196" s="19">
        <f>G196*N196</f>
        <v>2.7000000000000002E-5</v>
      </c>
      <c r="P196" s="88" t="s">
        <v>490</v>
      </c>
      <c r="Z196" s="19">
        <f>IF(AQ196="5",BJ196,0)</f>
        <v>0</v>
      </c>
      <c r="AB196" s="19">
        <f>IF(AQ196="1",BH196,0)</f>
        <v>0</v>
      </c>
      <c r="AC196" s="19">
        <f>IF(AQ196="1",BI196,0)</f>
        <v>0</v>
      </c>
      <c r="AD196" s="19">
        <f>IF(AQ196="7",BH196,0)</f>
        <v>0</v>
      </c>
      <c r="AE196" s="19">
        <f>IF(AQ196="7",BI196,0)</f>
        <v>0</v>
      </c>
      <c r="AF196" s="19">
        <f>IF(AQ196="2",BH196,0)</f>
        <v>0</v>
      </c>
      <c r="AG196" s="19">
        <f>IF(AQ196="2",BI196,0)</f>
        <v>0</v>
      </c>
      <c r="AH196" s="19">
        <f>IF(AQ196="0",BJ196,0)</f>
        <v>0</v>
      </c>
      <c r="AI196" s="16" t="s">
        <v>267</v>
      </c>
      <c r="AJ196" s="19">
        <f>IF(AN196=0,L196,0)</f>
        <v>0</v>
      </c>
      <c r="AK196" s="19">
        <f>IF(AN196=12,L196,0)</f>
        <v>0</v>
      </c>
      <c r="AL196" s="19">
        <f>IF(AN196=21,L196,0)</f>
        <v>0</v>
      </c>
      <c r="AN196" s="19">
        <v>12</v>
      </c>
      <c r="AO196" s="19">
        <f>H196*0.189732106</f>
        <v>0</v>
      </c>
      <c r="AP196" s="19">
        <f>H196*(1-0.189732106)</f>
        <v>0</v>
      </c>
      <c r="AQ196" s="87" t="s">
        <v>488</v>
      </c>
      <c r="AV196" s="19">
        <f>AW196+AX196</f>
        <v>0</v>
      </c>
      <c r="AW196" s="19">
        <f>G196*AO196</f>
        <v>0</v>
      </c>
      <c r="AX196" s="19">
        <f>G196*AP196</f>
        <v>0</v>
      </c>
      <c r="AY196" s="87" t="s">
        <v>678</v>
      </c>
      <c r="AZ196" s="87" t="s">
        <v>673</v>
      </c>
      <c r="BA196" s="16" t="s">
        <v>637</v>
      </c>
      <c r="BC196" s="19">
        <f>AW196+AX196</f>
        <v>0</v>
      </c>
      <c r="BD196" s="19">
        <f>H196/(100-BE196)*100</f>
        <v>0</v>
      </c>
      <c r="BE196" s="19">
        <v>0</v>
      </c>
      <c r="BF196" s="19">
        <f>O196</f>
        <v>2.7000000000000002E-5</v>
      </c>
      <c r="BH196" s="19">
        <f>G196*AO196</f>
        <v>0</v>
      </c>
      <c r="BI196" s="19">
        <f>G196*AP196</f>
        <v>0</v>
      </c>
      <c r="BJ196" s="19">
        <f>G196*H196</f>
        <v>0</v>
      </c>
      <c r="BK196" s="19"/>
      <c r="BL196" s="19">
        <v>97</v>
      </c>
      <c r="BW196" s="19" t="str">
        <f>I196</f>
        <v>12</v>
      </c>
      <c r="BX196" s="4" t="s">
        <v>348</v>
      </c>
    </row>
    <row r="197" spans="1:76" x14ac:dyDescent="0.25">
      <c r="A197" s="1" t="s">
        <v>681</v>
      </c>
      <c r="B197" s="2" t="s">
        <v>267</v>
      </c>
      <c r="C197" s="2" t="s">
        <v>349</v>
      </c>
      <c r="D197" s="105" t="s">
        <v>350</v>
      </c>
      <c r="E197" s="99"/>
      <c r="F197" s="2" t="s">
        <v>31</v>
      </c>
      <c r="G197" s="19">
        <f>'Rozpočet - vybrané sloupce'!J196</f>
        <v>2.7</v>
      </c>
      <c r="H197" s="19">
        <f>'Rozpočet - vybrané sloupce'!K196</f>
        <v>0</v>
      </c>
      <c r="I197" s="87" t="s">
        <v>489</v>
      </c>
      <c r="J197" s="19">
        <f>G197*AO197</f>
        <v>0</v>
      </c>
      <c r="K197" s="19">
        <f>G197*AP197</f>
        <v>0</v>
      </c>
      <c r="L197" s="19">
        <f>G197*H197</f>
        <v>0</v>
      </c>
      <c r="M197" s="19">
        <f>L197*(1+BW197/100)</f>
        <v>0</v>
      </c>
      <c r="N197" s="19">
        <v>0</v>
      </c>
      <c r="O197" s="19">
        <f>G197*N197</f>
        <v>0</v>
      </c>
      <c r="P197" s="88" t="s">
        <v>490</v>
      </c>
      <c r="Z197" s="19">
        <f>IF(AQ197="5",BJ197,0)</f>
        <v>0</v>
      </c>
      <c r="AB197" s="19">
        <f>IF(AQ197="1",BH197,0)</f>
        <v>0</v>
      </c>
      <c r="AC197" s="19">
        <f>IF(AQ197="1",BI197,0)</f>
        <v>0</v>
      </c>
      <c r="AD197" s="19">
        <f>IF(AQ197="7",BH197,0)</f>
        <v>0</v>
      </c>
      <c r="AE197" s="19">
        <f>IF(AQ197="7",BI197,0)</f>
        <v>0</v>
      </c>
      <c r="AF197" s="19">
        <f>IF(AQ197="2",BH197,0)</f>
        <v>0</v>
      </c>
      <c r="AG197" s="19">
        <f>IF(AQ197="2",BI197,0)</f>
        <v>0</v>
      </c>
      <c r="AH197" s="19">
        <f>IF(AQ197="0",BJ197,0)</f>
        <v>0</v>
      </c>
      <c r="AI197" s="16" t="s">
        <v>267</v>
      </c>
      <c r="AJ197" s="19">
        <f>IF(AN197=0,L197,0)</f>
        <v>0</v>
      </c>
      <c r="AK197" s="19">
        <f>IF(AN197=12,L197,0)</f>
        <v>0</v>
      </c>
      <c r="AL197" s="19">
        <f>IF(AN197=21,L197,0)</f>
        <v>0</v>
      </c>
      <c r="AN197" s="19">
        <v>12</v>
      </c>
      <c r="AO197" s="19">
        <f>H197*0</f>
        <v>0</v>
      </c>
      <c r="AP197" s="19">
        <f>H197*(1-0)</f>
        <v>0</v>
      </c>
      <c r="AQ197" s="87" t="s">
        <v>488</v>
      </c>
      <c r="AV197" s="19">
        <f>AW197+AX197</f>
        <v>0</v>
      </c>
      <c r="AW197" s="19">
        <f>G197*AO197</f>
        <v>0</v>
      </c>
      <c r="AX197" s="19">
        <f>G197*AP197</f>
        <v>0</v>
      </c>
      <c r="AY197" s="87" t="s">
        <v>678</v>
      </c>
      <c r="AZ197" s="87" t="s">
        <v>673</v>
      </c>
      <c r="BA197" s="16" t="s">
        <v>637</v>
      </c>
      <c r="BC197" s="19">
        <f>AW197+AX197</f>
        <v>0</v>
      </c>
      <c r="BD197" s="19">
        <f>H197/(100-BE197)*100</f>
        <v>0</v>
      </c>
      <c r="BE197" s="19">
        <v>0</v>
      </c>
      <c r="BF197" s="19">
        <f>O197</f>
        <v>0</v>
      </c>
      <c r="BH197" s="19">
        <f>G197*AO197</f>
        <v>0</v>
      </c>
      <c r="BI197" s="19">
        <f>G197*AP197</f>
        <v>0</v>
      </c>
      <c r="BJ197" s="19">
        <f>G197*H197</f>
        <v>0</v>
      </c>
      <c r="BK197" s="19"/>
      <c r="BL197" s="19">
        <v>97</v>
      </c>
      <c r="BW197" s="19" t="str">
        <f>I197</f>
        <v>12</v>
      </c>
      <c r="BX197" s="4" t="s">
        <v>350</v>
      </c>
    </row>
    <row r="198" spans="1:76" x14ac:dyDescent="0.25">
      <c r="A198" s="1" t="s">
        <v>682</v>
      </c>
      <c r="B198" s="2" t="s">
        <v>267</v>
      </c>
      <c r="C198" s="2" t="s">
        <v>351</v>
      </c>
      <c r="D198" s="105" t="s">
        <v>352</v>
      </c>
      <c r="E198" s="99"/>
      <c r="F198" s="2" t="s">
        <v>31</v>
      </c>
      <c r="G198" s="19">
        <f>'Rozpočet - vybrané sloupce'!J197</f>
        <v>2.7</v>
      </c>
      <c r="H198" s="19">
        <f>'Rozpočet - vybrané sloupce'!K197</f>
        <v>0</v>
      </c>
      <c r="I198" s="87" t="s">
        <v>489</v>
      </c>
      <c r="J198" s="19">
        <f>G198*AO198</f>
        <v>0</v>
      </c>
      <c r="K198" s="19">
        <f>G198*AP198</f>
        <v>0</v>
      </c>
      <c r="L198" s="19">
        <f>G198*H198</f>
        <v>0</v>
      </c>
      <c r="M198" s="19">
        <f>L198*(1+BW198/100)</f>
        <v>0</v>
      </c>
      <c r="N198" s="19">
        <v>1.34E-3</v>
      </c>
      <c r="O198" s="19">
        <f>G198*N198</f>
        <v>3.6180000000000006E-3</v>
      </c>
      <c r="P198" s="88" t="s">
        <v>490</v>
      </c>
      <c r="Z198" s="19">
        <f>IF(AQ198="5",BJ198,0)</f>
        <v>0</v>
      </c>
      <c r="AB198" s="19">
        <f>IF(AQ198="1",BH198,0)</f>
        <v>0</v>
      </c>
      <c r="AC198" s="19">
        <f>IF(AQ198="1",BI198,0)</f>
        <v>0</v>
      </c>
      <c r="AD198" s="19">
        <f>IF(AQ198="7",BH198,0)</f>
        <v>0</v>
      </c>
      <c r="AE198" s="19">
        <f>IF(AQ198="7",BI198,0)</f>
        <v>0</v>
      </c>
      <c r="AF198" s="19">
        <f>IF(AQ198="2",BH198,0)</f>
        <v>0</v>
      </c>
      <c r="AG198" s="19">
        <f>IF(AQ198="2",BI198,0)</f>
        <v>0</v>
      </c>
      <c r="AH198" s="19">
        <f>IF(AQ198="0",BJ198,0)</f>
        <v>0</v>
      </c>
      <c r="AI198" s="16" t="s">
        <v>267</v>
      </c>
      <c r="AJ198" s="19">
        <f>IF(AN198=0,L198,0)</f>
        <v>0</v>
      </c>
      <c r="AK198" s="19">
        <f>IF(AN198=12,L198,0)</f>
        <v>0</v>
      </c>
      <c r="AL198" s="19">
        <f>IF(AN198=21,L198,0)</f>
        <v>0</v>
      </c>
      <c r="AN198" s="19">
        <v>12</v>
      </c>
      <c r="AO198" s="19">
        <f>H198*0.083137331</f>
        <v>0</v>
      </c>
      <c r="AP198" s="19">
        <f>H198*(1-0.083137331)</f>
        <v>0</v>
      </c>
      <c r="AQ198" s="87" t="s">
        <v>488</v>
      </c>
      <c r="AV198" s="19">
        <f>AW198+AX198</f>
        <v>0</v>
      </c>
      <c r="AW198" s="19">
        <f>G198*AO198</f>
        <v>0</v>
      </c>
      <c r="AX198" s="19">
        <f>G198*AP198</f>
        <v>0</v>
      </c>
      <c r="AY198" s="87" t="s">
        <v>678</v>
      </c>
      <c r="AZ198" s="87" t="s">
        <v>673</v>
      </c>
      <c r="BA198" s="16" t="s">
        <v>637</v>
      </c>
      <c r="BC198" s="19">
        <f>AW198+AX198</f>
        <v>0</v>
      </c>
      <c r="BD198" s="19">
        <f>H198/(100-BE198)*100</f>
        <v>0</v>
      </c>
      <c r="BE198" s="19">
        <v>0</v>
      </c>
      <c r="BF198" s="19">
        <f>O198</f>
        <v>3.6180000000000006E-3</v>
      </c>
      <c r="BH198" s="19">
        <f>G198*AO198</f>
        <v>0</v>
      </c>
      <c r="BI198" s="19">
        <f>G198*AP198</f>
        <v>0</v>
      </c>
      <c r="BJ198" s="19">
        <f>G198*H198</f>
        <v>0</v>
      </c>
      <c r="BK198" s="19"/>
      <c r="BL198" s="19">
        <v>97</v>
      </c>
      <c r="BW198" s="19" t="str">
        <f>I198</f>
        <v>12</v>
      </c>
      <c r="BX198" s="4" t="s">
        <v>352</v>
      </c>
    </row>
    <row r="199" spans="1:76" x14ac:dyDescent="0.25">
      <c r="A199" s="84" t="s">
        <v>25</v>
      </c>
      <c r="B199" s="15" t="s">
        <v>267</v>
      </c>
      <c r="C199" s="15" t="s">
        <v>353</v>
      </c>
      <c r="D199" s="112" t="s">
        <v>354</v>
      </c>
      <c r="E199" s="113"/>
      <c r="F199" s="85" t="s">
        <v>23</v>
      </c>
      <c r="G199" s="85" t="s">
        <v>23</v>
      </c>
      <c r="H199" s="85" t="s">
        <v>23</v>
      </c>
      <c r="I199" s="85" t="s">
        <v>23</v>
      </c>
      <c r="J199" s="60">
        <f>SUM(J200:J207)</f>
        <v>0</v>
      </c>
      <c r="K199" s="60">
        <f>SUM(K200:K207)</f>
        <v>0</v>
      </c>
      <c r="L199" s="60">
        <f>SUM(L200:L207)</f>
        <v>0</v>
      </c>
      <c r="M199" s="60">
        <f>SUM(M200:M207)</f>
        <v>0</v>
      </c>
      <c r="N199" s="16" t="s">
        <v>25</v>
      </c>
      <c r="O199" s="60">
        <f>SUM(O200:O207)</f>
        <v>0</v>
      </c>
      <c r="P199" s="86" t="s">
        <v>25</v>
      </c>
      <c r="AI199" s="16" t="s">
        <v>267</v>
      </c>
      <c r="AS199" s="60">
        <f>SUM(AJ200:AJ207)</f>
        <v>0</v>
      </c>
      <c r="AT199" s="60">
        <f>SUM(AK200:AK207)</f>
        <v>0</v>
      </c>
      <c r="AU199" s="60">
        <f>SUM(AL200:AL207)</f>
        <v>0</v>
      </c>
    </row>
    <row r="200" spans="1:76" x14ac:dyDescent="0.25">
      <c r="A200" s="1" t="s">
        <v>683</v>
      </c>
      <c r="B200" s="2" t="s">
        <v>267</v>
      </c>
      <c r="C200" s="2" t="s">
        <v>355</v>
      </c>
      <c r="D200" s="105" t="s">
        <v>356</v>
      </c>
      <c r="E200" s="99"/>
      <c r="F200" s="2" t="s">
        <v>357</v>
      </c>
      <c r="G200" s="19">
        <f>'Rozpočet - vybrané sloupce'!J199</f>
        <v>45</v>
      </c>
      <c r="H200" s="19">
        <f>'Rozpočet - vybrané sloupce'!K199</f>
        <v>0</v>
      </c>
      <c r="I200" s="87" t="s">
        <v>489</v>
      </c>
      <c r="J200" s="19">
        <f t="shared" ref="J200:J207" si="182">G200*AO200</f>
        <v>0</v>
      </c>
      <c r="K200" s="19">
        <f t="shared" ref="K200:K207" si="183">G200*AP200</f>
        <v>0</v>
      </c>
      <c r="L200" s="19">
        <f t="shared" ref="L200:L207" si="184">G200*H200</f>
        <v>0</v>
      </c>
      <c r="M200" s="19">
        <f t="shared" ref="M200:M207" si="185">L200*(1+BW200/100)</f>
        <v>0</v>
      </c>
      <c r="N200" s="19">
        <v>0</v>
      </c>
      <c r="O200" s="19">
        <f t="shared" ref="O200:O207" si="186">G200*N200</f>
        <v>0</v>
      </c>
      <c r="P200" s="88" t="s">
        <v>490</v>
      </c>
      <c r="Z200" s="19">
        <f t="shared" ref="Z200:Z207" si="187">IF(AQ200="5",BJ200,0)</f>
        <v>0</v>
      </c>
      <c r="AB200" s="19">
        <f t="shared" ref="AB200:AB207" si="188">IF(AQ200="1",BH200,0)</f>
        <v>0</v>
      </c>
      <c r="AC200" s="19">
        <f t="shared" ref="AC200:AC207" si="189">IF(AQ200="1",BI200,0)</f>
        <v>0</v>
      </c>
      <c r="AD200" s="19">
        <f t="shared" ref="AD200:AD207" si="190">IF(AQ200="7",BH200,0)</f>
        <v>0</v>
      </c>
      <c r="AE200" s="19">
        <f t="shared" ref="AE200:AE207" si="191">IF(AQ200="7",BI200,0)</f>
        <v>0</v>
      </c>
      <c r="AF200" s="19">
        <f t="shared" ref="AF200:AF207" si="192">IF(AQ200="2",BH200,0)</f>
        <v>0</v>
      </c>
      <c r="AG200" s="19">
        <f t="shared" ref="AG200:AG207" si="193">IF(AQ200="2",BI200,0)</f>
        <v>0</v>
      </c>
      <c r="AH200" s="19">
        <f t="shared" ref="AH200:AH207" si="194">IF(AQ200="0",BJ200,0)</f>
        <v>0</v>
      </c>
      <c r="AI200" s="16" t="s">
        <v>267</v>
      </c>
      <c r="AJ200" s="19">
        <f t="shared" ref="AJ200:AJ207" si="195">IF(AN200=0,L200,0)</f>
        <v>0</v>
      </c>
      <c r="AK200" s="19">
        <f t="shared" ref="AK200:AK207" si="196">IF(AN200=12,L200,0)</f>
        <v>0</v>
      </c>
      <c r="AL200" s="19">
        <f t="shared" ref="AL200:AL207" si="197">IF(AN200=21,L200,0)</f>
        <v>0</v>
      </c>
      <c r="AN200" s="19">
        <v>12</v>
      </c>
      <c r="AO200" s="19">
        <f t="shared" ref="AO200:AO207" si="198">H200*0</f>
        <v>0</v>
      </c>
      <c r="AP200" s="19">
        <f t="shared" ref="AP200:AP207" si="199">H200*(1-0)</f>
        <v>0</v>
      </c>
      <c r="AQ200" s="87" t="s">
        <v>488</v>
      </c>
      <c r="AV200" s="19">
        <f t="shared" ref="AV200:AV207" si="200">AW200+AX200</f>
        <v>0</v>
      </c>
      <c r="AW200" s="19">
        <f t="shared" ref="AW200:AW207" si="201">G200*AO200</f>
        <v>0</v>
      </c>
      <c r="AX200" s="19">
        <f t="shared" ref="AX200:AX207" si="202">G200*AP200</f>
        <v>0</v>
      </c>
      <c r="AY200" s="87" t="s">
        <v>684</v>
      </c>
      <c r="AZ200" s="87" t="s">
        <v>673</v>
      </c>
      <c r="BA200" s="16" t="s">
        <v>637</v>
      </c>
      <c r="BC200" s="19">
        <f t="shared" ref="BC200:BC207" si="203">AW200+AX200</f>
        <v>0</v>
      </c>
      <c r="BD200" s="19">
        <f t="shared" ref="BD200:BD207" si="204">H200/(100-BE200)*100</f>
        <v>0</v>
      </c>
      <c r="BE200" s="19">
        <v>0</v>
      </c>
      <c r="BF200" s="19">
        <f t="shared" ref="BF200:BF207" si="205">O200</f>
        <v>0</v>
      </c>
      <c r="BH200" s="19">
        <f t="shared" ref="BH200:BH207" si="206">G200*AO200</f>
        <v>0</v>
      </c>
      <c r="BI200" s="19">
        <f t="shared" ref="BI200:BI207" si="207">G200*AP200</f>
        <v>0</v>
      </c>
      <c r="BJ200" s="19">
        <f t="shared" ref="BJ200:BJ207" si="208">G200*H200</f>
        <v>0</v>
      </c>
      <c r="BK200" s="19"/>
      <c r="BL200" s="19"/>
      <c r="BW200" s="19" t="str">
        <f t="shared" ref="BW200:BW207" si="209">I200</f>
        <v>12</v>
      </c>
      <c r="BX200" s="4" t="s">
        <v>356</v>
      </c>
    </row>
    <row r="201" spans="1:76" x14ac:dyDescent="0.25">
      <c r="A201" s="1" t="s">
        <v>685</v>
      </c>
      <c r="B201" s="2" t="s">
        <v>267</v>
      </c>
      <c r="C201" s="2" t="s">
        <v>358</v>
      </c>
      <c r="D201" s="105" t="s">
        <v>359</v>
      </c>
      <c r="E201" s="99"/>
      <c r="F201" s="2" t="s">
        <v>72</v>
      </c>
      <c r="G201" s="19">
        <f>'Rozpočet - vybrané sloupce'!J200</f>
        <v>1.7</v>
      </c>
      <c r="H201" s="19">
        <f>'Rozpočet - vybrané sloupce'!K200</f>
        <v>0</v>
      </c>
      <c r="I201" s="87" t="s">
        <v>489</v>
      </c>
      <c r="J201" s="19">
        <f t="shared" si="182"/>
        <v>0</v>
      </c>
      <c r="K201" s="19">
        <f t="shared" si="183"/>
        <v>0</v>
      </c>
      <c r="L201" s="19">
        <f t="shared" si="184"/>
        <v>0</v>
      </c>
      <c r="M201" s="19">
        <f t="shared" si="185"/>
        <v>0</v>
      </c>
      <c r="N201" s="19">
        <v>0</v>
      </c>
      <c r="O201" s="19">
        <f t="shared" si="186"/>
        <v>0</v>
      </c>
      <c r="P201" s="88" t="s">
        <v>490</v>
      </c>
      <c r="Z201" s="19">
        <f t="shared" si="187"/>
        <v>0</v>
      </c>
      <c r="AB201" s="19">
        <f t="shared" si="188"/>
        <v>0</v>
      </c>
      <c r="AC201" s="19">
        <f t="shared" si="189"/>
        <v>0</v>
      </c>
      <c r="AD201" s="19">
        <f t="shared" si="190"/>
        <v>0</v>
      </c>
      <c r="AE201" s="19">
        <f t="shared" si="191"/>
        <v>0</v>
      </c>
      <c r="AF201" s="19">
        <f t="shared" si="192"/>
        <v>0</v>
      </c>
      <c r="AG201" s="19">
        <f t="shared" si="193"/>
        <v>0</v>
      </c>
      <c r="AH201" s="19">
        <f t="shared" si="194"/>
        <v>0</v>
      </c>
      <c r="AI201" s="16" t="s">
        <v>267</v>
      </c>
      <c r="AJ201" s="19">
        <f t="shared" si="195"/>
        <v>0</v>
      </c>
      <c r="AK201" s="19">
        <f t="shared" si="196"/>
        <v>0</v>
      </c>
      <c r="AL201" s="19">
        <f t="shared" si="197"/>
        <v>0</v>
      </c>
      <c r="AN201" s="19">
        <v>12</v>
      </c>
      <c r="AO201" s="19">
        <f t="shared" si="198"/>
        <v>0</v>
      </c>
      <c r="AP201" s="19">
        <f t="shared" si="199"/>
        <v>0</v>
      </c>
      <c r="AQ201" s="87" t="s">
        <v>498</v>
      </c>
      <c r="AV201" s="19">
        <f t="shared" si="200"/>
        <v>0</v>
      </c>
      <c r="AW201" s="19">
        <f t="shared" si="201"/>
        <v>0</v>
      </c>
      <c r="AX201" s="19">
        <f t="shared" si="202"/>
        <v>0</v>
      </c>
      <c r="AY201" s="87" t="s">
        <v>684</v>
      </c>
      <c r="AZ201" s="87" t="s">
        <v>673</v>
      </c>
      <c r="BA201" s="16" t="s">
        <v>637</v>
      </c>
      <c r="BC201" s="19">
        <f t="shared" si="203"/>
        <v>0</v>
      </c>
      <c r="BD201" s="19">
        <f t="shared" si="204"/>
        <v>0</v>
      </c>
      <c r="BE201" s="19">
        <v>0</v>
      </c>
      <c r="BF201" s="19">
        <f t="shared" si="205"/>
        <v>0</v>
      </c>
      <c r="BH201" s="19">
        <f t="shared" si="206"/>
        <v>0</v>
      </c>
      <c r="BI201" s="19">
        <f t="shared" si="207"/>
        <v>0</v>
      </c>
      <c r="BJ201" s="19">
        <f t="shared" si="208"/>
        <v>0</v>
      </c>
      <c r="BK201" s="19"/>
      <c r="BL201" s="19"/>
      <c r="BW201" s="19" t="str">
        <f t="shared" si="209"/>
        <v>12</v>
      </c>
      <c r="BX201" s="4" t="s">
        <v>359</v>
      </c>
    </row>
    <row r="202" spans="1:76" x14ac:dyDescent="0.25">
      <c r="A202" s="1" t="s">
        <v>686</v>
      </c>
      <c r="B202" s="2" t="s">
        <v>267</v>
      </c>
      <c r="C202" s="2" t="s">
        <v>360</v>
      </c>
      <c r="D202" s="105" t="s">
        <v>361</v>
      </c>
      <c r="E202" s="99"/>
      <c r="F202" s="2" t="s">
        <v>72</v>
      </c>
      <c r="G202" s="19">
        <f>'Rozpočet - vybrané sloupce'!J201</f>
        <v>2.6</v>
      </c>
      <c r="H202" s="19">
        <f>'Rozpočet - vybrané sloupce'!K201</f>
        <v>0</v>
      </c>
      <c r="I202" s="87" t="s">
        <v>489</v>
      </c>
      <c r="J202" s="19">
        <f t="shared" si="182"/>
        <v>0</v>
      </c>
      <c r="K202" s="19">
        <f t="shared" si="183"/>
        <v>0</v>
      </c>
      <c r="L202" s="19">
        <f t="shared" si="184"/>
        <v>0</v>
      </c>
      <c r="M202" s="19">
        <f t="shared" si="185"/>
        <v>0</v>
      </c>
      <c r="N202" s="19">
        <v>0</v>
      </c>
      <c r="O202" s="19">
        <f t="shared" si="186"/>
        <v>0</v>
      </c>
      <c r="P202" s="88" t="s">
        <v>490</v>
      </c>
      <c r="Z202" s="19">
        <f t="shared" si="187"/>
        <v>0</v>
      </c>
      <c r="AB202" s="19">
        <f t="shared" si="188"/>
        <v>0</v>
      </c>
      <c r="AC202" s="19">
        <f t="shared" si="189"/>
        <v>0</v>
      </c>
      <c r="AD202" s="19">
        <f t="shared" si="190"/>
        <v>0</v>
      </c>
      <c r="AE202" s="19">
        <f t="shared" si="191"/>
        <v>0</v>
      </c>
      <c r="AF202" s="19">
        <f t="shared" si="192"/>
        <v>0</v>
      </c>
      <c r="AG202" s="19">
        <f t="shared" si="193"/>
        <v>0</v>
      </c>
      <c r="AH202" s="19">
        <f t="shared" si="194"/>
        <v>0</v>
      </c>
      <c r="AI202" s="16" t="s">
        <v>267</v>
      </c>
      <c r="AJ202" s="19">
        <f t="shared" si="195"/>
        <v>0</v>
      </c>
      <c r="AK202" s="19">
        <f t="shared" si="196"/>
        <v>0</v>
      </c>
      <c r="AL202" s="19">
        <f t="shared" si="197"/>
        <v>0</v>
      </c>
      <c r="AN202" s="19">
        <v>12</v>
      </c>
      <c r="AO202" s="19">
        <f t="shared" si="198"/>
        <v>0</v>
      </c>
      <c r="AP202" s="19">
        <f t="shared" si="199"/>
        <v>0</v>
      </c>
      <c r="AQ202" s="87" t="s">
        <v>498</v>
      </c>
      <c r="AV202" s="19">
        <f t="shared" si="200"/>
        <v>0</v>
      </c>
      <c r="AW202" s="19">
        <f t="shared" si="201"/>
        <v>0</v>
      </c>
      <c r="AX202" s="19">
        <f t="shared" si="202"/>
        <v>0</v>
      </c>
      <c r="AY202" s="87" t="s">
        <v>684</v>
      </c>
      <c r="AZ202" s="87" t="s">
        <v>673</v>
      </c>
      <c r="BA202" s="16" t="s">
        <v>637</v>
      </c>
      <c r="BC202" s="19">
        <f t="shared" si="203"/>
        <v>0</v>
      </c>
      <c r="BD202" s="19">
        <f t="shared" si="204"/>
        <v>0</v>
      </c>
      <c r="BE202" s="19">
        <v>0</v>
      </c>
      <c r="BF202" s="19">
        <f t="shared" si="205"/>
        <v>0</v>
      </c>
      <c r="BH202" s="19">
        <f t="shared" si="206"/>
        <v>0</v>
      </c>
      <c r="BI202" s="19">
        <f t="shared" si="207"/>
        <v>0</v>
      </c>
      <c r="BJ202" s="19">
        <f t="shared" si="208"/>
        <v>0</v>
      </c>
      <c r="BK202" s="19"/>
      <c r="BL202" s="19"/>
      <c r="BW202" s="19" t="str">
        <f t="shared" si="209"/>
        <v>12</v>
      </c>
      <c r="BX202" s="4" t="s">
        <v>361</v>
      </c>
    </row>
    <row r="203" spans="1:76" x14ac:dyDescent="0.25">
      <c r="A203" s="1" t="s">
        <v>687</v>
      </c>
      <c r="B203" s="2" t="s">
        <v>267</v>
      </c>
      <c r="C203" s="2" t="s">
        <v>362</v>
      </c>
      <c r="D203" s="105" t="s">
        <v>363</v>
      </c>
      <c r="E203" s="99"/>
      <c r="F203" s="2" t="s">
        <v>72</v>
      </c>
      <c r="G203" s="19">
        <f>'Rozpočet - vybrané sloupce'!J202</f>
        <v>4.3</v>
      </c>
      <c r="H203" s="19">
        <f>'Rozpočet - vybrané sloupce'!K202</f>
        <v>0</v>
      </c>
      <c r="I203" s="87" t="s">
        <v>489</v>
      </c>
      <c r="J203" s="19">
        <f t="shared" si="182"/>
        <v>0</v>
      </c>
      <c r="K203" s="19">
        <f t="shared" si="183"/>
        <v>0</v>
      </c>
      <c r="L203" s="19">
        <f t="shared" si="184"/>
        <v>0</v>
      </c>
      <c r="M203" s="19">
        <f t="shared" si="185"/>
        <v>0</v>
      </c>
      <c r="N203" s="19">
        <v>0</v>
      </c>
      <c r="O203" s="19">
        <f t="shared" si="186"/>
        <v>0</v>
      </c>
      <c r="P203" s="88" t="s">
        <v>490</v>
      </c>
      <c r="Z203" s="19">
        <f t="shared" si="187"/>
        <v>0</v>
      </c>
      <c r="AB203" s="19">
        <f t="shared" si="188"/>
        <v>0</v>
      </c>
      <c r="AC203" s="19">
        <f t="shared" si="189"/>
        <v>0</v>
      </c>
      <c r="AD203" s="19">
        <f t="shared" si="190"/>
        <v>0</v>
      </c>
      <c r="AE203" s="19">
        <f t="shared" si="191"/>
        <v>0</v>
      </c>
      <c r="AF203" s="19">
        <f t="shared" si="192"/>
        <v>0</v>
      </c>
      <c r="AG203" s="19">
        <f t="shared" si="193"/>
        <v>0</v>
      </c>
      <c r="AH203" s="19">
        <f t="shared" si="194"/>
        <v>0</v>
      </c>
      <c r="AI203" s="16" t="s">
        <v>267</v>
      </c>
      <c r="AJ203" s="19">
        <f t="shared" si="195"/>
        <v>0</v>
      </c>
      <c r="AK203" s="19">
        <f t="shared" si="196"/>
        <v>0</v>
      </c>
      <c r="AL203" s="19">
        <f t="shared" si="197"/>
        <v>0</v>
      </c>
      <c r="AN203" s="19">
        <v>12</v>
      </c>
      <c r="AO203" s="19">
        <f t="shared" si="198"/>
        <v>0</v>
      </c>
      <c r="AP203" s="19">
        <f t="shared" si="199"/>
        <v>0</v>
      </c>
      <c r="AQ203" s="87" t="s">
        <v>498</v>
      </c>
      <c r="AV203" s="19">
        <f t="shared" si="200"/>
        <v>0</v>
      </c>
      <c r="AW203" s="19">
        <f t="shared" si="201"/>
        <v>0</v>
      </c>
      <c r="AX203" s="19">
        <f t="shared" si="202"/>
        <v>0</v>
      </c>
      <c r="AY203" s="87" t="s">
        <v>684</v>
      </c>
      <c r="AZ203" s="87" t="s">
        <v>673</v>
      </c>
      <c r="BA203" s="16" t="s">
        <v>637</v>
      </c>
      <c r="BC203" s="19">
        <f t="shared" si="203"/>
        <v>0</v>
      </c>
      <c r="BD203" s="19">
        <f t="shared" si="204"/>
        <v>0</v>
      </c>
      <c r="BE203" s="19">
        <v>0</v>
      </c>
      <c r="BF203" s="19">
        <f t="shared" si="205"/>
        <v>0</v>
      </c>
      <c r="BH203" s="19">
        <f t="shared" si="206"/>
        <v>0</v>
      </c>
      <c r="BI203" s="19">
        <f t="shared" si="207"/>
        <v>0</v>
      </c>
      <c r="BJ203" s="19">
        <f t="shared" si="208"/>
        <v>0</v>
      </c>
      <c r="BK203" s="19"/>
      <c r="BL203" s="19"/>
      <c r="BW203" s="19" t="str">
        <f t="shared" si="209"/>
        <v>12</v>
      </c>
      <c r="BX203" s="4" t="s">
        <v>363</v>
      </c>
    </row>
    <row r="204" spans="1:76" x14ac:dyDescent="0.25">
      <c r="A204" s="1" t="s">
        <v>688</v>
      </c>
      <c r="B204" s="2" t="s">
        <v>267</v>
      </c>
      <c r="C204" s="2" t="s">
        <v>364</v>
      </c>
      <c r="D204" s="105" t="s">
        <v>365</v>
      </c>
      <c r="E204" s="99"/>
      <c r="F204" s="2" t="s">
        <v>72</v>
      </c>
      <c r="G204" s="19">
        <f>'Rozpočet - vybrané sloupce'!J203</f>
        <v>4.3</v>
      </c>
      <c r="H204" s="19">
        <f>'Rozpočet - vybrané sloupce'!K203</f>
        <v>0</v>
      </c>
      <c r="I204" s="87" t="s">
        <v>489</v>
      </c>
      <c r="J204" s="19">
        <f t="shared" si="182"/>
        <v>0</v>
      </c>
      <c r="K204" s="19">
        <f t="shared" si="183"/>
        <v>0</v>
      </c>
      <c r="L204" s="19">
        <f t="shared" si="184"/>
        <v>0</v>
      </c>
      <c r="M204" s="19">
        <f t="shared" si="185"/>
        <v>0</v>
      </c>
      <c r="N204" s="19">
        <v>0</v>
      </c>
      <c r="O204" s="19">
        <f t="shared" si="186"/>
        <v>0</v>
      </c>
      <c r="P204" s="88" t="s">
        <v>490</v>
      </c>
      <c r="Z204" s="19">
        <f t="shared" si="187"/>
        <v>0</v>
      </c>
      <c r="AB204" s="19">
        <f t="shared" si="188"/>
        <v>0</v>
      </c>
      <c r="AC204" s="19">
        <f t="shared" si="189"/>
        <v>0</v>
      </c>
      <c r="AD204" s="19">
        <f t="shared" si="190"/>
        <v>0</v>
      </c>
      <c r="AE204" s="19">
        <f t="shared" si="191"/>
        <v>0</v>
      </c>
      <c r="AF204" s="19">
        <f t="shared" si="192"/>
        <v>0</v>
      </c>
      <c r="AG204" s="19">
        <f t="shared" si="193"/>
        <v>0</v>
      </c>
      <c r="AH204" s="19">
        <f t="shared" si="194"/>
        <v>0</v>
      </c>
      <c r="AI204" s="16" t="s">
        <v>267</v>
      </c>
      <c r="AJ204" s="19">
        <f t="shared" si="195"/>
        <v>0</v>
      </c>
      <c r="AK204" s="19">
        <f t="shared" si="196"/>
        <v>0</v>
      </c>
      <c r="AL204" s="19">
        <f t="shared" si="197"/>
        <v>0</v>
      </c>
      <c r="AN204" s="19">
        <v>12</v>
      </c>
      <c r="AO204" s="19">
        <f t="shared" si="198"/>
        <v>0</v>
      </c>
      <c r="AP204" s="19">
        <f t="shared" si="199"/>
        <v>0</v>
      </c>
      <c r="AQ204" s="87" t="s">
        <v>498</v>
      </c>
      <c r="AV204" s="19">
        <f t="shared" si="200"/>
        <v>0</v>
      </c>
      <c r="AW204" s="19">
        <f t="shared" si="201"/>
        <v>0</v>
      </c>
      <c r="AX204" s="19">
        <f t="shared" si="202"/>
        <v>0</v>
      </c>
      <c r="AY204" s="87" t="s">
        <v>684</v>
      </c>
      <c r="AZ204" s="87" t="s">
        <v>673</v>
      </c>
      <c r="BA204" s="16" t="s">
        <v>637</v>
      </c>
      <c r="BC204" s="19">
        <f t="shared" si="203"/>
        <v>0</v>
      </c>
      <c r="BD204" s="19">
        <f t="shared" si="204"/>
        <v>0</v>
      </c>
      <c r="BE204" s="19">
        <v>0</v>
      </c>
      <c r="BF204" s="19">
        <f t="shared" si="205"/>
        <v>0</v>
      </c>
      <c r="BH204" s="19">
        <f t="shared" si="206"/>
        <v>0</v>
      </c>
      <c r="BI204" s="19">
        <f t="shared" si="207"/>
        <v>0</v>
      </c>
      <c r="BJ204" s="19">
        <f t="shared" si="208"/>
        <v>0</v>
      </c>
      <c r="BK204" s="19"/>
      <c r="BL204" s="19"/>
      <c r="BW204" s="19" t="str">
        <f t="shared" si="209"/>
        <v>12</v>
      </c>
      <c r="BX204" s="4" t="s">
        <v>365</v>
      </c>
    </row>
    <row r="205" spans="1:76" x14ac:dyDescent="0.25">
      <c r="A205" s="1" t="s">
        <v>689</v>
      </c>
      <c r="B205" s="2" t="s">
        <v>267</v>
      </c>
      <c r="C205" s="2" t="s">
        <v>366</v>
      </c>
      <c r="D205" s="105" t="s">
        <v>367</v>
      </c>
      <c r="E205" s="99"/>
      <c r="F205" s="2" t="s">
        <v>72</v>
      </c>
      <c r="G205" s="19">
        <f>'Rozpočet - vybrané sloupce'!J204</f>
        <v>4.3</v>
      </c>
      <c r="H205" s="19">
        <f>'Rozpočet - vybrané sloupce'!K204</f>
        <v>0</v>
      </c>
      <c r="I205" s="87" t="s">
        <v>489</v>
      </c>
      <c r="J205" s="19">
        <f t="shared" si="182"/>
        <v>0</v>
      </c>
      <c r="K205" s="19">
        <f t="shared" si="183"/>
        <v>0</v>
      </c>
      <c r="L205" s="19">
        <f t="shared" si="184"/>
        <v>0</v>
      </c>
      <c r="M205" s="19">
        <f t="shared" si="185"/>
        <v>0</v>
      </c>
      <c r="N205" s="19">
        <v>0</v>
      </c>
      <c r="O205" s="19">
        <f t="shared" si="186"/>
        <v>0</v>
      </c>
      <c r="P205" s="88" t="s">
        <v>490</v>
      </c>
      <c r="Z205" s="19">
        <f t="shared" si="187"/>
        <v>0</v>
      </c>
      <c r="AB205" s="19">
        <f t="shared" si="188"/>
        <v>0</v>
      </c>
      <c r="AC205" s="19">
        <f t="shared" si="189"/>
        <v>0</v>
      </c>
      <c r="AD205" s="19">
        <f t="shared" si="190"/>
        <v>0</v>
      </c>
      <c r="AE205" s="19">
        <f t="shared" si="191"/>
        <v>0</v>
      </c>
      <c r="AF205" s="19">
        <f t="shared" si="192"/>
        <v>0</v>
      </c>
      <c r="AG205" s="19">
        <f t="shared" si="193"/>
        <v>0</v>
      </c>
      <c r="AH205" s="19">
        <f t="shared" si="194"/>
        <v>0</v>
      </c>
      <c r="AI205" s="16" t="s">
        <v>267</v>
      </c>
      <c r="AJ205" s="19">
        <f t="shared" si="195"/>
        <v>0</v>
      </c>
      <c r="AK205" s="19">
        <f t="shared" si="196"/>
        <v>0</v>
      </c>
      <c r="AL205" s="19">
        <f t="shared" si="197"/>
        <v>0</v>
      </c>
      <c r="AN205" s="19">
        <v>12</v>
      </c>
      <c r="AO205" s="19">
        <f t="shared" si="198"/>
        <v>0</v>
      </c>
      <c r="AP205" s="19">
        <f t="shared" si="199"/>
        <v>0</v>
      </c>
      <c r="AQ205" s="87" t="s">
        <v>498</v>
      </c>
      <c r="AV205" s="19">
        <f t="shared" si="200"/>
        <v>0</v>
      </c>
      <c r="AW205" s="19">
        <f t="shared" si="201"/>
        <v>0</v>
      </c>
      <c r="AX205" s="19">
        <f t="shared" si="202"/>
        <v>0</v>
      </c>
      <c r="AY205" s="87" t="s">
        <v>684</v>
      </c>
      <c r="AZ205" s="87" t="s">
        <v>673</v>
      </c>
      <c r="BA205" s="16" t="s">
        <v>637</v>
      </c>
      <c r="BC205" s="19">
        <f t="shared" si="203"/>
        <v>0</v>
      </c>
      <c r="BD205" s="19">
        <f t="shared" si="204"/>
        <v>0</v>
      </c>
      <c r="BE205" s="19">
        <v>0</v>
      </c>
      <c r="BF205" s="19">
        <f t="shared" si="205"/>
        <v>0</v>
      </c>
      <c r="BH205" s="19">
        <f t="shared" si="206"/>
        <v>0</v>
      </c>
      <c r="BI205" s="19">
        <f t="shared" si="207"/>
        <v>0</v>
      </c>
      <c r="BJ205" s="19">
        <f t="shared" si="208"/>
        <v>0</v>
      </c>
      <c r="BK205" s="19"/>
      <c r="BL205" s="19"/>
      <c r="BW205" s="19" t="str">
        <f t="shared" si="209"/>
        <v>12</v>
      </c>
      <c r="BX205" s="4" t="s">
        <v>367</v>
      </c>
    </row>
    <row r="206" spans="1:76" x14ac:dyDescent="0.25">
      <c r="A206" s="1" t="s">
        <v>690</v>
      </c>
      <c r="B206" s="2" t="s">
        <v>267</v>
      </c>
      <c r="C206" s="2" t="s">
        <v>368</v>
      </c>
      <c r="D206" s="105" t="s">
        <v>369</v>
      </c>
      <c r="E206" s="99"/>
      <c r="F206" s="2" t="s">
        <v>72</v>
      </c>
      <c r="G206" s="19">
        <f>'Rozpočet - vybrané sloupce'!J205</f>
        <v>43</v>
      </c>
      <c r="H206" s="19">
        <f>'Rozpočet - vybrané sloupce'!K205</f>
        <v>0</v>
      </c>
      <c r="I206" s="87" t="s">
        <v>489</v>
      </c>
      <c r="J206" s="19">
        <f t="shared" si="182"/>
        <v>0</v>
      </c>
      <c r="K206" s="19">
        <f t="shared" si="183"/>
        <v>0</v>
      </c>
      <c r="L206" s="19">
        <f t="shared" si="184"/>
        <v>0</v>
      </c>
      <c r="M206" s="19">
        <f t="shared" si="185"/>
        <v>0</v>
      </c>
      <c r="N206" s="19">
        <v>0</v>
      </c>
      <c r="O206" s="19">
        <f t="shared" si="186"/>
        <v>0</v>
      </c>
      <c r="P206" s="88" t="s">
        <v>490</v>
      </c>
      <c r="Z206" s="19">
        <f t="shared" si="187"/>
        <v>0</v>
      </c>
      <c r="AB206" s="19">
        <f t="shared" si="188"/>
        <v>0</v>
      </c>
      <c r="AC206" s="19">
        <f t="shared" si="189"/>
        <v>0</v>
      </c>
      <c r="AD206" s="19">
        <f t="shared" si="190"/>
        <v>0</v>
      </c>
      <c r="AE206" s="19">
        <f t="shared" si="191"/>
        <v>0</v>
      </c>
      <c r="AF206" s="19">
        <f t="shared" si="192"/>
        <v>0</v>
      </c>
      <c r="AG206" s="19">
        <f t="shared" si="193"/>
        <v>0</v>
      </c>
      <c r="AH206" s="19">
        <f t="shared" si="194"/>
        <v>0</v>
      </c>
      <c r="AI206" s="16" t="s">
        <v>267</v>
      </c>
      <c r="AJ206" s="19">
        <f t="shared" si="195"/>
        <v>0</v>
      </c>
      <c r="AK206" s="19">
        <f t="shared" si="196"/>
        <v>0</v>
      </c>
      <c r="AL206" s="19">
        <f t="shared" si="197"/>
        <v>0</v>
      </c>
      <c r="AN206" s="19">
        <v>12</v>
      </c>
      <c r="AO206" s="19">
        <f t="shared" si="198"/>
        <v>0</v>
      </c>
      <c r="AP206" s="19">
        <f t="shared" si="199"/>
        <v>0</v>
      </c>
      <c r="AQ206" s="87" t="s">
        <v>498</v>
      </c>
      <c r="AV206" s="19">
        <f t="shared" si="200"/>
        <v>0</v>
      </c>
      <c r="AW206" s="19">
        <f t="shared" si="201"/>
        <v>0</v>
      </c>
      <c r="AX206" s="19">
        <f t="shared" si="202"/>
        <v>0</v>
      </c>
      <c r="AY206" s="87" t="s">
        <v>684</v>
      </c>
      <c r="AZ206" s="87" t="s">
        <v>673</v>
      </c>
      <c r="BA206" s="16" t="s">
        <v>637</v>
      </c>
      <c r="BC206" s="19">
        <f t="shared" si="203"/>
        <v>0</v>
      </c>
      <c r="BD206" s="19">
        <f t="shared" si="204"/>
        <v>0</v>
      </c>
      <c r="BE206" s="19">
        <v>0</v>
      </c>
      <c r="BF206" s="19">
        <f t="shared" si="205"/>
        <v>0</v>
      </c>
      <c r="BH206" s="19">
        <f t="shared" si="206"/>
        <v>0</v>
      </c>
      <c r="BI206" s="19">
        <f t="shared" si="207"/>
        <v>0</v>
      </c>
      <c r="BJ206" s="19">
        <f t="shared" si="208"/>
        <v>0</v>
      </c>
      <c r="BK206" s="19"/>
      <c r="BL206" s="19"/>
      <c r="BW206" s="19" t="str">
        <f t="shared" si="209"/>
        <v>12</v>
      </c>
      <c r="BX206" s="4" t="s">
        <v>369</v>
      </c>
    </row>
    <row r="207" spans="1:76" x14ac:dyDescent="0.25">
      <c r="A207" s="1" t="s">
        <v>691</v>
      </c>
      <c r="B207" s="2" t="s">
        <v>267</v>
      </c>
      <c r="C207" s="2" t="s">
        <v>370</v>
      </c>
      <c r="D207" s="105" t="s">
        <v>371</v>
      </c>
      <c r="E207" s="99"/>
      <c r="F207" s="2" t="s">
        <v>72</v>
      </c>
      <c r="G207" s="19">
        <f>'Rozpočet - vybrané sloupce'!J206</f>
        <v>4.3</v>
      </c>
      <c r="H207" s="19">
        <f>'Rozpočet - vybrané sloupce'!K206</f>
        <v>0</v>
      </c>
      <c r="I207" s="87" t="s">
        <v>489</v>
      </c>
      <c r="J207" s="19">
        <f t="shared" si="182"/>
        <v>0</v>
      </c>
      <c r="K207" s="19">
        <f t="shared" si="183"/>
        <v>0</v>
      </c>
      <c r="L207" s="19">
        <f t="shared" si="184"/>
        <v>0</v>
      </c>
      <c r="M207" s="19">
        <f t="shared" si="185"/>
        <v>0</v>
      </c>
      <c r="N207" s="19">
        <v>0</v>
      </c>
      <c r="O207" s="19">
        <f t="shared" si="186"/>
        <v>0</v>
      </c>
      <c r="P207" s="88" t="s">
        <v>490</v>
      </c>
      <c r="Z207" s="19">
        <f t="shared" si="187"/>
        <v>0</v>
      </c>
      <c r="AB207" s="19">
        <f t="shared" si="188"/>
        <v>0</v>
      </c>
      <c r="AC207" s="19">
        <f t="shared" si="189"/>
        <v>0</v>
      </c>
      <c r="AD207" s="19">
        <f t="shared" si="190"/>
        <v>0</v>
      </c>
      <c r="AE207" s="19">
        <f t="shared" si="191"/>
        <v>0</v>
      </c>
      <c r="AF207" s="19">
        <f t="shared" si="192"/>
        <v>0</v>
      </c>
      <c r="AG207" s="19">
        <f t="shared" si="193"/>
        <v>0</v>
      </c>
      <c r="AH207" s="19">
        <f t="shared" si="194"/>
        <v>0</v>
      </c>
      <c r="AI207" s="16" t="s">
        <v>267</v>
      </c>
      <c r="AJ207" s="19">
        <f t="shared" si="195"/>
        <v>0</v>
      </c>
      <c r="AK207" s="19">
        <f t="shared" si="196"/>
        <v>0</v>
      </c>
      <c r="AL207" s="19">
        <f t="shared" si="197"/>
        <v>0</v>
      </c>
      <c r="AN207" s="19">
        <v>12</v>
      </c>
      <c r="AO207" s="19">
        <f t="shared" si="198"/>
        <v>0</v>
      </c>
      <c r="AP207" s="19">
        <f t="shared" si="199"/>
        <v>0</v>
      </c>
      <c r="AQ207" s="87" t="s">
        <v>498</v>
      </c>
      <c r="AV207" s="19">
        <f t="shared" si="200"/>
        <v>0</v>
      </c>
      <c r="AW207" s="19">
        <f t="shared" si="201"/>
        <v>0</v>
      </c>
      <c r="AX207" s="19">
        <f t="shared" si="202"/>
        <v>0</v>
      </c>
      <c r="AY207" s="87" t="s">
        <v>684</v>
      </c>
      <c r="AZ207" s="87" t="s">
        <v>673</v>
      </c>
      <c r="BA207" s="16" t="s">
        <v>637</v>
      </c>
      <c r="BC207" s="19">
        <f t="shared" si="203"/>
        <v>0</v>
      </c>
      <c r="BD207" s="19">
        <f t="shared" si="204"/>
        <v>0</v>
      </c>
      <c r="BE207" s="19">
        <v>0</v>
      </c>
      <c r="BF207" s="19">
        <f t="shared" si="205"/>
        <v>0</v>
      </c>
      <c r="BH207" s="19">
        <f t="shared" si="206"/>
        <v>0</v>
      </c>
      <c r="BI207" s="19">
        <f t="shared" si="207"/>
        <v>0</v>
      </c>
      <c r="BJ207" s="19">
        <f t="shared" si="208"/>
        <v>0</v>
      </c>
      <c r="BK207" s="19"/>
      <c r="BL207" s="19"/>
      <c r="BW207" s="19" t="str">
        <f t="shared" si="209"/>
        <v>12</v>
      </c>
      <c r="BX207" s="4" t="s">
        <v>371</v>
      </c>
    </row>
    <row r="208" spans="1:76" x14ac:dyDescent="0.25">
      <c r="A208" s="84" t="s">
        <v>25</v>
      </c>
      <c r="B208" s="15" t="s">
        <v>372</v>
      </c>
      <c r="C208" s="15" t="s">
        <v>25</v>
      </c>
      <c r="D208" s="112" t="s">
        <v>373</v>
      </c>
      <c r="E208" s="113"/>
      <c r="F208" s="85" t="s">
        <v>23</v>
      </c>
      <c r="G208" s="85" t="s">
        <v>23</v>
      </c>
      <c r="H208" s="85" t="s">
        <v>23</v>
      </c>
      <c r="I208" s="85" t="s">
        <v>23</v>
      </c>
      <c r="J208" s="60">
        <f>J210+J212+J215</f>
        <v>0</v>
      </c>
      <c r="K208" s="60">
        <f>K210+K212+K215</f>
        <v>0</v>
      </c>
      <c r="L208" s="60">
        <f>L210+L212+L215</f>
        <v>0</v>
      </c>
      <c r="M208" s="60">
        <f>M210+M212+M215</f>
        <v>0</v>
      </c>
      <c r="N208" s="16" t="s">
        <v>25</v>
      </c>
      <c r="O208" s="60">
        <f>O210+O212+O215</f>
        <v>0</v>
      </c>
      <c r="P208" s="86" t="s">
        <v>25</v>
      </c>
    </row>
    <row r="209" spans="1:76" x14ac:dyDescent="0.25">
      <c r="A209" s="84" t="s">
        <v>25</v>
      </c>
      <c r="B209" s="15" t="s">
        <v>372</v>
      </c>
      <c r="C209" s="15" t="s">
        <v>374</v>
      </c>
      <c r="D209" s="112" t="s">
        <v>375</v>
      </c>
      <c r="E209" s="113"/>
      <c r="F209" s="85" t="s">
        <v>23</v>
      </c>
      <c r="G209" s="85" t="s">
        <v>23</v>
      </c>
      <c r="H209" s="85" t="s">
        <v>23</v>
      </c>
      <c r="I209" s="85" t="s">
        <v>23</v>
      </c>
      <c r="J209" s="60">
        <f>J210+J212+J215</f>
        <v>0</v>
      </c>
      <c r="K209" s="60">
        <f>K210+K212+K215</f>
        <v>0</v>
      </c>
      <c r="L209" s="60">
        <f>L210+L212+L215</f>
        <v>0</v>
      </c>
      <c r="M209" s="60">
        <f>M210+M212+M215</f>
        <v>0</v>
      </c>
      <c r="N209" s="16" t="s">
        <v>25</v>
      </c>
      <c r="O209" s="60">
        <f>O210+O212+O215</f>
        <v>0</v>
      </c>
      <c r="P209" s="86" t="s">
        <v>25</v>
      </c>
      <c r="AI209" s="16" t="s">
        <v>372</v>
      </c>
    </row>
    <row r="210" spans="1:76" x14ac:dyDescent="0.25">
      <c r="A210" s="84" t="s">
        <v>25</v>
      </c>
      <c r="B210" s="15" t="s">
        <v>372</v>
      </c>
      <c r="C210" s="15" t="s">
        <v>376</v>
      </c>
      <c r="D210" s="112" t="s">
        <v>377</v>
      </c>
      <c r="E210" s="113"/>
      <c r="F210" s="85" t="s">
        <v>23</v>
      </c>
      <c r="G210" s="85" t="s">
        <v>23</v>
      </c>
      <c r="H210" s="85" t="s">
        <v>23</v>
      </c>
      <c r="I210" s="85" t="s">
        <v>23</v>
      </c>
      <c r="J210" s="60">
        <f>SUM(J211:J211)</f>
        <v>0</v>
      </c>
      <c r="K210" s="60">
        <f>SUM(K211:K211)</f>
        <v>0</v>
      </c>
      <c r="L210" s="60">
        <f>SUM(L211:L211)</f>
        <v>0</v>
      </c>
      <c r="M210" s="60">
        <f>SUM(M211:M211)</f>
        <v>0</v>
      </c>
      <c r="N210" s="16" t="s">
        <v>25</v>
      </c>
      <c r="O210" s="60">
        <f>SUM(O211:O211)</f>
        <v>0</v>
      </c>
      <c r="P210" s="86" t="s">
        <v>25</v>
      </c>
      <c r="AI210" s="16" t="s">
        <v>372</v>
      </c>
      <c r="AS210" s="60">
        <f>SUM(AJ211:AJ211)</f>
        <v>0</v>
      </c>
      <c r="AT210" s="60">
        <f>SUM(AK211:AK211)</f>
        <v>0</v>
      </c>
      <c r="AU210" s="60">
        <f>SUM(AL211:AL211)</f>
        <v>0</v>
      </c>
    </row>
    <row r="211" spans="1:76" x14ac:dyDescent="0.25">
      <c r="A211" s="1" t="s">
        <v>692</v>
      </c>
      <c r="B211" s="2" t="s">
        <v>372</v>
      </c>
      <c r="C211" s="2" t="s">
        <v>378</v>
      </c>
      <c r="D211" s="105" t="s">
        <v>379</v>
      </c>
      <c r="E211" s="99"/>
      <c r="F211" s="2" t="s">
        <v>380</v>
      </c>
      <c r="G211" s="19">
        <f>'Rozpočet - vybrané sloupce'!J210</f>
        <v>12</v>
      </c>
      <c r="H211" s="19">
        <f>'Rozpočet - vybrané sloupce'!K210</f>
        <v>0</v>
      </c>
      <c r="I211" s="87" t="s">
        <v>489</v>
      </c>
      <c r="J211" s="19">
        <f>G211*AO211</f>
        <v>0</v>
      </c>
      <c r="K211" s="19">
        <f>G211*AP211</f>
        <v>0</v>
      </c>
      <c r="L211" s="19">
        <f>G211*H211</f>
        <v>0</v>
      </c>
      <c r="M211" s="19">
        <f>L211*(1+BW211/100)</f>
        <v>0</v>
      </c>
      <c r="N211" s="19">
        <v>0</v>
      </c>
      <c r="O211" s="19">
        <f>G211*N211</f>
        <v>0</v>
      </c>
      <c r="P211" s="88" t="s">
        <v>675</v>
      </c>
      <c r="Z211" s="19">
        <f>IF(AQ211="5",BJ211,0)</f>
        <v>0</v>
      </c>
      <c r="AB211" s="19">
        <f>IF(AQ211="1",BH211,0)</f>
        <v>0</v>
      </c>
      <c r="AC211" s="19">
        <f>IF(AQ211="1",BI211,0)</f>
        <v>0</v>
      </c>
      <c r="AD211" s="19">
        <f>IF(AQ211="7",BH211,0)</f>
        <v>0</v>
      </c>
      <c r="AE211" s="19">
        <f>IF(AQ211="7",BI211,0)</f>
        <v>0</v>
      </c>
      <c r="AF211" s="19">
        <f>IF(AQ211="2",BH211,0)</f>
        <v>0</v>
      </c>
      <c r="AG211" s="19">
        <f>IF(AQ211="2",BI211,0)</f>
        <v>0</v>
      </c>
      <c r="AH211" s="19">
        <f>IF(AQ211="0",BJ211,0)</f>
        <v>0</v>
      </c>
      <c r="AI211" s="16" t="s">
        <v>372</v>
      </c>
      <c r="AJ211" s="19">
        <f>IF(AN211=0,L211,0)</f>
        <v>0</v>
      </c>
      <c r="AK211" s="19">
        <f>IF(AN211=12,L211,0)</f>
        <v>0</v>
      </c>
      <c r="AL211" s="19">
        <f>IF(AN211=21,L211,0)</f>
        <v>0</v>
      </c>
      <c r="AN211" s="19">
        <v>12</v>
      </c>
      <c r="AO211" s="19">
        <f>H211*0</f>
        <v>0</v>
      </c>
      <c r="AP211" s="19">
        <f>H211*(1-0)</f>
        <v>0</v>
      </c>
      <c r="AQ211" s="87" t="s">
        <v>598</v>
      </c>
      <c r="AV211" s="19">
        <f>AW211+AX211</f>
        <v>0</v>
      </c>
      <c r="AW211" s="19">
        <f>G211*AO211</f>
        <v>0</v>
      </c>
      <c r="AX211" s="19">
        <f>G211*AP211</f>
        <v>0</v>
      </c>
      <c r="AY211" s="87" t="s">
        <v>693</v>
      </c>
      <c r="AZ211" s="87" t="s">
        <v>694</v>
      </c>
      <c r="BA211" s="16" t="s">
        <v>695</v>
      </c>
      <c r="BC211" s="19">
        <f>AW211+AX211</f>
        <v>0</v>
      </c>
      <c r="BD211" s="19">
        <f>H211/(100-BE211)*100</f>
        <v>0</v>
      </c>
      <c r="BE211" s="19">
        <v>0</v>
      </c>
      <c r="BF211" s="19">
        <f>O211</f>
        <v>0</v>
      </c>
      <c r="BH211" s="19">
        <f>G211*AO211</f>
        <v>0</v>
      </c>
      <c r="BI211" s="19">
        <f>G211*AP211</f>
        <v>0</v>
      </c>
      <c r="BJ211" s="19">
        <f>G211*H211</f>
        <v>0</v>
      </c>
      <c r="BK211" s="19"/>
      <c r="BL211" s="19"/>
      <c r="BM211" s="19">
        <f>G211*H211</f>
        <v>0</v>
      </c>
      <c r="BW211" s="19" t="str">
        <f>I211</f>
        <v>12</v>
      </c>
      <c r="BX211" s="4" t="s">
        <v>379</v>
      </c>
    </row>
    <row r="212" spans="1:76" x14ac:dyDescent="0.25">
      <c r="A212" s="84" t="s">
        <v>25</v>
      </c>
      <c r="B212" s="15" t="s">
        <v>372</v>
      </c>
      <c r="C212" s="15" t="s">
        <v>381</v>
      </c>
      <c r="D212" s="112" t="s">
        <v>382</v>
      </c>
      <c r="E212" s="113"/>
      <c r="F212" s="85" t="s">
        <v>23</v>
      </c>
      <c r="G212" s="85" t="s">
        <v>23</v>
      </c>
      <c r="H212" s="85" t="s">
        <v>23</v>
      </c>
      <c r="I212" s="85" t="s">
        <v>23</v>
      </c>
      <c r="J212" s="60">
        <f>SUM(J213:J214)</f>
        <v>0</v>
      </c>
      <c r="K212" s="60">
        <f>SUM(K213:K214)</f>
        <v>0</v>
      </c>
      <c r="L212" s="60">
        <f>SUM(L213:L214)</f>
        <v>0</v>
      </c>
      <c r="M212" s="60">
        <f>SUM(M213:M214)</f>
        <v>0</v>
      </c>
      <c r="N212" s="16" t="s">
        <v>25</v>
      </c>
      <c r="O212" s="60">
        <f>SUM(O213:O214)</f>
        <v>0</v>
      </c>
      <c r="P212" s="86" t="s">
        <v>25</v>
      </c>
      <c r="AI212" s="16" t="s">
        <v>372</v>
      </c>
      <c r="AS212" s="60">
        <f>SUM(AJ213:AJ214)</f>
        <v>0</v>
      </c>
      <c r="AT212" s="60">
        <f>SUM(AK213:AK214)</f>
        <v>0</v>
      </c>
      <c r="AU212" s="60">
        <f>SUM(AL213:AL214)</f>
        <v>0</v>
      </c>
    </row>
    <row r="213" spans="1:76" x14ac:dyDescent="0.25">
      <c r="A213" s="1" t="s">
        <v>696</v>
      </c>
      <c r="B213" s="2" t="s">
        <v>372</v>
      </c>
      <c r="C213" s="2" t="s">
        <v>383</v>
      </c>
      <c r="D213" s="105" t="s">
        <v>382</v>
      </c>
      <c r="E213" s="99"/>
      <c r="F213" s="2" t="s">
        <v>384</v>
      </c>
      <c r="G213" s="19">
        <f>'Rozpočet - vybrané sloupce'!J212</f>
        <v>1</v>
      </c>
      <c r="H213" s="19">
        <f>'Rozpočet - vybrané sloupce'!K212</f>
        <v>0</v>
      </c>
      <c r="I213" s="87" t="s">
        <v>489</v>
      </c>
      <c r="J213" s="19">
        <f>G213*AO213</f>
        <v>0</v>
      </c>
      <c r="K213" s="19">
        <f>G213*AP213</f>
        <v>0</v>
      </c>
      <c r="L213" s="19">
        <f>G213*H213</f>
        <v>0</v>
      </c>
      <c r="M213" s="19">
        <f>L213*(1+BW213/100)</f>
        <v>0</v>
      </c>
      <c r="N213" s="19">
        <v>0</v>
      </c>
      <c r="O213" s="19">
        <f>G213*N213</f>
        <v>0</v>
      </c>
      <c r="P213" s="88" t="s">
        <v>675</v>
      </c>
      <c r="Z213" s="19">
        <f>IF(AQ213="5",BJ213,0)</f>
        <v>0</v>
      </c>
      <c r="AB213" s="19">
        <f>IF(AQ213="1",BH213,0)</f>
        <v>0</v>
      </c>
      <c r="AC213" s="19">
        <f>IF(AQ213="1",BI213,0)</f>
        <v>0</v>
      </c>
      <c r="AD213" s="19">
        <f>IF(AQ213="7",BH213,0)</f>
        <v>0</v>
      </c>
      <c r="AE213" s="19">
        <f>IF(AQ213="7",BI213,0)</f>
        <v>0</v>
      </c>
      <c r="AF213" s="19">
        <f>IF(AQ213="2",BH213,0)</f>
        <v>0</v>
      </c>
      <c r="AG213" s="19">
        <f>IF(AQ213="2",BI213,0)</f>
        <v>0</v>
      </c>
      <c r="AH213" s="19">
        <f>IF(AQ213="0",BJ213,0)</f>
        <v>0</v>
      </c>
      <c r="AI213" s="16" t="s">
        <v>372</v>
      </c>
      <c r="AJ213" s="19">
        <f>IF(AN213=0,L213,0)</f>
        <v>0</v>
      </c>
      <c r="AK213" s="19">
        <f>IF(AN213=12,L213,0)</f>
        <v>0</v>
      </c>
      <c r="AL213" s="19">
        <f>IF(AN213=21,L213,0)</f>
        <v>0</v>
      </c>
      <c r="AN213" s="19">
        <v>12</v>
      </c>
      <c r="AO213" s="19">
        <f>H213*0</f>
        <v>0</v>
      </c>
      <c r="AP213" s="19">
        <f>H213*(1-0)</f>
        <v>0</v>
      </c>
      <c r="AQ213" s="87" t="s">
        <v>598</v>
      </c>
      <c r="AV213" s="19">
        <f>AW213+AX213</f>
        <v>0</v>
      </c>
      <c r="AW213" s="19">
        <f>G213*AO213</f>
        <v>0</v>
      </c>
      <c r="AX213" s="19">
        <f>G213*AP213</f>
        <v>0</v>
      </c>
      <c r="AY213" s="87" t="s">
        <v>697</v>
      </c>
      <c r="AZ213" s="87" t="s">
        <v>694</v>
      </c>
      <c r="BA213" s="16" t="s">
        <v>695</v>
      </c>
      <c r="BC213" s="19">
        <f>AW213+AX213</f>
        <v>0</v>
      </c>
      <c r="BD213" s="19">
        <f>H213/(100-BE213)*100</f>
        <v>0</v>
      </c>
      <c r="BE213" s="19">
        <v>0</v>
      </c>
      <c r="BF213" s="19">
        <f>O213</f>
        <v>0</v>
      </c>
      <c r="BH213" s="19">
        <f>G213*AO213</f>
        <v>0</v>
      </c>
      <c r="BI213" s="19">
        <f>G213*AP213</f>
        <v>0</v>
      </c>
      <c r="BJ213" s="19">
        <f>G213*H213</f>
        <v>0</v>
      </c>
      <c r="BK213" s="19"/>
      <c r="BL213" s="19"/>
      <c r="BO213" s="19">
        <f>G213*H213</f>
        <v>0</v>
      </c>
      <c r="BW213" s="19" t="str">
        <f>I213</f>
        <v>12</v>
      </c>
      <c r="BX213" s="4" t="s">
        <v>382</v>
      </c>
    </row>
    <row r="214" spans="1:76" x14ac:dyDescent="0.25">
      <c r="A214" s="1" t="s">
        <v>698</v>
      </c>
      <c r="B214" s="2" t="s">
        <v>372</v>
      </c>
      <c r="C214" s="2" t="s">
        <v>385</v>
      </c>
      <c r="D214" s="105" t="s">
        <v>386</v>
      </c>
      <c r="E214" s="99"/>
      <c r="F214" s="2" t="s">
        <v>384</v>
      </c>
      <c r="G214" s="19">
        <f>'Rozpočet - vybrané sloupce'!J213</f>
        <v>1</v>
      </c>
      <c r="H214" s="19">
        <f>'Rozpočet - vybrané sloupce'!K213</f>
        <v>0</v>
      </c>
      <c r="I214" s="87" t="s">
        <v>489</v>
      </c>
      <c r="J214" s="19">
        <f>G214*AO214</f>
        <v>0</v>
      </c>
      <c r="K214" s="19">
        <f>G214*AP214</f>
        <v>0</v>
      </c>
      <c r="L214" s="19">
        <f>G214*H214</f>
        <v>0</v>
      </c>
      <c r="M214" s="19">
        <f>L214*(1+BW214/100)</f>
        <v>0</v>
      </c>
      <c r="N214" s="19">
        <v>0</v>
      </c>
      <c r="O214" s="19">
        <f>G214*N214</f>
        <v>0</v>
      </c>
      <c r="P214" s="88" t="s">
        <v>675</v>
      </c>
      <c r="Z214" s="19">
        <f>IF(AQ214="5",BJ214,0)</f>
        <v>0</v>
      </c>
      <c r="AB214" s="19">
        <f>IF(AQ214="1",BH214,0)</f>
        <v>0</v>
      </c>
      <c r="AC214" s="19">
        <f>IF(AQ214="1",BI214,0)</f>
        <v>0</v>
      </c>
      <c r="AD214" s="19">
        <f>IF(AQ214="7",BH214,0)</f>
        <v>0</v>
      </c>
      <c r="AE214" s="19">
        <f>IF(AQ214="7",BI214,0)</f>
        <v>0</v>
      </c>
      <c r="AF214" s="19">
        <f>IF(AQ214="2",BH214,0)</f>
        <v>0</v>
      </c>
      <c r="AG214" s="19">
        <f>IF(AQ214="2",BI214,0)</f>
        <v>0</v>
      </c>
      <c r="AH214" s="19">
        <f>IF(AQ214="0",BJ214,0)</f>
        <v>0</v>
      </c>
      <c r="AI214" s="16" t="s">
        <v>372</v>
      </c>
      <c r="AJ214" s="19">
        <f>IF(AN214=0,L214,0)</f>
        <v>0</v>
      </c>
      <c r="AK214" s="19">
        <f>IF(AN214=12,L214,0)</f>
        <v>0</v>
      </c>
      <c r="AL214" s="19">
        <f>IF(AN214=21,L214,0)</f>
        <v>0</v>
      </c>
      <c r="AN214" s="19">
        <v>12</v>
      </c>
      <c r="AO214" s="19">
        <f>H214*0</f>
        <v>0</v>
      </c>
      <c r="AP214" s="19">
        <f>H214*(1-0)</f>
        <v>0</v>
      </c>
      <c r="AQ214" s="87" t="s">
        <v>598</v>
      </c>
      <c r="AV214" s="19">
        <f>AW214+AX214</f>
        <v>0</v>
      </c>
      <c r="AW214" s="19">
        <f>G214*AO214</f>
        <v>0</v>
      </c>
      <c r="AX214" s="19">
        <f>G214*AP214</f>
        <v>0</v>
      </c>
      <c r="AY214" s="87" t="s">
        <v>697</v>
      </c>
      <c r="AZ214" s="87" t="s">
        <v>694</v>
      </c>
      <c r="BA214" s="16" t="s">
        <v>695</v>
      </c>
      <c r="BC214" s="19">
        <f>AW214+AX214</f>
        <v>0</v>
      </c>
      <c r="BD214" s="19">
        <f>H214/(100-BE214)*100</f>
        <v>0</v>
      </c>
      <c r="BE214" s="19">
        <v>0</v>
      </c>
      <c r="BF214" s="19">
        <f>O214</f>
        <v>0</v>
      </c>
      <c r="BH214" s="19">
        <f>G214*AO214</f>
        <v>0</v>
      </c>
      <c r="BI214" s="19">
        <f>G214*AP214</f>
        <v>0</v>
      </c>
      <c r="BJ214" s="19">
        <f>G214*H214</f>
        <v>0</v>
      </c>
      <c r="BK214" s="19"/>
      <c r="BL214" s="19"/>
      <c r="BO214" s="19">
        <f>G214*H214</f>
        <v>0</v>
      </c>
      <c r="BW214" s="19" t="str">
        <f>I214</f>
        <v>12</v>
      </c>
      <c r="BX214" s="4" t="s">
        <v>386</v>
      </c>
    </row>
    <row r="215" spans="1:76" x14ac:dyDescent="0.25">
      <c r="A215" s="84" t="s">
        <v>25</v>
      </c>
      <c r="B215" s="15" t="s">
        <v>372</v>
      </c>
      <c r="C215" s="15" t="s">
        <v>387</v>
      </c>
      <c r="D215" s="112" t="s">
        <v>388</v>
      </c>
      <c r="E215" s="113"/>
      <c r="F215" s="85" t="s">
        <v>23</v>
      </c>
      <c r="G215" s="85" t="s">
        <v>23</v>
      </c>
      <c r="H215" s="85" t="s">
        <v>23</v>
      </c>
      <c r="I215" s="85" t="s">
        <v>23</v>
      </c>
      <c r="J215" s="60">
        <f>SUM(J216:J216)</f>
        <v>0</v>
      </c>
      <c r="K215" s="60">
        <f>SUM(K216:K216)</f>
        <v>0</v>
      </c>
      <c r="L215" s="60">
        <f>SUM(L216:L216)</f>
        <v>0</v>
      </c>
      <c r="M215" s="60">
        <f>SUM(M216:M216)</f>
        <v>0</v>
      </c>
      <c r="N215" s="16" t="s">
        <v>25</v>
      </c>
      <c r="O215" s="60">
        <f>SUM(O216:O216)</f>
        <v>0</v>
      </c>
      <c r="P215" s="86" t="s">
        <v>25</v>
      </c>
      <c r="AI215" s="16" t="s">
        <v>372</v>
      </c>
      <c r="AS215" s="60">
        <f>SUM(AJ216:AJ216)</f>
        <v>0</v>
      </c>
      <c r="AT215" s="60">
        <f>SUM(AK216:AK216)</f>
        <v>0</v>
      </c>
      <c r="AU215" s="60">
        <f>SUM(AL216:AL216)</f>
        <v>0</v>
      </c>
    </row>
    <row r="216" spans="1:76" x14ac:dyDescent="0.25">
      <c r="A216" s="5" t="s">
        <v>699</v>
      </c>
      <c r="B216" s="6" t="s">
        <v>372</v>
      </c>
      <c r="C216" s="6" t="s">
        <v>389</v>
      </c>
      <c r="D216" s="114" t="s">
        <v>388</v>
      </c>
      <c r="E216" s="102"/>
      <c r="F216" s="6" t="s">
        <v>384</v>
      </c>
      <c r="G216" s="23">
        <f>'Rozpočet - vybrané sloupce'!J215</f>
        <v>1</v>
      </c>
      <c r="H216" s="23">
        <f>'Rozpočet - vybrané sloupce'!K215</f>
        <v>0</v>
      </c>
      <c r="I216" s="89" t="s">
        <v>489</v>
      </c>
      <c r="J216" s="23">
        <f>G216*AO216</f>
        <v>0</v>
      </c>
      <c r="K216" s="23">
        <f>G216*AP216</f>
        <v>0</v>
      </c>
      <c r="L216" s="23">
        <f>G216*H216</f>
        <v>0</v>
      </c>
      <c r="M216" s="23">
        <f>L216*(1+BW216/100)</f>
        <v>0</v>
      </c>
      <c r="N216" s="23">
        <v>0</v>
      </c>
      <c r="O216" s="23">
        <f>G216*N216</f>
        <v>0</v>
      </c>
      <c r="P216" s="90" t="s">
        <v>675</v>
      </c>
      <c r="Z216" s="19">
        <f>IF(AQ216="5",BJ216,0)</f>
        <v>0</v>
      </c>
      <c r="AB216" s="19">
        <f>IF(AQ216="1",BH216,0)</f>
        <v>0</v>
      </c>
      <c r="AC216" s="19">
        <f>IF(AQ216="1",BI216,0)</f>
        <v>0</v>
      </c>
      <c r="AD216" s="19">
        <f>IF(AQ216="7",BH216,0)</f>
        <v>0</v>
      </c>
      <c r="AE216" s="19">
        <f>IF(AQ216="7",BI216,0)</f>
        <v>0</v>
      </c>
      <c r="AF216" s="19">
        <f>IF(AQ216="2",BH216,0)</f>
        <v>0</v>
      </c>
      <c r="AG216" s="19">
        <f>IF(AQ216="2",BI216,0)</f>
        <v>0</v>
      </c>
      <c r="AH216" s="19">
        <f>IF(AQ216="0",BJ216,0)</f>
        <v>0</v>
      </c>
      <c r="AI216" s="16" t="s">
        <v>372</v>
      </c>
      <c r="AJ216" s="19">
        <f>IF(AN216=0,L216,0)</f>
        <v>0</v>
      </c>
      <c r="AK216" s="19">
        <f>IF(AN216=12,L216,0)</f>
        <v>0</v>
      </c>
      <c r="AL216" s="19">
        <f>IF(AN216=21,L216,0)</f>
        <v>0</v>
      </c>
      <c r="AN216" s="19">
        <v>12</v>
      </c>
      <c r="AO216" s="19">
        <f>H216*0</f>
        <v>0</v>
      </c>
      <c r="AP216" s="19">
        <f>H216*(1-0)</f>
        <v>0</v>
      </c>
      <c r="AQ216" s="87" t="s">
        <v>598</v>
      </c>
      <c r="AV216" s="19">
        <f>AW216+AX216</f>
        <v>0</v>
      </c>
      <c r="AW216" s="19">
        <f>G216*AO216</f>
        <v>0</v>
      </c>
      <c r="AX216" s="19">
        <f>G216*AP216</f>
        <v>0</v>
      </c>
      <c r="AY216" s="87" t="s">
        <v>700</v>
      </c>
      <c r="AZ216" s="87" t="s">
        <v>694</v>
      </c>
      <c r="BA216" s="16" t="s">
        <v>695</v>
      </c>
      <c r="BC216" s="19">
        <f>AW216+AX216</f>
        <v>0</v>
      </c>
      <c r="BD216" s="19">
        <f>H216/(100-BE216)*100</f>
        <v>0</v>
      </c>
      <c r="BE216" s="19">
        <v>0</v>
      </c>
      <c r="BF216" s="19">
        <f>O216</f>
        <v>0</v>
      </c>
      <c r="BH216" s="19">
        <f>G216*AO216</f>
        <v>0</v>
      </c>
      <c r="BI216" s="19">
        <f>G216*AP216</f>
        <v>0</v>
      </c>
      <c r="BJ216" s="19">
        <f>G216*H216</f>
        <v>0</v>
      </c>
      <c r="BK216" s="19"/>
      <c r="BL216" s="19"/>
      <c r="BS216" s="19">
        <f>G216*H216</f>
        <v>0</v>
      </c>
      <c r="BW216" s="19" t="str">
        <f>I216</f>
        <v>12</v>
      </c>
      <c r="BX216" s="4" t="s">
        <v>388</v>
      </c>
    </row>
    <row r="217" spans="1:76" x14ac:dyDescent="0.25">
      <c r="J217" s="184" t="s">
        <v>390</v>
      </c>
      <c r="K217" s="184"/>
      <c r="L217" s="37">
        <f>ROUND(L13+L20+L23+L36+L75+L100+L105+L130+L145+L158+L172+L174+L176+L181+L187+L189+L191+L193+L199+L210+L212+L215,0)</f>
        <v>0</v>
      </c>
      <c r="M217" s="37">
        <f>ROUND(M13+M20+M23+M36+M75+M100+M105+M130+M145+M158+M172+M174+M176+M181+M187+M189+M191+M193+M199+M210+M212+M215,0)</f>
        <v>0</v>
      </c>
    </row>
    <row r="218" spans="1:76" x14ac:dyDescent="0.25">
      <c r="A218" s="91" t="s">
        <v>441</v>
      </c>
    </row>
    <row r="219" spans="1:76" ht="12.75" customHeight="1" x14ac:dyDescent="0.25">
      <c r="A219" s="105" t="s">
        <v>25</v>
      </c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</row>
  </sheetData>
  <mergeCells count="236">
    <mergeCell ref="D214:E214"/>
    <mergeCell ref="D215:E215"/>
    <mergeCell ref="D216:E216"/>
    <mergeCell ref="J217:K217"/>
    <mergeCell ref="A219:P219"/>
    <mergeCell ref="D209:E209"/>
    <mergeCell ref="D210:E210"/>
    <mergeCell ref="D211:E211"/>
    <mergeCell ref="D212:E212"/>
    <mergeCell ref="D213:E213"/>
    <mergeCell ref="D204:E204"/>
    <mergeCell ref="D205:E205"/>
    <mergeCell ref="D206:E206"/>
    <mergeCell ref="D207:E207"/>
    <mergeCell ref="D208:E208"/>
    <mergeCell ref="D199:E199"/>
    <mergeCell ref="D200:E200"/>
    <mergeCell ref="D201:E201"/>
    <mergeCell ref="D202:E202"/>
    <mergeCell ref="D203:E203"/>
    <mergeCell ref="D194:E194"/>
    <mergeCell ref="D195:E195"/>
    <mergeCell ref="D196:E196"/>
    <mergeCell ref="D197:E197"/>
    <mergeCell ref="D198:E198"/>
    <mergeCell ref="D189:E189"/>
    <mergeCell ref="D190:E190"/>
    <mergeCell ref="D191:E191"/>
    <mergeCell ref="D192:E192"/>
    <mergeCell ref="D193:E193"/>
    <mergeCell ref="D184:E184"/>
    <mergeCell ref="D185:E185"/>
    <mergeCell ref="D186:E186"/>
    <mergeCell ref="D187:E187"/>
    <mergeCell ref="D188:E188"/>
    <mergeCell ref="D179:E179"/>
    <mergeCell ref="D180:E180"/>
    <mergeCell ref="D181:E181"/>
    <mergeCell ref="D182:E182"/>
    <mergeCell ref="D183:E183"/>
    <mergeCell ref="D174:E174"/>
    <mergeCell ref="D175:E175"/>
    <mergeCell ref="D176:E176"/>
    <mergeCell ref="D177:E177"/>
    <mergeCell ref="D178:E178"/>
    <mergeCell ref="D169:E169"/>
    <mergeCell ref="D170:E170"/>
    <mergeCell ref="D171:E171"/>
    <mergeCell ref="D172:E172"/>
    <mergeCell ref="D173:E173"/>
    <mergeCell ref="D164:E164"/>
    <mergeCell ref="D165:E165"/>
    <mergeCell ref="D166:E166"/>
    <mergeCell ref="D167:E167"/>
    <mergeCell ref="D168:E168"/>
    <mergeCell ref="D159:E159"/>
    <mergeCell ref="D160:E160"/>
    <mergeCell ref="D161:E161"/>
    <mergeCell ref="D162:E162"/>
    <mergeCell ref="D163:E163"/>
    <mergeCell ref="D154:E154"/>
    <mergeCell ref="D155:E155"/>
    <mergeCell ref="D156:E156"/>
    <mergeCell ref="D157:E157"/>
    <mergeCell ref="D158:E158"/>
    <mergeCell ref="D149:E149"/>
    <mergeCell ref="D150:E150"/>
    <mergeCell ref="D151:E151"/>
    <mergeCell ref="D152:E152"/>
    <mergeCell ref="D153:E153"/>
    <mergeCell ref="D144:E144"/>
    <mergeCell ref="D145:E145"/>
    <mergeCell ref="D146:E146"/>
    <mergeCell ref="D147:E147"/>
    <mergeCell ref="D148:E148"/>
    <mergeCell ref="D139:E139"/>
    <mergeCell ref="D140:E140"/>
    <mergeCell ref="D141:E141"/>
    <mergeCell ref="D142:E142"/>
    <mergeCell ref="D143:E143"/>
    <mergeCell ref="D134:E134"/>
    <mergeCell ref="D135:E135"/>
    <mergeCell ref="D136:E136"/>
    <mergeCell ref="D137:E137"/>
    <mergeCell ref="D138:E138"/>
    <mergeCell ref="D129:E129"/>
    <mergeCell ref="D130:E130"/>
    <mergeCell ref="D131:E131"/>
    <mergeCell ref="D132:E132"/>
    <mergeCell ref="D133:E133"/>
    <mergeCell ref="D124:E124"/>
    <mergeCell ref="D125:E125"/>
    <mergeCell ref="D126:E126"/>
    <mergeCell ref="D127:E127"/>
    <mergeCell ref="D128:E128"/>
    <mergeCell ref="D119:E119"/>
    <mergeCell ref="D120:E120"/>
    <mergeCell ref="D121:E121"/>
    <mergeCell ref="D122:E122"/>
    <mergeCell ref="D123:E123"/>
    <mergeCell ref="D114:E114"/>
    <mergeCell ref="D115:E115"/>
    <mergeCell ref="D116:E116"/>
    <mergeCell ref="D117:E117"/>
    <mergeCell ref="D118:E118"/>
    <mergeCell ref="D109:E109"/>
    <mergeCell ref="D110:E110"/>
    <mergeCell ref="D111:E111"/>
    <mergeCell ref="D112:E112"/>
    <mergeCell ref="D113:E113"/>
    <mergeCell ref="D104:E104"/>
    <mergeCell ref="D105:E105"/>
    <mergeCell ref="D106:E106"/>
    <mergeCell ref="D107:E107"/>
    <mergeCell ref="D108:E108"/>
    <mergeCell ref="D99:E99"/>
    <mergeCell ref="D100:E100"/>
    <mergeCell ref="D101:E101"/>
    <mergeCell ref="D102:E102"/>
    <mergeCell ref="D103:E103"/>
    <mergeCell ref="D94:E94"/>
    <mergeCell ref="D95:E95"/>
    <mergeCell ref="D96:E96"/>
    <mergeCell ref="D97:E97"/>
    <mergeCell ref="D98:E98"/>
    <mergeCell ref="D89:E89"/>
    <mergeCell ref="D90:E90"/>
    <mergeCell ref="D91:E91"/>
    <mergeCell ref="D92:E92"/>
    <mergeCell ref="D93:E93"/>
    <mergeCell ref="D84:E84"/>
    <mergeCell ref="D85:E85"/>
    <mergeCell ref="D86:E86"/>
    <mergeCell ref="D87:E87"/>
    <mergeCell ref="D88:E88"/>
    <mergeCell ref="D79:E79"/>
    <mergeCell ref="D80:E80"/>
    <mergeCell ref="D81:E81"/>
    <mergeCell ref="D82:E82"/>
    <mergeCell ref="D83:E83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64:E64"/>
    <mergeCell ref="D65:E65"/>
    <mergeCell ref="D66:E66"/>
    <mergeCell ref="D67:E67"/>
    <mergeCell ref="D68:E68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11:E11"/>
    <mergeCell ref="J10:L10"/>
    <mergeCell ref="N10:O10"/>
    <mergeCell ref="D12:E12"/>
    <mergeCell ref="D13:E13"/>
    <mergeCell ref="J2:P3"/>
    <mergeCell ref="J4:P5"/>
    <mergeCell ref="J6:P7"/>
    <mergeCell ref="J8:P9"/>
    <mergeCell ref="D10:E10"/>
    <mergeCell ref="D8:E9"/>
    <mergeCell ref="H2:H3"/>
    <mergeCell ref="H4:H5"/>
    <mergeCell ref="H6:H7"/>
    <mergeCell ref="H8:H9"/>
    <mergeCell ref="A1:P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Krycí list rozpočtu</vt:lpstr>
      <vt:lpstr>Stavební rozpočet - součet</vt:lpstr>
      <vt:lpstr>Rozpočet - vybrané sloupce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Radim</cp:lastModifiedBy>
  <dcterms:created xsi:type="dcterms:W3CDTF">2021-06-10T20:06:38Z</dcterms:created>
  <dcterms:modified xsi:type="dcterms:W3CDTF">2024-06-13T12:50:04Z</dcterms:modified>
</cp:coreProperties>
</file>