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m\Documents\Projekty\ETRACOM 2025\Kyjonka 2025\Z2025-001 PD-Výměna rozvodů kanalizace vody a plynu v BD Studentská 1557-5 Havířov\rozpočet\"/>
    </mc:Choice>
  </mc:AlternateContent>
  <xr:revisionPtr revIDLastSave="0" documentId="13_ncr:1_{4D1B69DC-0B7F-4E44-892A-6A95DA216CFD}" xr6:coauthVersionLast="47" xr6:coauthVersionMax="47" xr10:uidLastSave="{00000000-0000-0000-0000-000000000000}"/>
  <bookViews>
    <workbookView xWindow="2910" yWindow="525" windowWidth="31605" windowHeight="20490" xr2:uid="{00000000-000D-0000-FFFF-FFFF00000000}"/>
  </bookViews>
  <sheets>
    <sheet name="Rozpočet - vybrané sloupce" sheetId="1" r:id="rId1"/>
    <sheet name="VORN" sheetId="4" state="hidden" r:id="rId2"/>
    <sheet name="Stavební rozpočet" sheetId="5" state="hidden" r:id="rId3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54" i="5" l="1"/>
  <c r="AL254" i="5"/>
  <c r="AJ254" i="5"/>
  <c r="AH254" i="5"/>
  <c r="AG254" i="5"/>
  <c r="AF254" i="5"/>
  <c r="AE254" i="5"/>
  <c r="AD254" i="5"/>
  <c r="AC254" i="5"/>
  <c r="AB254" i="5"/>
  <c r="Z254" i="5"/>
  <c r="H254" i="5"/>
  <c r="BD254" i="5" s="1"/>
  <c r="G254" i="5"/>
  <c r="AU253" i="5"/>
  <c r="AS253" i="5"/>
  <c r="BW252" i="5"/>
  <c r="AL252" i="5"/>
  <c r="AJ252" i="5"/>
  <c r="AH252" i="5"/>
  <c r="AG252" i="5"/>
  <c r="AF252" i="5"/>
  <c r="AE252" i="5"/>
  <c r="AD252" i="5"/>
  <c r="AC252" i="5"/>
  <c r="AB252" i="5"/>
  <c r="Z252" i="5"/>
  <c r="H252" i="5"/>
  <c r="G252" i="5"/>
  <c r="BW251" i="5"/>
  <c r="BD251" i="5"/>
  <c r="AL251" i="5"/>
  <c r="AJ251" i="5"/>
  <c r="AH251" i="5"/>
  <c r="AG251" i="5"/>
  <c r="AF251" i="5"/>
  <c r="AE251" i="5"/>
  <c r="AD251" i="5"/>
  <c r="AC251" i="5"/>
  <c r="AB251" i="5"/>
  <c r="Z251" i="5"/>
  <c r="H251" i="5"/>
  <c r="AO251" i="5" s="1"/>
  <c r="G251" i="5"/>
  <c r="BW249" i="5"/>
  <c r="AL249" i="5"/>
  <c r="AU248" i="5" s="1"/>
  <c r="AJ249" i="5"/>
  <c r="AS248" i="5" s="1"/>
  <c r="AH249" i="5"/>
  <c r="AG249" i="5"/>
  <c r="AF249" i="5"/>
  <c r="AE249" i="5"/>
  <c r="AD249" i="5"/>
  <c r="AC249" i="5"/>
  <c r="AB249" i="5"/>
  <c r="Z249" i="5"/>
  <c r="H249" i="5"/>
  <c r="AP249" i="5" s="1"/>
  <c r="G249" i="5"/>
  <c r="BW245" i="5"/>
  <c r="AO245" i="5"/>
  <c r="AL245" i="5"/>
  <c r="AJ245" i="5"/>
  <c r="AH245" i="5"/>
  <c r="AG245" i="5"/>
  <c r="AF245" i="5"/>
  <c r="AE245" i="5"/>
  <c r="AD245" i="5"/>
  <c r="AC245" i="5"/>
  <c r="AB245" i="5"/>
  <c r="H245" i="5"/>
  <c r="AP245" i="5" s="1"/>
  <c r="G245" i="5"/>
  <c r="BH245" i="5" s="1"/>
  <c r="BW244" i="5"/>
  <c r="AL244" i="5"/>
  <c r="AJ244" i="5"/>
  <c r="AH244" i="5"/>
  <c r="AG244" i="5"/>
  <c r="AF244" i="5"/>
  <c r="AE244" i="5"/>
  <c r="AD244" i="5"/>
  <c r="AC244" i="5"/>
  <c r="AB244" i="5"/>
  <c r="H244" i="5"/>
  <c r="G244" i="5"/>
  <c r="BW243" i="5"/>
  <c r="AL243" i="5"/>
  <c r="AJ243" i="5"/>
  <c r="AH243" i="5"/>
  <c r="AG243" i="5"/>
  <c r="AF243" i="5"/>
  <c r="AE243" i="5"/>
  <c r="AD243" i="5"/>
  <c r="AC243" i="5"/>
  <c r="AB243" i="5"/>
  <c r="H243" i="5"/>
  <c r="BD243" i="5" s="1"/>
  <c r="G243" i="5"/>
  <c r="BW241" i="5"/>
  <c r="AL241" i="5"/>
  <c r="AJ241" i="5"/>
  <c r="AH241" i="5"/>
  <c r="AG241" i="5"/>
  <c r="AF241" i="5"/>
  <c r="AE241" i="5"/>
  <c r="AD241" i="5"/>
  <c r="AC241" i="5"/>
  <c r="AB241" i="5"/>
  <c r="H241" i="5"/>
  <c r="BJ241" i="5" s="1"/>
  <c r="Z241" i="5" s="1"/>
  <c r="G241" i="5"/>
  <c r="BW239" i="5"/>
  <c r="AL239" i="5"/>
  <c r="AJ239" i="5"/>
  <c r="AH239" i="5"/>
  <c r="AG239" i="5"/>
  <c r="AF239" i="5"/>
  <c r="AE239" i="5"/>
  <c r="AD239" i="5"/>
  <c r="AC239" i="5"/>
  <c r="AB239" i="5"/>
  <c r="H239" i="5"/>
  <c r="AP239" i="5" s="1"/>
  <c r="G239" i="5"/>
  <c r="BW238" i="5"/>
  <c r="AL238" i="5"/>
  <c r="AJ238" i="5"/>
  <c r="AH238" i="5"/>
  <c r="AG238" i="5"/>
  <c r="AF238" i="5"/>
  <c r="AE238" i="5"/>
  <c r="AD238" i="5"/>
  <c r="AC238" i="5"/>
  <c r="AB238" i="5"/>
  <c r="H238" i="5"/>
  <c r="AO238" i="5" s="1"/>
  <c r="G238" i="5"/>
  <c r="BW236" i="5"/>
  <c r="AL236" i="5"/>
  <c r="AJ236" i="5"/>
  <c r="AH236" i="5"/>
  <c r="AG236" i="5"/>
  <c r="AF236" i="5"/>
  <c r="AE236" i="5"/>
  <c r="AD236" i="5"/>
  <c r="AC236" i="5"/>
  <c r="AB236" i="5"/>
  <c r="H236" i="5"/>
  <c r="BD236" i="5" s="1"/>
  <c r="G236" i="5"/>
  <c r="O236" i="5" s="1"/>
  <c r="BF236" i="5" s="1"/>
  <c r="BW235" i="5"/>
  <c r="AL235" i="5"/>
  <c r="AJ235" i="5"/>
  <c r="AH235" i="5"/>
  <c r="AG235" i="5"/>
  <c r="AF235" i="5"/>
  <c r="AE235" i="5"/>
  <c r="AD235" i="5"/>
  <c r="Z235" i="5"/>
  <c r="H235" i="5"/>
  <c r="L235" i="5" s="1"/>
  <c r="G235" i="5"/>
  <c r="BW232" i="5"/>
  <c r="AL232" i="5"/>
  <c r="AJ232" i="5"/>
  <c r="AH232" i="5"/>
  <c r="AG232" i="5"/>
  <c r="AF232" i="5"/>
  <c r="AE232" i="5"/>
  <c r="AD232" i="5"/>
  <c r="Z232" i="5"/>
  <c r="H232" i="5"/>
  <c r="AO232" i="5" s="1"/>
  <c r="G232" i="5"/>
  <c r="BW230" i="5"/>
  <c r="BD230" i="5"/>
  <c r="AL230" i="5"/>
  <c r="AJ230" i="5"/>
  <c r="AH230" i="5"/>
  <c r="AG230" i="5"/>
  <c r="AF230" i="5"/>
  <c r="AE230" i="5"/>
  <c r="AD230" i="5"/>
  <c r="Z230" i="5"/>
  <c r="H230" i="5"/>
  <c r="AO230" i="5" s="1"/>
  <c r="G230" i="5"/>
  <c r="BW228" i="5"/>
  <c r="AL228" i="5"/>
  <c r="AJ228" i="5"/>
  <c r="AH228" i="5"/>
  <c r="AG228" i="5"/>
  <c r="AF228" i="5"/>
  <c r="AE228" i="5"/>
  <c r="AD228" i="5"/>
  <c r="Z228" i="5"/>
  <c r="H228" i="5"/>
  <c r="BD228" i="5" s="1"/>
  <c r="G228" i="5"/>
  <c r="O228" i="5" s="1"/>
  <c r="BF228" i="5" s="1"/>
  <c r="BW227" i="5"/>
  <c r="AL227" i="5"/>
  <c r="AJ227" i="5"/>
  <c r="AH227" i="5"/>
  <c r="AG227" i="5"/>
  <c r="AF227" i="5"/>
  <c r="AE227" i="5"/>
  <c r="AD227" i="5"/>
  <c r="Z227" i="5"/>
  <c r="H227" i="5"/>
  <c r="G227" i="5"/>
  <c r="BW225" i="5"/>
  <c r="AL225" i="5"/>
  <c r="AJ225" i="5"/>
  <c r="AH225" i="5"/>
  <c r="AG225" i="5"/>
  <c r="AF225" i="5"/>
  <c r="AE225" i="5"/>
  <c r="AD225" i="5"/>
  <c r="Z225" i="5"/>
  <c r="O225" i="5"/>
  <c r="BF225" i="5" s="1"/>
  <c r="H225" i="5"/>
  <c r="G225" i="5"/>
  <c r="BW223" i="5"/>
  <c r="AL223" i="5"/>
  <c r="AU222" i="5" s="1"/>
  <c r="AJ223" i="5"/>
  <c r="AS222" i="5" s="1"/>
  <c r="AH223" i="5"/>
  <c r="AG223" i="5"/>
  <c r="AF223" i="5"/>
  <c r="AE223" i="5"/>
  <c r="AD223" i="5"/>
  <c r="Z223" i="5"/>
  <c r="H223" i="5"/>
  <c r="AP223" i="5" s="1"/>
  <c r="G223" i="5"/>
  <c r="BW221" i="5"/>
  <c r="AL221" i="5"/>
  <c r="AU220" i="5" s="1"/>
  <c r="AJ221" i="5"/>
  <c r="AH221" i="5"/>
  <c r="AG221" i="5"/>
  <c r="AF221" i="5"/>
  <c r="AE221" i="5"/>
  <c r="AD221" i="5"/>
  <c r="Z221" i="5"/>
  <c r="H221" i="5"/>
  <c r="BD221" i="5" s="1"/>
  <c r="G221" i="5"/>
  <c r="L221" i="5" s="1"/>
  <c r="AS220" i="5"/>
  <c r="BW219" i="5"/>
  <c r="AL219" i="5"/>
  <c r="AU218" i="5" s="1"/>
  <c r="AJ219" i="5"/>
  <c r="AH219" i="5"/>
  <c r="AG219" i="5"/>
  <c r="AF219" i="5"/>
  <c r="AC219" i="5"/>
  <c r="AB219" i="5"/>
  <c r="Z219" i="5"/>
  <c r="H219" i="5"/>
  <c r="AO219" i="5" s="1"/>
  <c r="G219" i="5"/>
  <c r="AS218" i="5"/>
  <c r="BW217" i="5"/>
  <c r="AO217" i="5"/>
  <c r="AL217" i="5"/>
  <c r="AJ217" i="5"/>
  <c r="AH217" i="5"/>
  <c r="AG217" i="5"/>
  <c r="AF217" i="5"/>
  <c r="AC217" i="5"/>
  <c r="AB217" i="5"/>
  <c r="Z217" i="5"/>
  <c r="O217" i="5"/>
  <c r="BF217" i="5" s="1"/>
  <c r="H217" i="5"/>
  <c r="G217" i="5"/>
  <c r="BW216" i="5"/>
  <c r="AL216" i="5"/>
  <c r="AJ216" i="5"/>
  <c r="AS215" i="5" s="1"/>
  <c r="AH216" i="5"/>
  <c r="AG216" i="5"/>
  <c r="AF216" i="5"/>
  <c r="AC216" i="5"/>
  <c r="AB216" i="5"/>
  <c r="Z216" i="5"/>
  <c r="H216" i="5"/>
  <c r="AP216" i="5" s="1"/>
  <c r="G216" i="5"/>
  <c r="BW214" i="5"/>
  <c r="AL214" i="5"/>
  <c r="AJ214" i="5"/>
  <c r="AH214" i="5"/>
  <c r="AG214" i="5"/>
  <c r="AF214" i="5"/>
  <c r="AE214" i="5"/>
  <c r="AD214" i="5"/>
  <c r="AC214" i="5"/>
  <c r="AB214" i="5"/>
  <c r="H214" i="5"/>
  <c r="BD214" i="5" s="1"/>
  <c r="G214" i="5"/>
  <c r="O214" i="5" s="1"/>
  <c r="BF214" i="5" s="1"/>
  <c r="BW213" i="5"/>
  <c r="AL213" i="5"/>
  <c r="AJ213" i="5"/>
  <c r="AH213" i="5"/>
  <c r="AG213" i="5"/>
  <c r="AF213" i="5"/>
  <c r="AC213" i="5"/>
  <c r="AB213" i="5"/>
  <c r="Z213" i="5"/>
  <c r="H213" i="5"/>
  <c r="BD213" i="5" s="1"/>
  <c r="G213" i="5"/>
  <c r="BW211" i="5"/>
  <c r="AL211" i="5"/>
  <c r="AJ211" i="5"/>
  <c r="AH211" i="5"/>
  <c r="AG211" i="5"/>
  <c r="AF211" i="5"/>
  <c r="AC211" i="5"/>
  <c r="AB211" i="5"/>
  <c r="Z211" i="5"/>
  <c r="H211" i="5"/>
  <c r="AP211" i="5" s="1"/>
  <c r="G211" i="5"/>
  <c r="O211" i="5" s="1"/>
  <c r="BF211" i="5" s="1"/>
  <c r="BW209" i="5"/>
  <c r="AL209" i="5"/>
  <c r="AJ209" i="5"/>
  <c r="AH209" i="5"/>
  <c r="AG209" i="5"/>
  <c r="AF209" i="5"/>
  <c r="AC209" i="5"/>
  <c r="AB209" i="5"/>
  <c r="Z209" i="5"/>
  <c r="H209" i="5"/>
  <c r="AP209" i="5" s="1"/>
  <c r="G209" i="5"/>
  <c r="BW207" i="5"/>
  <c r="AL207" i="5"/>
  <c r="AJ207" i="5"/>
  <c r="AH207" i="5"/>
  <c r="AG207" i="5"/>
  <c r="AF207" i="5"/>
  <c r="AC207" i="5"/>
  <c r="AB207" i="5"/>
  <c r="Z207" i="5"/>
  <c r="O207" i="5"/>
  <c r="BF207" i="5" s="1"/>
  <c r="H207" i="5"/>
  <c r="BD207" i="5" s="1"/>
  <c r="G207" i="5"/>
  <c r="BW205" i="5"/>
  <c r="AL205" i="5"/>
  <c r="AJ205" i="5"/>
  <c r="AH205" i="5"/>
  <c r="AG205" i="5"/>
  <c r="AF205" i="5"/>
  <c r="AE205" i="5"/>
  <c r="AD205" i="5"/>
  <c r="AC205" i="5"/>
  <c r="AB205" i="5"/>
  <c r="H205" i="5"/>
  <c r="G205" i="5"/>
  <c r="BW204" i="5"/>
  <c r="AL204" i="5"/>
  <c r="AJ204" i="5"/>
  <c r="AH204" i="5"/>
  <c r="AG204" i="5"/>
  <c r="AF204" i="5"/>
  <c r="AC204" i="5"/>
  <c r="AB204" i="5"/>
  <c r="Z204" i="5"/>
  <c r="H204" i="5"/>
  <c r="AP204" i="5" s="1"/>
  <c r="G204" i="5"/>
  <c r="BW203" i="5"/>
  <c r="AL203" i="5"/>
  <c r="AU201" i="5" s="1"/>
  <c r="AJ203" i="5"/>
  <c r="AH203" i="5"/>
  <c r="AG203" i="5"/>
  <c r="AF203" i="5"/>
  <c r="AC203" i="5"/>
  <c r="AB203" i="5"/>
  <c r="Z203" i="5"/>
  <c r="L203" i="5"/>
  <c r="H203" i="5"/>
  <c r="BD203" i="5" s="1"/>
  <c r="G203" i="5"/>
  <c r="BW202" i="5"/>
  <c r="AL202" i="5"/>
  <c r="AJ202" i="5"/>
  <c r="AH202" i="5"/>
  <c r="AG202" i="5"/>
  <c r="AF202" i="5"/>
  <c r="AC202" i="5"/>
  <c r="AB202" i="5"/>
  <c r="Z202" i="5"/>
  <c r="H202" i="5"/>
  <c r="BD202" i="5" s="1"/>
  <c r="G202" i="5"/>
  <c r="BW200" i="5"/>
  <c r="BD200" i="5"/>
  <c r="AL200" i="5"/>
  <c r="AU199" i="5" s="1"/>
  <c r="AJ200" i="5"/>
  <c r="AH200" i="5"/>
  <c r="AG200" i="5"/>
  <c r="AF200" i="5"/>
  <c r="AC200" i="5"/>
  <c r="AB200" i="5"/>
  <c r="Z200" i="5"/>
  <c r="H200" i="5"/>
  <c r="AP200" i="5" s="1"/>
  <c r="G200" i="5"/>
  <c r="AS199" i="5"/>
  <c r="BW198" i="5"/>
  <c r="AL198" i="5"/>
  <c r="AJ198" i="5"/>
  <c r="AH198" i="5"/>
  <c r="AG198" i="5"/>
  <c r="AF198" i="5"/>
  <c r="AE198" i="5"/>
  <c r="AD198" i="5"/>
  <c r="AC198" i="5"/>
  <c r="AB198" i="5"/>
  <c r="H198" i="5"/>
  <c r="AO198" i="5" s="1"/>
  <c r="G198" i="5"/>
  <c r="O198" i="5" s="1"/>
  <c r="BF198" i="5" s="1"/>
  <c r="BW196" i="5"/>
  <c r="AL196" i="5"/>
  <c r="AJ196" i="5"/>
  <c r="AH196" i="5"/>
  <c r="AG196" i="5"/>
  <c r="AF196" i="5"/>
  <c r="AE196" i="5"/>
  <c r="AD196" i="5"/>
  <c r="Z196" i="5"/>
  <c r="H196" i="5"/>
  <c r="BD196" i="5" s="1"/>
  <c r="G196" i="5"/>
  <c r="BW195" i="5"/>
  <c r="AL195" i="5"/>
  <c r="AJ195" i="5"/>
  <c r="AH195" i="5"/>
  <c r="AG195" i="5"/>
  <c r="AF195" i="5"/>
  <c r="AE195" i="5"/>
  <c r="AD195" i="5"/>
  <c r="Z195" i="5"/>
  <c r="H195" i="5"/>
  <c r="G195" i="5"/>
  <c r="BW193" i="5"/>
  <c r="AL193" i="5"/>
  <c r="AJ193" i="5"/>
  <c r="AH193" i="5"/>
  <c r="AG193" i="5"/>
  <c r="AF193" i="5"/>
  <c r="AE193" i="5"/>
  <c r="AD193" i="5"/>
  <c r="AC193" i="5"/>
  <c r="AB193" i="5"/>
  <c r="H193" i="5"/>
  <c r="AP193" i="5" s="1"/>
  <c r="G193" i="5"/>
  <c r="O193" i="5" s="1"/>
  <c r="BF193" i="5" s="1"/>
  <c r="BW191" i="5"/>
  <c r="AL191" i="5"/>
  <c r="AJ191" i="5"/>
  <c r="AH191" i="5"/>
  <c r="AG191" i="5"/>
  <c r="AF191" i="5"/>
  <c r="AE191" i="5"/>
  <c r="AD191" i="5"/>
  <c r="Z191" i="5"/>
  <c r="H191" i="5"/>
  <c r="AO191" i="5" s="1"/>
  <c r="G191" i="5"/>
  <c r="BH191" i="5" s="1"/>
  <c r="AB191" i="5" s="1"/>
  <c r="BW190" i="5"/>
  <c r="AL190" i="5"/>
  <c r="AJ190" i="5"/>
  <c r="AH190" i="5"/>
  <c r="AG190" i="5"/>
  <c r="AF190" i="5"/>
  <c r="AE190" i="5"/>
  <c r="AD190" i="5"/>
  <c r="Z190" i="5"/>
  <c r="H190" i="5"/>
  <c r="L190" i="5" s="1"/>
  <c r="G190" i="5"/>
  <c r="BW188" i="5"/>
  <c r="AL188" i="5"/>
  <c r="AJ188" i="5"/>
  <c r="AH188" i="5"/>
  <c r="AG188" i="5"/>
  <c r="AF188" i="5"/>
  <c r="AE188" i="5"/>
  <c r="AD188" i="5"/>
  <c r="Z188" i="5"/>
  <c r="H188" i="5"/>
  <c r="G188" i="5"/>
  <c r="BW187" i="5"/>
  <c r="AL187" i="5"/>
  <c r="AJ187" i="5"/>
  <c r="AH187" i="5"/>
  <c r="AG187" i="5"/>
  <c r="AF187" i="5"/>
  <c r="AE187" i="5"/>
  <c r="AD187" i="5"/>
  <c r="Z187" i="5"/>
  <c r="O187" i="5"/>
  <c r="BF187" i="5" s="1"/>
  <c r="H187" i="5"/>
  <c r="G187" i="5"/>
  <c r="BW186" i="5"/>
  <c r="AL186" i="5"/>
  <c r="AJ186" i="5"/>
  <c r="AH186" i="5"/>
  <c r="AG186" i="5"/>
  <c r="AF186" i="5"/>
  <c r="AE186" i="5"/>
  <c r="AD186" i="5"/>
  <c r="Z186" i="5"/>
  <c r="H186" i="5"/>
  <c r="AO186" i="5" s="1"/>
  <c r="G186" i="5"/>
  <c r="O186" i="5" s="1"/>
  <c r="BF186" i="5" s="1"/>
  <c r="BW185" i="5"/>
  <c r="AL185" i="5"/>
  <c r="AJ185" i="5"/>
  <c r="AH185" i="5"/>
  <c r="AG185" i="5"/>
  <c r="AF185" i="5"/>
  <c r="AE185" i="5"/>
  <c r="AD185" i="5"/>
  <c r="Z185" i="5"/>
  <c r="H185" i="5"/>
  <c r="G185" i="5"/>
  <c r="BW182" i="5"/>
  <c r="AL182" i="5"/>
  <c r="AJ182" i="5"/>
  <c r="AH182" i="5"/>
  <c r="AG182" i="5"/>
  <c r="AF182" i="5"/>
  <c r="AE182" i="5"/>
  <c r="AD182" i="5"/>
  <c r="AC182" i="5"/>
  <c r="AB182" i="5"/>
  <c r="H182" i="5"/>
  <c r="G182" i="5"/>
  <c r="O182" i="5" s="1"/>
  <c r="BF182" i="5" s="1"/>
  <c r="BW181" i="5"/>
  <c r="AL181" i="5"/>
  <c r="AJ181" i="5"/>
  <c r="AH181" i="5"/>
  <c r="AG181" i="5"/>
  <c r="AF181" i="5"/>
  <c r="AC181" i="5"/>
  <c r="AB181" i="5"/>
  <c r="Z181" i="5"/>
  <c r="H181" i="5"/>
  <c r="G181" i="5"/>
  <c r="BW180" i="5"/>
  <c r="AL180" i="5"/>
  <c r="AJ180" i="5"/>
  <c r="AH180" i="5"/>
  <c r="AG180" i="5"/>
  <c r="AF180" i="5"/>
  <c r="AC180" i="5"/>
  <c r="AB180" i="5"/>
  <c r="Z180" i="5"/>
  <c r="H180" i="5"/>
  <c r="AO180" i="5" s="1"/>
  <c r="J180" i="5" s="1"/>
  <c r="G180" i="5"/>
  <c r="O180" i="5" s="1"/>
  <c r="BF180" i="5" s="1"/>
  <c r="BW179" i="5"/>
  <c r="AL179" i="5"/>
  <c r="AJ179" i="5"/>
  <c r="AH179" i="5"/>
  <c r="AG179" i="5"/>
  <c r="AF179" i="5"/>
  <c r="AC179" i="5"/>
  <c r="AB179" i="5"/>
  <c r="Z179" i="5"/>
  <c r="H179" i="5"/>
  <c r="G179" i="5"/>
  <c r="BW178" i="5"/>
  <c r="AL178" i="5"/>
  <c r="AJ178" i="5"/>
  <c r="AH178" i="5"/>
  <c r="AG178" i="5"/>
  <c r="AF178" i="5"/>
  <c r="AC178" i="5"/>
  <c r="AB178" i="5"/>
  <c r="Z178" i="5"/>
  <c r="H178" i="5"/>
  <c r="AP178" i="5" s="1"/>
  <c r="G178" i="5"/>
  <c r="BW177" i="5"/>
  <c r="AL177" i="5"/>
  <c r="AJ177" i="5"/>
  <c r="AH177" i="5"/>
  <c r="AG177" i="5"/>
  <c r="AF177" i="5"/>
  <c r="AC177" i="5"/>
  <c r="AB177" i="5"/>
  <c r="Z177" i="5"/>
  <c r="H177" i="5"/>
  <c r="G177" i="5"/>
  <c r="O177" i="5" s="1"/>
  <c r="BF177" i="5" s="1"/>
  <c r="BW176" i="5"/>
  <c r="AL176" i="5"/>
  <c r="AJ176" i="5"/>
  <c r="AH176" i="5"/>
  <c r="AG176" i="5"/>
  <c r="AF176" i="5"/>
  <c r="AC176" i="5"/>
  <c r="AB176" i="5"/>
  <c r="Z176" i="5"/>
  <c r="H176" i="5"/>
  <c r="BD176" i="5" s="1"/>
  <c r="G176" i="5"/>
  <c r="BW175" i="5"/>
  <c r="AL175" i="5"/>
  <c r="AJ175" i="5"/>
  <c r="AH175" i="5"/>
  <c r="AG175" i="5"/>
  <c r="AF175" i="5"/>
  <c r="AC175" i="5"/>
  <c r="AB175" i="5"/>
  <c r="Z175" i="5"/>
  <c r="H175" i="5"/>
  <c r="AP175" i="5" s="1"/>
  <c r="G175" i="5"/>
  <c r="BW174" i="5"/>
  <c r="AL174" i="5"/>
  <c r="AJ174" i="5"/>
  <c r="AH174" i="5"/>
  <c r="AG174" i="5"/>
  <c r="AF174" i="5"/>
  <c r="AC174" i="5"/>
  <c r="AB174" i="5"/>
  <c r="Z174" i="5"/>
  <c r="H174" i="5"/>
  <c r="G174" i="5"/>
  <c r="O174" i="5" s="1"/>
  <c r="BF174" i="5" s="1"/>
  <c r="BW173" i="5"/>
  <c r="AL173" i="5"/>
  <c r="AJ173" i="5"/>
  <c r="AH173" i="5"/>
  <c r="AG173" i="5"/>
  <c r="AF173" i="5"/>
  <c r="AC173" i="5"/>
  <c r="AB173" i="5"/>
  <c r="Z173" i="5"/>
  <c r="H173" i="5"/>
  <c r="BD173" i="5" s="1"/>
  <c r="G173" i="5"/>
  <c r="L173" i="5" s="1"/>
  <c r="M173" i="5" s="1"/>
  <c r="BW172" i="5"/>
  <c r="AL172" i="5"/>
  <c r="AJ172" i="5"/>
  <c r="AH172" i="5"/>
  <c r="AG172" i="5"/>
  <c r="AF172" i="5"/>
  <c r="AC172" i="5"/>
  <c r="AB172" i="5"/>
  <c r="Z172" i="5"/>
  <c r="H172" i="5"/>
  <c r="G172" i="5"/>
  <c r="O172" i="5" s="1"/>
  <c r="BW169" i="5"/>
  <c r="AL169" i="5"/>
  <c r="AJ169" i="5"/>
  <c r="AH169" i="5"/>
  <c r="AG169" i="5"/>
  <c r="AF169" i="5"/>
  <c r="AE169" i="5"/>
  <c r="AD169" i="5"/>
  <c r="AC169" i="5"/>
  <c r="AB169" i="5"/>
  <c r="H169" i="5"/>
  <c r="AP169" i="5" s="1"/>
  <c r="G169" i="5"/>
  <c r="BW167" i="5"/>
  <c r="AL167" i="5"/>
  <c r="AJ167" i="5"/>
  <c r="AH167" i="5"/>
  <c r="AG167" i="5"/>
  <c r="AF167" i="5"/>
  <c r="AC167" i="5"/>
  <c r="AB167" i="5"/>
  <c r="Z167" i="5"/>
  <c r="O167" i="5"/>
  <c r="BF167" i="5" s="1"/>
  <c r="H167" i="5"/>
  <c r="G167" i="5"/>
  <c r="BW166" i="5"/>
  <c r="BD166" i="5"/>
  <c r="AO166" i="5"/>
  <c r="AL166" i="5"/>
  <c r="AJ166" i="5"/>
  <c r="AH166" i="5"/>
  <c r="AG166" i="5"/>
  <c r="AF166" i="5"/>
  <c r="AC166" i="5"/>
  <c r="AB166" i="5"/>
  <c r="Z166" i="5"/>
  <c r="H166" i="5"/>
  <c r="AP166" i="5" s="1"/>
  <c r="G166" i="5"/>
  <c r="AX166" i="5" s="1"/>
  <c r="BW165" i="5"/>
  <c r="AL165" i="5"/>
  <c r="AJ165" i="5"/>
  <c r="AH165" i="5"/>
  <c r="AG165" i="5"/>
  <c r="AF165" i="5"/>
  <c r="AC165" i="5"/>
  <c r="AB165" i="5"/>
  <c r="Z165" i="5"/>
  <c r="H165" i="5"/>
  <c r="BD165" i="5" s="1"/>
  <c r="G165" i="5"/>
  <c r="O165" i="5" s="1"/>
  <c r="BF165" i="5" s="1"/>
  <c r="BW164" i="5"/>
  <c r="AL164" i="5"/>
  <c r="AJ164" i="5"/>
  <c r="AH164" i="5"/>
  <c r="AG164" i="5"/>
  <c r="AF164" i="5"/>
  <c r="AC164" i="5"/>
  <c r="AB164" i="5"/>
  <c r="Z164" i="5"/>
  <c r="H164" i="5"/>
  <c r="G164" i="5"/>
  <c r="BJ164" i="5" s="1"/>
  <c r="BW163" i="5"/>
  <c r="AL163" i="5"/>
  <c r="AJ163" i="5"/>
  <c r="AH163" i="5"/>
  <c r="AG163" i="5"/>
  <c r="AF163" i="5"/>
  <c r="AC163" i="5"/>
  <c r="AB163" i="5"/>
  <c r="Z163" i="5"/>
  <c r="H163" i="5"/>
  <c r="AP163" i="5" s="1"/>
  <c r="G163" i="5"/>
  <c r="O163" i="5" s="1"/>
  <c r="BF163" i="5" s="1"/>
  <c r="BW162" i="5"/>
  <c r="AL162" i="5"/>
  <c r="AJ162" i="5"/>
  <c r="AH162" i="5"/>
  <c r="AG162" i="5"/>
  <c r="AF162" i="5"/>
  <c r="AC162" i="5"/>
  <c r="AB162" i="5"/>
  <c r="Z162" i="5"/>
  <c r="H162" i="5"/>
  <c r="AP162" i="5" s="1"/>
  <c r="G162" i="5"/>
  <c r="AX162" i="5" s="1"/>
  <c r="BW161" i="5"/>
  <c r="AL161" i="5"/>
  <c r="AJ161" i="5"/>
  <c r="AH161" i="5"/>
  <c r="AG161" i="5"/>
  <c r="AF161" i="5"/>
  <c r="AC161" i="5"/>
  <c r="AB161" i="5"/>
  <c r="Z161" i="5"/>
  <c r="H161" i="5"/>
  <c r="G161" i="5"/>
  <c r="O161" i="5" s="1"/>
  <c r="BF161" i="5" s="1"/>
  <c r="BW160" i="5"/>
  <c r="AL160" i="5"/>
  <c r="AJ160" i="5"/>
  <c r="AH160" i="5"/>
  <c r="AG160" i="5"/>
  <c r="AF160" i="5"/>
  <c r="AC160" i="5"/>
  <c r="AB160" i="5"/>
  <c r="Z160" i="5"/>
  <c r="H160" i="5"/>
  <c r="G160" i="5"/>
  <c r="BW159" i="5"/>
  <c r="BD159" i="5"/>
  <c r="AP159" i="5"/>
  <c r="AL159" i="5"/>
  <c r="AJ159" i="5"/>
  <c r="AH159" i="5"/>
  <c r="AG159" i="5"/>
  <c r="AF159" i="5"/>
  <c r="AC159" i="5"/>
  <c r="AB159" i="5"/>
  <c r="Z159" i="5"/>
  <c r="H159" i="5"/>
  <c r="G159" i="5"/>
  <c r="O159" i="5" s="1"/>
  <c r="BF159" i="5" s="1"/>
  <c r="BW157" i="5"/>
  <c r="AL157" i="5"/>
  <c r="AJ157" i="5"/>
  <c r="AH157" i="5"/>
  <c r="AG157" i="5"/>
  <c r="AF157" i="5"/>
  <c r="AC157" i="5"/>
  <c r="AB157" i="5"/>
  <c r="Z157" i="5"/>
  <c r="H157" i="5"/>
  <c r="AP157" i="5" s="1"/>
  <c r="G157" i="5"/>
  <c r="AX157" i="5" s="1"/>
  <c r="BW155" i="5"/>
  <c r="AL155" i="5"/>
  <c r="AJ155" i="5"/>
  <c r="AH155" i="5"/>
  <c r="AG155" i="5"/>
  <c r="AF155" i="5"/>
  <c r="AC155" i="5"/>
  <c r="AB155" i="5"/>
  <c r="Z155" i="5"/>
  <c r="H155" i="5"/>
  <c r="AP155" i="5" s="1"/>
  <c r="K155" i="5" s="1"/>
  <c r="G155" i="5"/>
  <c r="O155" i="5" s="1"/>
  <c r="BF155" i="5" s="1"/>
  <c r="BW154" i="5"/>
  <c r="AL154" i="5"/>
  <c r="AJ154" i="5"/>
  <c r="AH154" i="5"/>
  <c r="AG154" i="5"/>
  <c r="AF154" i="5"/>
  <c r="AC154" i="5"/>
  <c r="AB154" i="5"/>
  <c r="Z154" i="5"/>
  <c r="H154" i="5"/>
  <c r="AP154" i="5" s="1"/>
  <c r="G154" i="5"/>
  <c r="BW151" i="5"/>
  <c r="AL151" i="5"/>
  <c r="AJ151" i="5"/>
  <c r="AH151" i="5"/>
  <c r="AG151" i="5"/>
  <c r="AF151" i="5"/>
  <c r="AE151" i="5"/>
  <c r="AD151" i="5"/>
  <c r="AC151" i="5"/>
  <c r="AB151" i="5"/>
  <c r="L151" i="5"/>
  <c r="H151" i="5"/>
  <c r="AO151" i="5" s="1"/>
  <c r="G151" i="5"/>
  <c r="O151" i="5" s="1"/>
  <c r="BF151" i="5" s="1"/>
  <c r="BW149" i="5"/>
  <c r="AL149" i="5"/>
  <c r="AJ149" i="5"/>
  <c r="AH149" i="5"/>
  <c r="AG149" i="5"/>
  <c r="AF149" i="5"/>
  <c r="AC149" i="5"/>
  <c r="AB149" i="5"/>
  <c r="Z149" i="5"/>
  <c r="H149" i="5"/>
  <c r="BD149" i="5" s="1"/>
  <c r="G149" i="5"/>
  <c r="O149" i="5" s="1"/>
  <c r="BF149" i="5" s="1"/>
  <c r="BW148" i="5"/>
  <c r="AL148" i="5"/>
  <c r="AJ148" i="5"/>
  <c r="AH148" i="5"/>
  <c r="AG148" i="5"/>
  <c r="AF148" i="5"/>
  <c r="AC148" i="5"/>
  <c r="AB148" i="5"/>
  <c r="Z148" i="5"/>
  <c r="H148" i="5"/>
  <c r="G148" i="5"/>
  <c r="BW147" i="5"/>
  <c r="AL147" i="5"/>
  <c r="AJ147" i="5"/>
  <c r="AH147" i="5"/>
  <c r="AG147" i="5"/>
  <c r="AF147" i="5"/>
  <c r="AC147" i="5"/>
  <c r="AB147" i="5"/>
  <c r="Z147" i="5"/>
  <c r="H147" i="5"/>
  <c r="BD147" i="5" s="1"/>
  <c r="G147" i="5"/>
  <c r="O147" i="5" s="1"/>
  <c r="BF147" i="5" s="1"/>
  <c r="BW146" i="5"/>
  <c r="AL146" i="5"/>
  <c r="AJ146" i="5"/>
  <c r="AH146" i="5"/>
  <c r="AG146" i="5"/>
  <c r="AF146" i="5"/>
  <c r="AC146" i="5"/>
  <c r="AB146" i="5"/>
  <c r="Z146" i="5"/>
  <c r="H146" i="5"/>
  <c r="G146" i="5"/>
  <c r="BW145" i="5"/>
  <c r="AL145" i="5"/>
  <c r="AJ145" i="5"/>
  <c r="AH145" i="5"/>
  <c r="AG145" i="5"/>
  <c r="AF145" i="5"/>
  <c r="AC145" i="5"/>
  <c r="AB145" i="5"/>
  <c r="Z145" i="5"/>
  <c r="H145" i="5"/>
  <c r="G145" i="5"/>
  <c r="BW144" i="5"/>
  <c r="AL144" i="5"/>
  <c r="AJ144" i="5"/>
  <c r="AH144" i="5"/>
  <c r="AG144" i="5"/>
  <c r="AF144" i="5"/>
  <c r="AC144" i="5"/>
  <c r="AB144" i="5"/>
  <c r="Z144" i="5"/>
  <c r="H144" i="5"/>
  <c r="BD144" i="5" s="1"/>
  <c r="G144" i="5"/>
  <c r="BW143" i="5"/>
  <c r="AL143" i="5"/>
  <c r="AJ143" i="5"/>
  <c r="AH143" i="5"/>
  <c r="AG143" i="5"/>
  <c r="AF143" i="5"/>
  <c r="AC143" i="5"/>
  <c r="AB143" i="5"/>
  <c r="Z143" i="5"/>
  <c r="H143" i="5"/>
  <c r="G143" i="5"/>
  <c r="O143" i="5" s="1"/>
  <c r="BF143" i="5" s="1"/>
  <c r="BW142" i="5"/>
  <c r="AL142" i="5"/>
  <c r="AJ142" i="5"/>
  <c r="AH142" i="5"/>
  <c r="AG142" i="5"/>
  <c r="AF142" i="5"/>
  <c r="AC142" i="5"/>
  <c r="AB142" i="5"/>
  <c r="Z142" i="5"/>
  <c r="H142" i="5"/>
  <c r="BD142" i="5" s="1"/>
  <c r="G142" i="5"/>
  <c r="BW141" i="5"/>
  <c r="AL141" i="5"/>
  <c r="AJ141" i="5"/>
  <c r="AH141" i="5"/>
  <c r="AG141" i="5"/>
  <c r="AF141" i="5"/>
  <c r="AC141" i="5"/>
  <c r="AB141" i="5"/>
  <c r="Z141" i="5"/>
  <c r="H141" i="5"/>
  <c r="AO141" i="5" s="1"/>
  <c r="G141" i="5"/>
  <c r="O141" i="5" s="1"/>
  <c r="BF141" i="5" s="1"/>
  <c r="BW140" i="5"/>
  <c r="AL140" i="5"/>
  <c r="AJ140" i="5"/>
  <c r="AH140" i="5"/>
  <c r="AG140" i="5"/>
  <c r="AF140" i="5"/>
  <c r="AC140" i="5"/>
  <c r="AB140" i="5"/>
  <c r="Z140" i="5"/>
  <c r="H140" i="5"/>
  <c r="AO140" i="5" s="1"/>
  <c r="G140" i="5"/>
  <c r="BW139" i="5"/>
  <c r="AL139" i="5"/>
  <c r="AJ139" i="5"/>
  <c r="AH139" i="5"/>
  <c r="AG139" i="5"/>
  <c r="AF139" i="5"/>
  <c r="AC139" i="5"/>
  <c r="AB139" i="5"/>
  <c r="Z139" i="5"/>
  <c r="H139" i="5"/>
  <c r="G139" i="5"/>
  <c r="O139" i="5" s="1"/>
  <c r="BF139" i="5" s="1"/>
  <c r="BW138" i="5"/>
  <c r="AL138" i="5"/>
  <c r="AJ138" i="5"/>
  <c r="AH138" i="5"/>
  <c r="AG138" i="5"/>
  <c r="AF138" i="5"/>
  <c r="AC138" i="5"/>
  <c r="AB138" i="5"/>
  <c r="Z138" i="5"/>
  <c r="H138" i="5"/>
  <c r="G138" i="5"/>
  <c r="BW137" i="5"/>
  <c r="AL137" i="5"/>
  <c r="AJ137" i="5"/>
  <c r="AH137" i="5"/>
  <c r="AG137" i="5"/>
  <c r="AF137" i="5"/>
  <c r="AC137" i="5"/>
  <c r="AB137" i="5"/>
  <c r="Z137" i="5"/>
  <c r="H137" i="5"/>
  <c r="AP137" i="5" s="1"/>
  <c r="AX137" i="5" s="1"/>
  <c r="G137" i="5"/>
  <c r="O137" i="5" s="1"/>
  <c r="BF137" i="5" s="1"/>
  <c r="BW136" i="5"/>
  <c r="AL136" i="5"/>
  <c r="AJ136" i="5"/>
  <c r="AH136" i="5"/>
  <c r="AG136" i="5"/>
  <c r="AF136" i="5"/>
  <c r="AC136" i="5"/>
  <c r="AB136" i="5"/>
  <c r="Z136" i="5"/>
  <c r="H136" i="5"/>
  <c r="AP136" i="5" s="1"/>
  <c r="BI136" i="5" s="1"/>
  <c r="AE136" i="5" s="1"/>
  <c r="G136" i="5"/>
  <c r="O136" i="5" s="1"/>
  <c r="BF136" i="5" s="1"/>
  <c r="BW135" i="5"/>
  <c r="AL135" i="5"/>
  <c r="AJ135" i="5"/>
  <c r="AH135" i="5"/>
  <c r="AG135" i="5"/>
  <c r="AF135" i="5"/>
  <c r="AC135" i="5"/>
  <c r="AB135" i="5"/>
  <c r="Z135" i="5"/>
  <c r="H135" i="5"/>
  <c r="AP135" i="5" s="1"/>
  <c r="G135" i="5"/>
  <c r="BJ135" i="5" s="1"/>
  <c r="BW134" i="5"/>
  <c r="BD134" i="5"/>
  <c r="AL134" i="5"/>
  <c r="AJ134" i="5"/>
  <c r="AH134" i="5"/>
  <c r="AG134" i="5"/>
  <c r="AF134" i="5"/>
  <c r="AC134" i="5"/>
  <c r="AB134" i="5"/>
  <c r="Z134" i="5"/>
  <c r="H134" i="5"/>
  <c r="AP134" i="5" s="1"/>
  <c r="G134" i="5"/>
  <c r="L134" i="5" s="1"/>
  <c r="BW133" i="5"/>
  <c r="AL133" i="5"/>
  <c r="AJ133" i="5"/>
  <c r="AH133" i="5"/>
  <c r="AG133" i="5"/>
  <c r="AF133" i="5"/>
  <c r="AC133" i="5"/>
  <c r="AB133" i="5"/>
  <c r="Z133" i="5"/>
  <c r="H133" i="5"/>
  <c r="AO133" i="5" s="1"/>
  <c r="G133" i="5"/>
  <c r="O133" i="5" s="1"/>
  <c r="BF133" i="5" s="1"/>
  <c r="BW132" i="5"/>
  <c r="AL132" i="5"/>
  <c r="AJ132" i="5"/>
  <c r="AH132" i="5"/>
  <c r="AG132" i="5"/>
  <c r="AF132" i="5"/>
  <c r="AC132" i="5"/>
  <c r="AB132" i="5"/>
  <c r="Z132" i="5"/>
  <c r="H132" i="5"/>
  <c r="G132" i="5"/>
  <c r="BW130" i="5"/>
  <c r="AL130" i="5"/>
  <c r="AJ130" i="5"/>
  <c r="AH130" i="5"/>
  <c r="AG130" i="5"/>
  <c r="AF130" i="5"/>
  <c r="AC130" i="5"/>
  <c r="AB130" i="5"/>
  <c r="Z130" i="5"/>
  <c r="H130" i="5"/>
  <c r="G130" i="5"/>
  <c r="BW128" i="5"/>
  <c r="AL128" i="5"/>
  <c r="AJ128" i="5"/>
  <c r="AH128" i="5"/>
  <c r="AG128" i="5"/>
  <c r="AF128" i="5"/>
  <c r="AC128" i="5"/>
  <c r="AB128" i="5"/>
  <c r="Z128" i="5"/>
  <c r="H128" i="5"/>
  <c r="AO128" i="5" s="1"/>
  <c r="AW128" i="5" s="1"/>
  <c r="G128" i="5"/>
  <c r="O128" i="5" s="1"/>
  <c r="BF128" i="5" s="1"/>
  <c r="BW127" i="5"/>
  <c r="AL127" i="5"/>
  <c r="AJ127" i="5"/>
  <c r="AH127" i="5"/>
  <c r="AG127" i="5"/>
  <c r="AF127" i="5"/>
  <c r="AC127" i="5"/>
  <c r="AB127" i="5"/>
  <c r="Z127" i="5"/>
  <c r="H127" i="5"/>
  <c r="AP127" i="5" s="1"/>
  <c r="G127" i="5"/>
  <c r="BJ127" i="5" s="1"/>
  <c r="BW124" i="5"/>
  <c r="AL124" i="5"/>
  <c r="AJ124" i="5"/>
  <c r="AH124" i="5"/>
  <c r="AG124" i="5"/>
  <c r="AF124" i="5"/>
  <c r="AE124" i="5"/>
  <c r="AD124" i="5"/>
  <c r="AC124" i="5"/>
  <c r="AB124" i="5"/>
  <c r="H124" i="5"/>
  <c r="AP124" i="5" s="1"/>
  <c r="G124" i="5"/>
  <c r="BW123" i="5"/>
  <c r="AP123" i="5"/>
  <c r="AL123" i="5"/>
  <c r="AJ123" i="5"/>
  <c r="AH123" i="5"/>
  <c r="AG123" i="5"/>
  <c r="AF123" i="5"/>
  <c r="AC123" i="5"/>
  <c r="AB123" i="5"/>
  <c r="Z123" i="5"/>
  <c r="H123" i="5"/>
  <c r="BD123" i="5" s="1"/>
  <c r="G123" i="5"/>
  <c r="O123" i="5" s="1"/>
  <c r="BF123" i="5" s="1"/>
  <c r="BW122" i="5"/>
  <c r="AP122" i="5"/>
  <c r="BI122" i="5" s="1"/>
  <c r="AE122" i="5" s="1"/>
  <c r="AO122" i="5"/>
  <c r="AL122" i="5"/>
  <c r="AJ122" i="5"/>
  <c r="AH122" i="5"/>
  <c r="AG122" i="5"/>
  <c r="AF122" i="5"/>
  <c r="AC122" i="5"/>
  <c r="AB122" i="5"/>
  <c r="Z122" i="5"/>
  <c r="H122" i="5"/>
  <c r="BD122" i="5" s="1"/>
  <c r="G122" i="5"/>
  <c r="BW120" i="5"/>
  <c r="AL120" i="5"/>
  <c r="AJ120" i="5"/>
  <c r="AH120" i="5"/>
  <c r="AG120" i="5"/>
  <c r="AF120" i="5"/>
  <c r="AE120" i="5"/>
  <c r="AD120" i="5"/>
  <c r="AC120" i="5"/>
  <c r="AB120" i="5"/>
  <c r="H120" i="5"/>
  <c r="AP120" i="5" s="1"/>
  <c r="G120" i="5"/>
  <c r="AX120" i="5" s="1"/>
  <c r="BW118" i="5"/>
  <c r="AL118" i="5"/>
  <c r="AJ118" i="5"/>
  <c r="AH118" i="5"/>
  <c r="AG118" i="5"/>
  <c r="AF118" i="5"/>
  <c r="AC118" i="5"/>
  <c r="AB118" i="5"/>
  <c r="Z118" i="5"/>
  <c r="H118" i="5"/>
  <c r="G118" i="5"/>
  <c r="BW117" i="5"/>
  <c r="AP117" i="5"/>
  <c r="AL117" i="5"/>
  <c r="AJ117" i="5"/>
  <c r="AH117" i="5"/>
  <c r="AG117" i="5"/>
  <c r="AF117" i="5"/>
  <c r="AC117" i="5"/>
  <c r="AB117" i="5"/>
  <c r="Z117" i="5"/>
  <c r="H117" i="5"/>
  <c r="G117" i="5"/>
  <c r="L117" i="5" s="1"/>
  <c r="AK117" i="5" s="1"/>
  <c r="BW116" i="5"/>
  <c r="AL116" i="5"/>
  <c r="AJ116" i="5"/>
  <c r="AH116" i="5"/>
  <c r="AG116" i="5"/>
  <c r="AF116" i="5"/>
  <c r="AC116" i="5"/>
  <c r="AB116" i="5"/>
  <c r="Z116" i="5"/>
  <c r="H116" i="5"/>
  <c r="G116" i="5"/>
  <c r="BW115" i="5"/>
  <c r="AL115" i="5"/>
  <c r="AJ115" i="5"/>
  <c r="AH115" i="5"/>
  <c r="AG115" i="5"/>
  <c r="AF115" i="5"/>
  <c r="AC115" i="5"/>
  <c r="AB115" i="5"/>
  <c r="Z115" i="5"/>
  <c r="H115" i="5"/>
  <c r="G115" i="5"/>
  <c r="BW114" i="5"/>
  <c r="AL114" i="5"/>
  <c r="AJ114" i="5"/>
  <c r="AH114" i="5"/>
  <c r="AG114" i="5"/>
  <c r="AF114" i="5"/>
  <c r="AC114" i="5"/>
  <c r="AB114" i="5"/>
  <c r="Z114" i="5"/>
  <c r="H114" i="5"/>
  <c r="G114" i="5"/>
  <c r="BW113" i="5"/>
  <c r="AL113" i="5"/>
  <c r="AJ113" i="5"/>
  <c r="AH113" i="5"/>
  <c r="AG113" i="5"/>
  <c r="AF113" i="5"/>
  <c r="AC113" i="5"/>
  <c r="AB113" i="5"/>
  <c r="Z113" i="5"/>
  <c r="H113" i="5"/>
  <c r="AO113" i="5" s="1"/>
  <c r="G113" i="5"/>
  <c r="O113" i="5" s="1"/>
  <c r="BF113" i="5" s="1"/>
  <c r="BW112" i="5"/>
  <c r="AP112" i="5"/>
  <c r="AO112" i="5"/>
  <c r="AL112" i="5"/>
  <c r="AJ112" i="5"/>
  <c r="AH112" i="5"/>
  <c r="AG112" i="5"/>
  <c r="AF112" i="5"/>
  <c r="AC112" i="5"/>
  <c r="AB112" i="5"/>
  <c r="Z112" i="5"/>
  <c r="H112" i="5"/>
  <c r="BD112" i="5" s="1"/>
  <c r="G112" i="5"/>
  <c r="BW111" i="5"/>
  <c r="AL111" i="5"/>
  <c r="AJ111" i="5"/>
  <c r="AH111" i="5"/>
  <c r="AG111" i="5"/>
  <c r="AF111" i="5"/>
  <c r="AC111" i="5"/>
  <c r="AB111" i="5"/>
  <c r="Z111" i="5"/>
  <c r="H111" i="5"/>
  <c r="BD111" i="5" s="1"/>
  <c r="G111" i="5"/>
  <c r="O111" i="5" s="1"/>
  <c r="BF111" i="5" s="1"/>
  <c r="BW110" i="5"/>
  <c r="AL110" i="5"/>
  <c r="AJ110" i="5"/>
  <c r="AH110" i="5"/>
  <c r="AG110" i="5"/>
  <c r="AF110" i="5"/>
  <c r="AC110" i="5"/>
  <c r="AB110" i="5"/>
  <c r="Z110" i="5"/>
  <c r="H110" i="5"/>
  <c r="AP110" i="5" s="1"/>
  <c r="AX110" i="5" s="1"/>
  <c r="G110" i="5"/>
  <c r="BW108" i="5"/>
  <c r="AL108" i="5"/>
  <c r="AJ108" i="5"/>
  <c r="AH108" i="5"/>
  <c r="AG108" i="5"/>
  <c r="AF108" i="5"/>
  <c r="AC108" i="5"/>
  <c r="AB108" i="5"/>
  <c r="Z108" i="5"/>
  <c r="H108" i="5"/>
  <c r="AP108" i="5" s="1"/>
  <c r="G108" i="5"/>
  <c r="BW106" i="5"/>
  <c r="AL106" i="5"/>
  <c r="AJ106" i="5"/>
  <c r="AH106" i="5"/>
  <c r="AG106" i="5"/>
  <c r="AF106" i="5"/>
  <c r="AC106" i="5"/>
  <c r="AB106" i="5"/>
  <c r="Z106" i="5"/>
  <c r="H106" i="5"/>
  <c r="G106" i="5"/>
  <c r="BW104" i="5"/>
  <c r="AL104" i="5"/>
  <c r="AJ104" i="5"/>
  <c r="AH104" i="5"/>
  <c r="AG104" i="5"/>
  <c r="AF104" i="5"/>
  <c r="AC104" i="5"/>
  <c r="AB104" i="5"/>
  <c r="Z104" i="5"/>
  <c r="H104" i="5"/>
  <c r="G104" i="5"/>
  <c r="O104" i="5" s="1"/>
  <c r="BF104" i="5" s="1"/>
  <c r="BW102" i="5"/>
  <c r="AL102" i="5"/>
  <c r="AJ102" i="5"/>
  <c r="AH102" i="5"/>
  <c r="AG102" i="5"/>
  <c r="AF102" i="5"/>
  <c r="AC102" i="5"/>
  <c r="AB102" i="5"/>
  <c r="Z102" i="5"/>
  <c r="H102" i="5"/>
  <c r="G102" i="5"/>
  <c r="O102" i="5" s="1"/>
  <c r="BF102" i="5" s="1"/>
  <c r="BW100" i="5"/>
  <c r="AO100" i="5"/>
  <c r="AL100" i="5"/>
  <c r="AJ100" i="5"/>
  <c r="AH100" i="5"/>
  <c r="AG100" i="5"/>
  <c r="AF100" i="5"/>
  <c r="AC100" i="5"/>
  <c r="AB100" i="5"/>
  <c r="Z100" i="5"/>
  <c r="H100" i="5"/>
  <c r="BD100" i="5" s="1"/>
  <c r="G100" i="5"/>
  <c r="BW98" i="5"/>
  <c r="AL98" i="5"/>
  <c r="AJ98" i="5"/>
  <c r="AH98" i="5"/>
  <c r="AG98" i="5"/>
  <c r="AF98" i="5"/>
  <c r="AC98" i="5"/>
  <c r="AB98" i="5"/>
  <c r="Z98" i="5"/>
  <c r="H98" i="5"/>
  <c r="BD98" i="5" s="1"/>
  <c r="G98" i="5"/>
  <c r="BW96" i="5"/>
  <c r="AL96" i="5"/>
  <c r="AJ96" i="5"/>
  <c r="AH96" i="5"/>
  <c r="AG96" i="5"/>
  <c r="AF96" i="5"/>
  <c r="AC96" i="5"/>
  <c r="AB96" i="5"/>
  <c r="Z96" i="5"/>
  <c r="O96" i="5"/>
  <c r="BF96" i="5" s="1"/>
  <c r="H96" i="5"/>
  <c r="AP96" i="5" s="1"/>
  <c r="G96" i="5"/>
  <c r="BW95" i="5"/>
  <c r="AL95" i="5"/>
  <c r="AJ95" i="5"/>
  <c r="AH95" i="5"/>
  <c r="AG95" i="5"/>
  <c r="AF95" i="5"/>
  <c r="AC95" i="5"/>
  <c r="AB95" i="5"/>
  <c r="Z95" i="5"/>
  <c r="H95" i="5"/>
  <c r="AO95" i="5" s="1"/>
  <c r="G95" i="5"/>
  <c r="BH95" i="5" s="1"/>
  <c r="AD95" i="5" s="1"/>
  <c r="BW94" i="5"/>
  <c r="AL94" i="5"/>
  <c r="AJ94" i="5"/>
  <c r="AH94" i="5"/>
  <c r="AG94" i="5"/>
  <c r="AF94" i="5"/>
  <c r="AC94" i="5"/>
  <c r="AB94" i="5"/>
  <c r="Z94" i="5"/>
  <c r="H94" i="5"/>
  <c r="AP94" i="5" s="1"/>
  <c r="K94" i="5" s="1"/>
  <c r="G94" i="5"/>
  <c r="BW93" i="5"/>
  <c r="AL93" i="5"/>
  <c r="AJ93" i="5"/>
  <c r="AH93" i="5"/>
  <c r="AG93" i="5"/>
  <c r="AF93" i="5"/>
  <c r="AC93" i="5"/>
  <c r="AB93" i="5"/>
  <c r="Z93" i="5"/>
  <c r="H93" i="5"/>
  <c r="BD93" i="5" s="1"/>
  <c r="G93" i="5"/>
  <c r="BW92" i="5"/>
  <c r="AL92" i="5"/>
  <c r="AJ92" i="5"/>
  <c r="AH92" i="5"/>
  <c r="AG92" i="5"/>
  <c r="AF92" i="5"/>
  <c r="AC92" i="5"/>
  <c r="AB92" i="5"/>
  <c r="Z92" i="5"/>
  <c r="H92" i="5"/>
  <c r="AP92" i="5" s="1"/>
  <c r="G92" i="5"/>
  <c r="O92" i="5" s="1"/>
  <c r="BF92" i="5" s="1"/>
  <c r="BW90" i="5"/>
  <c r="AP90" i="5"/>
  <c r="AL90" i="5"/>
  <c r="AJ90" i="5"/>
  <c r="AH90" i="5"/>
  <c r="AG90" i="5"/>
  <c r="AF90" i="5"/>
  <c r="AC90" i="5"/>
  <c r="AB90" i="5"/>
  <c r="Z90" i="5"/>
  <c r="H90" i="5"/>
  <c r="AO90" i="5" s="1"/>
  <c r="G90" i="5"/>
  <c r="BJ90" i="5" s="1"/>
  <c r="BW89" i="5"/>
  <c r="AL89" i="5"/>
  <c r="AJ89" i="5"/>
  <c r="AH89" i="5"/>
  <c r="AG89" i="5"/>
  <c r="AF89" i="5"/>
  <c r="AC89" i="5"/>
  <c r="AB89" i="5"/>
  <c r="Z89" i="5"/>
  <c r="H89" i="5"/>
  <c r="AP89" i="5" s="1"/>
  <c r="G89" i="5"/>
  <c r="BW88" i="5"/>
  <c r="AL88" i="5"/>
  <c r="AJ88" i="5"/>
  <c r="AH88" i="5"/>
  <c r="AG88" i="5"/>
  <c r="AF88" i="5"/>
  <c r="AC88" i="5"/>
  <c r="AB88" i="5"/>
  <c r="Z88" i="5"/>
  <c r="H88" i="5"/>
  <c r="BD88" i="5" s="1"/>
  <c r="G88" i="5"/>
  <c r="BW85" i="5"/>
  <c r="AL85" i="5"/>
  <c r="AJ85" i="5"/>
  <c r="AH85" i="5"/>
  <c r="AG85" i="5"/>
  <c r="AF85" i="5"/>
  <c r="AE85" i="5"/>
  <c r="AD85" i="5"/>
  <c r="AC85" i="5"/>
  <c r="AB85" i="5"/>
  <c r="H85" i="5"/>
  <c r="AP85" i="5" s="1"/>
  <c r="G85" i="5"/>
  <c r="O85" i="5" s="1"/>
  <c r="BF85" i="5" s="1"/>
  <c r="BW83" i="5"/>
  <c r="AL83" i="5"/>
  <c r="AJ83" i="5"/>
  <c r="AH83" i="5"/>
  <c r="AG83" i="5"/>
  <c r="AF83" i="5"/>
  <c r="AC83" i="5"/>
  <c r="AB83" i="5"/>
  <c r="Z83" i="5"/>
  <c r="H83" i="5"/>
  <c r="G83" i="5"/>
  <c r="BW82" i="5"/>
  <c r="AL82" i="5"/>
  <c r="AJ82" i="5"/>
  <c r="AH82" i="5"/>
  <c r="AG82" i="5"/>
  <c r="AF82" i="5"/>
  <c r="AC82" i="5"/>
  <c r="AB82" i="5"/>
  <c r="Z82" i="5"/>
  <c r="H82" i="5"/>
  <c r="AP82" i="5" s="1"/>
  <c r="G82" i="5"/>
  <c r="BW81" i="5"/>
  <c r="BD81" i="5"/>
  <c r="AL81" i="5"/>
  <c r="AJ81" i="5"/>
  <c r="AH81" i="5"/>
  <c r="AG81" i="5"/>
  <c r="AF81" i="5"/>
  <c r="AC81" i="5"/>
  <c r="AB81" i="5"/>
  <c r="Z81" i="5"/>
  <c r="H81" i="5"/>
  <c r="AP81" i="5" s="1"/>
  <c r="G81" i="5"/>
  <c r="BJ81" i="5" s="1"/>
  <c r="BW80" i="5"/>
  <c r="AL80" i="5"/>
  <c r="AJ80" i="5"/>
  <c r="AH80" i="5"/>
  <c r="AG80" i="5"/>
  <c r="AF80" i="5"/>
  <c r="AC80" i="5"/>
  <c r="AB80" i="5"/>
  <c r="Z80" i="5"/>
  <c r="H80" i="5"/>
  <c r="AP80" i="5" s="1"/>
  <c r="G80" i="5"/>
  <c r="BW79" i="5"/>
  <c r="AL79" i="5"/>
  <c r="AJ79" i="5"/>
  <c r="AH79" i="5"/>
  <c r="AG79" i="5"/>
  <c r="AF79" i="5"/>
  <c r="AC79" i="5"/>
  <c r="AB79" i="5"/>
  <c r="Z79" i="5"/>
  <c r="H79" i="5"/>
  <c r="AP79" i="5" s="1"/>
  <c r="G79" i="5"/>
  <c r="BW78" i="5"/>
  <c r="AL78" i="5"/>
  <c r="AJ78" i="5"/>
  <c r="AH78" i="5"/>
  <c r="AG78" i="5"/>
  <c r="AF78" i="5"/>
  <c r="AC78" i="5"/>
  <c r="AB78" i="5"/>
  <c r="Z78" i="5"/>
  <c r="H78" i="5"/>
  <c r="G78" i="5"/>
  <c r="BW77" i="5"/>
  <c r="AL77" i="5"/>
  <c r="AJ77" i="5"/>
  <c r="AH77" i="5"/>
  <c r="AG77" i="5"/>
  <c r="AF77" i="5"/>
  <c r="AC77" i="5"/>
  <c r="AB77" i="5"/>
  <c r="Z77" i="5"/>
  <c r="H77" i="5"/>
  <c r="G77" i="5"/>
  <c r="O77" i="5" s="1"/>
  <c r="BF77" i="5" s="1"/>
  <c r="BW76" i="5"/>
  <c r="AL76" i="5"/>
  <c r="AJ76" i="5"/>
  <c r="AH76" i="5"/>
  <c r="AG76" i="5"/>
  <c r="AF76" i="5"/>
  <c r="AC76" i="5"/>
  <c r="AB76" i="5"/>
  <c r="Z76" i="5"/>
  <c r="H76" i="5"/>
  <c r="AP76" i="5" s="1"/>
  <c r="G76" i="5"/>
  <c r="O76" i="5" s="1"/>
  <c r="BF76" i="5" s="1"/>
  <c r="BW75" i="5"/>
  <c r="BD75" i="5"/>
  <c r="AL75" i="5"/>
  <c r="AJ75" i="5"/>
  <c r="AH75" i="5"/>
  <c r="AG75" i="5"/>
  <c r="AF75" i="5"/>
  <c r="AC75" i="5"/>
  <c r="AB75" i="5"/>
  <c r="Z75" i="5"/>
  <c r="H75" i="5"/>
  <c r="AP75" i="5" s="1"/>
  <c r="G75" i="5"/>
  <c r="BW74" i="5"/>
  <c r="AO74" i="5"/>
  <c r="AL74" i="5"/>
  <c r="AJ74" i="5"/>
  <c r="AH74" i="5"/>
  <c r="AG74" i="5"/>
  <c r="AF74" i="5"/>
  <c r="AC74" i="5"/>
  <c r="AB74" i="5"/>
  <c r="Z74" i="5"/>
  <c r="H74" i="5"/>
  <c r="BD74" i="5" s="1"/>
  <c r="G74" i="5"/>
  <c r="BW73" i="5"/>
  <c r="AL73" i="5"/>
  <c r="AJ73" i="5"/>
  <c r="AH73" i="5"/>
  <c r="AG73" i="5"/>
  <c r="AF73" i="5"/>
  <c r="AC73" i="5"/>
  <c r="AB73" i="5"/>
  <c r="Z73" i="5"/>
  <c r="H73" i="5"/>
  <c r="BD73" i="5" s="1"/>
  <c r="G73" i="5"/>
  <c r="O73" i="5" s="1"/>
  <c r="BF73" i="5" s="1"/>
  <c r="BW72" i="5"/>
  <c r="AL72" i="5"/>
  <c r="AJ72" i="5"/>
  <c r="AH72" i="5"/>
  <c r="AG72" i="5"/>
  <c r="AF72" i="5"/>
  <c r="AC72" i="5"/>
  <c r="AB72" i="5"/>
  <c r="Z72" i="5"/>
  <c r="H72" i="5"/>
  <c r="G72" i="5"/>
  <c r="O72" i="5" s="1"/>
  <c r="BF72" i="5" s="1"/>
  <c r="BW71" i="5"/>
  <c r="AL71" i="5"/>
  <c r="AJ71" i="5"/>
  <c r="AH71" i="5"/>
  <c r="AG71" i="5"/>
  <c r="AF71" i="5"/>
  <c r="AC71" i="5"/>
  <c r="AB71" i="5"/>
  <c r="Z71" i="5"/>
  <c r="H71" i="5"/>
  <c r="AO71" i="5" s="1"/>
  <c r="G71" i="5"/>
  <c r="BW70" i="5"/>
  <c r="BD70" i="5"/>
  <c r="AL70" i="5"/>
  <c r="AJ70" i="5"/>
  <c r="AH70" i="5"/>
  <c r="AG70" i="5"/>
  <c r="AF70" i="5"/>
  <c r="AC70" i="5"/>
  <c r="AB70" i="5"/>
  <c r="Z70" i="5"/>
  <c r="H70" i="5"/>
  <c r="G70" i="5"/>
  <c r="O70" i="5" s="1"/>
  <c r="BF70" i="5" s="1"/>
  <c r="BW69" i="5"/>
  <c r="AL69" i="5"/>
  <c r="AJ69" i="5"/>
  <c r="AH69" i="5"/>
  <c r="AG69" i="5"/>
  <c r="AF69" i="5"/>
  <c r="AC69" i="5"/>
  <c r="AB69" i="5"/>
  <c r="Z69" i="5"/>
  <c r="H69" i="5"/>
  <c r="G69" i="5"/>
  <c r="O69" i="5" s="1"/>
  <c r="BF69" i="5" s="1"/>
  <c r="BW68" i="5"/>
  <c r="AO68" i="5"/>
  <c r="BH68" i="5" s="1"/>
  <c r="AD68" i="5" s="1"/>
  <c r="AL68" i="5"/>
  <c r="AJ68" i="5"/>
  <c r="AH68" i="5"/>
  <c r="AG68" i="5"/>
  <c r="AF68" i="5"/>
  <c r="AC68" i="5"/>
  <c r="AB68" i="5"/>
  <c r="Z68" i="5"/>
  <c r="H68" i="5"/>
  <c r="G68" i="5"/>
  <c r="O68" i="5" s="1"/>
  <c r="BF68" i="5" s="1"/>
  <c r="BW67" i="5"/>
  <c r="AL67" i="5"/>
  <c r="AJ67" i="5"/>
  <c r="AH67" i="5"/>
  <c r="AG67" i="5"/>
  <c r="AF67" i="5"/>
  <c r="AC67" i="5"/>
  <c r="AB67" i="5"/>
  <c r="Z67" i="5"/>
  <c r="H67" i="5"/>
  <c r="G67" i="5"/>
  <c r="BW66" i="5"/>
  <c r="AL66" i="5"/>
  <c r="AJ66" i="5"/>
  <c r="AH66" i="5"/>
  <c r="AG66" i="5"/>
  <c r="AF66" i="5"/>
  <c r="AC66" i="5"/>
  <c r="AB66" i="5"/>
  <c r="Z66" i="5"/>
  <c r="H66" i="5"/>
  <c r="AO66" i="5" s="1"/>
  <c r="G66" i="5"/>
  <c r="BW65" i="5"/>
  <c r="BD65" i="5"/>
  <c r="AL65" i="5"/>
  <c r="AJ65" i="5"/>
  <c r="AH65" i="5"/>
  <c r="AG65" i="5"/>
  <c r="AF65" i="5"/>
  <c r="AC65" i="5"/>
  <c r="AB65" i="5"/>
  <c r="Z65" i="5"/>
  <c r="O65" i="5"/>
  <c r="BF65" i="5" s="1"/>
  <c r="H65" i="5"/>
  <c r="G65" i="5"/>
  <c r="BJ65" i="5" s="1"/>
  <c r="BW64" i="5"/>
  <c r="AL64" i="5"/>
  <c r="AJ64" i="5"/>
  <c r="AH64" i="5"/>
  <c r="AG64" i="5"/>
  <c r="AF64" i="5"/>
  <c r="AC64" i="5"/>
  <c r="AB64" i="5"/>
  <c r="Z64" i="5"/>
  <c r="O64" i="5"/>
  <c r="BF64" i="5" s="1"/>
  <c r="H64" i="5"/>
  <c r="G64" i="5"/>
  <c r="BW63" i="5"/>
  <c r="AL63" i="5"/>
  <c r="AJ63" i="5"/>
  <c r="AH63" i="5"/>
  <c r="AG63" i="5"/>
  <c r="AF63" i="5"/>
  <c r="AC63" i="5"/>
  <c r="AB63" i="5"/>
  <c r="Z63" i="5"/>
  <c r="H63" i="5"/>
  <c r="AP63" i="5" s="1"/>
  <c r="G63" i="5"/>
  <c r="BW62" i="5"/>
  <c r="BD62" i="5"/>
  <c r="AL62" i="5"/>
  <c r="AJ62" i="5"/>
  <c r="AH62" i="5"/>
  <c r="AG62" i="5"/>
  <c r="AF62" i="5"/>
  <c r="AC62" i="5"/>
  <c r="AB62" i="5"/>
  <c r="Z62" i="5"/>
  <c r="H62" i="5"/>
  <c r="AO62" i="5" s="1"/>
  <c r="G62" i="5"/>
  <c r="BW60" i="5"/>
  <c r="AL60" i="5"/>
  <c r="AJ60" i="5"/>
  <c r="AH60" i="5"/>
  <c r="AG60" i="5"/>
  <c r="AF60" i="5"/>
  <c r="AC60" i="5"/>
  <c r="AB60" i="5"/>
  <c r="Z60" i="5"/>
  <c r="H60" i="5"/>
  <c r="AP60" i="5" s="1"/>
  <c r="AX60" i="5" s="1"/>
  <c r="G60" i="5"/>
  <c r="BW58" i="5"/>
  <c r="AL58" i="5"/>
  <c r="AJ58" i="5"/>
  <c r="AH58" i="5"/>
  <c r="AG58" i="5"/>
  <c r="AF58" i="5"/>
  <c r="AC58" i="5"/>
  <c r="AB58" i="5"/>
  <c r="Z58" i="5"/>
  <c r="H58" i="5"/>
  <c r="G58" i="5"/>
  <c r="L58" i="5" s="1"/>
  <c r="BW56" i="5"/>
  <c r="AL56" i="5"/>
  <c r="AJ56" i="5"/>
  <c r="AH56" i="5"/>
  <c r="AG56" i="5"/>
  <c r="AF56" i="5"/>
  <c r="AC56" i="5"/>
  <c r="AB56" i="5"/>
  <c r="Z56" i="5"/>
  <c r="H56" i="5"/>
  <c r="G56" i="5"/>
  <c r="BW54" i="5"/>
  <c r="AL54" i="5"/>
  <c r="AJ54" i="5"/>
  <c r="AH54" i="5"/>
  <c r="AG54" i="5"/>
  <c r="AF54" i="5"/>
  <c r="AC54" i="5"/>
  <c r="AB54" i="5"/>
  <c r="Z54" i="5"/>
  <c r="H54" i="5"/>
  <c r="AO54" i="5" s="1"/>
  <c r="G54" i="5"/>
  <c r="BW52" i="5"/>
  <c r="BD52" i="5"/>
  <c r="AL52" i="5"/>
  <c r="AJ52" i="5"/>
  <c r="AH52" i="5"/>
  <c r="AG52" i="5"/>
  <c r="AF52" i="5"/>
  <c r="AC52" i="5"/>
  <c r="AB52" i="5"/>
  <c r="Z52" i="5"/>
  <c r="O52" i="5"/>
  <c r="BF52" i="5" s="1"/>
  <c r="H52" i="5"/>
  <c r="AP52" i="5" s="1"/>
  <c r="G52" i="5"/>
  <c r="L52" i="5" s="1"/>
  <c r="BW50" i="5"/>
  <c r="AL50" i="5"/>
  <c r="AJ50" i="5"/>
  <c r="AH50" i="5"/>
  <c r="AG50" i="5"/>
  <c r="AF50" i="5"/>
  <c r="AC50" i="5"/>
  <c r="AB50" i="5"/>
  <c r="Z50" i="5"/>
  <c r="H50" i="5"/>
  <c r="BD50" i="5" s="1"/>
  <c r="G50" i="5"/>
  <c r="O50" i="5" s="1"/>
  <c r="BF50" i="5" s="1"/>
  <c r="BW49" i="5"/>
  <c r="AL49" i="5"/>
  <c r="AJ49" i="5"/>
  <c r="AH49" i="5"/>
  <c r="AG49" i="5"/>
  <c r="AF49" i="5"/>
  <c r="AC49" i="5"/>
  <c r="AB49" i="5"/>
  <c r="Z49" i="5"/>
  <c r="H49" i="5"/>
  <c r="AP49" i="5" s="1"/>
  <c r="G49" i="5"/>
  <c r="BW48" i="5"/>
  <c r="AL48" i="5"/>
  <c r="AJ48" i="5"/>
  <c r="AH48" i="5"/>
  <c r="AG48" i="5"/>
  <c r="AF48" i="5"/>
  <c r="AC48" i="5"/>
  <c r="AB48" i="5"/>
  <c r="Z48" i="5"/>
  <c r="H48" i="5"/>
  <c r="G48" i="5"/>
  <c r="O48" i="5" s="1"/>
  <c r="BF48" i="5" s="1"/>
  <c r="BW47" i="5"/>
  <c r="AL47" i="5"/>
  <c r="AJ47" i="5"/>
  <c r="AH47" i="5"/>
  <c r="AG47" i="5"/>
  <c r="AF47" i="5"/>
  <c r="AC47" i="5"/>
  <c r="AB47" i="5"/>
  <c r="Z47" i="5"/>
  <c r="H47" i="5"/>
  <c r="G47" i="5"/>
  <c r="BW46" i="5"/>
  <c r="AL46" i="5"/>
  <c r="AJ46" i="5"/>
  <c r="AH46" i="5"/>
  <c r="AG46" i="5"/>
  <c r="AF46" i="5"/>
  <c r="AC46" i="5"/>
  <c r="AB46" i="5"/>
  <c r="Z46" i="5"/>
  <c r="H46" i="5"/>
  <c r="G46" i="5"/>
  <c r="O46" i="5" s="1"/>
  <c r="BF46" i="5" s="1"/>
  <c r="BW45" i="5"/>
  <c r="AL45" i="5"/>
  <c r="AJ45" i="5"/>
  <c r="AH45" i="5"/>
  <c r="AG45" i="5"/>
  <c r="AF45" i="5"/>
  <c r="AC45" i="5"/>
  <c r="AB45" i="5"/>
  <c r="Z45" i="5"/>
  <c r="H45" i="5"/>
  <c r="G45" i="5"/>
  <c r="BW44" i="5"/>
  <c r="AL44" i="5"/>
  <c r="AJ44" i="5"/>
  <c r="AH44" i="5"/>
  <c r="AG44" i="5"/>
  <c r="AF44" i="5"/>
  <c r="AC44" i="5"/>
  <c r="AB44" i="5"/>
  <c r="Z44" i="5"/>
  <c r="H44" i="5"/>
  <c r="BD44" i="5" s="1"/>
  <c r="G44" i="5"/>
  <c r="BW43" i="5"/>
  <c r="AL43" i="5"/>
  <c r="AJ43" i="5"/>
  <c r="AH43" i="5"/>
  <c r="AG43" i="5"/>
  <c r="AF43" i="5"/>
  <c r="AC43" i="5"/>
  <c r="AB43" i="5"/>
  <c r="Z43" i="5"/>
  <c r="O43" i="5"/>
  <c r="BF43" i="5" s="1"/>
  <c r="H43" i="5"/>
  <c r="AP43" i="5" s="1"/>
  <c r="G43" i="5"/>
  <c r="BW42" i="5"/>
  <c r="AP42" i="5"/>
  <c r="AL42" i="5"/>
  <c r="AJ42" i="5"/>
  <c r="AH42" i="5"/>
  <c r="AG42" i="5"/>
  <c r="AF42" i="5"/>
  <c r="AC42" i="5"/>
  <c r="AB42" i="5"/>
  <c r="Z42" i="5"/>
  <c r="H42" i="5"/>
  <c r="AO42" i="5" s="1"/>
  <c r="G42" i="5"/>
  <c r="O42" i="5" s="1"/>
  <c r="BF42" i="5" s="1"/>
  <c r="BW39" i="5"/>
  <c r="AL39" i="5"/>
  <c r="AJ39" i="5"/>
  <c r="AH39" i="5"/>
  <c r="AG39" i="5"/>
  <c r="AF39" i="5"/>
  <c r="AE39" i="5"/>
  <c r="AD39" i="5"/>
  <c r="AC39" i="5"/>
  <c r="AB39" i="5"/>
  <c r="O39" i="5"/>
  <c r="BF39" i="5" s="1"/>
  <c r="H39" i="5"/>
  <c r="G39" i="5"/>
  <c r="BW37" i="5"/>
  <c r="AL37" i="5"/>
  <c r="AJ37" i="5"/>
  <c r="AH37" i="5"/>
  <c r="AG37" i="5"/>
  <c r="AF37" i="5"/>
  <c r="AC37" i="5"/>
  <c r="AB37" i="5"/>
  <c r="Z37" i="5"/>
  <c r="H37" i="5"/>
  <c r="BD37" i="5" s="1"/>
  <c r="G37" i="5"/>
  <c r="BW36" i="5"/>
  <c r="AL36" i="5"/>
  <c r="AJ36" i="5"/>
  <c r="AH36" i="5"/>
  <c r="AG36" i="5"/>
  <c r="AF36" i="5"/>
  <c r="AC36" i="5"/>
  <c r="AB36" i="5"/>
  <c r="Z36" i="5"/>
  <c r="H36" i="5"/>
  <c r="AO36" i="5" s="1"/>
  <c r="G36" i="5"/>
  <c r="BW35" i="5"/>
  <c r="AL35" i="5"/>
  <c r="AJ35" i="5"/>
  <c r="AH35" i="5"/>
  <c r="AG35" i="5"/>
  <c r="AF35" i="5"/>
  <c r="AC35" i="5"/>
  <c r="AB35" i="5"/>
  <c r="Z35" i="5"/>
  <c r="H35" i="5"/>
  <c r="G35" i="5"/>
  <c r="BW34" i="5"/>
  <c r="AL34" i="5"/>
  <c r="AJ34" i="5"/>
  <c r="AH34" i="5"/>
  <c r="AG34" i="5"/>
  <c r="AF34" i="5"/>
  <c r="AC34" i="5"/>
  <c r="AB34" i="5"/>
  <c r="Z34" i="5"/>
  <c r="H34" i="5"/>
  <c r="G34" i="5"/>
  <c r="O34" i="5" s="1"/>
  <c r="BF34" i="5" s="1"/>
  <c r="BW33" i="5"/>
  <c r="AL33" i="5"/>
  <c r="AJ33" i="5"/>
  <c r="AH33" i="5"/>
  <c r="AG33" i="5"/>
  <c r="AF33" i="5"/>
  <c r="AC33" i="5"/>
  <c r="AB33" i="5"/>
  <c r="Z33" i="5"/>
  <c r="H33" i="5"/>
  <c r="AO33" i="5" s="1"/>
  <c r="G33" i="5"/>
  <c r="BJ33" i="5" s="1"/>
  <c r="BW32" i="5"/>
  <c r="AL32" i="5"/>
  <c r="AJ32" i="5"/>
  <c r="AH32" i="5"/>
  <c r="AG32" i="5"/>
  <c r="AF32" i="5"/>
  <c r="AC32" i="5"/>
  <c r="AB32" i="5"/>
  <c r="Z32" i="5"/>
  <c r="H32" i="5"/>
  <c r="BJ32" i="5" s="1"/>
  <c r="G32" i="5"/>
  <c r="BW31" i="5"/>
  <c r="AL31" i="5"/>
  <c r="AJ31" i="5"/>
  <c r="AH31" i="5"/>
  <c r="AG31" i="5"/>
  <c r="AF31" i="5"/>
  <c r="AC31" i="5"/>
  <c r="AB31" i="5"/>
  <c r="Z31" i="5"/>
  <c r="H31" i="5"/>
  <c r="G31" i="5"/>
  <c r="BW30" i="5"/>
  <c r="AL30" i="5"/>
  <c r="AJ30" i="5"/>
  <c r="AH30" i="5"/>
  <c r="AG30" i="5"/>
  <c r="AF30" i="5"/>
  <c r="AC30" i="5"/>
  <c r="AB30" i="5"/>
  <c r="Z30" i="5"/>
  <c r="H30" i="5"/>
  <c r="AP30" i="5" s="1"/>
  <c r="G30" i="5"/>
  <c r="O30" i="5" s="1"/>
  <c r="BF30" i="5" s="1"/>
  <c r="BW29" i="5"/>
  <c r="BJ29" i="5"/>
  <c r="AO29" i="5"/>
  <c r="J29" i="5" s="1"/>
  <c r="AL29" i="5"/>
  <c r="AJ29" i="5"/>
  <c r="AH29" i="5"/>
  <c r="AG29" i="5"/>
  <c r="AF29" i="5"/>
  <c r="AC29" i="5"/>
  <c r="AB29" i="5"/>
  <c r="Z29" i="5"/>
  <c r="H29" i="5"/>
  <c r="G29" i="5"/>
  <c r="O29" i="5" s="1"/>
  <c r="BF29" i="5" s="1"/>
  <c r="BW28" i="5"/>
  <c r="BD28" i="5"/>
  <c r="AP28" i="5"/>
  <c r="AL28" i="5"/>
  <c r="AJ28" i="5"/>
  <c r="AH28" i="5"/>
  <c r="AG28" i="5"/>
  <c r="AF28" i="5"/>
  <c r="AC28" i="5"/>
  <c r="AB28" i="5"/>
  <c r="Z28" i="5"/>
  <c r="H28" i="5"/>
  <c r="AO28" i="5" s="1"/>
  <c r="G28" i="5"/>
  <c r="BI28" i="5" s="1"/>
  <c r="AE28" i="5" s="1"/>
  <c r="BW26" i="5"/>
  <c r="AL26" i="5"/>
  <c r="AJ26" i="5"/>
  <c r="AH26" i="5"/>
  <c r="AG26" i="5"/>
  <c r="AF26" i="5"/>
  <c r="AC26" i="5"/>
  <c r="AB26" i="5"/>
  <c r="Z26" i="5"/>
  <c r="H26" i="5"/>
  <c r="G26" i="5"/>
  <c r="BW25" i="5"/>
  <c r="BD25" i="5"/>
  <c r="AL25" i="5"/>
  <c r="AJ25" i="5"/>
  <c r="AH25" i="5"/>
  <c r="AG25" i="5"/>
  <c r="AF25" i="5"/>
  <c r="AC25" i="5"/>
  <c r="AB25" i="5"/>
  <c r="Z25" i="5"/>
  <c r="H25" i="5"/>
  <c r="G25" i="5"/>
  <c r="O25" i="5" s="1"/>
  <c r="BW23" i="5"/>
  <c r="AL23" i="5"/>
  <c r="AJ23" i="5"/>
  <c r="AH23" i="5"/>
  <c r="AG23" i="5"/>
  <c r="AF23" i="5"/>
  <c r="AE23" i="5"/>
  <c r="AD23" i="5"/>
  <c r="AC23" i="5"/>
  <c r="AB23" i="5"/>
  <c r="O23" i="5"/>
  <c r="BF23" i="5" s="1"/>
  <c r="H23" i="5"/>
  <c r="AO23" i="5" s="1"/>
  <c r="J23" i="5" s="1"/>
  <c r="G23" i="5"/>
  <c r="BW21" i="5"/>
  <c r="AP21" i="5"/>
  <c r="AO21" i="5"/>
  <c r="AL21" i="5"/>
  <c r="AJ21" i="5"/>
  <c r="AH21" i="5"/>
  <c r="AG21" i="5"/>
  <c r="AF21" i="5"/>
  <c r="AC21" i="5"/>
  <c r="AB21" i="5"/>
  <c r="Z21" i="5"/>
  <c r="H21" i="5"/>
  <c r="BD21" i="5" s="1"/>
  <c r="G21" i="5"/>
  <c r="AX21" i="5" s="1"/>
  <c r="BW18" i="5"/>
  <c r="AL18" i="5"/>
  <c r="AJ18" i="5"/>
  <c r="AH18" i="5"/>
  <c r="AG18" i="5"/>
  <c r="AF18" i="5"/>
  <c r="AE18" i="5"/>
  <c r="AD18" i="5"/>
  <c r="AC18" i="5"/>
  <c r="AB18" i="5"/>
  <c r="H18" i="5"/>
  <c r="AO18" i="5" s="1"/>
  <c r="G18" i="5"/>
  <c r="O18" i="5" s="1"/>
  <c r="BF18" i="5" s="1"/>
  <c r="BW17" i="5"/>
  <c r="AL17" i="5"/>
  <c r="AJ17" i="5"/>
  <c r="AH17" i="5"/>
  <c r="AG17" i="5"/>
  <c r="AF17" i="5"/>
  <c r="AC17" i="5"/>
  <c r="AB17" i="5"/>
  <c r="Z17" i="5"/>
  <c r="H17" i="5"/>
  <c r="AO17" i="5" s="1"/>
  <c r="G17" i="5"/>
  <c r="BW16" i="5"/>
  <c r="AL16" i="5"/>
  <c r="AJ16" i="5"/>
  <c r="AH16" i="5"/>
  <c r="AG16" i="5"/>
  <c r="AF16" i="5"/>
  <c r="AC16" i="5"/>
  <c r="AB16" i="5"/>
  <c r="Z16" i="5"/>
  <c r="H16" i="5"/>
  <c r="AO16" i="5" s="1"/>
  <c r="G16" i="5"/>
  <c r="O16" i="5" s="1"/>
  <c r="BF16" i="5" s="1"/>
  <c r="BW15" i="5"/>
  <c r="AL15" i="5"/>
  <c r="AJ15" i="5"/>
  <c r="AH15" i="5"/>
  <c r="AG15" i="5"/>
  <c r="AF15" i="5"/>
  <c r="AC15" i="5"/>
  <c r="AB15" i="5"/>
  <c r="Z15" i="5"/>
  <c r="H15" i="5"/>
  <c r="AP15" i="5" s="1"/>
  <c r="G15" i="5"/>
  <c r="BW14" i="5"/>
  <c r="AL14" i="5"/>
  <c r="AJ14" i="5"/>
  <c r="AH14" i="5"/>
  <c r="AG14" i="5"/>
  <c r="AF14" i="5"/>
  <c r="AC14" i="5"/>
  <c r="AB14" i="5"/>
  <c r="Z14" i="5"/>
  <c r="H14" i="5"/>
  <c r="AO14" i="5" s="1"/>
  <c r="G14" i="5"/>
  <c r="O14" i="5" s="1"/>
  <c r="AU1" i="5"/>
  <c r="AT1" i="5"/>
  <c r="AS1" i="5"/>
  <c r="I44" i="4"/>
  <c r="F44" i="4"/>
  <c r="F43" i="4"/>
  <c r="I43" i="4" s="1"/>
  <c r="F42" i="4"/>
  <c r="I42" i="4" s="1"/>
  <c r="I40" i="4"/>
  <c r="F40" i="4"/>
  <c r="F39" i="4"/>
  <c r="I39" i="4" s="1"/>
  <c r="F38" i="4"/>
  <c r="I38" i="4" s="1"/>
  <c r="I36" i="4"/>
  <c r="F36" i="4"/>
  <c r="I26" i="4"/>
  <c r="I25" i="4"/>
  <c r="I24" i="4"/>
  <c r="I23" i="4"/>
  <c r="I22" i="4"/>
  <c r="I21" i="4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S62" i="1"/>
  <c r="IR62" i="1"/>
  <c r="L62" i="1" s="1"/>
  <c r="IS61" i="1"/>
  <c r="IR61" i="1"/>
  <c r="IS60" i="1"/>
  <c r="IR60" i="1"/>
  <c r="IS59" i="1"/>
  <c r="IR59" i="1"/>
  <c r="IS58" i="1"/>
  <c r="IR58" i="1"/>
  <c r="L58" i="1" s="1"/>
  <c r="IS57" i="1"/>
  <c r="IR57" i="1"/>
  <c r="IS56" i="1"/>
  <c r="IR56" i="1"/>
  <c r="IS55" i="1"/>
  <c r="IR55" i="1"/>
  <c r="IS54" i="1"/>
  <c r="IR54" i="1"/>
  <c r="IS53" i="1"/>
  <c r="IR53" i="1"/>
  <c r="IS52" i="1"/>
  <c r="IR52" i="1"/>
  <c r="L52" i="1" s="1"/>
  <c r="IS49" i="1"/>
  <c r="IR49" i="1"/>
  <c r="IS48" i="1"/>
  <c r="IR48" i="1"/>
  <c r="IS47" i="1"/>
  <c r="IR47" i="1"/>
  <c r="IS46" i="1"/>
  <c r="IR46" i="1"/>
  <c r="IS45" i="1"/>
  <c r="IR45" i="1"/>
  <c r="IS44" i="1"/>
  <c r="IR44" i="1"/>
  <c r="IS43" i="1"/>
  <c r="IR43" i="1"/>
  <c r="L43" i="1"/>
  <c r="IS42" i="1"/>
  <c r="IR42" i="1"/>
  <c r="IS41" i="1"/>
  <c r="IR41" i="1"/>
  <c r="IS40" i="1"/>
  <c r="IR40" i="1"/>
  <c r="IS39" i="1"/>
  <c r="IR39" i="1"/>
  <c r="IS38" i="1"/>
  <c r="IR38" i="1"/>
  <c r="IS37" i="1"/>
  <c r="IR37" i="1"/>
  <c r="IS34" i="1"/>
  <c r="IR34" i="1"/>
  <c r="IS33" i="1"/>
  <c r="IR33" i="1"/>
  <c r="L33" i="1" s="1"/>
  <c r="IS32" i="1"/>
  <c r="IR32" i="1"/>
  <c r="IS31" i="1"/>
  <c r="IR31" i="1"/>
  <c r="L31" i="1" s="1"/>
  <c r="IS30" i="1"/>
  <c r="IR30" i="1"/>
  <c r="IS29" i="1"/>
  <c r="IR29" i="1"/>
  <c r="IS28" i="1"/>
  <c r="IR28" i="1"/>
  <c r="IS27" i="1"/>
  <c r="IR27" i="1"/>
  <c r="IS26" i="1"/>
  <c r="IR26" i="1"/>
  <c r="IS25" i="1"/>
  <c r="IR25" i="1"/>
  <c r="IS24" i="1"/>
  <c r="IR24" i="1"/>
  <c r="L24" i="1" s="1"/>
  <c r="IS23" i="1"/>
  <c r="IR23" i="1"/>
  <c r="IS22" i="1"/>
  <c r="IR22" i="1"/>
  <c r="IS21" i="1"/>
  <c r="IR21" i="1"/>
  <c r="IS20" i="1"/>
  <c r="IR20" i="1"/>
  <c r="IS19" i="1"/>
  <c r="IR19" i="1"/>
  <c r="IS18" i="1"/>
  <c r="IR18" i="1"/>
  <c r="IS17" i="1"/>
  <c r="IR17" i="1"/>
  <c r="IS16" i="1"/>
  <c r="IR16" i="1"/>
  <c r="L16" i="1" s="1"/>
  <c r="IS15" i="1"/>
  <c r="IR15" i="1"/>
  <c r="L15" i="1"/>
  <c r="IS14" i="1"/>
  <c r="IR14" i="1"/>
  <c r="IS13" i="1"/>
  <c r="IR13" i="1"/>
  <c r="I8" i="1"/>
  <c r="G8" i="1"/>
  <c r="D8" i="1"/>
  <c r="I6" i="1"/>
  <c r="G6" i="1"/>
  <c r="D6" i="1"/>
  <c r="I4" i="1"/>
  <c r="G4" i="1"/>
  <c r="I2" i="1"/>
  <c r="G2" i="1"/>
  <c r="D2" i="1"/>
  <c r="AP17" i="5" l="1"/>
  <c r="K17" i="5" s="1"/>
  <c r="L23" i="1"/>
  <c r="L45" i="1"/>
  <c r="AU20" i="5"/>
  <c r="L33" i="5"/>
  <c r="AK33" i="5" s="1"/>
  <c r="BJ52" i="5"/>
  <c r="BJ64" i="5"/>
  <c r="J71" i="5"/>
  <c r="BJ80" i="5"/>
  <c r="AP128" i="5"/>
  <c r="AU250" i="5"/>
  <c r="BH21" i="5"/>
  <c r="AD21" i="5" s="1"/>
  <c r="AP37" i="5"/>
  <c r="BI37" i="5" s="1"/>
  <c r="AE37" i="5" s="1"/>
  <c r="L46" i="5"/>
  <c r="AK46" i="5" s="1"/>
  <c r="L157" i="5"/>
  <c r="AK157" i="5" s="1"/>
  <c r="J166" i="5"/>
  <c r="AP198" i="5"/>
  <c r="O221" i="5"/>
  <c r="AS224" i="5"/>
  <c r="AP243" i="5"/>
  <c r="O33" i="5"/>
  <c r="BF33" i="5" s="1"/>
  <c r="AP50" i="5"/>
  <c r="K50" i="5" s="1"/>
  <c r="BJ102" i="5"/>
  <c r="AX108" i="5"/>
  <c r="O117" i="5"/>
  <c r="BF117" i="5" s="1"/>
  <c r="L28" i="1"/>
  <c r="L46" i="1"/>
  <c r="L59" i="1"/>
  <c r="AX28" i="5"/>
  <c r="AP33" i="5"/>
  <c r="BI33" i="5" s="1"/>
  <c r="AE33" i="5" s="1"/>
  <c r="AO80" i="5"/>
  <c r="BH80" i="5" s="1"/>
  <c r="AD80" i="5" s="1"/>
  <c r="AX82" i="5"/>
  <c r="BI117" i="5"/>
  <c r="AE117" i="5" s="1"/>
  <c r="BJ178" i="5"/>
  <c r="AW186" i="5"/>
  <c r="BJ221" i="5"/>
  <c r="J245" i="5"/>
  <c r="AO249" i="5"/>
  <c r="BH249" i="5" s="1"/>
  <c r="L254" i="5"/>
  <c r="AK254" i="5" s="1"/>
  <c r="AT253" i="5" s="1"/>
  <c r="O108" i="5"/>
  <c r="BF108" i="5" s="1"/>
  <c r="BI123" i="5"/>
  <c r="AE123" i="5" s="1"/>
  <c r="O127" i="5"/>
  <c r="BF127" i="5" s="1"/>
  <c r="BI21" i="5"/>
  <c r="AE21" i="5" s="1"/>
  <c r="BI42" i="5"/>
  <c r="AE42" i="5" s="1"/>
  <c r="AW14" i="5"/>
  <c r="L28" i="5"/>
  <c r="AK28" i="5" s="1"/>
  <c r="L29" i="5"/>
  <c r="AK29" i="5" s="1"/>
  <c r="AO30" i="5"/>
  <c r="AP32" i="5"/>
  <c r="BI32" i="5" s="1"/>
  <c r="AE32" i="5" s="1"/>
  <c r="BJ47" i="5"/>
  <c r="BD54" i="5"/>
  <c r="BJ58" i="5"/>
  <c r="AP66" i="5"/>
  <c r="L68" i="5"/>
  <c r="M68" i="5" s="1"/>
  <c r="L72" i="5"/>
  <c r="BJ96" i="5"/>
  <c r="L122" i="5"/>
  <c r="M122" i="5" s="1"/>
  <c r="BD169" i="5"/>
  <c r="O178" i="5"/>
  <c r="BF178" i="5" s="1"/>
  <c r="AP196" i="5"/>
  <c r="AP238" i="5"/>
  <c r="L252" i="5"/>
  <c r="M252" i="5" s="1"/>
  <c r="O58" i="5"/>
  <c r="BF58" i="5" s="1"/>
  <c r="L26" i="1"/>
  <c r="L30" i="1"/>
  <c r="L57" i="1"/>
  <c r="BH17" i="5"/>
  <c r="AD17" i="5" s="1"/>
  <c r="AP18" i="5"/>
  <c r="BI18" i="5" s="1"/>
  <c r="BD30" i="5"/>
  <c r="BD66" i="5"/>
  <c r="L90" i="5"/>
  <c r="AK90" i="5" s="1"/>
  <c r="BJ145" i="5"/>
  <c r="BD178" i="5"/>
  <c r="AX200" i="5"/>
  <c r="BJ60" i="5"/>
  <c r="BJ77" i="5"/>
  <c r="BJ141" i="5"/>
  <c r="L148" i="5"/>
  <c r="M148" i="5" s="1"/>
  <c r="L181" i="5"/>
  <c r="BJ243" i="5"/>
  <c r="Z243" i="5" s="1"/>
  <c r="BM249" i="5"/>
  <c r="F35" i="4" s="1"/>
  <c r="I35" i="4" s="1"/>
  <c r="AK221" i="5"/>
  <c r="AT220" i="5" s="1"/>
  <c r="L220" i="5"/>
  <c r="AK134" i="5"/>
  <c r="M134" i="5"/>
  <c r="L41" i="1"/>
  <c r="L13" i="1"/>
  <c r="L38" i="1"/>
  <c r="L42" i="1"/>
  <c r="L55" i="1"/>
  <c r="BJ14" i="5"/>
  <c r="L17" i="5"/>
  <c r="AO32" i="5"/>
  <c r="J32" i="5" s="1"/>
  <c r="AO50" i="5"/>
  <c r="BH50" i="5" s="1"/>
  <c r="AD50" i="5" s="1"/>
  <c r="AP62" i="5"/>
  <c r="BI62" i="5" s="1"/>
  <c r="AE62" i="5" s="1"/>
  <c r="L64" i="5"/>
  <c r="M64" i="5" s="1"/>
  <c r="AW90" i="5"/>
  <c r="AU87" i="5"/>
  <c r="BJ108" i="5"/>
  <c r="BD110" i="5"/>
  <c r="BJ117" i="5"/>
  <c r="AO120" i="5"/>
  <c r="J120" i="5" s="1"/>
  <c r="BJ123" i="5"/>
  <c r="L146" i="5"/>
  <c r="AK146" i="5" s="1"/>
  <c r="AO154" i="5"/>
  <c r="K175" i="5"/>
  <c r="AP180" i="5"/>
  <c r="BH186" i="5"/>
  <c r="AB186" i="5" s="1"/>
  <c r="AS184" i="5"/>
  <c r="BD209" i="5"/>
  <c r="AO213" i="5"/>
  <c r="AW213" i="5" s="1"/>
  <c r="AP251" i="5"/>
  <c r="AX66" i="5"/>
  <c r="AW80" i="5"/>
  <c r="BI81" i="5"/>
  <c r="AE81" i="5" s="1"/>
  <c r="O90" i="5"/>
  <c r="BF90" i="5" s="1"/>
  <c r="AX96" i="5"/>
  <c r="AP100" i="5"/>
  <c r="K100" i="5" s="1"/>
  <c r="BD128" i="5"/>
  <c r="AX135" i="5"/>
  <c r="L166" i="5"/>
  <c r="AS201" i="5"/>
  <c r="L207" i="5"/>
  <c r="AO228" i="5"/>
  <c r="AW228" i="5" s="1"/>
  <c r="BJ50" i="5"/>
  <c r="AU13" i="5"/>
  <c r="BD43" i="5"/>
  <c r="AO49" i="5"/>
  <c r="BH49" i="5" s="1"/>
  <c r="AD49" i="5" s="1"/>
  <c r="O60" i="5"/>
  <c r="BF60" i="5" s="1"/>
  <c r="L85" i="5"/>
  <c r="BI90" i="5"/>
  <c r="AE90" i="5" s="1"/>
  <c r="O95" i="5"/>
  <c r="BF95" i="5" s="1"/>
  <c r="O135" i="5"/>
  <c r="BF135" i="5" s="1"/>
  <c r="AW151" i="5"/>
  <c r="AO165" i="5"/>
  <c r="BH165" i="5" s="1"/>
  <c r="AD165" i="5" s="1"/>
  <c r="BJ181" i="5"/>
  <c r="L191" i="5"/>
  <c r="L243" i="5"/>
  <c r="AW16" i="5"/>
  <c r="BJ17" i="5"/>
  <c r="BD32" i="5"/>
  <c r="AP14" i="5"/>
  <c r="AX14" i="5" s="1"/>
  <c r="K21" i="5"/>
  <c r="O66" i="5"/>
  <c r="BF66" i="5" s="1"/>
  <c r="AP74" i="5"/>
  <c r="AX74" i="5" s="1"/>
  <c r="J80" i="5"/>
  <c r="O81" i="5"/>
  <c r="BF81" i="5" s="1"/>
  <c r="BD82" i="5"/>
  <c r="AW95" i="5"/>
  <c r="K117" i="5"/>
  <c r="BJ122" i="5"/>
  <c r="L123" i="5"/>
  <c r="L133" i="5"/>
  <c r="K134" i="5"/>
  <c r="AO135" i="5"/>
  <c r="BD151" i="5"/>
  <c r="AP165" i="5"/>
  <c r="K165" i="5" s="1"/>
  <c r="AW166" i="5"/>
  <c r="AO176" i="5"/>
  <c r="O181" i="5"/>
  <c r="BF181" i="5" s="1"/>
  <c r="AP186" i="5"/>
  <c r="O191" i="5"/>
  <c r="BF191" i="5" s="1"/>
  <c r="AS194" i="5"/>
  <c r="AW198" i="5"/>
  <c r="AP207" i="5"/>
  <c r="K207" i="5" s="1"/>
  <c r="O243" i="5"/>
  <c r="BF243" i="5" s="1"/>
  <c r="L25" i="1"/>
  <c r="BJ21" i="5"/>
  <c r="L29" i="1"/>
  <c r="L60" i="1"/>
  <c r="J42" i="5"/>
  <c r="L47" i="1"/>
  <c r="AS20" i="5"/>
  <c r="BJ28" i="5"/>
  <c r="K42" i="5"/>
  <c r="L44" i="1"/>
  <c r="L61" i="1"/>
  <c r="AW18" i="5"/>
  <c r="L21" i="5"/>
  <c r="AK21" i="5" s="1"/>
  <c r="K28" i="5"/>
  <c r="AX30" i="5"/>
  <c r="AW33" i="5"/>
  <c r="AX52" i="5"/>
  <c r="AP54" i="5"/>
  <c r="AX54" i="5" s="1"/>
  <c r="O80" i="5"/>
  <c r="BF80" i="5" s="1"/>
  <c r="AX81" i="5"/>
  <c r="K89" i="5"/>
  <c r="BD95" i="5"/>
  <c r="AU121" i="5"/>
  <c r="BD124" i="5"/>
  <c r="BI137" i="5"/>
  <c r="AE137" i="5" s="1"/>
  <c r="O145" i="5"/>
  <c r="BF145" i="5" s="1"/>
  <c r="L159" i="5"/>
  <c r="BD162" i="5"/>
  <c r="AP176" i="5"/>
  <c r="AX178" i="5"/>
  <c r="AO181" i="5"/>
  <c r="BH181" i="5" s="1"/>
  <c r="AD181" i="5" s="1"/>
  <c r="BJ186" i="5"/>
  <c r="AW191" i="5"/>
  <c r="AU194" i="5"/>
  <c r="O200" i="5"/>
  <c r="BD219" i="5"/>
  <c r="AU224" i="5"/>
  <c r="AW245" i="5"/>
  <c r="J122" i="5"/>
  <c r="AO123" i="5"/>
  <c r="BH123" i="5" s="1"/>
  <c r="AD123" i="5" s="1"/>
  <c r="BJ154" i="5"/>
  <c r="BD181" i="5"/>
  <c r="AO214" i="5"/>
  <c r="AW214" i="5" s="1"/>
  <c r="AU215" i="5"/>
  <c r="K243" i="5"/>
  <c r="AX85" i="5"/>
  <c r="L20" i="1"/>
  <c r="AW17" i="5"/>
  <c r="L32" i="5"/>
  <c r="AK32" i="5" s="1"/>
  <c r="AX92" i="5"/>
  <c r="AS126" i="5"/>
  <c r="AP133" i="5"/>
  <c r="BI133" i="5" s="1"/>
  <c r="AE133" i="5" s="1"/>
  <c r="AU171" i="5"/>
  <c r="AP214" i="5"/>
  <c r="K214" i="5" s="1"/>
  <c r="AO221" i="5"/>
  <c r="AW221" i="5" s="1"/>
  <c r="BD238" i="5"/>
  <c r="AX76" i="5"/>
  <c r="BI76" i="5"/>
  <c r="AE76" i="5" s="1"/>
  <c r="K76" i="5"/>
  <c r="AP45" i="5"/>
  <c r="AO45" i="5"/>
  <c r="L45" i="5"/>
  <c r="AK45" i="5" s="1"/>
  <c r="BD45" i="5"/>
  <c r="AP114" i="5"/>
  <c r="BJ114" i="5"/>
  <c r="BD114" i="5"/>
  <c r="BI128" i="5"/>
  <c r="AE128" i="5" s="1"/>
  <c r="K128" i="5"/>
  <c r="BD132" i="5"/>
  <c r="AO132" i="5"/>
  <c r="J132" i="5" s="1"/>
  <c r="AP182" i="5"/>
  <c r="AX182" i="5" s="1"/>
  <c r="AO182" i="5"/>
  <c r="L182" i="5"/>
  <c r="BJ182" i="5"/>
  <c r="Z182" i="5" s="1"/>
  <c r="AP187" i="5"/>
  <c r="BD187" i="5"/>
  <c r="L19" i="1"/>
  <c r="L39" i="1"/>
  <c r="BH23" i="5"/>
  <c r="AW23" i="5"/>
  <c r="BC23" i="5" s="1"/>
  <c r="AU24" i="5"/>
  <c r="BH29" i="5"/>
  <c r="AD29" i="5" s="1"/>
  <c r="AW29" i="5"/>
  <c r="AV29" i="5" s="1"/>
  <c r="AP48" i="5"/>
  <c r="BI48" i="5" s="1"/>
  <c r="AE48" i="5" s="1"/>
  <c r="AO48" i="5"/>
  <c r="BD49" i="5"/>
  <c r="AP56" i="5"/>
  <c r="BI56" i="5" s="1"/>
  <c r="AE56" i="5" s="1"/>
  <c r="BD56" i="5"/>
  <c r="AO56" i="5"/>
  <c r="J56" i="5" s="1"/>
  <c r="AP70" i="5"/>
  <c r="AX70" i="5" s="1"/>
  <c r="AO70" i="5"/>
  <c r="AW70" i="5" s="1"/>
  <c r="BD106" i="5"/>
  <c r="AP106" i="5"/>
  <c r="K106" i="5" s="1"/>
  <c r="AX128" i="5"/>
  <c r="BC128" i="5" s="1"/>
  <c r="AP132" i="5"/>
  <c r="AX132" i="5" s="1"/>
  <c r="BD141" i="5"/>
  <c r="AP141" i="5"/>
  <c r="L40" i="1"/>
  <c r="L56" i="1"/>
  <c r="AO37" i="5"/>
  <c r="AW37" i="5" s="1"/>
  <c r="BJ37" i="5"/>
  <c r="L37" i="5"/>
  <c r="AX42" i="5"/>
  <c r="BJ45" i="5"/>
  <c r="BD72" i="5"/>
  <c r="BJ72" i="5"/>
  <c r="AP72" i="5"/>
  <c r="K72" i="5" s="1"/>
  <c r="AO72" i="5"/>
  <c r="BH72" i="5" s="1"/>
  <c r="AD72" i="5" s="1"/>
  <c r="BD80" i="5"/>
  <c r="L80" i="5"/>
  <c r="AO106" i="5"/>
  <c r="J106" i="5" s="1"/>
  <c r="BD113" i="5"/>
  <c r="AP113" i="5"/>
  <c r="L113" i="5"/>
  <c r="AK113" i="5" s="1"/>
  <c r="AP118" i="5"/>
  <c r="BI118" i="5" s="1"/>
  <c r="AE118" i="5" s="1"/>
  <c r="BD118" i="5"/>
  <c r="BD182" i="5"/>
  <c r="AS234" i="5"/>
  <c r="AK243" i="5"/>
  <c r="M243" i="5"/>
  <c r="AP115" i="5"/>
  <c r="K115" i="5" s="1"/>
  <c r="AO115" i="5"/>
  <c r="J115" i="5" s="1"/>
  <c r="BD115" i="5"/>
  <c r="AW25" i="5"/>
  <c r="M29" i="5"/>
  <c r="BH42" i="5"/>
  <c r="AD42" i="5" s="1"/>
  <c r="AP69" i="5"/>
  <c r="AX69" i="5" s="1"/>
  <c r="BD69" i="5"/>
  <c r="L69" i="5"/>
  <c r="AP78" i="5"/>
  <c r="BI78" i="5" s="1"/>
  <c r="AE78" i="5" s="1"/>
  <c r="BD78" i="5"/>
  <c r="AK123" i="5"/>
  <c r="M123" i="5"/>
  <c r="BH141" i="5"/>
  <c r="AD141" i="5" s="1"/>
  <c r="J141" i="5"/>
  <c r="AW141" i="5"/>
  <c r="BD15" i="5"/>
  <c r="AP25" i="5"/>
  <c r="AX25" i="5" s="1"/>
  <c r="AO25" i="5"/>
  <c r="AS24" i="5"/>
  <c r="BD36" i="5"/>
  <c r="AP36" i="5"/>
  <c r="AP47" i="5"/>
  <c r="AX47" i="5" s="1"/>
  <c r="BD47" i="5"/>
  <c r="BD48" i="5"/>
  <c r="BD58" i="5"/>
  <c r="AP58" i="5"/>
  <c r="AO58" i="5"/>
  <c r="AO78" i="5"/>
  <c r="M90" i="5"/>
  <c r="L17" i="1"/>
  <c r="L54" i="1"/>
  <c r="AP23" i="5"/>
  <c r="AX23" i="5" s="1"/>
  <c r="BD23" i="5"/>
  <c r="L23" i="5"/>
  <c r="AK23" i="5" s="1"/>
  <c r="BJ23" i="5"/>
  <c r="Z23" i="5" s="1"/>
  <c r="BD46" i="5"/>
  <c r="BJ46" i="5"/>
  <c r="AP46" i="5"/>
  <c r="AO46" i="5"/>
  <c r="L47" i="5"/>
  <c r="AP65" i="5"/>
  <c r="AX65" i="5" s="1"/>
  <c r="L65" i="5"/>
  <c r="BD68" i="5"/>
  <c r="BJ68" i="5"/>
  <c r="AP68" i="5"/>
  <c r="AP104" i="5"/>
  <c r="BI104" i="5" s="1"/>
  <c r="AE104" i="5" s="1"/>
  <c r="BD104" i="5"/>
  <c r="BJ113" i="5"/>
  <c r="AW36" i="5"/>
  <c r="BH36" i="5"/>
  <c r="AD36" i="5" s="1"/>
  <c r="J36" i="5"/>
  <c r="BJ69" i="5"/>
  <c r="BD76" i="5"/>
  <c r="AO76" i="5"/>
  <c r="BJ76" i="5"/>
  <c r="AP77" i="5"/>
  <c r="AX77" i="5" s="1"/>
  <c r="BD77" i="5"/>
  <c r="L77" i="5"/>
  <c r="AX80" i="5"/>
  <c r="AV80" i="5" s="1"/>
  <c r="K80" i="5"/>
  <c r="AX136" i="5"/>
  <c r="BD163" i="5"/>
  <c r="AO163" i="5"/>
  <c r="L163" i="5"/>
  <c r="BJ163" i="5"/>
  <c r="L49" i="1"/>
  <c r="K14" i="5"/>
  <c r="AX18" i="5"/>
  <c r="AV18" i="5" s="1"/>
  <c r="BH28" i="5"/>
  <c r="AD28" i="5" s="1"/>
  <c r="J28" i="5"/>
  <c r="AP73" i="5"/>
  <c r="AX73" i="5" s="1"/>
  <c r="BJ73" i="5"/>
  <c r="L73" i="5"/>
  <c r="AK73" i="5" s="1"/>
  <c r="L76" i="5"/>
  <c r="M76" i="5" s="1"/>
  <c r="BI108" i="5"/>
  <c r="AE108" i="5" s="1"/>
  <c r="K108" i="5"/>
  <c r="AO167" i="5"/>
  <c r="L167" i="5"/>
  <c r="M167" i="5" s="1"/>
  <c r="BJ167" i="5"/>
  <c r="BD167" i="5"/>
  <c r="AP167" i="5"/>
  <c r="AX167" i="5" s="1"/>
  <c r="AP160" i="5"/>
  <c r="BI160" i="5" s="1"/>
  <c r="AE160" i="5" s="1"/>
  <c r="BD160" i="5"/>
  <c r="AO160" i="5"/>
  <c r="J232" i="5"/>
  <c r="BH232" i="5"/>
  <c r="AB232" i="5" s="1"/>
  <c r="L18" i="1"/>
  <c r="L21" i="1"/>
  <c r="L32" i="1"/>
  <c r="L37" i="1"/>
  <c r="L48" i="1"/>
  <c r="L53" i="1"/>
  <c r="AW46" i="5"/>
  <c r="BD60" i="5"/>
  <c r="AW72" i="5"/>
  <c r="AW76" i="5"/>
  <c r="AP83" i="5"/>
  <c r="BI83" i="5" s="1"/>
  <c r="AE83" i="5" s="1"/>
  <c r="BD83" i="5"/>
  <c r="AO83" i="5"/>
  <c r="J83" i="5" s="1"/>
  <c r="AP95" i="5"/>
  <c r="AX95" i="5" s="1"/>
  <c r="AP111" i="5"/>
  <c r="AX111" i="5" s="1"/>
  <c r="AO111" i="5"/>
  <c r="BH111" i="5" s="1"/>
  <c r="AD111" i="5" s="1"/>
  <c r="BD117" i="5"/>
  <c r="AO117" i="5"/>
  <c r="BH117" i="5" s="1"/>
  <c r="AD117" i="5" s="1"/>
  <c r="AX133" i="5"/>
  <c r="K133" i="5"/>
  <c r="BI135" i="5"/>
  <c r="AE135" i="5" s="1"/>
  <c r="BJ160" i="5"/>
  <c r="AO244" i="5"/>
  <c r="BH244" i="5" s="1"/>
  <c r="BD244" i="5"/>
  <c r="AP244" i="5"/>
  <c r="AX244" i="5" s="1"/>
  <c r="AP177" i="5"/>
  <c r="AO177" i="5"/>
  <c r="BJ177" i="5"/>
  <c r="AX89" i="5"/>
  <c r="BD108" i="5"/>
  <c r="L108" i="5"/>
  <c r="AK108" i="5" s="1"/>
  <c r="AX123" i="5"/>
  <c r="BJ128" i="5"/>
  <c r="L140" i="5"/>
  <c r="AK140" i="5" s="1"/>
  <c r="AP143" i="5"/>
  <c r="K143" i="5" s="1"/>
  <c r="AO143" i="5"/>
  <c r="J143" i="5" s="1"/>
  <c r="BD145" i="5"/>
  <c r="AO145" i="5"/>
  <c r="AK151" i="5"/>
  <c r="M151" i="5"/>
  <c r="AP161" i="5"/>
  <c r="K161" i="5" s="1"/>
  <c r="AO161" i="5"/>
  <c r="AW161" i="5" s="1"/>
  <c r="AP172" i="5"/>
  <c r="AX172" i="5" s="1"/>
  <c r="AO172" i="5"/>
  <c r="AS171" i="5"/>
  <c r="AO227" i="5"/>
  <c r="AW227" i="5" s="1"/>
  <c r="BJ227" i="5"/>
  <c r="AP227" i="5"/>
  <c r="K227" i="5" s="1"/>
  <c r="AK122" i="5"/>
  <c r="AO136" i="5"/>
  <c r="J136" i="5" s="1"/>
  <c r="BD136" i="5"/>
  <c r="BD140" i="5"/>
  <c r="BI29" i="5"/>
  <c r="AE29" i="5" s="1"/>
  <c r="AW30" i="5"/>
  <c r="AO35" i="5"/>
  <c r="BD35" i="5"/>
  <c r="AP35" i="5"/>
  <c r="K35" i="5" s="1"/>
  <c r="AW42" i="5"/>
  <c r="AP71" i="5"/>
  <c r="BD71" i="5"/>
  <c r="BD85" i="5"/>
  <c r="AO85" i="5"/>
  <c r="AW85" i="5" s="1"/>
  <c r="BJ85" i="5"/>
  <c r="Z85" i="5" s="1"/>
  <c r="BJ95" i="5"/>
  <c r="AP116" i="5"/>
  <c r="BI116" i="5" s="1"/>
  <c r="AE116" i="5" s="1"/>
  <c r="AO116" i="5"/>
  <c r="J116" i="5" s="1"/>
  <c r="L27" i="1"/>
  <c r="L34" i="1"/>
  <c r="AS13" i="5"/>
  <c r="BJ18" i="5"/>
  <c r="Z18" i="5" s="1"/>
  <c r="AP29" i="5"/>
  <c r="AX29" i="5" s="1"/>
  <c r="BD29" i="5"/>
  <c r="BH37" i="5"/>
  <c r="AD37" i="5" s="1"/>
  <c r="BD42" i="5"/>
  <c r="L42" i="5"/>
  <c r="AK42" i="5" s="1"/>
  <c r="BJ42" i="5"/>
  <c r="AP44" i="5"/>
  <c r="AX44" i="5" s="1"/>
  <c r="AO44" i="5"/>
  <c r="AW44" i="5" s="1"/>
  <c r="AW58" i="5"/>
  <c r="L60" i="5"/>
  <c r="BD64" i="5"/>
  <c r="AP64" i="5"/>
  <c r="AO64" i="5"/>
  <c r="BH64" i="5" s="1"/>
  <c r="AD64" i="5" s="1"/>
  <c r="AO75" i="5"/>
  <c r="J75" i="5" s="1"/>
  <c r="L95" i="5"/>
  <c r="BD102" i="5"/>
  <c r="L102" i="5"/>
  <c r="AK102" i="5" s="1"/>
  <c r="AO108" i="5"/>
  <c r="AW108" i="5" s="1"/>
  <c r="BD116" i="5"/>
  <c r="AX117" i="5"/>
  <c r="K123" i="5"/>
  <c r="AO127" i="5"/>
  <c r="J127" i="5" s="1"/>
  <c r="L127" i="5"/>
  <c r="L136" i="5"/>
  <c r="K137" i="5"/>
  <c r="AP145" i="5"/>
  <c r="AO155" i="5"/>
  <c r="BD155" i="5"/>
  <c r="BD161" i="5"/>
  <c r="AP164" i="5"/>
  <c r="BI164" i="5" s="1"/>
  <c r="AE164" i="5" s="1"/>
  <c r="BD164" i="5"/>
  <c r="AO164" i="5"/>
  <c r="BD177" i="5"/>
  <c r="BH32" i="5"/>
  <c r="AD32" i="5" s="1"/>
  <c r="AS87" i="5"/>
  <c r="BJ92" i="5"/>
  <c r="AX94" i="5"/>
  <c r="BJ133" i="5"/>
  <c r="AO147" i="5"/>
  <c r="J147" i="5" s="1"/>
  <c r="BD154" i="5"/>
  <c r="BD157" i="5"/>
  <c r="L162" i="5"/>
  <c r="AK162" i="5" s="1"/>
  <c r="BJ166" i="5"/>
  <c r="BD180" i="5"/>
  <c r="AP181" i="5"/>
  <c r="L186" i="5"/>
  <c r="AO204" i="5"/>
  <c r="AW204" i="5" s="1"/>
  <c r="AS206" i="5"/>
  <c r="AO211" i="5"/>
  <c r="AW211" i="5" s="1"/>
  <c r="AP221" i="5"/>
  <c r="L228" i="5"/>
  <c r="AK228" i="5" s="1"/>
  <c r="L236" i="5"/>
  <c r="BI23" i="5"/>
  <c r="BJ34" i="5"/>
  <c r="L50" i="5"/>
  <c r="BD63" i="5"/>
  <c r="AW68" i="5"/>
  <c r="L81" i="5"/>
  <c r="AK81" i="5" s="1"/>
  <c r="AO82" i="5"/>
  <c r="BH82" i="5" s="1"/>
  <c r="AD82" i="5" s="1"/>
  <c r="AX115" i="5"/>
  <c r="AS121" i="5"/>
  <c r="AU126" i="5"/>
  <c r="BJ140" i="5"/>
  <c r="AP147" i="5"/>
  <c r="AX147" i="5" s="1"/>
  <c r="L149" i="5"/>
  <c r="AK149" i="5" s="1"/>
  <c r="BJ157" i="5"/>
  <c r="AO159" i="5"/>
  <c r="AO162" i="5"/>
  <c r="J162" i="5" s="1"/>
  <c r="J165" i="5"/>
  <c r="BJ172" i="5"/>
  <c r="AO178" i="5"/>
  <c r="BJ180" i="5"/>
  <c r="AP191" i="5"/>
  <c r="K191" i="5" s="1"/>
  <c r="BD193" i="5"/>
  <c r="AO196" i="5"/>
  <c r="L214" i="5"/>
  <c r="AK214" i="5" s="1"/>
  <c r="BJ214" i="5"/>
  <c r="Z214" i="5" s="1"/>
  <c r="AP219" i="5"/>
  <c r="AX219" i="5" s="1"/>
  <c r="BD223" i="5"/>
  <c r="AP230" i="5"/>
  <c r="AO239" i="5"/>
  <c r="J239" i="5" s="1"/>
  <c r="AS250" i="5"/>
  <c r="BJ191" i="5"/>
  <c r="BJ198" i="5"/>
  <c r="Z198" i="5" s="1"/>
  <c r="AP228" i="5"/>
  <c r="BI228" i="5" s="1"/>
  <c r="AC228" i="5" s="1"/>
  <c r="AS153" i="5"/>
  <c r="BJ159" i="5"/>
  <c r="BJ162" i="5"/>
  <c r="AO207" i="5"/>
  <c r="AX211" i="5"/>
  <c r="AP236" i="5"/>
  <c r="L175" i="5"/>
  <c r="AX186" i="5"/>
  <c r="BC186" i="5" s="1"/>
  <c r="M221" i="5"/>
  <c r="M220" i="5" s="1"/>
  <c r="BJ228" i="5"/>
  <c r="AP254" i="5"/>
  <c r="K254" i="5" s="1"/>
  <c r="K253" i="5" s="1"/>
  <c r="AU153" i="5"/>
  <c r="AO157" i="5"/>
  <c r="BH157" i="5" s="1"/>
  <c r="AD157" i="5" s="1"/>
  <c r="AO169" i="5"/>
  <c r="AW169" i="5" s="1"/>
  <c r="L177" i="5"/>
  <c r="L178" i="5"/>
  <c r="L198" i="5"/>
  <c r="BJ207" i="5"/>
  <c r="BD216" i="5"/>
  <c r="BJ236" i="5"/>
  <c r="Z236" i="5" s="1"/>
  <c r="BJ254" i="5"/>
  <c r="AU206" i="5"/>
  <c r="BH214" i="5"/>
  <c r="BH16" i="5"/>
  <c r="AD16" i="5" s="1"/>
  <c r="AV23" i="5"/>
  <c r="AK52" i="5"/>
  <c r="M52" i="5"/>
  <c r="AP67" i="5"/>
  <c r="K67" i="5" s="1"/>
  <c r="BD67" i="5"/>
  <c r="AO67" i="5"/>
  <c r="J67" i="5" s="1"/>
  <c r="L14" i="1"/>
  <c r="BJ16" i="5"/>
  <c r="BI17" i="5"/>
  <c r="AE17" i="5" s="1"/>
  <c r="K32" i="5"/>
  <c r="AX72" i="5"/>
  <c r="BI72" i="5"/>
  <c r="AE72" i="5" s="1"/>
  <c r="AK166" i="5"/>
  <c r="M166" i="5"/>
  <c r="BF14" i="5"/>
  <c r="AP26" i="5"/>
  <c r="AX26" i="5" s="1"/>
  <c r="AO26" i="5"/>
  <c r="BD26" i="5"/>
  <c r="BD16" i="5"/>
  <c r="AP16" i="5"/>
  <c r="AX31" i="5"/>
  <c r="BJ44" i="5"/>
  <c r="L44" i="5"/>
  <c r="O44" i="5"/>
  <c r="BF44" i="5" s="1"/>
  <c r="AX50" i="5"/>
  <c r="BI50" i="5"/>
  <c r="AE50" i="5" s="1"/>
  <c r="BH14" i="5"/>
  <c r="AD14" i="5" s="1"/>
  <c r="J14" i="5"/>
  <c r="AX15" i="5"/>
  <c r="O15" i="5"/>
  <c r="BF15" i="5" s="1"/>
  <c r="BJ15" i="5"/>
  <c r="L15" i="5"/>
  <c r="BI15" i="5"/>
  <c r="AE15" i="5" s="1"/>
  <c r="K15" i="5"/>
  <c r="J16" i="5"/>
  <c r="BC25" i="5"/>
  <c r="AP31" i="5"/>
  <c r="AO31" i="5"/>
  <c r="J31" i="5" s="1"/>
  <c r="BD31" i="5"/>
  <c r="M42" i="5"/>
  <c r="AX79" i="5"/>
  <c r="O79" i="5"/>
  <c r="BF79" i="5" s="1"/>
  <c r="BJ79" i="5"/>
  <c r="L79" i="5"/>
  <c r="BI79" i="5"/>
  <c r="AE79" i="5" s="1"/>
  <c r="K79" i="5"/>
  <c r="AK148" i="5"/>
  <c r="L22" i="1"/>
  <c r="J21" i="5"/>
  <c r="J20" i="5" s="1"/>
  <c r="AW100" i="5"/>
  <c r="J100" i="5"/>
  <c r="BH100" i="5"/>
  <c r="AD100" i="5" s="1"/>
  <c r="AK17" i="5"/>
  <c r="M17" i="5"/>
  <c r="BH18" i="5"/>
  <c r="J18" i="5"/>
  <c r="BC29" i="5"/>
  <c r="BJ124" i="5"/>
  <c r="Z124" i="5" s="1"/>
  <c r="L124" i="5"/>
  <c r="BI124" i="5"/>
  <c r="K124" i="5"/>
  <c r="O124" i="5"/>
  <c r="BF124" i="5" s="1"/>
  <c r="AX124" i="5"/>
  <c r="AW62" i="5"/>
  <c r="BJ62" i="5"/>
  <c r="L62" i="5"/>
  <c r="BH62" i="5"/>
  <c r="AD62" i="5" s="1"/>
  <c r="J62" i="5"/>
  <c r="O67" i="5"/>
  <c r="BF67" i="5" s="1"/>
  <c r="BJ67" i="5"/>
  <c r="L67" i="5"/>
  <c r="AW78" i="5"/>
  <c r="BJ78" i="5"/>
  <c r="L78" i="5"/>
  <c r="K78" i="5"/>
  <c r="BH78" i="5"/>
  <c r="AD78" i="5" s="1"/>
  <c r="J78" i="5"/>
  <c r="BI143" i="5"/>
  <c r="AE143" i="5" s="1"/>
  <c r="AO148" i="5"/>
  <c r="BH148" i="5" s="1"/>
  <c r="AD148" i="5" s="1"/>
  <c r="BD148" i="5"/>
  <c r="AP148" i="5"/>
  <c r="K148" i="5" s="1"/>
  <c r="J26" i="5"/>
  <c r="BH26" i="5"/>
  <c r="AD26" i="5" s="1"/>
  <c r="J50" i="5"/>
  <c r="AW54" i="5"/>
  <c r="BJ54" i="5"/>
  <c r="L54" i="5"/>
  <c r="BI54" i="5"/>
  <c r="AE54" i="5" s="1"/>
  <c r="K54" i="5"/>
  <c r="BH54" i="5"/>
  <c r="AD54" i="5" s="1"/>
  <c r="J54" i="5"/>
  <c r="AK58" i="5"/>
  <c r="M58" i="5"/>
  <c r="O62" i="5"/>
  <c r="BF62" i="5" s="1"/>
  <c r="AX63" i="5"/>
  <c r="O63" i="5"/>
  <c r="BF63" i="5" s="1"/>
  <c r="BJ63" i="5"/>
  <c r="L63" i="5"/>
  <c r="BI63" i="5"/>
  <c r="AE63" i="5" s="1"/>
  <c r="K63" i="5"/>
  <c r="J72" i="5"/>
  <c r="AW74" i="5"/>
  <c r="BJ74" i="5"/>
  <c r="L74" i="5"/>
  <c r="BI74" i="5"/>
  <c r="AE74" i="5" s="1"/>
  <c r="K74" i="5"/>
  <c r="BH74" i="5"/>
  <c r="AD74" i="5" s="1"/>
  <c r="J74" i="5"/>
  <c r="O78" i="5"/>
  <c r="BF78" i="5" s="1"/>
  <c r="O88" i="5"/>
  <c r="BJ88" i="5"/>
  <c r="L88" i="5"/>
  <c r="BD89" i="5"/>
  <c r="L89" i="5"/>
  <c r="O93" i="5"/>
  <c r="BF93" i="5" s="1"/>
  <c r="BJ93" i="5"/>
  <c r="L93" i="5"/>
  <c r="BD94" i="5"/>
  <c r="L94" i="5"/>
  <c r="BH108" i="5"/>
  <c r="AD108" i="5" s="1"/>
  <c r="J108" i="5"/>
  <c r="BH113" i="5"/>
  <c r="AD113" i="5" s="1"/>
  <c r="AW113" i="5"/>
  <c r="J113" i="5"/>
  <c r="K118" i="5"/>
  <c r="O118" i="5"/>
  <c r="BF118" i="5" s="1"/>
  <c r="BD139" i="5"/>
  <c r="BJ139" i="5"/>
  <c r="L139" i="5"/>
  <c r="AP139" i="5"/>
  <c r="AO139" i="5"/>
  <c r="BD14" i="5"/>
  <c r="AO15" i="5"/>
  <c r="AW15" i="5" s="1"/>
  <c r="L16" i="5"/>
  <c r="O17" i="5"/>
  <c r="BF17" i="5" s="1"/>
  <c r="AX17" i="5"/>
  <c r="AV17" i="5" s="1"/>
  <c r="BD18" i="5"/>
  <c r="M21" i="5"/>
  <c r="AW21" i="5"/>
  <c r="BF25" i="5"/>
  <c r="AW28" i="5"/>
  <c r="K31" i="5"/>
  <c r="BI31" i="5"/>
  <c r="AE31" i="5" s="1"/>
  <c r="M32" i="5"/>
  <c r="AW32" i="5"/>
  <c r="BH33" i="5"/>
  <c r="AD33" i="5" s="1"/>
  <c r="AP34" i="5"/>
  <c r="AX34" i="5" s="1"/>
  <c r="AO34" i="5"/>
  <c r="AW34" i="5" s="1"/>
  <c r="BD34" i="5"/>
  <c r="AX35" i="5"/>
  <c r="O35" i="5"/>
  <c r="BF35" i="5" s="1"/>
  <c r="AW35" i="5"/>
  <c r="BJ35" i="5"/>
  <c r="L35" i="5"/>
  <c r="BH35" i="5"/>
  <c r="AD35" i="5" s="1"/>
  <c r="J35" i="5"/>
  <c r="AS41" i="5"/>
  <c r="AU41" i="5"/>
  <c r="BI65" i="5"/>
  <c r="AE65" i="5" s="1"/>
  <c r="K85" i="5"/>
  <c r="BI85" i="5"/>
  <c r="AP88" i="5"/>
  <c r="K88" i="5" s="1"/>
  <c r="AO88" i="5"/>
  <c r="J88" i="5" s="1"/>
  <c r="BI89" i="5"/>
  <c r="AE89" i="5" s="1"/>
  <c r="AP93" i="5"/>
  <c r="AX93" i="5" s="1"/>
  <c r="AO93" i="5"/>
  <c r="J93" i="5" s="1"/>
  <c r="BI94" i="5"/>
  <c r="AE94" i="5" s="1"/>
  <c r="AX100" i="5"/>
  <c r="M102" i="5"/>
  <c r="BJ106" i="5"/>
  <c r="O116" i="5"/>
  <c r="BF116" i="5" s="1"/>
  <c r="AW116" i="5"/>
  <c r="BJ116" i="5"/>
  <c r="L116" i="5"/>
  <c r="K116" i="5"/>
  <c r="BH120" i="5"/>
  <c r="AK181" i="5"/>
  <c r="M181" i="5"/>
  <c r="I27" i="4"/>
  <c r="F29" i="4" s="1"/>
  <c r="O21" i="5"/>
  <c r="J25" i="5"/>
  <c r="BH25" i="5"/>
  <c r="AD25" i="5" s="1"/>
  <c r="L26" i="5"/>
  <c r="BJ26" i="5"/>
  <c r="O28" i="5"/>
  <c r="BF28" i="5" s="1"/>
  <c r="J30" i="5"/>
  <c r="BH30" i="5"/>
  <c r="AD30" i="5" s="1"/>
  <c r="L31" i="5"/>
  <c r="BJ31" i="5"/>
  <c r="O32" i="5"/>
  <c r="BF32" i="5" s="1"/>
  <c r="AX32" i="5"/>
  <c r="BI35" i="5"/>
  <c r="AE35" i="5" s="1"/>
  <c r="BJ39" i="5"/>
  <c r="Z39" i="5" s="1"/>
  <c r="L39" i="5"/>
  <c r="AP39" i="5"/>
  <c r="AX39" i="5" s="1"/>
  <c r="AO39" i="5"/>
  <c r="BD39" i="5"/>
  <c r="AX49" i="5"/>
  <c r="O49" i="5"/>
  <c r="BF49" i="5" s="1"/>
  <c r="AW49" i="5"/>
  <c r="BJ49" i="5"/>
  <c r="BI49" i="5"/>
  <c r="AE49" i="5" s="1"/>
  <c r="K49" i="5"/>
  <c r="AK50" i="5"/>
  <c r="M50" i="5"/>
  <c r="O54" i="5"/>
  <c r="BF54" i="5" s="1"/>
  <c r="AX56" i="5"/>
  <c r="O56" i="5"/>
  <c r="BF56" i="5" s="1"/>
  <c r="AW56" i="5"/>
  <c r="BJ56" i="5"/>
  <c r="L56" i="5"/>
  <c r="BH56" i="5"/>
  <c r="AD56" i="5" s="1"/>
  <c r="J68" i="5"/>
  <c r="BJ70" i="5"/>
  <c r="L70" i="5"/>
  <c r="BI70" i="5"/>
  <c r="AE70" i="5" s="1"/>
  <c r="K70" i="5"/>
  <c r="BH70" i="5"/>
  <c r="AD70" i="5" s="1"/>
  <c r="J70" i="5"/>
  <c r="AK72" i="5"/>
  <c r="M72" i="5"/>
  <c r="O74" i="5"/>
  <c r="BF74" i="5" s="1"/>
  <c r="AX75" i="5"/>
  <c r="O75" i="5"/>
  <c r="BF75" i="5" s="1"/>
  <c r="BJ75" i="5"/>
  <c r="L75" i="5"/>
  <c r="BI75" i="5"/>
  <c r="AE75" i="5" s="1"/>
  <c r="K75" i="5"/>
  <c r="AK85" i="5"/>
  <c r="M85" i="5"/>
  <c r="O98" i="5"/>
  <c r="BF98" i="5" s="1"/>
  <c r="BJ98" i="5"/>
  <c r="L98" i="5"/>
  <c r="AW117" i="5"/>
  <c r="L118" i="5"/>
  <c r="BD17" i="5"/>
  <c r="AW26" i="5"/>
  <c r="K30" i="5"/>
  <c r="BI30" i="5"/>
  <c r="AE30" i="5" s="1"/>
  <c r="K33" i="5"/>
  <c r="BC42" i="5"/>
  <c r="BI43" i="5"/>
  <c r="AE43" i="5" s="1"/>
  <c r="K43" i="5"/>
  <c r="J43" i="5"/>
  <c r="AX43" i="5"/>
  <c r="BI60" i="5"/>
  <c r="AE60" i="5" s="1"/>
  <c r="BI77" i="5"/>
  <c r="AE77" i="5" s="1"/>
  <c r="AX78" i="5"/>
  <c r="AW82" i="5"/>
  <c r="BJ82" i="5"/>
  <c r="L82" i="5"/>
  <c r="BI82" i="5"/>
  <c r="AE82" i="5" s="1"/>
  <c r="K82" i="5"/>
  <c r="J82" i="5"/>
  <c r="BH90" i="5"/>
  <c r="AD90" i="5" s="1"/>
  <c r="AP98" i="5"/>
  <c r="K98" i="5" s="1"/>
  <c r="AO98" i="5"/>
  <c r="AW98" i="5" s="1"/>
  <c r="BI100" i="5"/>
  <c r="AE100" i="5" s="1"/>
  <c r="AX112" i="5"/>
  <c r="O112" i="5"/>
  <c r="BF112" i="5" s="1"/>
  <c r="AW112" i="5"/>
  <c r="BJ112" i="5"/>
  <c r="BI112" i="5"/>
  <c r="AE112" i="5" s="1"/>
  <c r="BH112" i="5"/>
  <c r="AD112" i="5" s="1"/>
  <c r="L112" i="5"/>
  <c r="K112" i="5"/>
  <c r="J112" i="5"/>
  <c r="K135" i="5"/>
  <c r="L25" i="5"/>
  <c r="BJ25" i="5"/>
  <c r="O26" i="5"/>
  <c r="BF26" i="5" s="1"/>
  <c r="L30" i="5"/>
  <c r="BJ30" i="5"/>
  <c r="O31" i="5"/>
  <c r="BF31" i="5" s="1"/>
  <c r="AX45" i="5"/>
  <c r="O45" i="5"/>
  <c r="BF45" i="5" s="1"/>
  <c r="AW45" i="5"/>
  <c r="BI45" i="5"/>
  <c r="AE45" i="5" s="1"/>
  <c r="K45" i="5"/>
  <c r="J49" i="5"/>
  <c r="AX62" i="5"/>
  <c r="AW66" i="5"/>
  <c r="BJ66" i="5"/>
  <c r="L66" i="5"/>
  <c r="BI66" i="5"/>
  <c r="AE66" i="5" s="1"/>
  <c r="K66" i="5"/>
  <c r="BH66" i="5"/>
  <c r="AD66" i="5" s="1"/>
  <c r="J66" i="5"/>
  <c r="AK68" i="5"/>
  <c r="AX71" i="5"/>
  <c r="O71" i="5"/>
  <c r="BF71" i="5" s="1"/>
  <c r="AW71" i="5"/>
  <c r="BJ71" i="5"/>
  <c r="L71" i="5"/>
  <c r="BI71" i="5"/>
  <c r="AE71" i="5" s="1"/>
  <c r="K71" i="5"/>
  <c r="BH71" i="5"/>
  <c r="AD71" i="5" s="1"/>
  <c r="AO79" i="5"/>
  <c r="BH79" i="5" s="1"/>
  <c r="AD79" i="5" s="1"/>
  <c r="AX83" i="5"/>
  <c r="O83" i="5"/>
  <c r="BF83" i="5" s="1"/>
  <c r="AW83" i="5"/>
  <c r="BJ83" i="5"/>
  <c r="L83" i="5"/>
  <c r="K83" i="5"/>
  <c r="BJ118" i="5"/>
  <c r="AX127" i="5"/>
  <c r="BI127" i="5"/>
  <c r="AE127" i="5" s="1"/>
  <c r="K127" i="5"/>
  <c r="AO138" i="5"/>
  <c r="AW138" i="5" s="1"/>
  <c r="AP138" i="5"/>
  <c r="K138" i="5" s="1"/>
  <c r="BD138" i="5"/>
  <c r="L14" i="5"/>
  <c r="J17" i="5"/>
  <c r="L18" i="5"/>
  <c r="K23" i="5"/>
  <c r="K20" i="5" s="1"/>
  <c r="K29" i="5"/>
  <c r="M33" i="5"/>
  <c r="AV42" i="5"/>
  <c r="L43" i="5"/>
  <c r="BJ43" i="5"/>
  <c r="M46" i="5"/>
  <c r="O47" i="5"/>
  <c r="BF47" i="5" s="1"/>
  <c r="AW48" i="5"/>
  <c r="BJ48" i="5"/>
  <c r="L48" i="5"/>
  <c r="K48" i="5"/>
  <c r="AX48" i="5"/>
  <c r="L49" i="5"/>
  <c r="BI52" i="5"/>
  <c r="AE52" i="5" s="1"/>
  <c r="AO63" i="5"/>
  <c r="AW63" i="5" s="1"/>
  <c r="K64" i="5"/>
  <c r="BD79" i="5"/>
  <c r="AK80" i="5"/>
  <c r="M80" i="5"/>
  <c r="BI80" i="5"/>
  <c r="AE80" i="5" s="1"/>
  <c r="O82" i="5"/>
  <c r="BF82" i="5" s="1"/>
  <c r="AO89" i="5"/>
  <c r="K90" i="5"/>
  <c r="AO94" i="5"/>
  <c r="AW110" i="5"/>
  <c r="BI110" i="5"/>
  <c r="AE110" i="5" s="1"/>
  <c r="K110" i="5"/>
  <c r="O110" i="5"/>
  <c r="BF110" i="5" s="1"/>
  <c r="L110" i="5"/>
  <c r="BJ110" i="5"/>
  <c r="BI114" i="5"/>
  <c r="AE114" i="5" s="1"/>
  <c r="K114" i="5"/>
  <c r="BH114" i="5"/>
  <c r="AD114" i="5" s="1"/>
  <c r="AX114" i="5"/>
  <c r="O114" i="5"/>
  <c r="BF114" i="5" s="1"/>
  <c r="L114" i="5"/>
  <c r="J117" i="5"/>
  <c r="O148" i="5"/>
  <c r="BF148" i="5" s="1"/>
  <c r="BJ148" i="5"/>
  <c r="L36" i="5"/>
  <c r="BJ36" i="5"/>
  <c r="O37" i="5"/>
  <c r="BF37" i="5" s="1"/>
  <c r="AX37" i="5"/>
  <c r="BJ89" i="5"/>
  <c r="AX90" i="5"/>
  <c r="BC90" i="5" s="1"/>
  <c r="BD92" i="5"/>
  <c r="BJ94" i="5"/>
  <c r="BD96" i="5"/>
  <c r="L100" i="5"/>
  <c r="BJ100" i="5"/>
  <c r="L106" i="5"/>
  <c r="AW120" i="5"/>
  <c r="BJ120" i="5"/>
  <c r="Z120" i="5" s="1"/>
  <c r="L120" i="5"/>
  <c r="BI120" i="5"/>
  <c r="K120" i="5"/>
  <c r="BD120" i="5"/>
  <c r="AX122" i="5"/>
  <c r="O122" i="5"/>
  <c r="AW122" i="5"/>
  <c r="O130" i="5"/>
  <c r="BJ130" i="5"/>
  <c r="L130" i="5"/>
  <c r="AP146" i="5"/>
  <c r="AX146" i="5" s="1"/>
  <c r="AO146" i="5"/>
  <c r="AW146" i="5" s="1"/>
  <c r="BD146" i="5"/>
  <c r="AX163" i="5"/>
  <c r="K163" i="5"/>
  <c r="BJ115" i="5"/>
  <c r="L115" i="5"/>
  <c r="BI115" i="5"/>
  <c r="AE115" i="5" s="1"/>
  <c r="AP130" i="5"/>
  <c r="AX130" i="5" s="1"/>
  <c r="AO130" i="5"/>
  <c r="BH130" i="5" s="1"/>
  <c r="AD130" i="5" s="1"/>
  <c r="BH135" i="5"/>
  <c r="AD135" i="5" s="1"/>
  <c r="AW135" i="5"/>
  <c r="AP195" i="5"/>
  <c r="BI195" i="5" s="1"/>
  <c r="AC195" i="5" s="1"/>
  <c r="BD195" i="5"/>
  <c r="AO195" i="5"/>
  <c r="AW195" i="5" s="1"/>
  <c r="BD33" i="5"/>
  <c r="O36" i="5"/>
  <c r="BF36" i="5" s="1"/>
  <c r="O89" i="5"/>
  <c r="BF89" i="5" s="1"/>
  <c r="BD90" i="5"/>
  <c r="AO92" i="5"/>
  <c r="AW92" i="5" s="1"/>
  <c r="BH92" i="5"/>
  <c r="AD92" i="5" s="1"/>
  <c r="O94" i="5"/>
  <c r="BF94" i="5" s="1"/>
  <c r="AO96" i="5"/>
  <c r="AW96" i="5" s="1"/>
  <c r="O100" i="5"/>
  <c r="BF100" i="5" s="1"/>
  <c r="AW111" i="5"/>
  <c r="BJ111" i="5"/>
  <c r="L111" i="5"/>
  <c r="BI111" i="5"/>
  <c r="AE111" i="5" s="1"/>
  <c r="M117" i="5"/>
  <c r="AK127" i="5"/>
  <c r="AW147" i="5"/>
  <c r="BH147" i="5"/>
  <c r="AD147" i="5" s="1"/>
  <c r="AX159" i="5"/>
  <c r="K159" i="5"/>
  <c r="M162" i="5"/>
  <c r="AW176" i="5"/>
  <c r="BH176" i="5"/>
  <c r="AD176" i="5" s="1"/>
  <c r="AX176" i="5"/>
  <c r="L176" i="5"/>
  <c r="K176" i="5"/>
  <c r="O176" i="5"/>
  <c r="BF176" i="5" s="1"/>
  <c r="BJ176" i="5"/>
  <c r="J176" i="5"/>
  <c r="BI176" i="5"/>
  <c r="AE176" i="5" s="1"/>
  <c r="AO43" i="5"/>
  <c r="AW43" i="5" s="1"/>
  <c r="AO47" i="5"/>
  <c r="AW47" i="5" s="1"/>
  <c r="AO52" i="5"/>
  <c r="AW52" i="5" s="1"/>
  <c r="AO60" i="5"/>
  <c r="AW60" i="5" s="1"/>
  <c r="AO65" i="5"/>
  <c r="AW65" i="5" s="1"/>
  <c r="AO69" i="5"/>
  <c r="AW69" i="5" s="1"/>
  <c r="AO73" i="5"/>
  <c r="AW73" i="5" s="1"/>
  <c r="AO77" i="5"/>
  <c r="AW77" i="5" s="1"/>
  <c r="BH77" i="5"/>
  <c r="AD77" i="5" s="1"/>
  <c r="AO81" i="5"/>
  <c r="AW81" i="5" s="1"/>
  <c r="BH81" i="5"/>
  <c r="AD81" i="5" s="1"/>
  <c r="K92" i="5"/>
  <c r="BI92" i="5"/>
  <c r="AE92" i="5" s="1"/>
  <c r="K96" i="5"/>
  <c r="BI96" i="5"/>
  <c r="AE96" i="5" s="1"/>
  <c r="AP102" i="5"/>
  <c r="AO102" i="5"/>
  <c r="J102" i="5" s="1"/>
  <c r="BJ104" i="5"/>
  <c r="L104" i="5"/>
  <c r="AO104" i="5"/>
  <c r="AW104" i="5" s="1"/>
  <c r="O120" i="5"/>
  <c r="BF120" i="5" s="1"/>
  <c r="K122" i="5"/>
  <c r="AW123" i="5"/>
  <c r="M127" i="5"/>
  <c r="BD135" i="5"/>
  <c r="L135" i="5"/>
  <c r="BD143" i="5"/>
  <c r="BJ143" i="5"/>
  <c r="L143" i="5"/>
  <c r="O144" i="5"/>
  <c r="BF144" i="5" s="1"/>
  <c r="BJ144" i="5"/>
  <c r="BI144" i="5"/>
  <c r="AE144" i="5" s="1"/>
  <c r="L144" i="5"/>
  <c r="BI147" i="5"/>
  <c r="AE147" i="5" s="1"/>
  <c r="K147" i="5"/>
  <c r="AK191" i="5"/>
  <c r="M191" i="5"/>
  <c r="J33" i="5"/>
  <c r="L34" i="5"/>
  <c r="J37" i="5"/>
  <c r="K52" i="5"/>
  <c r="K60" i="5"/>
  <c r="K65" i="5"/>
  <c r="K69" i="5"/>
  <c r="K73" i="5"/>
  <c r="K81" i="5"/>
  <c r="J90" i="5"/>
  <c r="L92" i="5"/>
  <c r="J95" i="5"/>
  <c r="L96" i="5"/>
  <c r="O106" i="5"/>
  <c r="BF106" i="5" s="1"/>
  <c r="BI106" i="5"/>
  <c r="AE106" i="5" s="1"/>
  <c r="O115" i="5"/>
  <c r="BF115" i="5" s="1"/>
  <c r="BH122" i="5"/>
  <c r="AD122" i="5" s="1"/>
  <c r="BD130" i="5"/>
  <c r="BH133" i="5"/>
  <c r="AD133" i="5" s="1"/>
  <c r="J133" i="5"/>
  <c r="AW133" i="5"/>
  <c r="J135" i="5"/>
  <c r="O138" i="5"/>
  <c r="BF138" i="5" s="1"/>
  <c r="BJ138" i="5"/>
  <c r="L138" i="5"/>
  <c r="AO144" i="5"/>
  <c r="AW144" i="5" s="1"/>
  <c r="AP144" i="5"/>
  <c r="K144" i="5" s="1"/>
  <c r="BJ146" i="5"/>
  <c r="M157" i="5"/>
  <c r="L132" i="5"/>
  <c r="BJ132" i="5"/>
  <c r="AX134" i="5"/>
  <c r="O134" i="5"/>
  <c r="BF134" i="5" s="1"/>
  <c r="BH136" i="5"/>
  <c r="AD136" i="5" s="1"/>
  <c r="BJ136" i="5"/>
  <c r="BD137" i="5"/>
  <c r="M235" i="5"/>
  <c r="AK235" i="5"/>
  <c r="AO110" i="5"/>
  <c r="J110" i="5" s="1"/>
  <c r="AO114" i="5"/>
  <c r="J114" i="5" s="1"/>
  <c r="AO118" i="5"/>
  <c r="AW118" i="5" s="1"/>
  <c r="AO124" i="5"/>
  <c r="J124" i="5" s="1"/>
  <c r="AW132" i="5"/>
  <c r="AO134" i="5"/>
  <c r="J134" i="5" s="1"/>
  <c r="BI134" i="5"/>
  <c r="AE134" i="5" s="1"/>
  <c r="BD174" i="5"/>
  <c r="BJ174" i="5"/>
  <c r="L174" i="5"/>
  <c r="AO174" i="5"/>
  <c r="AP174" i="5"/>
  <c r="BJ204" i="5"/>
  <c r="BI204" i="5"/>
  <c r="AE204" i="5" s="1"/>
  <c r="K204" i="5"/>
  <c r="O204" i="5"/>
  <c r="BF204" i="5" s="1"/>
  <c r="L204" i="5"/>
  <c r="J204" i="5"/>
  <c r="AX204" i="5"/>
  <c r="BD127" i="5"/>
  <c r="J128" i="5"/>
  <c r="BH128" i="5"/>
  <c r="AD128" i="5" s="1"/>
  <c r="O132" i="5"/>
  <c r="BF132" i="5" s="1"/>
  <c r="BD133" i="5"/>
  <c r="BJ134" i="5"/>
  <c r="K136" i="5"/>
  <c r="AW136" i="5"/>
  <c r="BJ137" i="5"/>
  <c r="L137" i="5"/>
  <c r="AP140" i="5"/>
  <c r="AX140" i="5" s="1"/>
  <c r="O142" i="5"/>
  <c r="BF142" i="5" s="1"/>
  <c r="AX169" i="5"/>
  <c r="BI169" i="5"/>
  <c r="K169" i="5"/>
  <c r="BH169" i="5"/>
  <c r="O169" i="5"/>
  <c r="BF169" i="5" s="1"/>
  <c r="L169" i="5"/>
  <c r="BJ169" i="5"/>
  <c r="Z169" i="5" s="1"/>
  <c r="AO137" i="5"/>
  <c r="BH140" i="5"/>
  <c r="AD140" i="5" s="1"/>
  <c r="J140" i="5"/>
  <c r="O140" i="5"/>
  <c r="BF140" i="5" s="1"/>
  <c r="AP142" i="5"/>
  <c r="AX142" i="5" s="1"/>
  <c r="AO142" i="5"/>
  <c r="AW142" i="5" s="1"/>
  <c r="O160" i="5"/>
  <c r="BF160" i="5" s="1"/>
  <c r="L160" i="5"/>
  <c r="AW160" i="5"/>
  <c r="J160" i="5"/>
  <c r="BH160" i="5"/>
  <c r="AD160" i="5" s="1"/>
  <c r="O164" i="5"/>
  <c r="BF164" i="5" s="1"/>
  <c r="L164" i="5"/>
  <c r="AW164" i="5"/>
  <c r="J164" i="5"/>
  <c r="BH164" i="5"/>
  <c r="AD164" i="5" s="1"/>
  <c r="AK190" i="5"/>
  <c r="M190" i="5"/>
  <c r="L128" i="5"/>
  <c r="AW140" i="5"/>
  <c r="L142" i="5"/>
  <c r="BJ142" i="5"/>
  <c r="O146" i="5"/>
  <c r="BF146" i="5" s="1"/>
  <c r="BI154" i="5"/>
  <c r="AE154" i="5" s="1"/>
  <c r="K154" i="5"/>
  <c r="O154" i="5"/>
  <c r="AX154" i="5"/>
  <c r="L154" i="5"/>
  <c r="AW154" i="5"/>
  <c r="J154" i="5"/>
  <c r="BH154" i="5"/>
  <c r="AD154" i="5" s="1"/>
  <c r="BI223" i="5"/>
  <c r="AC223" i="5" s="1"/>
  <c r="K223" i="5"/>
  <c r="K222" i="5" s="1"/>
  <c r="AX223" i="5"/>
  <c r="O223" i="5"/>
  <c r="BJ223" i="5"/>
  <c r="L223" i="5"/>
  <c r="AW157" i="5"/>
  <c r="BC166" i="5"/>
  <c r="AK173" i="5"/>
  <c r="AP188" i="5"/>
  <c r="BI188" i="5" s="1"/>
  <c r="AC188" i="5" s="1"/>
  <c r="AO188" i="5"/>
  <c r="AW188" i="5" s="1"/>
  <c r="BD190" i="5"/>
  <c r="AP190" i="5"/>
  <c r="AX190" i="5" s="1"/>
  <c r="BH198" i="5"/>
  <c r="AP202" i="5"/>
  <c r="K202" i="5" s="1"/>
  <c r="AO202" i="5"/>
  <c r="BH202" i="5" s="1"/>
  <c r="AD202" i="5" s="1"/>
  <c r="O213" i="5"/>
  <c r="BF213" i="5" s="1"/>
  <c r="L213" i="5"/>
  <c r="BH213" i="5"/>
  <c r="AD213" i="5" s="1"/>
  <c r="AP235" i="5"/>
  <c r="AX235" i="5" s="1"/>
  <c r="AO235" i="5"/>
  <c r="AW235" i="5" s="1"/>
  <c r="BD235" i="5"/>
  <c r="BJ235" i="5"/>
  <c r="L147" i="5"/>
  <c r="BJ147" i="5"/>
  <c r="AO149" i="5"/>
  <c r="BI155" i="5"/>
  <c r="AE155" i="5" s="1"/>
  <c r="O157" i="5"/>
  <c r="BF157" i="5" s="1"/>
  <c r="BI161" i="5"/>
  <c r="AE161" i="5" s="1"/>
  <c r="O162" i="5"/>
  <c r="BF162" i="5" s="1"/>
  <c r="O166" i="5"/>
  <c r="BF166" i="5" s="1"/>
  <c r="BI172" i="5"/>
  <c r="AE172" i="5" s="1"/>
  <c r="BD185" i="5"/>
  <c r="AO185" i="5"/>
  <c r="BJ185" i="5"/>
  <c r="L185" i="5"/>
  <c r="BD188" i="5"/>
  <c r="AO190" i="5"/>
  <c r="BI191" i="5"/>
  <c r="AC191" i="5" s="1"/>
  <c r="BI216" i="5"/>
  <c r="AE216" i="5" s="1"/>
  <c r="K216" i="5"/>
  <c r="AX216" i="5"/>
  <c r="O216" i="5"/>
  <c r="BJ216" i="5"/>
  <c r="L216" i="5"/>
  <c r="AP149" i="5"/>
  <c r="BJ149" i="5"/>
  <c r="BJ155" i="5"/>
  <c r="BJ161" i="5"/>
  <c r="BJ165" i="5"/>
  <c r="BH166" i="5"/>
  <c r="AD166" i="5" s="1"/>
  <c r="J172" i="5"/>
  <c r="BJ179" i="5"/>
  <c r="O179" i="5"/>
  <c r="BF179" i="5" s="1"/>
  <c r="L179" i="5"/>
  <c r="AK182" i="5"/>
  <c r="M182" i="5"/>
  <c r="BJ213" i="5"/>
  <c r="BI230" i="5"/>
  <c r="AC230" i="5" s="1"/>
  <c r="K230" i="5"/>
  <c r="BH230" i="5"/>
  <c r="AB230" i="5" s="1"/>
  <c r="J230" i="5"/>
  <c r="AX230" i="5"/>
  <c r="O230" i="5"/>
  <c r="BF230" i="5" s="1"/>
  <c r="BJ230" i="5"/>
  <c r="AW230" i="5"/>
  <c r="AP179" i="5"/>
  <c r="AX179" i="5" s="1"/>
  <c r="AO179" i="5"/>
  <c r="J179" i="5" s="1"/>
  <c r="BD179" i="5"/>
  <c r="BJ190" i="5"/>
  <c r="BI196" i="5"/>
  <c r="AC196" i="5" s="1"/>
  <c r="K196" i="5"/>
  <c r="O205" i="5"/>
  <c r="BF205" i="5" s="1"/>
  <c r="L205" i="5"/>
  <c r="BJ205" i="5"/>
  <c r="Z205" i="5" s="1"/>
  <c r="BI209" i="5"/>
  <c r="AE209" i="5" s="1"/>
  <c r="K209" i="5"/>
  <c r="O209" i="5"/>
  <c r="BJ209" i="5"/>
  <c r="AX209" i="5"/>
  <c r="L209" i="5"/>
  <c r="BH151" i="5"/>
  <c r="J151" i="5"/>
  <c r="BI157" i="5"/>
  <c r="AE157" i="5" s="1"/>
  <c r="K157" i="5"/>
  <c r="BI162" i="5"/>
  <c r="AE162" i="5" s="1"/>
  <c r="K162" i="5"/>
  <c r="BI166" i="5"/>
  <c r="AE166" i="5" s="1"/>
  <c r="K166" i="5"/>
  <c r="AK167" i="5"/>
  <c r="BF172" i="5"/>
  <c r="O173" i="5"/>
  <c r="BF173" i="5" s="1"/>
  <c r="BJ173" i="5"/>
  <c r="BI175" i="5"/>
  <c r="AE175" i="5" s="1"/>
  <c r="BJ175" i="5"/>
  <c r="O175" i="5"/>
  <c r="BF175" i="5" s="1"/>
  <c r="AX175" i="5"/>
  <c r="AW180" i="5"/>
  <c r="BH180" i="5"/>
  <c r="AD180" i="5" s="1"/>
  <c r="AX180" i="5"/>
  <c r="L180" i="5"/>
  <c r="K180" i="5"/>
  <c r="AP185" i="5"/>
  <c r="BH196" i="5"/>
  <c r="AB196" i="5" s="1"/>
  <c r="BI198" i="5"/>
  <c r="AX198" i="5"/>
  <c r="K198" i="5"/>
  <c r="BD205" i="5"/>
  <c r="AP205" i="5"/>
  <c r="K205" i="5" s="1"/>
  <c r="AO205" i="5"/>
  <c r="BH205" i="5" s="1"/>
  <c r="L230" i="5"/>
  <c r="BI238" i="5"/>
  <c r="K238" i="5"/>
  <c r="BH238" i="5"/>
  <c r="J238" i="5"/>
  <c r="AX238" i="5"/>
  <c r="O238" i="5"/>
  <c r="BF238" i="5" s="1"/>
  <c r="BJ238" i="5"/>
  <c r="Z238" i="5" s="1"/>
  <c r="L238" i="5"/>
  <c r="AW238" i="5"/>
  <c r="L141" i="5"/>
  <c r="L145" i="5"/>
  <c r="M149" i="5"/>
  <c r="AP151" i="5"/>
  <c r="AX151" i="5" s="1"/>
  <c r="BC151" i="5" s="1"/>
  <c r="BJ151" i="5"/>
  <c r="Z151" i="5" s="1"/>
  <c r="L155" i="5"/>
  <c r="AX155" i="5"/>
  <c r="AW159" i="5"/>
  <c r="BI159" i="5"/>
  <c r="AE159" i="5" s="1"/>
  <c r="L161" i="5"/>
  <c r="AW163" i="5"/>
  <c r="BI163" i="5"/>
  <c r="AE163" i="5" s="1"/>
  <c r="L165" i="5"/>
  <c r="AV166" i="5"/>
  <c r="AW167" i="5"/>
  <c r="AP173" i="5"/>
  <c r="AX173" i="5" s="1"/>
  <c r="AO173" i="5"/>
  <c r="J173" i="5" s="1"/>
  <c r="BI180" i="5"/>
  <c r="AE180" i="5" s="1"/>
  <c r="BJ187" i="5"/>
  <c r="L187" i="5"/>
  <c r="BI187" i="5"/>
  <c r="AC187" i="5" s="1"/>
  <c r="K187" i="5"/>
  <c r="AX187" i="5"/>
  <c r="AW187" i="5"/>
  <c r="O188" i="5"/>
  <c r="BF188" i="5" s="1"/>
  <c r="BJ188" i="5"/>
  <c r="L188" i="5"/>
  <c r="O202" i="5"/>
  <c r="AW202" i="5"/>
  <c r="BJ202" i="5"/>
  <c r="L202" i="5"/>
  <c r="J202" i="5"/>
  <c r="AK203" i="5"/>
  <c r="M203" i="5"/>
  <c r="BH239" i="5"/>
  <c r="BD172" i="5"/>
  <c r="BD175" i="5"/>
  <c r="AX196" i="5"/>
  <c r="BJ200" i="5"/>
  <c r="L200" i="5"/>
  <c r="BI200" i="5"/>
  <c r="AE200" i="5" s="1"/>
  <c r="K200" i="5"/>
  <c r="K199" i="5" s="1"/>
  <c r="AO203" i="5"/>
  <c r="BH228" i="5"/>
  <c r="AB228" i="5" s="1"/>
  <c r="AP203" i="5"/>
  <c r="K203" i="5" s="1"/>
  <c r="AX207" i="5"/>
  <c r="J217" i="5"/>
  <c r="BH217" i="5"/>
  <c r="AD217" i="5" s="1"/>
  <c r="O244" i="5"/>
  <c r="BF244" i="5" s="1"/>
  <c r="BJ244" i="5"/>
  <c r="Z244" i="5" s="1"/>
  <c r="L244" i="5"/>
  <c r="AW244" i="5"/>
  <c r="AU184" i="5"/>
  <c r="O199" i="5"/>
  <c r="BF200" i="5"/>
  <c r="AW207" i="5"/>
  <c r="AX251" i="5"/>
  <c r="O251" i="5"/>
  <c r="BO251" i="5"/>
  <c r="AW251" i="5"/>
  <c r="BJ251" i="5"/>
  <c r="L251" i="5"/>
  <c r="BH251" i="5"/>
  <c r="J251" i="5"/>
  <c r="K251" i="5"/>
  <c r="BI251" i="5"/>
  <c r="L172" i="5"/>
  <c r="AO175" i="5"/>
  <c r="BH175" i="5" s="1"/>
  <c r="AD175" i="5" s="1"/>
  <c r="BI178" i="5"/>
  <c r="AE178" i="5" s="1"/>
  <c r="K178" i="5"/>
  <c r="BH182" i="5"/>
  <c r="BJ193" i="5"/>
  <c r="Z193" i="5" s="1"/>
  <c r="L193" i="5"/>
  <c r="BI193" i="5"/>
  <c r="K193" i="5"/>
  <c r="AX193" i="5"/>
  <c r="O195" i="5"/>
  <c r="BJ195" i="5"/>
  <c r="L195" i="5"/>
  <c r="K195" i="5"/>
  <c r="L196" i="5"/>
  <c r="BJ196" i="5"/>
  <c r="BJ203" i="5"/>
  <c r="AK207" i="5"/>
  <c r="M207" i="5"/>
  <c r="AP225" i="5"/>
  <c r="AX225" i="5" s="1"/>
  <c r="BD225" i="5"/>
  <c r="AU234" i="5"/>
  <c r="AP213" i="5"/>
  <c r="K213" i="5" s="1"/>
  <c r="AW217" i="5"/>
  <c r="O219" i="5"/>
  <c r="AW219" i="5"/>
  <c r="BH219" i="5"/>
  <c r="AD219" i="5" s="1"/>
  <c r="J219" i="5"/>
  <c r="J218" i="5" s="1"/>
  <c r="BF221" i="5"/>
  <c r="O220" i="5"/>
  <c r="AX227" i="5"/>
  <c r="O227" i="5"/>
  <c r="BF227" i="5" s="1"/>
  <c r="AW232" i="5"/>
  <c r="AW239" i="5"/>
  <c r="O185" i="5"/>
  <c r="BD186" i="5"/>
  <c r="AO187" i="5"/>
  <c r="BH187" i="5" s="1"/>
  <c r="AB187" i="5" s="1"/>
  <c r="O190" i="5"/>
  <c r="BF190" i="5" s="1"/>
  <c r="BD191" i="5"/>
  <c r="AO193" i="5"/>
  <c r="AW193" i="5" s="1"/>
  <c r="O196" i="5"/>
  <c r="BF196" i="5" s="1"/>
  <c r="BD198" i="5"/>
  <c r="AO200" i="5"/>
  <c r="AW200" i="5" s="1"/>
  <c r="O203" i="5"/>
  <c r="BF203" i="5" s="1"/>
  <c r="AP217" i="5"/>
  <c r="AX217" i="5" s="1"/>
  <c r="BD217" i="5"/>
  <c r="BD227" i="5"/>
  <c r="AP232" i="5"/>
  <c r="AX232" i="5" s="1"/>
  <c r="BD232" i="5"/>
  <c r="AX243" i="5"/>
  <c r="BD204" i="5"/>
  <c r="BJ211" i="5"/>
  <c r="L211" i="5"/>
  <c r="BI211" i="5"/>
  <c r="AE211" i="5" s="1"/>
  <c r="K211" i="5"/>
  <c r="J214" i="5"/>
  <c r="K219" i="5"/>
  <c r="K218" i="5" s="1"/>
  <c r="BI219" i="5"/>
  <c r="AE219" i="5" s="1"/>
  <c r="AO225" i="5"/>
  <c r="AP241" i="5"/>
  <c r="AX241" i="5" s="1"/>
  <c r="AO241" i="5"/>
  <c r="AW241" i="5" s="1"/>
  <c r="BD241" i="5"/>
  <c r="BI243" i="5"/>
  <c r="AX252" i="5"/>
  <c r="J186" i="5"/>
  <c r="J191" i="5"/>
  <c r="J198" i="5"/>
  <c r="BD211" i="5"/>
  <c r="L219" i="5"/>
  <c r="BJ219" i="5"/>
  <c r="L227" i="5"/>
  <c r="BI227" i="5"/>
  <c r="AC227" i="5" s="1"/>
  <c r="L241" i="5"/>
  <c r="AP252" i="5"/>
  <c r="AO252" i="5"/>
  <c r="AW252" i="5" s="1"/>
  <c r="BD252" i="5"/>
  <c r="O232" i="5"/>
  <c r="BF232" i="5" s="1"/>
  <c r="AO236" i="5"/>
  <c r="O239" i="5"/>
  <c r="BF239" i="5" s="1"/>
  <c r="AX239" i="5"/>
  <c r="AO243" i="5"/>
  <c r="O245" i="5"/>
  <c r="BF245" i="5" s="1"/>
  <c r="AX245" i="5"/>
  <c r="BC245" i="5" s="1"/>
  <c r="O249" i="5"/>
  <c r="AX249" i="5"/>
  <c r="L253" i="5"/>
  <c r="AO254" i="5"/>
  <c r="BH254" i="5" s="1"/>
  <c r="BD239" i="5"/>
  <c r="BD245" i="5"/>
  <c r="BD249" i="5"/>
  <c r="BJ252" i="5"/>
  <c r="M254" i="5"/>
  <c r="M253" i="5" s="1"/>
  <c r="BS254" i="5"/>
  <c r="F41" i="4" s="1"/>
  <c r="I41" i="4" s="1"/>
  <c r="BI217" i="5"/>
  <c r="AE217" i="5" s="1"/>
  <c r="K239" i="5"/>
  <c r="BI239" i="5"/>
  <c r="K245" i="5"/>
  <c r="BI245" i="5"/>
  <c r="K249" i="5"/>
  <c r="K248" i="5" s="1"/>
  <c r="BI249" i="5"/>
  <c r="BO252" i="5"/>
  <c r="O254" i="5"/>
  <c r="AO209" i="5"/>
  <c r="J209" i="5" s="1"/>
  <c r="AO216" i="5"/>
  <c r="BH216" i="5" s="1"/>
  <c r="AD216" i="5" s="1"/>
  <c r="L217" i="5"/>
  <c r="BJ217" i="5"/>
  <c r="AO223" i="5"/>
  <c r="BH223" i="5" s="1"/>
  <c r="AB223" i="5" s="1"/>
  <c r="L225" i="5"/>
  <c r="BJ225" i="5"/>
  <c r="L232" i="5"/>
  <c r="BJ232" i="5"/>
  <c r="O235" i="5"/>
  <c r="L239" i="5"/>
  <c r="BJ239" i="5"/>
  <c r="Z239" i="5" s="1"/>
  <c r="O241" i="5"/>
  <c r="BF241" i="5" s="1"/>
  <c r="L245" i="5"/>
  <c r="BJ245" i="5"/>
  <c r="Z245" i="5" s="1"/>
  <c r="L249" i="5"/>
  <c r="BJ249" i="5"/>
  <c r="O252" i="5"/>
  <c r="BF252" i="5" s="1"/>
  <c r="BC50" i="5" l="1"/>
  <c r="K217" i="5"/>
  <c r="AX195" i="5"/>
  <c r="BI207" i="5"/>
  <c r="AE207" i="5" s="1"/>
  <c r="AX191" i="5"/>
  <c r="J121" i="5"/>
  <c r="M140" i="5"/>
  <c r="BH96" i="5"/>
  <c r="AD96" i="5" s="1"/>
  <c r="BI73" i="5"/>
  <c r="AE73" i="5" s="1"/>
  <c r="M28" i="5"/>
  <c r="J44" i="5"/>
  <c r="BI14" i="5"/>
  <c r="AE14" i="5" s="1"/>
  <c r="J157" i="5"/>
  <c r="AX33" i="5"/>
  <c r="BC33" i="5" s="1"/>
  <c r="BH143" i="5"/>
  <c r="AD143" i="5" s="1"/>
  <c r="AX118" i="5"/>
  <c r="BH106" i="5"/>
  <c r="AD106" i="5" s="1"/>
  <c r="M228" i="5"/>
  <c r="K18" i="5"/>
  <c r="AX160" i="5"/>
  <c r="BI98" i="5"/>
  <c r="AE98" i="5" s="1"/>
  <c r="K56" i="5"/>
  <c r="AW143" i="5"/>
  <c r="AK252" i="5"/>
  <c r="AW249" i="5"/>
  <c r="BI254" i="5"/>
  <c r="AV186" i="5"/>
  <c r="J111" i="5"/>
  <c r="K77" i="5"/>
  <c r="AW106" i="5"/>
  <c r="BI132" i="5"/>
  <c r="AE132" i="5" s="1"/>
  <c r="BH116" i="5"/>
  <c r="AD116" i="5" s="1"/>
  <c r="K47" i="5"/>
  <c r="BC18" i="5"/>
  <c r="AW50" i="5"/>
  <c r="AW134" i="5"/>
  <c r="AX164" i="5"/>
  <c r="K160" i="5"/>
  <c r="BH83" i="5"/>
  <c r="AD83" i="5" s="1"/>
  <c r="K132" i="5"/>
  <c r="BI47" i="5"/>
  <c r="AE47" i="5" s="1"/>
  <c r="AV95" i="5"/>
  <c r="J249" i="5"/>
  <c r="J248" i="5" s="1"/>
  <c r="K37" i="5"/>
  <c r="AV14" i="5"/>
  <c r="BC14" i="5"/>
  <c r="AX165" i="5"/>
  <c r="J175" i="5"/>
  <c r="AW162" i="5"/>
  <c r="J223" i="5"/>
  <c r="J222" i="5" s="1"/>
  <c r="BH138" i="5"/>
  <c r="AD138" i="5" s="1"/>
  <c r="K111" i="5"/>
  <c r="K104" i="5"/>
  <c r="AK64" i="5"/>
  <c r="M45" i="5"/>
  <c r="L36" i="1"/>
  <c r="L35" i="1" s="1"/>
  <c r="J221" i="5"/>
  <c r="J220" i="5" s="1"/>
  <c r="BH221" i="5"/>
  <c r="AB221" i="5" s="1"/>
  <c r="BH132" i="5"/>
  <c r="AD132" i="5" s="1"/>
  <c r="BC80" i="5"/>
  <c r="AK76" i="5"/>
  <c r="K62" i="5"/>
  <c r="AV198" i="5"/>
  <c r="M146" i="5"/>
  <c r="AW130" i="5"/>
  <c r="BC130" i="5" s="1"/>
  <c r="AW75" i="5"/>
  <c r="BC75" i="5" s="1"/>
  <c r="BH88" i="5"/>
  <c r="AD88" i="5" s="1"/>
  <c r="BH44" i="5"/>
  <c r="AD44" i="5" s="1"/>
  <c r="BI232" i="5"/>
  <c r="AC232" i="5" s="1"/>
  <c r="J227" i="5"/>
  <c r="J213" i="5"/>
  <c r="K146" i="5"/>
  <c r="K164" i="5"/>
  <c r="AW181" i="5"/>
  <c r="K232" i="5"/>
  <c r="BH227" i="5"/>
  <c r="AB227" i="5" s="1"/>
  <c r="AW223" i="5"/>
  <c r="BI146" i="5"/>
  <c r="AE146" i="5" s="1"/>
  <c r="J181" i="5"/>
  <c r="BH134" i="5"/>
  <c r="AD134" i="5" s="1"/>
  <c r="AX106" i="5"/>
  <c r="BC106" i="5" s="1"/>
  <c r="AW115" i="5"/>
  <c r="BC115" i="5" s="1"/>
  <c r="BI225" i="5"/>
  <c r="AC225" i="5" s="1"/>
  <c r="J244" i="5"/>
  <c r="J228" i="5"/>
  <c r="J187" i="5"/>
  <c r="BI167" i="5"/>
  <c r="AE167" i="5" s="1"/>
  <c r="AW179" i="5"/>
  <c r="BH115" i="5"/>
  <c r="AD115" i="5" s="1"/>
  <c r="BH73" i="5"/>
  <c r="AD73" i="5" s="1"/>
  <c r="AX98" i="5"/>
  <c r="BC98" i="5" s="1"/>
  <c r="BH31" i="5"/>
  <c r="AD31" i="5" s="1"/>
  <c r="AW67" i="5"/>
  <c r="BI44" i="5"/>
  <c r="AE44" i="5" s="1"/>
  <c r="AX214" i="5"/>
  <c r="BI214" i="5"/>
  <c r="J123" i="5"/>
  <c r="BI186" i="5"/>
  <c r="AC186" i="5" s="1"/>
  <c r="K186" i="5"/>
  <c r="AK133" i="5"/>
  <c r="M133" i="5"/>
  <c r="K228" i="5"/>
  <c r="AX228" i="5"/>
  <c r="BC228" i="5" s="1"/>
  <c r="K182" i="5"/>
  <c r="BI205" i="5"/>
  <c r="BI165" i="5"/>
  <c r="AE165" i="5" s="1"/>
  <c r="J169" i="5"/>
  <c r="AW127" i="5"/>
  <c r="K167" i="5"/>
  <c r="M73" i="5"/>
  <c r="AV128" i="5"/>
  <c r="M159" i="5"/>
  <c r="AK159" i="5"/>
  <c r="BH34" i="5"/>
  <c r="AD34" i="5" s="1"/>
  <c r="J138" i="5"/>
  <c r="M113" i="5"/>
  <c r="J73" i="5"/>
  <c r="J34" i="5"/>
  <c r="BH127" i="5"/>
  <c r="AD127" i="5" s="1"/>
  <c r="AW148" i="5"/>
  <c r="AX104" i="5"/>
  <c r="BC104" i="5" s="1"/>
  <c r="AW88" i="5"/>
  <c r="BC72" i="5"/>
  <c r="AW165" i="5"/>
  <c r="BC85" i="5"/>
  <c r="AV85" i="5"/>
  <c r="BH193" i="5"/>
  <c r="K201" i="5"/>
  <c r="BH142" i="5"/>
  <c r="AD142" i="5" s="1"/>
  <c r="J65" i="5"/>
  <c r="K244" i="5"/>
  <c r="AW216" i="5"/>
  <c r="J96" i="5"/>
  <c r="BI67" i="5"/>
  <c r="AE67" i="5" s="1"/>
  <c r="L12" i="1"/>
  <c r="L11" i="1" s="1"/>
  <c r="AK236" i="5"/>
  <c r="M236" i="5"/>
  <c r="K181" i="5"/>
  <c r="BI181" i="5"/>
  <c r="AE181" i="5" s="1"/>
  <c r="AX181" i="5"/>
  <c r="AW64" i="5"/>
  <c r="J64" i="5"/>
  <c r="AW177" i="5"/>
  <c r="J177" i="5"/>
  <c r="AK65" i="5"/>
  <c r="M65" i="5"/>
  <c r="AV25" i="5"/>
  <c r="F37" i="4"/>
  <c r="I37" i="4" s="1"/>
  <c r="I45" i="4" s="1"/>
  <c r="BI244" i="5"/>
  <c r="BH177" i="5"/>
  <c r="AD177" i="5" s="1"/>
  <c r="AW209" i="5"/>
  <c r="J205" i="5"/>
  <c r="BH179" i="5"/>
  <c r="AD179" i="5" s="1"/>
  <c r="K172" i="5"/>
  <c r="BH110" i="5"/>
  <c r="AD110" i="5" s="1"/>
  <c r="AX116" i="5"/>
  <c r="AV116" i="5" s="1"/>
  <c r="BH207" i="5"/>
  <c r="AD207" i="5" s="1"/>
  <c r="J207" i="5"/>
  <c r="AW196" i="5"/>
  <c r="AV196" i="5" s="1"/>
  <c r="J196" i="5"/>
  <c r="BH159" i="5"/>
  <c r="AD159" i="5" s="1"/>
  <c r="J159" i="5"/>
  <c r="AX64" i="5"/>
  <c r="BI64" i="5"/>
  <c r="AE64" i="5" s="1"/>
  <c r="J161" i="5"/>
  <c r="BH161" i="5"/>
  <c r="AD161" i="5" s="1"/>
  <c r="AX177" i="5"/>
  <c r="K177" i="5"/>
  <c r="BI177" i="5"/>
  <c r="AE177" i="5" s="1"/>
  <c r="BC76" i="5"/>
  <c r="AV76" i="5"/>
  <c r="L51" i="1"/>
  <c r="L50" i="1" s="1"/>
  <c r="BH76" i="5"/>
  <c r="AD76" i="5" s="1"/>
  <c r="J76" i="5"/>
  <c r="BI141" i="5"/>
  <c r="AE141" i="5" s="1"/>
  <c r="K141" i="5"/>
  <c r="AX141" i="5"/>
  <c r="AV141" i="5" s="1"/>
  <c r="AK47" i="5"/>
  <c r="M47" i="5"/>
  <c r="AK69" i="5"/>
  <c r="M69" i="5"/>
  <c r="AK37" i="5"/>
  <c r="M37" i="5"/>
  <c r="BH45" i="5"/>
  <c r="AD45" i="5" s="1"/>
  <c r="J45" i="5"/>
  <c r="AW254" i="5"/>
  <c r="AX254" i="5"/>
  <c r="BI145" i="5"/>
  <c r="AE145" i="5" s="1"/>
  <c r="K145" i="5"/>
  <c r="AX145" i="5"/>
  <c r="AK60" i="5"/>
  <c r="M60" i="5"/>
  <c r="BH46" i="5"/>
  <c r="AD46" i="5" s="1"/>
  <c r="J46" i="5"/>
  <c r="L20" i="5"/>
  <c r="AV30" i="5"/>
  <c r="BC30" i="5"/>
  <c r="AK198" i="5"/>
  <c r="M198" i="5"/>
  <c r="J211" i="5"/>
  <c r="BH211" i="5"/>
  <c r="AD211" i="5" s="1"/>
  <c r="K46" i="5"/>
  <c r="BI46" i="5"/>
  <c r="AE46" i="5" s="1"/>
  <c r="AX46" i="5"/>
  <c r="AT20" i="5"/>
  <c r="BI36" i="5"/>
  <c r="AE36" i="5" s="1"/>
  <c r="K36" i="5"/>
  <c r="BI221" i="5"/>
  <c r="AC221" i="5" s="1"/>
  <c r="K221" i="5"/>
  <c r="K220" i="5" s="1"/>
  <c r="AX221" i="5"/>
  <c r="J155" i="5"/>
  <c r="BH155" i="5"/>
  <c r="AD155" i="5" s="1"/>
  <c r="J85" i="5"/>
  <c r="BH85" i="5"/>
  <c r="AX161" i="5"/>
  <c r="AV161" i="5" s="1"/>
  <c r="J216" i="5"/>
  <c r="K41" i="5"/>
  <c r="K40" i="5" s="1"/>
  <c r="BH43" i="5"/>
  <c r="AD43" i="5" s="1"/>
  <c r="AV72" i="5"/>
  <c r="K206" i="5"/>
  <c r="M214" i="5"/>
  <c r="J69" i="5"/>
  <c r="BC198" i="5"/>
  <c r="J92" i="5"/>
  <c r="BI25" i="5"/>
  <c r="AE25" i="5" s="1"/>
  <c r="AX143" i="5"/>
  <c r="AV143" i="5" s="1"/>
  <c r="AV245" i="5"/>
  <c r="BI182" i="5"/>
  <c r="K188" i="5"/>
  <c r="BH209" i="5"/>
  <c r="AD209" i="5" s="1"/>
  <c r="AX205" i="5"/>
  <c r="K179" i="5"/>
  <c r="J146" i="5"/>
  <c r="BH204" i="5"/>
  <c r="AD204" i="5" s="1"/>
  <c r="J144" i="5"/>
  <c r="K121" i="5"/>
  <c r="J81" i="5"/>
  <c r="BH65" i="5"/>
  <c r="AD65" i="5" s="1"/>
  <c r="J148" i="5"/>
  <c r="AW114" i="5"/>
  <c r="AV114" i="5" s="1"/>
  <c r="M81" i="5"/>
  <c r="K25" i="5"/>
  <c r="BH75" i="5"/>
  <c r="AD75" i="5" s="1"/>
  <c r="AX67" i="5"/>
  <c r="M23" i="5"/>
  <c r="M20" i="5" s="1"/>
  <c r="K44" i="5"/>
  <c r="M178" i="5"/>
  <c r="AK178" i="5"/>
  <c r="J178" i="5"/>
  <c r="BH178" i="5"/>
  <c r="AD178" i="5" s="1"/>
  <c r="AW178" i="5"/>
  <c r="M136" i="5"/>
  <c r="AK136" i="5"/>
  <c r="AW155" i="5"/>
  <c r="AV155" i="5" s="1"/>
  <c r="BH145" i="5"/>
  <c r="AD145" i="5" s="1"/>
  <c r="AW145" i="5"/>
  <c r="J145" i="5"/>
  <c r="K95" i="5"/>
  <c r="BI95" i="5"/>
  <c r="AE95" i="5" s="1"/>
  <c r="BH162" i="5"/>
  <c r="AD162" i="5" s="1"/>
  <c r="BH167" i="5"/>
  <c r="AD167" i="5" s="1"/>
  <c r="J167" i="5"/>
  <c r="AK77" i="5"/>
  <c r="M77" i="5"/>
  <c r="AX68" i="5"/>
  <c r="AV68" i="5" s="1"/>
  <c r="BI68" i="5"/>
  <c r="AE68" i="5" s="1"/>
  <c r="K68" i="5"/>
  <c r="M108" i="5"/>
  <c r="BI26" i="5"/>
  <c r="AE26" i="5" s="1"/>
  <c r="BH93" i="5"/>
  <c r="AD93" i="5" s="1"/>
  <c r="AK177" i="5"/>
  <c r="M177" i="5"/>
  <c r="AK175" i="5"/>
  <c r="M175" i="5"/>
  <c r="AK95" i="5"/>
  <c r="M95" i="5"/>
  <c r="M163" i="5"/>
  <c r="AK163" i="5"/>
  <c r="J58" i="5"/>
  <c r="BH58" i="5"/>
  <c r="AD58" i="5" s="1"/>
  <c r="AX36" i="5"/>
  <c r="BI113" i="5"/>
  <c r="AE113" i="5" s="1"/>
  <c r="AX113" i="5"/>
  <c r="K113" i="5"/>
  <c r="K26" i="5"/>
  <c r="AX236" i="5"/>
  <c r="K236" i="5"/>
  <c r="BI236" i="5"/>
  <c r="AK186" i="5"/>
  <c r="M186" i="5"/>
  <c r="BH172" i="5"/>
  <c r="AD172" i="5" s="1"/>
  <c r="AW172" i="5"/>
  <c r="BH163" i="5"/>
  <c r="AD163" i="5" s="1"/>
  <c r="J163" i="5"/>
  <c r="AX58" i="5"/>
  <c r="BC58" i="5" s="1"/>
  <c r="BI58" i="5"/>
  <c r="AE58" i="5" s="1"/>
  <c r="K58" i="5"/>
  <c r="BI69" i="5"/>
  <c r="AE69" i="5" s="1"/>
  <c r="BH48" i="5"/>
  <c r="AD48" i="5" s="1"/>
  <c r="J48" i="5"/>
  <c r="AW182" i="5"/>
  <c r="J182" i="5"/>
  <c r="BC118" i="5"/>
  <c r="AV118" i="5"/>
  <c r="AV15" i="5"/>
  <c r="BC15" i="5"/>
  <c r="BC63" i="5"/>
  <c r="AV63" i="5"/>
  <c r="AV98" i="5"/>
  <c r="BC146" i="5"/>
  <c r="AV146" i="5"/>
  <c r="K87" i="5"/>
  <c r="AV249" i="5"/>
  <c r="BC249" i="5"/>
  <c r="BC163" i="5"/>
  <c r="AV163" i="5"/>
  <c r="BC133" i="5"/>
  <c r="AV133" i="5"/>
  <c r="M225" i="5"/>
  <c r="AK225" i="5"/>
  <c r="L224" i="5"/>
  <c r="BC235" i="5"/>
  <c r="AV235" i="5"/>
  <c r="M241" i="5"/>
  <c r="AK241" i="5"/>
  <c r="BH225" i="5"/>
  <c r="AB225" i="5" s="1"/>
  <c r="J225" i="5"/>
  <c r="J224" i="5" s="1"/>
  <c r="L199" i="5"/>
  <c r="AK200" i="5"/>
  <c r="AT199" i="5" s="1"/>
  <c r="M200" i="5"/>
  <c r="M199" i="5" s="1"/>
  <c r="AV165" i="5"/>
  <c r="BC165" i="5"/>
  <c r="AK238" i="5"/>
  <c r="M238" i="5"/>
  <c r="AV223" i="5"/>
  <c r="BC223" i="5"/>
  <c r="BC169" i="5"/>
  <c r="AV169" i="5"/>
  <c r="L234" i="5"/>
  <c r="BC123" i="5"/>
  <c r="AV123" i="5"/>
  <c r="BI34" i="5"/>
  <c r="AE34" i="5" s="1"/>
  <c r="BC135" i="5"/>
  <c r="AV135" i="5"/>
  <c r="AV66" i="5"/>
  <c r="BC66" i="5"/>
  <c r="BC112" i="5"/>
  <c r="AV112" i="5"/>
  <c r="J63" i="5"/>
  <c r="M26" i="5"/>
  <c r="AK26" i="5"/>
  <c r="BC116" i="5"/>
  <c r="AK89" i="5"/>
  <c r="M89" i="5"/>
  <c r="J254" i="5"/>
  <c r="J253" i="5" s="1"/>
  <c r="BC227" i="5"/>
  <c r="AV227" i="5"/>
  <c r="BC219" i="5"/>
  <c r="AV219" i="5"/>
  <c r="K194" i="5"/>
  <c r="J193" i="5"/>
  <c r="BC207" i="5"/>
  <c r="AV207" i="5"/>
  <c r="BC244" i="5"/>
  <c r="AV244" i="5"/>
  <c r="O201" i="5"/>
  <c r="BF202" i="5"/>
  <c r="AX188" i="5"/>
  <c r="M165" i="5"/>
  <c r="AK165" i="5"/>
  <c r="M155" i="5"/>
  <c r="AK155" i="5"/>
  <c r="K173" i="5"/>
  <c r="AW205" i="5"/>
  <c r="M179" i="5"/>
  <c r="AK179" i="5"/>
  <c r="BF216" i="5"/>
  <c r="O215" i="5"/>
  <c r="BI213" i="5"/>
  <c r="AE213" i="5" s="1"/>
  <c r="BH185" i="5"/>
  <c r="AB185" i="5" s="1"/>
  <c r="J185" i="5"/>
  <c r="AW185" i="5"/>
  <c r="BI235" i="5"/>
  <c r="AC235" i="5" s="1"/>
  <c r="K235" i="5"/>
  <c r="AX213" i="5"/>
  <c r="BC213" i="5" s="1"/>
  <c r="BF154" i="5"/>
  <c r="O153" i="5"/>
  <c r="M169" i="5"/>
  <c r="AK169" i="5"/>
  <c r="K142" i="5"/>
  <c r="BC136" i="5"/>
  <c r="AV136" i="5"/>
  <c r="AX138" i="5"/>
  <c r="BC138" i="5" s="1"/>
  <c r="BH144" i="5"/>
  <c r="AD144" i="5" s="1"/>
  <c r="BC81" i="5"/>
  <c r="AV81" i="5"/>
  <c r="BH69" i="5"/>
  <c r="AD69" i="5" s="1"/>
  <c r="J60" i="5"/>
  <c r="K34" i="5"/>
  <c r="M176" i="5"/>
  <c r="AK176" i="5"/>
  <c r="AV96" i="5"/>
  <c r="BC96" i="5"/>
  <c r="BI130" i="5"/>
  <c r="AE130" i="5" s="1"/>
  <c r="AV151" i="5"/>
  <c r="BI148" i="5"/>
  <c r="AE148" i="5" s="1"/>
  <c r="J98" i="5"/>
  <c r="AV75" i="5"/>
  <c r="J47" i="5"/>
  <c r="BI39" i="5"/>
  <c r="BC28" i="5"/>
  <c r="AV28" i="5"/>
  <c r="J118" i="5"/>
  <c r="K93" i="5"/>
  <c r="O87" i="5"/>
  <c r="BF88" i="5"/>
  <c r="AV54" i="5"/>
  <c r="BC54" i="5"/>
  <c r="M67" i="5"/>
  <c r="AK67" i="5"/>
  <c r="AW124" i="5"/>
  <c r="J79" i="5"/>
  <c r="J15" i="5"/>
  <c r="M44" i="5"/>
  <c r="AK44" i="5"/>
  <c r="AV230" i="5"/>
  <c r="BC230" i="5"/>
  <c r="AW149" i="5"/>
  <c r="J149" i="5"/>
  <c r="BH149" i="5"/>
  <c r="AD149" i="5" s="1"/>
  <c r="M245" i="5"/>
  <c r="AK245" i="5"/>
  <c r="BC252" i="5"/>
  <c r="AV252" i="5"/>
  <c r="BC254" i="5"/>
  <c r="AV211" i="5"/>
  <c r="BC211" i="5"/>
  <c r="AK196" i="5"/>
  <c r="M196" i="5"/>
  <c r="M187" i="5"/>
  <c r="AK187" i="5"/>
  <c r="AK230" i="5"/>
  <c r="M230" i="5"/>
  <c r="K185" i="5"/>
  <c r="BI185" i="5"/>
  <c r="AC185" i="5" s="1"/>
  <c r="BH173" i="5"/>
  <c r="AD173" i="5" s="1"/>
  <c r="AV216" i="5"/>
  <c r="BC216" i="5"/>
  <c r="BH235" i="5"/>
  <c r="AB235" i="5" s="1"/>
  <c r="J235" i="5"/>
  <c r="J137" i="5"/>
  <c r="AW137" i="5"/>
  <c r="AK96" i="5"/>
  <c r="M96" i="5"/>
  <c r="BC60" i="5"/>
  <c r="AV60" i="5"/>
  <c r="K130" i="5"/>
  <c r="M120" i="5"/>
  <c r="AK120" i="5"/>
  <c r="AK36" i="5"/>
  <c r="M36" i="5"/>
  <c r="AV48" i="5"/>
  <c r="BC48" i="5"/>
  <c r="O41" i="5"/>
  <c r="BH63" i="5"/>
  <c r="AD63" i="5" s="1"/>
  <c r="AW236" i="5"/>
  <c r="BH236" i="5"/>
  <c r="J236" i="5"/>
  <c r="BF219" i="5"/>
  <c r="O218" i="5"/>
  <c r="M251" i="5"/>
  <c r="M250" i="5" s="1"/>
  <c r="L250" i="5"/>
  <c r="AK251" i="5"/>
  <c r="AT250" i="5" s="1"/>
  <c r="AK244" i="5"/>
  <c r="M244" i="5"/>
  <c r="AX202" i="5"/>
  <c r="AV202" i="5" s="1"/>
  <c r="AV187" i="5"/>
  <c r="BC187" i="5"/>
  <c r="M180" i="5"/>
  <c r="AK180" i="5"/>
  <c r="BI173" i="5"/>
  <c r="AE173" i="5" s="1"/>
  <c r="AK209" i="5"/>
  <c r="M209" i="5"/>
  <c r="L206" i="5"/>
  <c r="AW225" i="5"/>
  <c r="BF223" i="5"/>
  <c r="O222" i="5"/>
  <c r="K153" i="5"/>
  <c r="BC142" i="5"/>
  <c r="AV142" i="5"/>
  <c r="BI142" i="5"/>
  <c r="AE142" i="5" s="1"/>
  <c r="BC204" i="5"/>
  <c r="AV204" i="5"/>
  <c r="BC132" i="5"/>
  <c r="AV132" i="5"/>
  <c r="AK132" i="5"/>
  <c r="M132" i="5"/>
  <c r="AK92" i="5"/>
  <c r="M92" i="5"/>
  <c r="AK143" i="5"/>
  <c r="M143" i="5"/>
  <c r="BC69" i="5"/>
  <c r="AV69" i="5"/>
  <c r="BH52" i="5"/>
  <c r="AD52" i="5" s="1"/>
  <c r="AV147" i="5"/>
  <c r="BC147" i="5"/>
  <c r="M111" i="5"/>
  <c r="AK111" i="5"/>
  <c r="M130" i="5"/>
  <c r="AK130" i="5"/>
  <c r="BC122" i="5"/>
  <c r="AV122" i="5"/>
  <c r="BC120" i="5"/>
  <c r="AV120" i="5"/>
  <c r="AX148" i="5"/>
  <c r="AV148" i="5" s="1"/>
  <c r="M49" i="5"/>
  <c r="AK49" i="5"/>
  <c r="AK18" i="5"/>
  <c r="M18" i="5"/>
  <c r="M83" i="5"/>
  <c r="AK83" i="5"/>
  <c r="M30" i="5"/>
  <c r="AK30" i="5"/>
  <c r="AW31" i="5"/>
  <c r="BH98" i="5"/>
  <c r="AD98" i="5" s="1"/>
  <c r="J24" i="5"/>
  <c r="BH47" i="5"/>
  <c r="AD47" i="5" s="1"/>
  <c r="AV34" i="5"/>
  <c r="BC34" i="5"/>
  <c r="AW139" i="5"/>
  <c r="BH139" i="5"/>
  <c r="AD139" i="5" s="1"/>
  <c r="J139" i="5"/>
  <c r="BH118" i="5"/>
  <c r="AD118" i="5" s="1"/>
  <c r="BC108" i="5"/>
  <c r="AV108" i="5"/>
  <c r="BI93" i="5"/>
  <c r="AE93" i="5" s="1"/>
  <c r="AX88" i="5"/>
  <c r="AV88" i="5" s="1"/>
  <c r="M74" i="5"/>
  <c r="AK74" i="5"/>
  <c r="AV50" i="5"/>
  <c r="M78" i="5"/>
  <c r="AK78" i="5"/>
  <c r="BH15" i="5"/>
  <c r="AD15" i="5" s="1"/>
  <c r="J13" i="5"/>
  <c r="M217" i="5"/>
  <c r="AK217" i="5"/>
  <c r="AV209" i="5"/>
  <c r="BC209" i="5"/>
  <c r="K225" i="5"/>
  <c r="K224" i="5" s="1"/>
  <c r="AV239" i="5"/>
  <c r="BC239" i="5"/>
  <c r="BC157" i="5"/>
  <c r="AV157" i="5"/>
  <c r="BC164" i="5"/>
  <c r="AV164" i="5"/>
  <c r="BC77" i="5"/>
  <c r="AV77" i="5"/>
  <c r="J52" i="5"/>
  <c r="BC176" i="5"/>
  <c r="AV176" i="5"/>
  <c r="BC111" i="5"/>
  <c r="AV111" i="5"/>
  <c r="AV130" i="5"/>
  <c r="M114" i="5"/>
  <c r="AK114" i="5"/>
  <c r="BC83" i="5"/>
  <c r="AV83" i="5"/>
  <c r="AV78" i="5"/>
  <c r="BC78" i="5"/>
  <c r="BH124" i="5"/>
  <c r="BC100" i="5"/>
  <c r="AV100" i="5"/>
  <c r="M79" i="5"/>
  <c r="AK79" i="5"/>
  <c r="AV33" i="5"/>
  <c r="AV90" i="5"/>
  <c r="BC241" i="5"/>
  <c r="AV241" i="5"/>
  <c r="M219" i="5"/>
  <c r="M218" i="5" s="1"/>
  <c r="L218" i="5"/>
  <c r="AK219" i="5"/>
  <c r="AT218" i="5" s="1"/>
  <c r="AV232" i="5"/>
  <c r="BC232" i="5"/>
  <c r="AV195" i="5"/>
  <c r="BC195" i="5"/>
  <c r="AK193" i="5"/>
  <c r="M193" i="5"/>
  <c r="AK172" i="5"/>
  <c r="L171" i="5"/>
  <c r="M172" i="5"/>
  <c r="BH200" i="5"/>
  <c r="AD200" i="5" s="1"/>
  <c r="BI202" i="5"/>
  <c r="AE202" i="5" s="1"/>
  <c r="M188" i="5"/>
  <c r="AK188" i="5"/>
  <c r="M161" i="5"/>
  <c r="AK161" i="5"/>
  <c r="AK145" i="5"/>
  <c r="M145" i="5"/>
  <c r="BC180" i="5"/>
  <c r="AV180" i="5"/>
  <c r="AW175" i="5"/>
  <c r="BI179" i="5"/>
  <c r="AE179" i="5" s="1"/>
  <c r="AX149" i="5"/>
  <c r="BI149" i="5"/>
  <c r="AE149" i="5" s="1"/>
  <c r="K149" i="5"/>
  <c r="K215" i="5"/>
  <c r="AW190" i="5"/>
  <c r="BH190" i="5"/>
  <c r="AB190" i="5" s="1"/>
  <c r="J190" i="5"/>
  <c r="AK147" i="5"/>
  <c r="M147" i="5"/>
  <c r="BI190" i="5"/>
  <c r="AC190" i="5" s="1"/>
  <c r="K190" i="5"/>
  <c r="BH146" i="5"/>
  <c r="AD146" i="5" s="1"/>
  <c r="BC140" i="5"/>
  <c r="AV140" i="5"/>
  <c r="M164" i="5"/>
  <c r="AK164" i="5"/>
  <c r="M160" i="5"/>
  <c r="AK160" i="5"/>
  <c r="K140" i="5"/>
  <c r="BI140" i="5"/>
  <c r="AE140" i="5" s="1"/>
  <c r="M204" i="5"/>
  <c r="AK204" i="5"/>
  <c r="AK174" i="5"/>
  <c r="M174" i="5"/>
  <c r="AK135" i="5"/>
  <c r="M135" i="5"/>
  <c r="J77" i="5"/>
  <c r="BC65" i="5"/>
  <c r="AV65" i="5"/>
  <c r="BC47" i="5"/>
  <c r="AV47" i="5"/>
  <c r="BH102" i="5"/>
  <c r="AD102" i="5" s="1"/>
  <c r="AV92" i="5"/>
  <c r="BC92" i="5"/>
  <c r="BH195" i="5"/>
  <c r="AB195" i="5" s="1"/>
  <c r="J195" i="5"/>
  <c r="BF130" i="5"/>
  <c r="O126" i="5"/>
  <c r="BC37" i="5"/>
  <c r="AV37" i="5"/>
  <c r="M110" i="5"/>
  <c r="AK110" i="5"/>
  <c r="AW94" i="5"/>
  <c r="J94" i="5"/>
  <c r="BH94" i="5"/>
  <c r="AD94" i="5" s="1"/>
  <c r="M43" i="5"/>
  <c r="AK43" i="5"/>
  <c r="L41" i="5"/>
  <c r="BC71" i="5"/>
  <c r="AV71" i="5"/>
  <c r="BC45" i="5"/>
  <c r="AV45" i="5"/>
  <c r="M25" i="5"/>
  <c r="L24" i="5"/>
  <c r="AK25" i="5"/>
  <c r="AV82" i="5"/>
  <c r="BC82" i="5"/>
  <c r="BC26" i="5"/>
  <c r="AV26" i="5"/>
  <c r="M118" i="5"/>
  <c r="AK118" i="5"/>
  <c r="M98" i="5"/>
  <c r="AK98" i="5"/>
  <c r="AV70" i="5"/>
  <c r="BC70" i="5"/>
  <c r="AK39" i="5"/>
  <c r="M39" i="5"/>
  <c r="BC32" i="5"/>
  <c r="AV32" i="5"/>
  <c r="AK94" i="5"/>
  <c r="M94" i="5"/>
  <c r="AW93" i="5"/>
  <c r="BI88" i="5"/>
  <c r="AE88" i="5" s="1"/>
  <c r="M15" i="5"/>
  <c r="AK15" i="5"/>
  <c r="O13" i="5"/>
  <c r="O24" i="5"/>
  <c r="M227" i="5"/>
  <c r="AK227" i="5"/>
  <c r="AV200" i="5"/>
  <c r="BC200" i="5"/>
  <c r="J215" i="5"/>
  <c r="BI174" i="5"/>
  <c r="AE174" i="5" s="1"/>
  <c r="K174" i="5"/>
  <c r="AX174" i="5"/>
  <c r="AX102" i="5"/>
  <c r="K102" i="5"/>
  <c r="BC52" i="5"/>
  <c r="AV52" i="5"/>
  <c r="BF122" i="5"/>
  <c r="O121" i="5"/>
  <c r="M82" i="5"/>
  <c r="AK82" i="5"/>
  <c r="BH39" i="5"/>
  <c r="J39" i="5"/>
  <c r="AW39" i="5"/>
  <c r="BF21" i="5"/>
  <c r="O20" i="5"/>
  <c r="BI139" i="5"/>
  <c r="AE139" i="5" s="1"/>
  <c r="AX139" i="5"/>
  <c r="K139" i="5"/>
  <c r="AV44" i="5"/>
  <c r="BC44" i="5"/>
  <c r="O248" i="5"/>
  <c r="BF249" i="5"/>
  <c r="AV251" i="5"/>
  <c r="BC251" i="5"/>
  <c r="J200" i="5"/>
  <c r="J199" i="5" s="1"/>
  <c r="AK34" i="5"/>
  <c r="M34" i="5"/>
  <c r="AK106" i="5"/>
  <c r="M106" i="5"/>
  <c r="L13" i="5"/>
  <c r="AK14" i="5"/>
  <c r="M14" i="5"/>
  <c r="M112" i="5"/>
  <c r="AK112" i="5"/>
  <c r="M56" i="5"/>
  <c r="AK56" i="5"/>
  <c r="M116" i="5"/>
  <c r="AK116" i="5"/>
  <c r="M35" i="5"/>
  <c r="AK35" i="5"/>
  <c r="AK139" i="5"/>
  <c r="M139" i="5"/>
  <c r="AV74" i="5"/>
  <c r="BC74" i="5"/>
  <c r="M62" i="5"/>
  <c r="AK62" i="5"/>
  <c r="M232" i="5"/>
  <c r="AK232" i="5"/>
  <c r="BH241" i="5"/>
  <c r="J241" i="5"/>
  <c r="AV193" i="5"/>
  <c r="BC193" i="5"/>
  <c r="O194" i="5"/>
  <c r="BF195" i="5"/>
  <c r="BC179" i="5"/>
  <c r="AV179" i="5"/>
  <c r="L215" i="5"/>
  <c r="AK216" i="5"/>
  <c r="M216" i="5"/>
  <c r="M213" i="5"/>
  <c r="AK213" i="5"/>
  <c r="K151" i="5"/>
  <c r="BC154" i="5"/>
  <c r="AV154" i="5"/>
  <c r="AV134" i="5"/>
  <c r="BC134" i="5"/>
  <c r="BH137" i="5"/>
  <c r="AD137" i="5" s="1"/>
  <c r="AW102" i="5"/>
  <c r="BH104" i="5"/>
  <c r="AD104" i="5" s="1"/>
  <c r="J104" i="5"/>
  <c r="BC43" i="5"/>
  <c r="AV43" i="5"/>
  <c r="L126" i="5"/>
  <c r="BI102" i="5"/>
  <c r="AE102" i="5" s="1"/>
  <c r="M115" i="5"/>
  <c r="AK115" i="5"/>
  <c r="J130" i="5"/>
  <c r="AK100" i="5"/>
  <c r="M100" i="5"/>
  <c r="M48" i="5"/>
  <c r="AK48" i="5"/>
  <c r="M66" i="5"/>
  <c r="AK66" i="5"/>
  <c r="BC117" i="5"/>
  <c r="AV117" i="5"/>
  <c r="BC56" i="5"/>
  <c r="AV56" i="5"/>
  <c r="AV35" i="5"/>
  <c r="BC35" i="5"/>
  <c r="BC21" i="5"/>
  <c r="AV21" i="5"/>
  <c r="AX185" i="5"/>
  <c r="M88" i="5"/>
  <c r="L87" i="5"/>
  <c r="AK88" i="5"/>
  <c r="BH67" i="5"/>
  <c r="AD67" i="5" s="1"/>
  <c r="AV62" i="5"/>
  <c r="BC62" i="5"/>
  <c r="AW79" i="5"/>
  <c r="M239" i="5"/>
  <c r="AK239" i="5"/>
  <c r="O184" i="5"/>
  <c r="BF185" i="5"/>
  <c r="M195" i="5"/>
  <c r="AK195" i="5"/>
  <c r="AT194" i="5" s="1"/>
  <c r="L194" i="5"/>
  <c r="AW203" i="5"/>
  <c r="BH203" i="5"/>
  <c r="AD203" i="5" s="1"/>
  <c r="J203" i="5"/>
  <c r="AW173" i="5"/>
  <c r="BC162" i="5"/>
  <c r="AV162" i="5"/>
  <c r="AK142" i="5"/>
  <c r="M142" i="5"/>
  <c r="AK138" i="5"/>
  <c r="M138" i="5"/>
  <c r="AK144" i="5"/>
  <c r="M144" i="5"/>
  <c r="BC148" i="5"/>
  <c r="AV110" i="5"/>
  <c r="BC110" i="5"/>
  <c r="M71" i="5"/>
  <c r="AK71" i="5"/>
  <c r="M70" i="5"/>
  <c r="AK70" i="5"/>
  <c r="M31" i="5"/>
  <c r="AK31" i="5"/>
  <c r="AK16" i="5"/>
  <c r="M16" i="5"/>
  <c r="M93" i="5"/>
  <c r="AK93" i="5"/>
  <c r="M63" i="5"/>
  <c r="AK63" i="5"/>
  <c r="BC67" i="5"/>
  <c r="AV67" i="5"/>
  <c r="O234" i="5"/>
  <c r="BF235" i="5"/>
  <c r="O224" i="5"/>
  <c r="AV217" i="5"/>
  <c r="BC217" i="5"/>
  <c r="BC160" i="5"/>
  <c r="AV160" i="5"/>
  <c r="AV181" i="5"/>
  <c r="AW174" i="5"/>
  <c r="BH174" i="5"/>
  <c r="AD174" i="5" s="1"/>
  <c r="J174" i="5"/>
  <c r="BC95" i="5"/>
  <c r="M249" i="5"/>
  <c r="M248" i="5" s="1"/>
  <c r="AK249" i="5"/>
  <c r="AT248" i="5" s="1"/>
  <c r="L248" i="5"/>
  <c r="O253" i="5"/>
  <c r="BF254" i="5"/>
  <c r="BH252" i="5"/>
  <c r="J252" i="5"/>
  <c r="J250" i="5" s="1"/>
  <c r="M211" i="5"/>
  <c r="AK211" i="5"/>
  <c r="O250" i="5"/>
  <c r="BF251" i="5"/>
  <c r="AV228" i="5"/>
  <c r="M202" i="5"/>
  <c r="L201" i="5"/>
  <c r="AK202" i="5"/>
  <c r="BC167" i="5"/>
  <c r="AV167" i="5"/>
  <c r="AK141" i="5"/>
  <c r="M141" i="5"/>
  <c r="BF209" i="5"/>
  <c r="O206" i="5"/>
  <c r="M205" i="5"/>
  <c r="AK205" i="5"/>
  <c r="AW243" i="5"/>
  <c r="BH243" i="5"/>
  <c r="J243" i="5"/>
  <c r="BI252" i="5"/>
  <c r="K252" i="5"/>
  <c r="K250" i="5" s="1"/>
  <c r="BI203" i="5"/>
  <c r="AE203" i="5" s="1"/>
  <c r="BI241" i="5"/>
  <c r="K241" i="5"/>
  <c r="AX203" i="5"/>
  <c r="AV188" i="5"/>
  <c r="BC188" i="5"/>
  <c r="BC159" i="5"/>
  <c r="AV159" i="5"/>
  <c r="BC238" i="5"/>
  <c r="AV238" i="5"/>
  <c r="O171" i="5"/>
  <c r="BI151" i="5"/>
  <c r="AK185" i="5"/>
  <c r="AT184" i="5" s="1"/>
  <c r="L184" i="5"/>
  <c r="M185" i="5"/>
  <c r="BH188" i="5"/>
  <c r="AB188" i="5" s="1"/>
  <c r="J188" i="5"/>
  <c r="L222" i="5"/>
  <c r="AK223" i="5"/>
  <c r="AT222" i="5" s="1"/>
  <c r="M223" i="5"/>
  <c r="M222" i="5" s="1"/>
  <c r="M154" i="5"/>
  <c r="L153" i="5"/>
  <c r="AK154" i="5"/>
  <c r="AK128" i="5"/>
  <c r="M128" i="5"/>
  <c r="J142" i="5"/>
  <c r="AK137" i="5"/>
  <c r="M137" i="5"/>
  <c r="BI138" i="5"/>
  <c r="AE138" i="5" s="1"/>
  <c r="AX144" i="5"/>
  <c r="BC144" i="5" s="1"/>
  <c r="M104" i="5"/>
  <c r="AK104" i="5"/>
  <c r="BC73" i="5"/>
  <c r="AV73" i="5"/>
  <c r="BH60" i="5"/>
  <c r="AD60" i="5" s="1"/>
  <c r="K39" i="5"/>
  <c r="BC127" i="5"/>
  <c r="AV127" i="5"/>
  <c r="AW89" i="5"/>
  <c r="J89" i="5"/>
  <c r="J87" i="5" s="1"/>
  <c r="BH89" i="5"/>
  <c r="AD89" i="5" s="1"/>
  <c r="M75" i="5"/>
  <c r="AK75" i="5"/>
  <c r="BC49" i="5"/>
  <c r="AV49" i="5"/>
  <c r="BC113" i="5"/>
  <c r="AV113" i="5"/>
  <c r="M54" i="5"/>
  <c r="AK54" i="5"/>
  <c r="M124" i="5"/>
  <c r="M121" i="5" s="1"/>
  <c r="AK124" i="5"/>
  <c r="AT121" i="5" s="1"/>
  <c r="L121" i="5"/>
  <c r="BC17" i="5"/>
  <c r="AX16" i="5"/>
  <c r="BI16" i="5"/>
  <c r="AE16" i="5" s="1"/>
  <c r="K16" i="5"/>
  <c r="K13" i="5" s="1"/>
  <c r="J153" i="5" l="1"/>
  <c r="AV191" i="5"/>
  <c r="BC191" i="5"/>
  <c r="BC202" i="5"/>
  <c r="AV254" i="5"/>
  <c r="BC181" i="5"/>
  <c r="AV104" i="5"/>
  <c r="BC161" i="5"/>
  <c r="J171" i="5"/>
  <c r="AV115" i="5"/>
  <c r="BC214" i="5"/>
  <c r="AV214" i="5"/>
  <c r="BC88" i="5"/>
  <c r="J206" i="5"/>
  <c r="AV106" i="5"/>
  <c r="M194" i="5"/>
  <c r="BC155" i="5"/>
  <c r="M201" i="5"/>
  <c r="M234" i="5"/>
  <c r="BC141" i="5"/>
  <c r="AT126" i="5"/>
  <c r="J126" i="5"/>
  <c r="J125" i="5" s="1"/>
  <c r="M224" i="5"/>
  <c r="AV145" i="5"/>
  <c r="BC145" i="5"/>
  <c r="BC221" i="5"/>
  <c r="AV221" i="5"/>
  <c r="AT234" i="5"/>
  <c r="AV182" i="5"/>
  <c r="BC182" i="5"/>
  <c r="AV58" i="5"/>
  <c r="BC196" i="5"/>
  <c r="J41" i="5"/>
  <c r="J40" i="5" s="1"/>
  <c r="BC172" i="5"/>
  <c r="AV172" i="5"/>
  <c r="BC68" i="5"/>
  <c r="BC177" i="5"/>
  <c r="AV177" i="5"/>
  <c r="J201" i="5"/>
  <c r="BC114" i="5"/>
  <c r="AT41" i="5"/>
  <c r="AT206" i="5"/>
  <c r="M215" i="5"/>
  <c r="M41" i="5"/>
  <c r="M40" i="5" s="1"/>
  <c r="M206" i="5"/>
  <c r="K234" i="5"/>
  <c r="AV178" i="5"/>
  <c r="BC178" i="5"/>
  <c r="BC64" i="5"/>
  <c r="AV64" i="5"/>
  <c r="K171" i="5"/>
  <c r="K170" i="5" s="1"/>
  <c r="J194" i="5"/>
  <c r="BC143" i="5"/>
  <c r="K24" i="5"/>
  <c r="K19" i="5" s="1"/>
  <c r="M126" i="5"/>
  <c r="M125" i="5" s="1"/>
  <c r="K126" i="5"/>
  <c r="K125" i="5" s="1"/>
  <c r="M171" i="5"/>
  <c r="M170" i="5" s="1"/>
  <c r="BC36" i="5"/>
  <c r="AV36" i="5"/>
  <c r="AV46" i="5"/>
  <c r="BC46" i="5"/>
  <c r="J247" i="5"/>
  <c r="J246" i="5"/>
  <c r="K246" i="5"/>
  <c r="K247" i="5"/>
  <c r="K12" i="5"/>
  <c r="J86" i="5"/>
  <c r="L247" i="5"/>
  <c r="L246" i="5"/>
  <c r="AV102" i="5"/>
  <c r="BC102" i="5"/>
  <c r="AV138" i="5"/>
  <c r="AV93" i="5"/>
  <c r="BC93" i="5"/>
  <c r="L40" i="5"/>
  <c r="BC31" i="5"/>
  <c r="AV31" i="5"/>
  <c r="AV225" i="5"/>
  <c r="BC225" i="5"/>
  <c r="AV137" i="5"/>
  <c r="BC137" i="5"/>
  <c r="O170" i="5"/>
  <c r="BC243" i="5"/>
  <c r="AV243" i="5"/>
  <c r="AT153" i="5"/>
  <c r="AV213" i="5"/>
  <c r="AT201" i="5"/>
  <c r="L125" i="5"/>
  <c r="L19" i="5"/>
  <c r="O125" i="5"/>
  <c r="AV139" i="5"/>
  <c r="BC139" i="5"/>
  <c r="O40" i="5"/>
  <c r="J234" i="5"/>
  <c r="BC185" i="5"/>
  <c r="AV185" i="5"/>
  <c r="BC205" i="5"/>
  <c r="AV205" i="5"/>
  <c r="O19" i="5"/>
  <c r="J152" i="5"/>
  <c r="J19" i="5"/>
  <c r="O247" i="5"/>
  <c r="O246" i="5"/>
  <c r="L170" i="5"/>
  <c r="BC89" i="5"/>
  <c r="AV89" i="5"/>
  <c r="BC79" i="5"/>
  <c r="AV79" i="5"/>
  <c r="AV39" i="5"/>
  <c r="BC39" i="5"/>
  <c r="K184" i="5"/>
  <c r="K86" i="5"/>
  <c r="AT215" i="5"/>
  <c r="AT24" i="5"/>
  <c r="L152" i="5"/>
  <c r="M13" i="5"/>
  <c r="M24" i="5"/>
  <c r="M19" i="5" s="1"/>
  <c r="BC175" i="5"/>
  <c r="AV175" i="5"/>
  <c r="J12" i="5"/>
  <c r="BC236" i="5"/>
  <c r="AV236" i="5"/>
  <c r="O86" i="5"/>
  <c r="J184" i="5"/>
  <c r="AV144" i="5"/>
  <c r="M87" i="5"/>
  <c r="M86" i="5" s="1"/>
  <c r="BC16" i="5"/>
  <c r="AV16" i="5"/>
  <c r="M153" i="5"/>
  <c r="M152" i="5" s="1"/>
  <c r="M184" i="5"/>
  <c r="AT87" i="5"/>
  <c r="AT13" i="5"/>
  <c r="O12" i="5"/>
  <c r="J170" i="5"/>
  <c r="M246" i="5"/>
  <c r="M247" i="5"/>
  <c r="BC203" i="5"/>
  <c r="AV203" i="5"/>
  <c r="AT171" i="5"/>
  <c r="L183" i="5"/>
  <c r="BC174" i="5"/>
  <c r="AV174" i="5"/>
  <c r="BC173" i="5"/>
  <c r="AV173" i="5"/>
  <c r="O183" i="5"/>
  <c r="L86" i="5"/>
  <c r="L255" i="5"/>
  <c r="L12" i="5"/>
  <c r="BC94" i="5"/>
  <c r="AV94" i="5"/>
  <c r="BC190" i="5"/>
  <c r="AV190" i="5"/>
  <c r="K152" i="5"/>
  <c r="BC149" i="5"/>
  <c r="AV149" i="5"/>
  <c r="AV124" i="5"/>
  <c r="BC124" i="5"/>
  <c r="O152" i="5"/>
  <c r="AT224" i="5"/>
  <c r="M183" i="5" l="1"/>
  <c r="J183" i="5"/>
  <c r="K183" i="5"/>
  <c r="M255" i="5"/>
  <c r="M12" i="5"/>
</calcChain>
</file>

<file path=xl/sharedStrings.xml><?xml version="1.0" encoding="utf-8"?>
<sst xmlns="http://schemas.openxmlformats.org/spreadsheetml/2006/main" count="3216" uniqueCount="696">
  <si>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</si>
  <si>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</si>
  <si>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</si>
  <si>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</si>
  <si>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</si>
  <si>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</si>
  <si>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</si>
  <si>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</si>
  <si>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</si>
  <si>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</si>
  <si>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</si>
  <si>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</si>
  <si>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</si>
  <si>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</si>
  <si>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</si>
  <si>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</si>
  <si>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</si>
  <si>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</si>
  <si>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</si>
  <si>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Jednotková cena (Kč)</t>
  </si>
  <si>
    <t>Náklady celkem (Kč)</t>
  </si>
  <si>
    <t>GROUPCODE</t>
  </si>
  <si>
    <t>ISWORK</t>
  </si>
  <si>
    <t xml:space="preserve"> </t>
  </si>
  <si>
    <t>721-01</t>
  </si>
  <si>
    <t/>
  </si>
  <si>
    <t>Dešťová kanalizace</t>
  </si>
  <si>
    <t>721</t>
  </si>
  <si>
    <t>Vnitřní kanalizace</t>
  </si>
  <si>
    <t>72129S125VD</t>
  </si>
  <si>
    <t>Sanace kanalizačního potrubí rukávcem DN125</t>
  </si>
  <si>
    <t>m</t>
  </si>
  <si>
    <t>P</t>
  </si>
  <si>
    <t>721210823R00</t>
  </si>
  <si>
    <t>Demontáž střešní vpusti DN 125 mm</t>
  </si>
  <si>
    <t>kus</t>
  </si>
  <si>
    <t>721234121RT1</t>
  </si>
  <si>
    <t>Vtok střešní PP HL62/2 DN125 pro plochou střechu záchytný koš</t>
  </si>
  <si>
    <t>721234121STA</t>
  </si>
  <si>
    <t>Úprava střechy a izolace pro střešní vtok včetně napojení na krytinu</t>
  </si>
  <si>
    <t>soubor</t>
  </si>
  <si>
    <t>998721203R00</t>
  </si>
  <si>
    <t>Přesun hmot pro vnitřní kanalizaci, výšky do 24 m</t>
  </si>
  <si>
    <t>%</t>
  </si>
  <si>
    <t>721-02</t>
  </si>
  <si>
    <t>Svislá  kanalizace</t>
  </si>
  <si>
    <t>713</t>
  </si>
  <si>
    <t>Izolace tepelné</t>
  </si>
  <si>
    <t>713571115R00</t>
  </si>
  <si>
    <t>Požárně ochranná manžeta hl. 60mm, EI 60, D 110 mm</t>
  </si>
  <si>
    <t>998713203R00</t>
  </si>
  <si>
    <t>Přesun hmot pro izolace tepelné, výšky do 24 m</t>
  </si>
  <si>
    <t>721140802R00</t>
  </si>
  <si>
    <t>Demontáž potrubí litinového do DN 100 mm</t>
  </si>
  <si>
    <t>721140935R00</t>
  </si>
  <si>
    <t>Oprava - přechod z plastových trub na litinu DN100</t>
  </si>
  <si>
    <t>721171808R00</t>
  </si>
  <si>
    <t>Demontáž potrubí z PVC do D 114 mm</t>
  </si>
  <si>
    <t>721176115R00</t>
  </si>
  <si>
    <t>Potrubí HT odpadní svislé D 110 x 2,7 mm</t>
  </si>
  <si>
    <t>721170962R00</t>
  </si>
  <si>
    <t>Provedení opravy vnitřní kanalizace, potrubí plastové, propojení dosavadního potrubí, D 63 mm</t>
  </si>
  <si>
    <t>721170965R00</t>
  </si>
  <si>
    <t>Provedení opravy vnitřní kanalizace, potrubí plastové, propojení dosavadního potrubí, D 110 mm</t>
  </si>
  <si>
    <t>721176105R00</t>
  </si>
  <si>
    <t>Potrubí HT připojovací, D 110 x 2,7 mm</t>
  </si>
  <si>
    <t>721177725R00</t>
  </si>
  <si>
    <t>Čisticí kus Wavin, odpadní svislé D 110</t>
  </si>
  <si>
    <t>721194109R00</t>
  </si>
  <si>
    <t>Vyvedení odpadních výpustek, D 110 x 2,3 mm</t>
  </si>
  <si>
    <t>721273200RT3</t>
  </si>
  <si>
    <t>Souprava větrací hlavice PP HL810  D 110 mm</t>
  </si>
  <si>
    <t>721290111R00</t>
  </si>
  <si>
    <t>Zkouška těsnosti kanalizace  DN 125</t>
  </si>
  <si>
    <t>721290823R00</t>
  </si>
  <si>
    <t>Přesun vybouraných hmot, vnitřní kanalizace, v objektech výšky přes 12 - 24 m</t>
  </si>
  <si>
    <t>t</t>
  </si>
  <si>
    <t>722-01</t>
  </si>
  <si>
    <t>Ležatý rozvod vody</t>
  </si>
  <si>
    <t>722</t>
  </si>
  <si>
    <t>Vnitřní vodovod</t>
  </si>
  <si>
    <t>722131934R00</t>
  </si>
  <si>
    <t>Oprava-propojení dosavadního potrubí závit. DN 32</t>
  </si>
  <si>
    <t>722130802R00</t>
  </si>
  <si>
    <t>Demontáž potrubí ocelových závitových, DN 40 mm</t>
  </si>
  <si>
    <t>722170801R00</t>
  </si>
  <si>
    <t>Demontáž rozvodů vody z plastů do D 32 mm</t>
  </si>
  <si>
    <t>722170804R00</t>
  </si>
  <si>
    <t>Demontáž rozvodů vody z plastů do D 63 mm</t>
  </si>
  <si>
    <t>722178712UR00</t>
  </si>
  <si>
    <t>Potrubí PP-RCT vícevrstvé (Faser Hot, Basalt Plus) D 25x3,5 mm</t>
  </si>
  <si>
    <t>722178713UR00</t>
  </si>
  <si>
    <t>Potrubí PP-RCT vícevrstvé (Faser Hot, Basalt Plus) D 32x3,6 mm</t>
  </si>
  <si>
    <t>722178714UR00</t>
  </si>
  <si>
    <t>Potrubí PP-RCT vícevrstvé (Faser Hot, Basalt Plus), D 40x4,5 mm</t>
  </si>
  <si>
    <t>722178715UR00</t>
  </si>
  <si>
    <t>Potrubí PP-RCT vícevrstvé (Faser Hot, Basalt Plus),D 50x5,6 mm</t>
  </si>
  <si>
    <t>722181212RV9</t>
  </si>
  <si>
    <t>Izolace návleková MIRELON PRO tl. stěny 9 mm vnitřní průměr 40 mm</t>
  </si>
  <si>
    <t>722181212RW6</t>
  </si>
  <si>
    <t>Izolace návleková MIRELON PRO tl. stěny 9 mm vnitřní průměr 50 mm</t>
  </si>
  <si>
    <t>722181215RT8</t>
  </si>
  <si>
    <t>Izolace návleková  MIRELON PRO tl. stěny 25 mm vnitřní průměr 25 mm</t>
  </si>
  <si>
    <t>722181215RU1</t>
  </si>
  <si>
    <t>Izolace návleková  MIRELON PRO tl. stěny 25 mm vnitřní průměr 32 mm</t>
  </si>
  <si>
    <t>722181215RV9</t>
  </si>
  <si>
    <t>Izolace návleková  MIRELON PRO tl. stěny 25 mm vnitřní průměr 40 mm</t>
  </si>
  <si>
    <t>722181215RW6</t>
  </si>
  <si>
    <t>Izolace návleková  MIRELON PRO tl. stěny 25 mm vnitřní průměr 50 mm</t>
  </si>
  <si>
    <t>722M230050VD</t>
  </si>
  <si>
    <t>Podpůrný žlab MERKUR M2 - 300/50 včetně spojovacích prvků</t>
  </si>
  <si>
    <t>722M240050VD</t>
  </si>
  <si>
    <t>Podpůrný žlab MERKUR M2 - 400/50 včetně spojovacích prvků</t>
  </si>
  <si>
    <t>722220231VD</t>
  </si>
  <si>
    <t>Přechodka dGK PPR PN 20 D 25 x G 1/2 s kovovým závitem</t>
  </si>
  <si>
    <t>722220233VD</t>
  </si>
  <si>
    <t>Přechodka dGK PPR PN 20 D 32 x G 1 s kovovým závitem</t>
  </si>
  <si>
    <t>722220234VD</t>
  </si>
  <si>
    <t>Přechodka dGK PPR PN 20 D 40 x G 5/4 s kovovým závitem</t>
  </si>
  <si>
    <t>722220235VD</t>
  </si>
  <si>
    <t>Přechodka dGK PPR PN 20 D 50 x G 6/4 s kovovým závitem</t>
  </si>
  <si>
    <t>722237221R00</t>
  </si>
  <si>
    <t>Kohout vodovodní kulový, 2x vnitřní závit, GIACOMINI R910, DN 15 mm</t>
  </si>
  <si>
    <t>722237223R00</t>
  </si>
  <si>
    <t>Kohout vodovodní kulový, 2x vnitřní závit, GIACOMINI R910, DN 25 mm</t>
  </si>
  <si>
    <t>722237224R00</t>
  </si>
  <si>
    <t>Kohout vodovodní kulový, 2x vnitřní závit, GIACOMINI R910, DN 32 mm</t>
  </si>
  <si>
    <t>722237225R00</t>
  </si>
  <si>
    <t>Kohout vodovodní kulový, 2x vnitřní závit, GIACOMINI R910, DN 40 mm</t>
  </si>
  <si>
    <t>722221116R00</t>
  </si>
  <si>
    <t>Kohout vypouštěcí kulový, IVAR.EURO N, DN 15 mm</t>
  </si>
  <si>
    <t>722239101R00</t>
  </si>
  <si>
    <t>Montáž vodovodních armatur 2závity, G 1/2</t>
  </si>
  <si>
    <t>25047-2820VD</t>
  </si>
  <si>
    <t>Automatický termostatický vyvažovací ventil CirCon DN15</t>
  </si>
  <si>
    <t>M</t>
  </si>
  <si>
    <t>722239104R00</t>
  </si>
  <si>
    <t>Montáž vodovodních armatur 2závity, G 5/4"</t>
  </si>
  <si>
    <t>240RV281-5-4VD</t>
  </si>
  <si>
    <t>Bezpečnostní zpětný ventil RV281 - 5/4"</t>
  </si>
  <si>
    <t>722239105R00</t>
  </si>
  <si>
    <t>Montáž vodovodních armatur 2závity, G 6/4"</t>
  </si>
  <si>
    <t>240HS10S40VD</t>
  </si>
  <si>
    <t>Vodovodní filtrační stanice s redukčním ventilem HS10S, DN40, PN16</t>
  </si>
  <si>
    <t>722212445R00</t>
  </si>
  <si>
    <t>Označení sekčních a stoupačkových uzávěrů vody</t>
  </si>
  <si>
    <t>722280106R00</t>
  </si>
  <si>
    <t>Tlaková zkouška vodovodního potrubí D 32</t>
  </si>
  <si>
    <t>722280107R00</t>
  </si>
  <si>
    <t>Tlaková zkouška vodovodního potrubí D 40</t>
  </si>
  <si>
    <t>722280108R00</t>
  </si>
  <si>
    <t>Tlaková zkouška vodovodního potrubí D 50</t>
  </si>
  <si>
    <t>722290821R00</t>
  </si>
  <si>
    <t>Přesun vybouraných hmot - vodovody, H do 6 m</t>
  </si>
  <si>
    <t>998722201R00</t>
  </si>
  <si>
    <t>Přesun hmot pro vnitřní vodovod, výšky do 6 m</t>
  </si>
  <si>
    <t>722-02</t>
  </si>
  <si>
    <t>Svislý rozvod vody</t>
  </si>
  <si>
    <t>Demontáž rozvodů vody z plastů do D 32</t>
  </si>
  <si>
    <t>Demontáž rozvodů vody z plastů do D 63</t>
  </si>
  <si>
    <t>722178711UR00</t>
  </si>
  <si>
    <t>Potrubí PP-RCT vícevrstvé (Faser Hot, Basalt Plus) D 20x2,8 mm</t>
  </si>
  <si>
    <t>722172912R00</t>
  </si>
  <si>
    <t>Provedení propojení plastového vodovodního potrubí polyfuzí, D 20 mm</t>
  </si>
  <si>
    <t>722181212RT7</t>
  </si>
  <si>
    <t>Izolace návleková MIRELON PRO tl. stěny 9 mm vnitřní průměr 22 mm</t>
  </si>
  <si>
    <t>722181212RT8</t>
  </si>
  <si>
    <t>Izolace návleková MIRELON PRO tl. stěny 9 mm vnitřní průměr 25 mm</t>
  </si>
  <si>
    <t>722181212RU1</t>
  </si>
  <si>
    <t>Izolace návleková MIRELON PRO tl. stěny 9 mm vnitřní průměr 32 mm</t>
  </si>
  <si>
    <t>722220230VD</t>
  </si>
  <si>
    <t>Přechodka dGK PPR PN 20 D 20 x G 1/2 s kovovým závitem</t>
  </si>
  <si>
    <t>Kohout vod.kul.,2xvnitřní záv.GIACOMINI R910 DN 15</t>
  </si>
  <si>
    <t>722237621R00</t>
  </si>
  <si>
    <t>Ventil vod.zpět.,2xvnitř.závit GIACOMINI R60 DN 15</t>
  </si>
  <si>
    <t>722260811R00</t>
  </si>
  <si>
    <t>Demontáž vodoměrů závitových G 1/2</t>
  </si>
  <si>
    <t>722260921R00</t>
  </si>
  <si>
    <t>Zpětná montáž vodoměrů závitových G 1/2</t>
  </si>
  <si>
    <t>72226PLVODVD</t>
  </si>
  <si>
    <t>Plombování vodoměrů</t>
  </si>
  <si>
    <t>722290823R00</t>
  </si>
  <si>
    <t>Přesun vybouraných hmot - vodovody, H 12 - 24 m</t>
  </si>
  <si>
    <t>998722203R00</t>
  </si>
  <si>
    <t>Přesun hmot pro vnitřní vodovod, výšky do 24 m</t>
  </si>
  <si>
    <t>725</t>
  </si>
  <si>
    <t>Zařizovací předměty</t>
  </si>
  <si>
    <t>725110811R00</t>
  </si>
  <si>
    <t>Demontáž klozetů splachovacích</t>
  </si>
  <si>
    <t>725119305R00</t>
  </si>
  <si>
    <t>Montáž klozetových mís kombinovaných</t>
  </si>
  <si>
    <t>998725203R00</t>
  </si>
  <si>
    <t>Přesun hmot pro zařizovací předměty, výšky do 24 m</t>
  </si>
  <si>
    <t>723-01</t>
  </si>
  <si>
    <t>Páteřový rozvod plynu</t>
  </si>
  <si>
    <t>723</t>
  </si>
  <si>
    <t>Vnitřní plynovod</t>
  </si>
  <si>
    <t>723120805R00</t>
  </si>
  <si>
    <t>Demontáž potrubí svařovaného závitového DN 25-50</t>
  </si>
  <si>
    <t>723163105R00</t>
  </si>
  <si>
    <t>Potrubí z měděných plynových trubek D 28 x 1,5 mm</t>
  </si>
  <si>
    <t>723163106RCH</t>
  </si>
  <si>
    <t>Potrubí z měděných plyn.trubek D 35 x 1,5 mm-chránička</t>
  </si>
  <si>
    <t>723235113R00</t>
  </si>
  <si>
    <t>Kohout kulový, vnitřní - vnitřní závit IVAR.KK G51, DN 25 mm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</si>
  <si>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</si>
  <si>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</si>
  <si>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</si>
  <si>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</si>
  <si>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</si>
  <si>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</si>
  <si>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723RS200VD</t>
  </si>
  <si>
    <t>Výchozí revize plynoinstalace páteřového rozvodu</t>
  </si>
  <si>
    <t>723RP01100010VD</t>
  </si>
  <si>
    <t>Označení sekčních ventlů stoupaček</t>
  </si>
  <si>
    <t>723110970VD</t>
  </si>
  <si>
    <t>Označení plynovodu žlutou samolepící fólií</t>
  </si>
  <si>
    <t>723260801R00</t>
  </si>
  <si>
    <t>Demontáž plynoměrů PS 2, PS 6, PS 10</t>
  </si>
  <si>
    <t>723160831R00</t>
  </si>
  <si>
    <t>Demontáž rozpěrky přípojek plynoměru, G 1</t>
  </si>
  <si>
    <t>723160804R00</t>
  </si>
  <si>
    <t>Demontáž přípojek k plynoměru,závitových G 1</t>
  </si>
  <si>
    <t>pár</t>
  </si>
  <si>
    <t>723160204R00</t>
  </si>
  <si>
    <t>Přípojka k plynoměru, závitová bez ochozu G 1</t>
  </si>
  <si>
    <t>723160334R00</t>
  </si>
  <si>
    <t>Rozpěrka přípojky plynoměru G 1</t>
  </si>
  <si>
    <t>723261912R00</t>
  </si>
  <si>
    <t>Oprava - montáž plynoměrů PS-2, PS-6</t>
  </si>
  <si>
    <t>723PLOMBPLVD</t>
  </si>
  <si>
    <t>Zaplombování plynoměrů včetně plomby</t>
  </si>
  <si>
    <t>723RP011001VD</t>
  </si>
  <si>
    <t>D-M Úložná konstrukce pro upevnění plynoměru</t>
  </si>
  <si>
    <t>723110980VD</t>
  </si>
  <si>
    <t>Ochranné pospojování rozvodu plynu</t>
  </si>
  <si>
    <t>723235111R00</t>
  </si>
  <si>
    <t>Kohout kulový,vnitřní-vnitřní z. IVAR.KK G51 DN 15</t>
  </si>
  <si>
    <t>723290823R00</t>
  </si>
  <si>
    <t>Přesun vybouraných hmot - plynovody, H 12 - 24 m</t>
  </si>
  <si>
    <t>998723203R00</t>
  </si>
  <si>
    <t>Přesun hmot pro vnitřní plynovod, výšky do 24 m</t>
  </si>
  <si>
    <t>723-02</t>
  </si>
  <si>
    <t>Bytový rozvod plynu</t>
  </si>
  <si>
    <t>723120804R00</t>
  </si>
  <si>
    <t>Demontáž potrubí svařovaného závitového do DN 25</t>
  </si>
  <si>
    <t>723163102R00</t>
  </si>
  <si>
    <t>Potrubí z měděných plyn.trubek D 15 x 1,0 mm</t>
  </si>
  <si>
    <t>723163103RCH</t>
  </si>
  <si>
    <t>Potrubí z měděných plyn.trubek D 18 x 1,0 mm-chránička</t>
  </si>
  <si>
    <t>723190251R00</t>
  </si>
  <si>
    <t>Vyvedení a upevnění plynovodních výpustek DN 15</t>
  </si>
  <si>
    <t>725610810R00</t>
  </si>
  <si>
    <t>Demontáž plynového sporáku</t>
  </si>
  <si>
    <t>725610911R00</t>
  </si>
  <si>
    <t>Zpětná montáž plynových sporáků bez úpravy instalace</t>
  </si>
  <si>
    <t>110MRBM0049VD</t>
  </si>
  <si>
    <t>Hadice Merabell Gas Profi s ventilem s tepelnou pojistkou G1/2"– bajonet 150cm</t>
  </si>
  <si>
    <t>723RS100VD</t>
  </si>
  <si>
    <t>Výchozí revize plynoinstalace bytu</t>
  </si>
  <si>
    <t>723-04</t>
  </si>
  <si>
    <t>Přeložka HUP</t>
  </si>
  <si>
    <t>Demontáž potrubí svařovaného závitového DN 25 - 50 mm</t>
  </si>
  <si>
    <t>723150343R00</t>
  </si>
  <si>
    <t>Zhotovení redukce DN 50/32 mm</t>
  </si>
  <si>
    <t>723163106R00</t>
  </si>
  <si>
    <t>Potrubí z měděných plynových trubek D 35 x 1,5 mm</t>
  </si>
  <si>
    <t>723163107R00</t>
  </si>
  <si>
    <t>Potrubí z měděných plynových trubek D 42 x 1,5 mm-chránička</t>
  </si>
  <si>
    <t>723235114R00</t>
  </si>
  <si>
    <t>Kohout kulový, vnitřní - vnitřní závit IVAR.KK G51, DN 32 mm</t>
  </si>
  <si>
    <t>723MONHUPVD</t>
  </si>
  <si>
    <t>Montáž skříně HUP na fasádu</t>
  </si>
  <si>
    <t>110PLHUP553VD</t>
  </si>
  <si>
    <t>Plastová skříň HUP 500 x 500 x 300 mm</t>
  </si>
  <si>
    <t>998723202R00</t>
  </si>
  <si>
    <t>Přesun hmot pro vnitřní plynovod, výšky do 12 m</t>
  </si>
  <si>
    <t>760</t>
  </si>
  <si>
    <t>Související stavební práce</t>
  </si>
  <si>
    <t>34</t>
  </si>
  <si>
    <t>Stěny a příčky</t>
  </si>
  <si>
    <t>342263423DVD</t>
  </si>
  <si>
    <t>Demontáž stávajících revizních dvířek do instalační šachty</t>
  </si>
  <si>
    <t>342020110VD</t>
  </si>
  <si>
    <t>Montáž dělící stěny ze SDK mezi WC a instalační šachtou</t>
  </si>
  <si>
    <t>900020110VD</t>
  </si>
  <si>
    <t>Dělící stěna ze sádrokartonu mezi WC a instalační šachtou</t>
  </si>
  <si>
    <t>342263420R00</t>
  </si>
  <si>
    <t>Osazení revizních dvířek do SDK příček, do 0,55 m2</t>
  </si>
  <si>
    <t>76657900VD</t>
  </si>
  <si>
    <t>Aqualine Revizní dvířka, 72x72cm, bílá</t>
  </si>
  <si>
    <t>346244371RT2</t>
  </si>
  <si>
    <t>Zazdívka rýh, potrubí, kapes cihlami tl. 14 cm</t>
  </si>
  <si>
    <t>m2</t>
  </si>
  <si>
    <t>999281111R00</t>
  </si>
  <si>
    <t>Přesun hmot pro opravy a údržbu do výšky 25 m</t>
  </si>
  <si>
    <t>411</t>
  </si>
  <si>
    <t>konstrukce plošné</t>
  </si>
  <si>
    <t>411351902R00</t>
  </si>
  <si>
    <t>Bednění prostupů ve stropních deskách plochy do 0,25 m2</t>
  </si>
  <si>
    <t>411387531R00</t>
  </si>
  <si>
    <t>Zabetonování otvorů do 0,25 m2 ve stropech a klenbách</t>
  </si>
  <si>
    <t>74</t>
  </si>
  <si>
    <t>Elektromontážní práce (silnoproud)</t>
  </si>
  <si>
    <t>740OCHPBYTVD</t>
  </si>
  <si>
    <t>Montáž a dodávka ochranného pospojování v bytě</t>
  </si>
  <si>
    <t>767</t>
  </si>
  <si>
    <t>Konstrukce doplňkové stavební (zámečnické)</t>
  </si>
  <si>
    <t>767884221RT4</t>
  </si>
  <si>
    <t>Konzola,2 upevňovací body,hmoždinka+vrut,ALK 27/18</t>
  </si>
  <si>
    <t>ks</t>
  </si>
  <si>
    <t>11022021000VD</t>
  </si>
  <si>
    <t>Nosník pozinkovaný 40/20 x 2 x 1000mm</t>
  </si>
  <si>
    <t>11035202101VD</t>
  </si>
  <si>
    <t>Konzolový držák nosníků pozinkovnaý otočený pro C 40</t>
  </si>
  <si>
    <t>998767203R00</t>
  </si>
  <si>
    <t>Přesun hmot pro zámečnické konstr., výšky do 24 m</t>
  </si>
  <si>
    <t>781</t>
  </si>
  <si>
    <t>Obklady (keramické)</t>
  </si>
  <si>
    <t>781101210R00</t>
  </si>
  <si>
    <t>Penetrace podkladu pod obklady</t>
  </si>
  <si>
    <t>781210131R00</t>
  </si>
  <si>
    <t>Obkládání stěn obkl. pórovin. do tmele do 300x300</t>
  </si>
  <si>
    <t>597813713</t>
  </si>
  <si>
    <t>Obkládačka 25x33 - nutno upřesnit dle skutečnosti v jednotlivých bytech</t>
  </si>
  <si>
    <t>781421902R00</t>
  </si>
  <si>
    <t>Oprava obkladů z obkladaček 300x150</t>
  </si>
  <si>
    <t>998781203R00</t>
  </si>
  <si>
    <t>Přesun hmot pro obklady keramické, výšky do 24 m</t>
  </si>
  <si>
    <t>783</t>
  </si>
  <si>
    <t>Nátěry</t>
  </si>
  <si>
    <t>783893114R00</t>
  </si>
  <si>
    <t>Nátěr betonové přepážky instalační šachty požárně ochrannou nátěrovou hmotou</t>
  </si>
  <si>
    <t>900484100VD</t>
  </si>
  <si>
    <t>PROMASEAL®-A spray - požárně odolná nátěrová hmota</t>
  </si>
  <si>
    <t>kg</t>
  </si>
  <si>
    <t>784</t>
  </si>
  <si>
    <t>Malby</t>
  </si>
  <si>
    <t>784442001R00</t>
  </si>
  <si>
    <t>Malba disperzní interiér.HET Klasik,výška do 3,8 m</t>
  </si>
  <si>
    <t>95</t>
  </si>
  <si>
    <t>Různé dokončovací konstrukce a práce na pozemních stavbách</t>
  </si>
  <si>
    <t>952902110R00</t>
  </si>
  <si>
    <t>Čištění zametáním v místnostech a chodbách</t>
  </si>
  <si>
    <t>96</t>
  </si>
  <si>
    <t>Bourání konstrukcí</t>
  </si>
  <si>
    <t>962031143RDP</t>
  </si>
  <si>
    <t>Bourání dělících příček do tl. 100 mm</t>
  </si>
  <si>
    <t>97</t>
  </si>
  <si>
    <t>Prorážení otvorů a ostatní bourací práce</t>
  </si>
  <si>
    <t>972054341R00</t>
  </si>
  <si>
    <t>Vybourání otv. stropy ŽB pl. 0,25 m2, tl. 15 cm</t>
  </si>
  <si>
    <t>970051130R00</t>
  </si>
  <si>
    <t>Vrtání jádrové do ŽB do D 130 mm</t>
  </si>
  <si>
    <t>970054130R00</t>
  </si>
  <si>
    <t>Příp. za jádr. vrt. vodor. ve stěně ŽB do D 130 mm</t>
  </si>
  <si>
    <t>970057130R00</t>
  </si>
  <si>
    <t>Příp. za časté přem. str. jád. vrt. ŽB do D 130 mm</t>
  </si>
  <si>
    <t>970053130R00</t>
  </si>
  <si>
    <t>Příp. za jádr. vrt. ve H nad 1,5 m ŽB do D 130 mm</t>
  </si>
  <si>
    <t>S</t>
  </si>
  <si>
    <t>Přesuny sutí</t>
  </si>
  <si>
    <t>979097012R00</t>
  </si>
  <si>
    <t>Pronájem kontejneru 7 t</t>
  </si>
  <si>
    <t>den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</si>
  <si>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</si>
  <si>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</si>
  <si>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</si>
  <si>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</si>
  <si>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</si>
  <si>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</si>
  <si>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979086213R00</t>
  </si>
  <si>
    <t>Nakládání vybouraných hmot na dopravní prostředek</t>
  </si>
  <si>
    <t>979081111RT2</t>
  </si>
  <si>
    <t>Odvoz suti a vybour. hmot na skládku do 1 km</t>
  </si>
  <si>
    <t>979081121RT2</t>
  </si>
  <si>
    <t>Příplatek k odvozu za každý další 1 km</t>
  </si>
  <si>
    <t>979990107R00</t>
  </si>
  <si>
    <t>Poplatek za skládku suti - směs betonu,cihel,dřeva</t>
  </si>
  <si>
    <t>VRN</t>
  </si>
  <si>
    <t>Vedlejší rozpočtové náklady</t>
  </si>
  <si>
    <t>VORN</t>
  </si>
  <si>
    <t>Vedlejší a ostatní rozpočtové náklady</t>
  </si>
  <si>
    <t>01VRN</t>
  </si>
  <si>
    <t>Průzkumy, geodetické a projektové práce</t>
  </si>
  <si>
    <t>011002VRN</t>
  </si>
  <si>
    <t>Průzkumy</t>
  </si>
  <si>
    <t>hod</t>
  </si>
  <si>
    <t>03VRN</t>
  </si>
  <si>
    <t>Zařízení staveniště</t>
  </si>
  <si>
    <t>030001VRN</t>
  </si>
  <si>
    <t>Soubor</t>
  </si>
  <si>
    <t>035002VRN</t>
  </si>
  <si>
    <t>Pronájem zařízení a místa</t>
  </si>
  <si>
    <t>07VRN</t>
  </si>
  <si>
    <t>Provozní vlivy</t>
  </si>
  <si>
    <t>070001VRN</t>
  </si>
  <si>
    <t>Celkem:</t>
  </si>
  <si>
    <t>07.01.2025</t>
  </si>
  <si>
    <t>IČO/DIČ:</t>
  </si>
  <si>
    <t>04194438/neplátce DPH</t>
  </si>
  <si>
    <t>48817767/</t>
  </si>
  <si>
    <t>Položek:</t>
  </si>
  <si>
    <t>Datum:</t>
  </si>
  <si>
    <t>Náklady na umístění stavby (NUS)</t>
  </si>
  <si>
    <t>Práce přesčas</t>
  </si>
  <si>
    <t>Montáž</t>
  </si>
  <si>
    <t>Bez pevné podl.</t>
  </si>
  <si>
    <t>Mimostav. doprava</t>
  </si>
  <si>
    <t>Kulturní památka</t>
  </si>
  <si>
    <t>Územní vlivy</t>
  </si>
  <si>
    <t>Ostatní</t>
  </si>
  <si>
    <t>NUS z rozpočtu</t>
  </si>
  <si>
    <t>Poznámka: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</si>
  <si>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</si>
  <si>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</si>
  <si>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</si>
  <si>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</si>
  <si>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</si>
  <si>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</si>
  <si>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</si>
  <si>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</si>
  <si>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</si>
  <si>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</si>
  <si>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</si>
  <si>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</si>
  <si>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</si>
  <si>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</si>
  <si>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</si>
  <si>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</si>
  <si>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Oprava rozvodů kanalizace, vody a plynu v bytovém domě Studenstská 1557 Havířov</t>
  </si>
  <si>
    <t>Společenstní vlastníků Studenstká 1557 Havířov</t>
  </si>
  <si>
    <t>Ing. Radim Kyjonka</t>
  </si>
  <si>
    <t> </t>
  </si>
  <si>
    <t>Cena/MJ</t>
  </si>
  <si>
    <t>Sazba DPH</t>
  </si>
  <si>
    <t>Náklady (Kč)</t>
  </si>
  <si>
    <t>Hmotnost (t)</t>
  </si>
  <si>
    <t>Cenová</t>
  </si>
  <si>
    <t>VATTAX</t>
  </si>
  <si>
    <t>Rozměry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</si>
  <si>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</si>
  <si>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</si>
  <si>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</si>
  <si>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</si>
  <si>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</si>
  <si>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</si>
  <si>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</si>
  <si>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</si>
  <si>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</si>
  <si>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</si>
  <si>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</si>
  <si>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</si>
  <si>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</si>
  <si>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</si>
  <si>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</si>
  <si>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</si>
  <si>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</si>
  <si>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</si>
  <si>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</si>
  <si>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</t>
  </si>
  <si>
    <t>RTS II / 2024</t>
  </si>
  <si>
    <t>7</t>
  </si>
  <si>
    <t>721_</t>
  </si>
  <si>
    <t>721-01_72_</t>
  </si>
  <si>
    <t>721-01_</t>
  </si>
  <si>
    <t>2</t>
  </si>
  <si>
    <t>3</t>
  </si>
  <si>
    <t>4</t>
  </si>
  <si>
    <t>RTS I / 2024</t>
  </si>
  <si>
    <t>5</t>
  </si>
  <si>
    <t>6</t>
  </si>
  <si>
    <t>713_</t>
  </si>
  <si>
    <t>721-02_71_</t>
  </si>
  <si>
    <t>721-02_</t>
  </si>
  <si>
    <t>RTS komentář:</t>
  </si>
  <si>
    <t>Požárně ochranná manžeta Promastop tvoří přepážku pro hořlavé potrubí, hodnota požární odolnosti EI 90. Ke stěně nebo stropu se připojuje pomocí rozpěrné hmoždinky se šroubem. D = vnější průměr trubky. Katalogový list 501.30</t>
  </si>
  <si>
    <t>8</t>
  </si>
  <si>
    <t>721-02_72_</t>
  </si>
  <si>
    <t>9</t>
  </si>
  <si>
    <t>Položka je určena i pro přechod na olověné trouby a pro DN 50/100 a 70/100.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</si>
  <si>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</si>
  <si>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</si>
  <si>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</si>
  <si>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</si>
  <si>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</si>
  <si>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</si>
  <si>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</si>
  <si>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</si>
  <si>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</si>
  <si>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 xml:space="preserve">vodorovně do 100 </t>
  </si>
  <si>
    <t>20</t>
  </si>
  <si>
    <t>21</t>
  </si>
  <si>
    <t>722_</t>
  </si>
  <si>
    <t>722-01_72_</t>
  </si>
  <si>
    <t>722-01_</t>
  </si>
  <si>
    <t>22</t>
  </si>
  <si>
    <t>23</t>
  </si>
  <si>
    <t>24</t>
  </si>
  <si>
    <t>25</t>
  </si>
  <si>
    <t>26</t>
  </si>
  <si>
    <t>27</t>
  </si>
  <si>
    <t>28</t>
  </si>
  <si>
    <t>29</t>
  </si>
  <si>
    <t>V položce je kalkulována dodávka izolační trubice, spon a lepicí pásky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</si>
  <si>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</si>
  <si>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</si>
  <si>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</si>
  <si>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</si>
  <si>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</si>
  <si>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</si>
  <si>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</si>
  <si>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</si>
  <si>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</si>
  <si>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</si>
  <si>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</si>
  <si>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</si>
  <si>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</si>
  <si>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</si>
  <si>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</si>
  <si>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</si>
  <si>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</si>
  <si>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</si>
  <si>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</si>
  <si>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</si>
  <si>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</si>
  <si>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</si>
  <si>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</si>
  <si>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</si>
  <si>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</si>
  <si>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</si>
  <si>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vodorovně do 100 m</t>
  </si>
  <si>
    <t>57</t>
  </si>
  <si>
    <t>58</t>
  </si>
  <si>
    <t>722-02_72_</t>
  </si>
  <si>
    <t>722-02_</t>
  </si>
  <si>
    <t>59</t>
  </si>
  <si>
    <t>60</t>
  </si>
  <si>
    <t>V položkách jsou započteny náklady na dodávku potrubí a tvarovek včetně montáže.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</si>
  <si>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</si>
  <si>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</si>
  <si>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</si>
  <si>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</si>
  <si>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</si>
  <si>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</si>
  <si>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</si>
  <si>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</si>
  <si>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</si>
  <si>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</si>
  <si>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</si>
  <si>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</si>
  <si>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</si>
  <si>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</si>
  <si>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</si>
  <si>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</si>
  <si>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</si>
  <si>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</si>
  <si>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</si>
  <si>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</si>
  <si>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</si>
  <si>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725_</t>
  </si>
  <si>
    <t>83</t>
  </si>
  <si>
    <t>84</t>
  </si>
  <si>
    <t>85</t>
  </si>
  <si>
    <t>723_</t>
  </si>
  <si>
    <t>723-01_72_</t>
  </si>
  <si>
    <t>723-01_</t>
  </si>
  <si>
    <t>86</t>
  </si>
  <si>
    <t>V položkách jsou započteny náklady na dodávku potrubí a tvarovek včetně montáže</t>
  </si>
  <si>
    <t>87</t>
  </si>
  <si>
    <t>88</t>
  </si>
  <si>
    <t>89</t>
  </si>
  <si>
    <t>90</t>
  </si>
  <si>
    <t>91</t>
  </si>
  <si>
    <t>92</t>
  </si>
  <si>
    <t>93</t>
  </si>
  <si>
    <t>94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</si>
  <si>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</si>
  <si>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</si>
  <si>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</si>
  <si>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</si>
  <si>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</si>
  <si>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</si>
  <si>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</si>
  <si>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</si>
  <si>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</si>
  <si>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</si>
  <si>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723-02_72_</t>
  </si>
  <si>
    <t>723-02_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</si>
  <si>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</si>
  <si>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</si>
  <si>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</si>
  <si>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</si>
  <si>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</si>
  <si>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</si>
  <si>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</si>
  <si>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</si>
  <si>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</si>
  <si>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</si>
  <si>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</si>
  <si>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</si>
  <si>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</si>
  <si>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723-04_72_</t>
  </si>
  <si>
    <t>723-04_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</si>
  <si>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</si>
  <si>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</si>
  <si>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</si>
  <si>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</si>
  <si>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</si>
  <si>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</si>
  <si>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</si>
  <si>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</si>
  <si>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</si>
  <si>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</si>
  <si>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</si>
  <si>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RTS I / 2023</t>
  </si>
  <si>
    <t>34_</t>
  </si>
  <si>
    <t>760_3_</t>
  </si>
  <si>
    <t>760_</t>
  </si>
  <si>
    <t>132</t>
  </si>
  <si>
    <t>133</t>
  </si>
  <si>
    <t>134</t>
  </si>
  <si>
    <t>Položka obsahuje vytvoření otvoru a osazení rámu s dvířky včetně prošroubování. Dodávka dvířek se ocení ve specifikaci, ztratné se nestanoví.</t>
  </si>
  <si>
    <t>135</t>
  </si>
  <si>
    <t>136</t>
  </si>
  <si>
    <t>V položce jsou zakalkulovány i náklady na pomocné lešení o výšce podlahy do 1900 mm a pro zatížení do 1,5 kP</t>
  </si>
  <si>
    <t>137</t>
  </si>
  <si>
    <t>138</t>
  </si>
  <si>
    <t>411_</t>
  </si>
  <si>
    <t>760_4_</t>
  </si>
  <si>
    <t>139</t>
  </si>
  <si>
    <t>V položce jsou zakalkulovány i náklady na bednění a odbednění konstrukce a na dodávku a uložení potřebné výztuže</t>
  </si>
  <si>
    <t>140</t>
  </si>
  <si>
    <t>141</t>
  </si>
  <si>
    <t>74_</t>
  </si>
  <si>
    <t>760_74_</t>
  </si>
  <si>
    <t>142</t>
  </si>
  <si>
    <t>767_</t>
  </si>
  <si>
    <t>760_76_</t>
  </si>
  <si>
    <t>143</t>
  </si>
  <si>
    <t>144</t>
  </si>
  <si>
    <t>145</t>
  </si>
  <si>
    <t>146</t>
  </si>
  <si>
    <t>781_</t>
  </si>
  <si>
    <t>760_78_</t>
  </si>
  <si>
    <t>Položka obsahuje provedení penetračního nátěru včetně dodávky materiálu.</t>
  </si>
  <si>
    <t>147</t>
  </si>
  <si>
    <t>Položka je určena pro obkládání stěn z obkladaček pórovinových (bělninových), na tmel, kladených rovnoběžně s podlahou. Položka obsahuje:  - očištění podkladu od nesoudržných částic, - rozměření plochy,  - rozbalení balíků, třídění nebo rozpojení obkladaček dodávaných v blocích, - příprava a nanesení tmelu na plochu, - řezání obkladaček, - kladení obkladaček, - spárování, čištění obkladu, odnesení odpadu na vykázané místo. Položka neobsahuje žádný materiál. Skládání složitých vzorů a tvarů se oceňuje individuálně.</t>
  </si>
  <si>
    <t>148</t>
  </si>
  <si>
    <t>glazované keramické obkladové prvk</t>
  </si>
  <si>
    <t>149</t>
  </si>
  <si>
    <t>150</t>
  </si>
  <si>
    <t>151</t>
  </si>
  <si>
    <t>783_</t>
  </si>
  <si>
    <t>152</t>
  </si>
  <si>
    <t>153</t>
  </si>
  <si>
    <t>784_</t>
  </si>
  <si>
    <t>154</t>
  </si>
  <si>
    <t>95_</t>
  </si>
  <si>
    <t>760_9_</t>
  </si>
  <si>
    <t>155</t>
  </si>
  <si>
    <t>RTS II / 2023</t>
  </si>
  <si>
    <t>96_</t>
  </si>
  <si>
    <t>156</t>
  </si>
  <si>
    <t>97_</t>
  </si>
  <si>
    <t>V položce není kalkulována manipulace se sutí, která se oceňuje samostatně položkami souboru 979</t>
  </si>
  <si>
    <t>157</t>
  </si>
  <si>
    <t>158</t>
  </si>
  <si>
    <t>Příplatek za jádrové vrtání vodorovně ve stěně ŽB do 130 mm</t>
  </si>
  <si>
    <t>159</t>
  </si>
  <si>
    <t>Příplatek za časté přemístění stroje jádrového vrtání ŽB do 130 mm</t>
  </si>
  <si>
    <t>160</t>
  </si>
  <si>
    <t>Příplatek za jádrové vrtání ve výšce nad 1,5 m ŽB do 130 mm</t>
  </si>
  <si>
    <t>161</t>
  </si>
  <si>
    <t>S_</t>
  </si>
  <si>
    <t>162</t>
  </si>
  <si>
    <t>Položka je určena pro dopravu suti a vybouraných hmot za prvé podlaží nad nebo pod základním podlažím. Svislá doprava suti ze základního podlaží se neoceňuje. Základním podlažím je zpravidla přízemí.</t>
  </si>
  <si>
    <t>163</t>
  </si>
  <si>
    <t>164</t>
  </si>
  <si>
    <t>Včetně případného složení na staveništní deponii.</t>
  </si>
  <si>
    <t>165</t>
  </si>
  <si>
    <t>Nakládání ro vodorovnou dopravu.</t>
  </si>
  <si>
    <t>166</t>
  </si>
  <si>
    <t>167</t>
  </si>
  <si>
    <t>168</t>
  </si>
  <si>
    <t>169</t>
  </si>
  <si>
    <t>01VRN_</t>
  </si>
  <si>
    <t>VRN_Â _</t>
  </si>
  <si>
    <t>VRN_</t>
  </si>
  <si>
    <t>170</t>
  </si>
  <si>
    <t>03VRN_</t>
  </si>
  <si>
    <t>171</t>
  </si>
  <si>
    <t>172</t>
  </si>
  <si>
    <t>07VRN_</t>
  </si>
  <si>
    <t>Stavební rozpočet slepý</t>
  </si>
  <si>
    <t>Plynovod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</si>
</sst>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4" fontId="2" fillId="0" borderId="34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right" vertical="center"/>
    </xf>
    <xf numFmtId="4" fontId="3" fillId="0" borderId="38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5" xfId="0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4" fontId="4" fillId="0" borderId="39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2"/>
  <sheetViews>
    <sheetView tabSelected="1" workbookViewId="0">
      <selection activeCell="D4" sqref="D4:D5"/>
    </sheetView>
  </sheetViews>
  <sheetFormatPr defaultColWidth="12.140625" defaultRowHeight="15" customHeight="1" x14ac:dyDescent="0.25"/>
  <cols>
    <col min="1" max="1" width="4.28515625" customWidth="1"/>
    <col min="2" max="2" width="7.85546875" customWidth="1"/>
    <col min="3" max="3" width="17.140625" customWidth="1"/>
    <col min="4" max="4" width="44" customWidth="1"/>
    <col min="5" max="5" width="11.42578125" customWidth="1"/>
    <col min="6" max="6" width="5" customWidth="1"/>
    <col min="7" max="8" width="11.42578125" customWidth="1"/>
    <col min="9" max="9" width="6.85546875" customWidth="1"/>
    <col min="10" max="10" width="9.5703125" customWidth="1"/>
    <col min="11" max="11" width="20.5703125" customWidth="1"/>
    <col min="12" max="12" width="20.28515625" customWidth="1"/>
    <col min="230" max="231" width="12.140625" hidden="1"/>
    <col min="251" max="254" width="12.140625" hidden="1"/>
  </cols>
  <sheetData>
    <row r="1" spans="1:253" ht="54.75" customHeight="1" x14ac:dyDescent="0.25">
      <c r="A1" s="67" t="s">
        <v>694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253" x14ac:dyDescent="0.25">
      <c r="A2" s="68" t="s">
        <v>1</v>
      </c>
      <c r="B2" s="69"/>
      <c r="C2" s="69"/>
      <c r="D2" s="75" t="str">
        <f>'Stavební rozpočet'!D2</f>
        <v>Oprava rozvodů kanalizace, vody a plynu v bytovém domě Studenstská 1557 Havířov</v>
      </c>
      <c r="E2" s="69" t="s">
        <v>2</v>
      </c>
      <c r="F2" s="69"/>
      <c r="G2" s="78" t="str">
        <f>'Stavební rozpočet'!H2</f>
        <v xml:space="preserve"> </v>
      </c>
      <c r="H2" s="78" t="s">
        <v>3</v>
      </c>
      <c r="I2" s="78" t="str">
        <f>'Stavební rozpočet'!J2</f>
        <v>Společenstní vlastníků Studenstká 1557 Havířov</v>
      </c>
      <c r="J2" s="69"/>
      <c r="K2" s="69"/>
      <c r="L2" s="79"/>
    </row>
    <row r="3" spans="1:253" ht="15" customHeight="1" x14ac:dyDescent="0.25">
      <c r="A3" s="70"/>
      <c r="B3" s="71"/>
      <c r="C3" s="71"/>
      <c r="D3" s="76"/>
      <c r="E3" s="71"/>
      <c r="F3" s="71"/>
      <c r="G3" s="71"/>
      <c r="H3" s="71"/>
      <c r="I3" s="71"/>
      <c r="J3" s="71"/>
      <c r="K3" s="71"/>
      <c r="L3" s="80"/>
    </row>
    <row r="4" spans="1:253" x14ac:dyDescent="0.25">
      <c r="A4" s="72" t="s">
        <v>4</v>
      </c>
      <c r="B4" s="71"/>
      <c r="C4" s="71"/>
      <c r="D4" s="126" t="s">
        <v>695</v>
      </c>
      <c r="E4" s="71" t="s">
        <v>5</v>
      </c>
      <c r="F4" s="71"/>
      <c r="G4" s="77" t="str">
        <f>'Stavební rozpočet'!H4</f>
        <v xml:space="preserve"> </v>
      </c>
      <c r="H4" s="77" t="s">
        <v>6</v>
      </c>
      <c r="I4" s="77" t="str">
        <f>'Stavební rozpočet'!J4</f>
        <v>Ing. Radim Kyjonka</v>
      </c>
      <c r="J4" s="71"/>
      <c r="K4" s="71"/>
      <c r="L4" s="80"/>
    </row>
    <row r="5" spans="1:253" ht="15" customHeight="1" x14ac:dyDescent="0.25">
      <c r="A5" s="70"/>
      <c r="B5" s="71"/>
      <c r="C5" s="71"/>
      <c r="D5" s="127"/>
      <c r="E5" s="71"/>
      <c r="F5" s="71"/>
      <c r="G5" s="71"/>
      <c r="H5" s="71"/>
      <c r="I5" s="71"/>
      <c r="J5" s="71"/>
      <c r="K5" s="71"/>
      <c r="L5" s="80"/>
    </row>
    <row r="6" spans="1:253" x14ac:dyDescent="0.25">
      <c r="A6" s="72" t="s">
        <v>7</v>
      </c>
      <c r="B6" s="71"/>
      <c r="C6" s="71"/>
      <c r="D6" s="77" t="str">
        <f>'Stavební rozpočet'!D6</f>
        <v xml:space="preserve"> </v>
      </c>
      <c r="E6" s="71" t="s">
        <v>8</v>
      </c>
      <c r="F6" s="71"/>
      <c r="G6" s="77" t="str">
        <f>'Stavební rozpočet'!H6</f>
        <v xml:space="preserve"> </v>
      </c>
      <c r="H6" s="77" t="s">
        <v>9</v>
      </c>
      <c r="I6" s="77" t="str">
        <f>'Stavební rozpočet'!J6</f>
        <v> </v>
      </c>
      <c r="J6" s="71"/>
      <c r="K6" s="71"/>
      <c r="L6" s="80"/>
    </row>
    <row r="7" spans="1:253" ht="15" customHeigh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80"/>
    </row>
    <row r="8" spans="1:253" x14ac:dyDescent="0.25">
      <c r="A8" s="72" t="s">
        <v>10</v>
      </c>
      <c r="B8" s="71"/>
      <c r="C8" s="71"/>
      <c r="D8" s="77" t="str">
        <f>'Stavební rozpočet'!D8</f>
        <v xml:space="preserve"> </v>
      </c>
      <c r="E8" s="71" t="s">
        <v>11</v>
      </c>
      <c r="F8" s="71"/>
      <c r="G8" s="77" t="str">
        <f>'Stavební rozpočet'!H8</f>
        <v>07.01.2025</v>
      </c>
      <c r="H8" s="77" t="s">
        <v>12</v>
      </c>
      <c r="I8" s="77" t="str">
        <f>'Stavební rozpočet'!J8</f>
        <v>Ing. Radim Kyjonka</v>
      </c>
      <c r="J8" s="71"/>
      <c r="K8" s="71"/>
      <c r="L8" s="80"/>
    </row>
    <row r="9" spans="1:253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81"/>
    </row>
    <row r="10" spans="1:253" x14ac:dyDescent="0.25">
      <c r="A10" s="6" t="s">
        <v>13</v>
      </c>
      <c r="B10" s="6" t="s">
        <v>14</v>
      </c>
      <c r="C10" s="6" t="s">
        <v>15</v>
      </c>
      <c r="D10" s="64" t="s">
        <v>16</v>
      </c>
      <c r="E10" s="65"/>
      <c r="F10" s="65"/>
      <c r="G10" s="65"/>
      <c r="H10" s="66"/>
      <c r="I10" s="6" t="s">
        <v>17</v>
      </c>
      <c r="J10" s="6" t="s">
        <v>18</v>
      </c>
      <c r="K10" s="6" t="s">
        <v>19</v>
      </c>
      <c r="L10" s="7" t="s">
        <v>20</v>
      </c>
      <c r="HV10" s="8" t="s">
        <v>21</v>
      </c>
      <c r="HW10" s="8" t="s">
        <v>22</v>
      </c>
    </row>
    <row r="11" spans="1:253" x14ac:dyDescent="0.25">
      <c r="A11" s="11" t="s">
        <v>23</v>
      </c>
      <c r="B11" s="12" t="s">
        <v>193</v>
      </c>
      <c r="C11" s="12" t="s">
        <v>25</v>
      </c>
      <c r="D11" s="84" t="s">
        <v>194</v>
      </c>
      <c r="E11" s="85"/>
      <c r="F11" s="85"/>
      <c r="G11" s="85"/>
      <c r="H11" s="85"/>
      <c r="I11" s="12" t="s">
        <v>23</v>
      </c>
      <c r="J11" s="13" t="s">
        <v>23</v>
      </c>
      <c r="K11" s="13"/>
      <c r="L11" s="14">
        <f>L12</f>
        <v>0</v>
      </c>
    </row>
    <row r="12" spans="1:253" x14ac:dyDescent="0.25">
      <c r="A12" s="11" t="s">
        <v>23</v>
      </c>
      <c r="B12" s="12" t="s">
        <v>193</v>
      </c>
      <c r="C12" s="12" t="s">
        <v>195</v>
      </c>
      <c r="D12" s="84" t="s">
        <v>196</v>
      </c>
      <c r="E12" s="85"/>
      <c r="F12" s="85"/>
      <c r="G12" s="85"/>
      <c r="H12" s="85"/>
      <c r="I12" s="12" t="s">
        <v>23</v>
      </c>
      <c r="J12" s="13" t="s">
        <v>23</v>
      </c>
      <c r="K12" s="13"/>
      <c r="L12" s="14">
        <f>SUM(L13:L34)</f>
        <v>0</v>
      </c>
    </row>
    <row r="13" spans="1:253" x14ac:dyDescent="0.25">
      <c r="A13" s="15">
        <v>85</v>
      </c>
      <c r="B13" s="2" t="s">
        <v>193</v>
      </c>
      <c r="C13" s="2" t="s">
        <v>197</v>
      </c>
      <c r="D13" s="77" t="s">
        <v>198</v>
      </c>
      <c r="E13" s="71"/>
      <c r="F13" s="71"/>
      <c r="G13" s="71"/>
      <c r="H13" s="71"/>
      <c r="I13" s="2" t="s">
        <v>31</v>
      </c>
      <c r="J13" s="16">
        <v>66</v>
      </c>
      <c r="K13" s="16"/>
      <c r="L13" s="17">
        <f t="shared" ref="L13:L34" si="0">IR13*J13+IS13*J13</f>
        <v>0</v>
      </c>
      <c r="HV13" s="2" t="s">
        <v>195</v>
      </c>
      <c r="HW13" s="2" t="s">
        <v>32</v>
      </c>
      <c r="IR13" s="18">
        <f>K13*0.884450262</f>
        <v>0</v>
      </c>
      <c r="IS13" s="18">
        <f>K13*(1-0.884450262)</f>
        <v>0</v>
      </c>
    </row>
    <row r="14" spans="1:253" x14ac:dyDescent="0.25">
      <c r="A14" s="15">
        <v>86</v>
      </c>
      <c r="B14" s="2" t="s">
        <v>193</v>
      </c>
      <c r="C14" s="2" t="s">
        <v>199</v>
      </c>
      <c r="D14" s="77" t="s">
        <v>200</v>
      </c>
      <c r="E14" s="71"/>
      <c r="F14" s="71"/>
      <c r="G14" s="71"/>
      <c r="H14" s="71"/>
      <c r="I14" s="2" t="s">
        <v>31</v>
      </c>
      <c r="J14" s="16">
        <v>66</v>
      </c>
      <c r="K14" s="16"/>
      <c r="L14" s="17">
        <f t="shared" si="0"/>
        <v>0</v>
      </c>
      <c r="HV14" s="2" t="s">
        <v>195</v>
      </c>
      <c r="HW14" s="2" t="s">
        <v>32</v>
      </c>
      <c r="IR14" s="18">
        <f>K14*0.758216433</f>
        <v>0</v>
      </c>
      <c r="IS14" s="18">
        <f>K14*(1-0.758216433)</f>
        <v>0</v>
      </c>
    </row>
    <row r="15" spans="1:253" x14ac:dyDescent="0.25">
      <c r="A15" s="15">
        <v>87</v>
      </c>
      <c r="B15" s="2" t="s">
        <v>193</v>
      </c>
      <c r="C15" s="2" t="s">
        <v>201</v>
      </c>
      <c r="D15" s="77" t="s">
        <v>202</v>
      </c>
      <c r="E15" s="71"/>
      <c r="F15" s="71"/>
      <c r="G15" s="71"/>
      <c r="H15" s="71"/>
      <c r="I15" s="2" t="s">
        <v>31</v>
      </c>
      <c r="J15" s="16">
        <v>8.1999999999999993</v>
      </c>
      <c r="K15" s="16"/>
      <c r="L15" s="17">
        <f t="shared" si="0"/>
        <v>0</v>
      </c>
      <c r="HV15" s="2" t="s">
        <v>195</v>
      </c>
      <c r="HW15" s="2" t="s">
        <v>32</v>
      </c>
      <c r="IR15" s="18">
        <f>K15*0.80177043</f>
        <v>0</v>
      </c>
      <c r="IS15" s="18">
        <f>K15*(1-0.80177043)</f>
        <v>0</v>
      </c>
    </row>
    <row r="16" spans="1:253" x14ac:dyDescent="0.25">
      <c r="A16" s="15">
        <v>88</v>
      </c>
      <c r="B16" s="2" t="s">
        <v>193</v>
      </c>
      <c r="C16" s="2" t="s">
        <v>203</v>
      </c>
      <c r="D16" s="77" t="s">
        <v>204</v>
      </c>
      <c r="E16" s="71"/>
      <c r="F16" s="71"/>
      <c r="G16" s="71"/>
      <c r="H16" s="71"/>
      <c r="I16" s="2" t="s">
        <v>35</v>
      </c>
      <c r="J16" s="16">
        <v>18</v>
      </c>
      <c r="K16" s="16"/>
      <c r="L16" s="17">
        <f t="shared" si="0"/>
        <v>0</v>
      </c>
      <c r="HV16" s="2" t="s">
        <v>195</v>
      </c>
      <c r="HW16" s="2" t="s">
        <v>32</v>
      </c>
      <c r="IR16" s="18">
        <f>K16*0.84311753</f>
        <v>0</v>
      </c>
      <c r="IS16" s="18">
        <f>K16*(1-0.84311753)</f>
        <v>0</v>
      </c>
    </row>
    <row r="17" spans="1:253" x14ac:dyDescent="0.25">
      <c r="A17" s="15">
        <v>89</v>
      </c>
      <c r="B17" s="2" t="s">
        <v>193</v>
      </c>
      <c r="C17" s="2" t="s">
        <v>205</v>
      </c>
      <c r="D17" s="77" t="s">
        <v>206</v>
      </c>
      <c r="E17" s="71"/>
      <c r="F17" s="71"/>
      <c r="G17" s="71"/>
      <c r="H17" s="71"/>
      <c r="I17" s="2" t="s">
        <v>31</v>
      </c>
      <c r="J17" s="16">
        <v>87</v>
      </c>
      <c r="K17" s="16"/>
      <c r="L17" s="17">
        <f t="shared" si="0"/>
        <v>0</v>
      </c>
      <c r="HV17" s="2" t="s">
        <v>195</v>
      </c>
      <c r="HW17" s="2" t="s">
        <v>32</v>
      </c>
      <c r="IR17" s="18">
        <f>K17*0</f>
        <v>0</v>
      </c>
      <c r="IS17" s="18">
        <f>K17*(1-0)</f>
        <v>0</v>
      </c>
    </row>
    <row r="18" spans="1:253" x14ac:dyDescent="0.25">
      <c r="A18" s="15">
        <v>90</v>
      </c>
      <c r="B18" s="2" t="s">
        <v>193</v>
      </c>
      <c r="C18" s="2" t="s">
        <v>207</v>
      </c>
      <c r="D18" s="77" t="s">
        <v>208</v>
      </c>
      <c r="E18" s="71"/>
      <c r="F18" s="71"/>
      <c r="G18" s="71"/>
      <c r="H18" s="71"/>
      <c r="I18" s="2" t="s">
        <v>35</v>
      </c>
      <c r="J18" s="16">
        <v>4</v>
      </c>
      <c r="K18" s="16"/>
      <c r="L18" s="17">
        <f t="shared" si="0"/>
        <v>0</v>
      </c>
      <c r="HV18" s="2" t="s">
        <v>195</v>
      </c>
      <c r="HW18" s="2" t="s">
        <v>32</v>
      </c>
      <c r="IR18" s="18">
        <f>K18*0</f>
        <v>0</v>
      </c>
      <c r="IS18" s="18">
        <f>K18*(1-0)</f>
        <v>0</v>
      </c>
    </row>
    <row r="19" spans="1:253" x14ac:dyDescent="0.25">
      <c r="A19" s="15">
        <v>91</v>
      </c>
      <c r="B19" s="2" t="s">
        <v>193</v>
      </c>
      <c r="C19" s="2" t="s">
        <v>209</v>
      </c>
      <c r="D19" s="77" t="s">
        <v>210</v>
      </c>
      <c r="E19" s="71"/>
      <c r="F19" s="71"/>
      <c r="G19" s="71"/>
      <c r="H19" s="71"/>
      <c r="I19" s="2" t="s">
        <v>35</v>
      </c>
      <c r="J19" s="16">
        <v>4</v>
      </c>
      <c r="K19" s="16"/>
      <c r="L19" s="17">
        <f t="shared" si="0"/>
        <v>0</v>
      </c>
      <c r="HV19" s="2" t="s">
        <v>195</v>
      </c>
      <c r="HW19" s="2" t="s">
        <v>32</v>
      </c>
      <c r="IR19" s="18">
        <f>K19*0</f>
        <v>0</v>
      </c>
      <c r="IS19" s="18">
        <f>K19*(1-0)</f>
        <v>0</v>
      </c>
    </row>
    <row r="20" spans="1:253" x14ac:dyDescent="0.25">
      <c r="A20" s="15">
        <v>92</v>
      </c>
      <c r="B20" s="2" t="s">
        <v>193</v>
      </c>
      <c r="C20" s="2" t="s">
        <v>211</v>
      </c>
      <c r="D20" s="77" t="s">
        <v>212</v>
      </c>
      <c r="E20" s="71"/>
      <c r="F20" s="71"/>
      <c r="G20" s="71"/>
      <c r="H20" s="71"/>
      <c r="I20" s="2" t="s">
        <v>40</v>
      </c>
      <c r="J20" s="16">
        <v>4</v>
      </c>
      <c r="K20" s="16"/>
      <c r="L20" s="17">
        <f t="shared" si="0"/>
        <v>0</v>
      </c>
      <c r="HV20" s="2" t="s">
        <v>195</v>
      </c>
      <c r="HW20" s="2" t="s">
        <v>32</v>
      </c>
      <c r="IR20" s="18">
        <f>K20*0</f>
        <v>0</v>
      </c>
      <c r="IS20" s="18">
        <f>K20*(1-0)</f>
        <v>0</v>
      </c>
    </row>
    <row r="21" spans="1:253" x14ac:dyDescent="0.25">
      <c r="A21" s="15">
        <v>93</v>
      </c>
      <c r="B21" s="2" t="s">
        <v>193</v>
      </c>
      <c r="C21" s="2" t="s">
        <v>213</v>
      </c>
      <c r="D21" s="77" t="s">
        <v>214</v>
      </c>
      <c r="E21" s="71"/>
      <c r="F21" s="71"/>
      <c r="G21" s="71"/>
      <c r="H21" s="71"/>
      <c r="I21" s="2" t="s">
        <v>35</v>
      </c>
      <c r="J21" s="16">
        <v>3</v>
      </c>
      <c r="K21" s="16"/>
      <c r="L21" s="17">
        <f t="shared" si="0"/>
        <v>0</v>
      </c>
      <c r="HV21" s="2" t="s">
        <v>195</v>
      </c>
      <c r="HW21" s="2" t="s">
        <v>32</v>
      </c>
      <c r="IR21" s="18">
        <f>K21*0.133333333</f>
        <v>0</v>
      </c>
      <c r="IS21" s="18">
        <f>K21*(1-0.133333333)</f>
        <v>0</v>
      </c>
    </row>
    <row r="22" spans="1:253" x14ac:dyDescent="0.25">
      <c r="A22" s="15">
        <v>94</v>
      </c>
      <c r="B22" s="2" t="s">
        <v>193</v>
      </c>
      <c r="C22" s="2" t="s">
        <v>215</v>
      </c>
      <c r="D22" s="77" t="s">
        <v>216</v>
      </c>
      <c r="E22" s="71"/>
      <c r="F22" s="71"/>
      <c r="G22" s="71"/>
      <c r="H22" s="71"/>
      <c r="I22" s="2" t="s">
        <v>31</v>
      </c>
      <c r="J22" s="16">
        <v>66</v>
      </c>
      <c r="K22" s="16"/>
      <c r="L22" s="17">
        <f t="shared" si="0"/>
        <v>0</v>
      </c>
      <c r="HV22" s="2" t="s">
        <v>195</v>
      </c>
      <c r="HW22" s="2" t="s">
        <v>32</v>
      </c>
      <c r="IR22" s="18">
        <f>K22*0.5</f>
        <v>0</v>
      </c>
      <c r="IS22" s="18">
        <f>K22*(1-0.5)</f>
        <v>0</v>
      </c>
    </row>
    <row r="23" spans="1:253" x14ac:dyDescent="0.25">
      <c r="A23" s="15">
        <v>95</v>
      </c>
      <c r="B23" s="2" t="s">
        <v>193</v>
      </c>
      <c r="C23" s="2" t="s">
        <v>217</v>
      </c>
      <c r="D23" s="77" t="s">
        <v>218</v>
      </c>
      <c r="E23" s="71"/>
      <c r="F23" s="71"/>
      <c r="G23" s="71"/>
      <c r="H23" s="71"/>
      <c r="I23" s="2" t="s">
        <v>35</v>
      </c>
      <c r="J23" s="16">
        <v>15</v>
      </c>
      <c r="K23" s="16"/>
      <c r="L23" s="17">
        <f t="shared" si="0"/>
        <v>0</v>
      </c>
      <c r="HV23" s="2" t="s">
        <v>195</v>
      </c>
      <c r="HW23" s="2" t="s">
        <v>32</v>
      </c>
      <c r="IR23" s="18">
        <f>K23*0.219753184</f>
        <v>0</v>
      </c>
      <c r="IS23" s="18">
        <f>K23*(1-0.219753184)</f>
        <v>0</v>
      </c>
    </row>
    <row r="24" spans="1:253" x14ac:dyDescent="0.25">
      <c r="A24" s="15">
        <v>96</v>
      </c>
      <c r="B24" s="2" t="s">
        <v>193</v>
      </c>
      <c r="C24" s="2" t="s">
        <v>219</v>
      </c>
      <c r="D24" s="77" t="s">
        <v>220</v>
      </c>
      <c r="E24" s="71"/>
      <c r="F24" s="71"/>
      <c r="G24" s="71"/>
      <c r="H24" s="71"/>
      <c r="I24" s="2" t="s">
        <v>35</v>
      </c>
      <c r="J24" s="16">
        <v>15</v>
      </c>
      <c r="K24" s="16"/>
      <c r="L24" s="17">
        <f t="shared" si="0"/>
        <v>0</v>
      </c>
      <c r="HV24" s="2" t="s">
        <v>195</v>
      </c>
      <c r="HW24" s="2" t="s">
        <v>32</v>
      </c>
      <c r="IR24" s="18">
        <f>K24*0</f>
        <v>0</v>
      </c>
      <c r="IS24" s="18">
        <f>K24*(1-0)</f>
        <v>0</v>
      </c>
    </row>
    <row r="25" spans="1:253" x14ac:dyDescent="0.25">
      <c r="A25" s="15">
        <v>97</v>
      </c>
      <c r="B25" s="2" t="s">
        <v>193</v>
      </c>
      <c r="C25" s="2" t="s">
        <v>221</v>
      </c>
      <c r="D25" s="77" t="s">
        <v>222</v>
      </c>
      <c r="E25" s="71"/>
      <c r="F25" s="71"/>
      <c r="G25" s="71"/>
      <c r="H25" s="71"/>
      <c r="I25" s="2" t="s">
        <v>223</v>
      </c>
      <c r="J25" s="16">
        <v>15</v>
      </c>
      <c r="K25" s="16"/>
      <c r="L25" s="17">
        <f t="shared" si="0"/>
        <v>0</v>
      </c>
      <c r="HV25" s="2" t="s">
        <v>195</v>
      </c>
      <c r="HW25" s="2" t="s">
        <v>32</v>
      </c>
      <c r="IR25" s="18">
        <f>K25*0</f>
        <v>0</v>
      </c>
      <c r="IS25" s="18">
        <f>K25*(1-0)</f>
        <v>0</v>
      </c>
    </row>
    <row r="26" spans="1:253" x14ac:dyDescent="0.25">
      <c r="A26" s="15">
        <v>98</v>
      </c>
      <c r="B26" s="2" t="s">
        <v>193</v>
      </c>
      <c r="C26" s="2" t="s">
        <v>224</v>
      </c>
      <c r="D26" s="77" t="s">
        <v>225</v>
      </c>
      <c r="E26" s="71"/>
      <c r="F26" s="71"/>
      <c r="G26" s="71"/>
      <c r="H26" s="71"/>
      <c r="I26" s="2" t="s">
        <v>40</v>
      </c>
      <c r="J26" s="16">
        <v>15</v>
      </c>
      <c r="K26" s="16"/>
      <c r="L26" s="17">
        <f t="shared" si="0"/>
        <v>0</v>
      </c>
      <c r="HV26" s="2" t="s">
        <v>195</v>
      </c>
      <c r="HW26" s="2" t="s">
        <v>32</v>
      </c>
      <c r="IR26" s="18">
        <f>K26*0.474440677</f>
        <v>0</v>
      </c>
      <c r="IS26" s="18">
        <f>K26*(1-0.474440677)</f>
        <v>0</v>
      </c>
    </row>
    <row r="27" spans="1:253" x14ac:dyDescent="0.25">
      <c r="A27" s="15">
        <v>99</v>
      </c>
      <c r="B27" s="2" t="s">
        <v>193</v>
      </c>
      <c r="C27" s="2" t="s">
        <v>226</v>
      </c>
      <c r="D27" s="77" t="s">
        <v>227</v>
      </c>
      <c r="E27" s="71"/>
      <c r="F27" s="71"/>
      <c r="G27" s="71"/>
      <c r="H27" s="71"/>
      <c r="I27" s="2" t="s">
        <v>40</v>
      </c>
      <c r="J27" s="16">
        <v>15</v>
      </c>
      <c r="K27" s="16"/>
      <c r="L27" s="17">
        <f t="shared" si="0"/>
        <v>0</v>
      </c>
      <c r="HV27" s="2" t="s">
        <v>195</v>
      </c>
      <c r="HW27" s="2" t="s">
        <v>32</v>
      </c>
      <c r="IR27" s="18">
        <f>K27*0.062206897</f>
        <v>0</v>
      </c>
      <c r="IS27" s="18">
        <f>K27*(1-0.062206897)</f>
        <v>0</v>
      </c>
    </row>
    <row r="28" spans="1:253" x14ac:dyDescent="0.25">
      <c r="A28" s="15">
        <v>100</v>
      </c>
      <c r="B28" s="2" t="s">
        <v>193</v>
      </c>
      <c r="C28" s="2" t="s">
        <v>228</v>
      </c>
      <c r="D28" s="77" t="s">
        <v>229</v>
      </c>
      <c r="E28" s="71"/>
      <c r="F28" s="71"/>
      <c r="G28" s="71"/>
      <c r="H28" s="71"/>
      <c r="I28" s="2" t="s">
        <v>35</v>
      </c>
      <c r="J28" s="16">
        <v>15</v>
      </c>
      <c r="K28" s="16"/>
      <c r="L28" s="17">
        <f t="shared" si="0"/>
        <v>0</v>
      </c>
      <c r="HV28" s="2" t="s">
        <v>195</v>
      </c>
      <c r="HW28" s="2" t="s">
        <v>32</v>
      </c>
      <c r="IR28" s="18">
        <f>K28*0.250093458</f>
        <v>0</v>
      </c>
      <c r="IS28" s="18">
        <f>K28*(1-0.250093458)</f>
        <v>0</v>
      </c>
    </row>
    <row r="29" spans="1:253" x14ac:dyDescent="0.25">
      <c r="A29" s="15">
        <v>101</v>
      </c>
      <c r="B29" s="2" t="s">
        <v>193</v>
      </c>
      <c r="C29" s="2" t="s">
        <v>230</v>
      </c>
      <c r="D29" s="77" t="s">
        <v>231</v>
      </c>
      <c r="E29" s="71"/>
      <c r="F29" s="71"/>
      <c r="G29" s="71"/>
      <c r="H29" s="71"/>
      <c r="I29" s="2" t="s">
        <v>35</v>
      </c>
      <c r="J29" s="16">
        <v>15</v>
      </c>
      <c r="K29" s="16"/>
      <c r="L29" s="17">
        <f t="shared" si="0"/>
        <v>0</v>
      </c>
      <c r="HV29" s="2" t="s">
        <v>195</v>
      </c>
      <c r="HW29" s="2" t="s">
        <v>32</v>
      </c>
      <c r="IR29" s="18">
        <f>K29*0.125</f>
        <v>0</v>
      </c>
      <c r="IS29" s="18">
        <f>K29*(1-0.125)</f>
        <v>0</v>
      </c>
    </row>
    <row r="30" spans="1:253" x14ac:dyDescent="0.25">
      <c r="A30" s="15">
        <v>102</v>
      </c>
      <c r="B30" s="2" t="s">
        <v>193</v>
      </c>
      <c r="C30" s="2" t="s">
        <v>232</v>
      </c>
      <c r="D30" s="77" t="s">
        <v>233</v>
      </c>
      <c r="E30" s="71"/>
      <c r="F30" s="71"/>
      <c r="G30" s="71"/>
      <c r="H30" s="71"/>
      <c r="I30" s="2" t="s">
        <v>40</v>
      </c>
      <c r="J30" s="16">
        <v>15</v>
      </c>
      <c r="K30" s="16"/>
      <c r="L30" s="17">
        <f t="shared" si="0"/>
        <v>0</v>
      </c>
      <c r="HV30" s="2" t="s">
        <v>195</v>
      </c>
      <c r="HW30" s="2" t="s">
        <v>32</v>
      </c>
      <c r="IR30" s="18">
        <f>K30*0.692307692</f>
        <v>0</v>
      </c>
      <c r="IS30" s="18">
        <f>K30*(1-0.692307692)</f>
        <v>0</v>
      </c>
    </row>
    <row r="31" spans="1:253" x14ac:dyDescent="0.25">
      <c r="A31" s="15">
        <v>103</v>
      </c>
      <c r="B31" s="2" t="s">
        <v>193</v>
      </c>
      <c r="C31" s="2" t="s">
        <v>234</v>
      </c>
      <c r="D31" s="77" t="s">
        <v>235</v>
      </c>
      <c r="E31" s="71"/>
      <c r="F31" s="71"/>
      <c r="G31" s="71"/>
      <c r="H31" s="71"/>
      <c r="I31" s="2" t="s">
        <v>40</v>
      </c>
      <c r="J31" s="16">
        <v>3</v>
      </c>
      <c r="K31" s="16"/>
      <c r="L31" s="17">
        <f t="shared" si="0"/>
        <v>0</v>
      </c>
      <c r="HV31" s="2" t="s">
        <v>195</v>
      </c>
      <c r="HW31" s="2" t="s">
        <v>32</v>
      </c>
      <c r="IR31" s="18">
        <f>K31*0.391304348</f>
        <v>0</v>
      </c>
      <c r="IS31" s="18">
        <f>K31*(1-0.391304348)</f>
        <v>0</v>
      </c>
    </row>
    <row r="32" spans="1:253" x14ac:dyDescent="0.25">
      <c r="A32" s="15">
        <v>104</v>
      </c>
      <c r="B32" s="2" t="s">
        <v>193</v>
      </c>
      <c r="C32" s="2" t="s">
        <v>236</v>
      </c>
      <c r="D32" s="77" t="s">
        <v>237</v>
      </c>
      <c r="E32" s="71"/>
      <c r="F32" s="71"/>
      <c r="G32" s="71"/>
      <c r="H32" s="71"/>
      <c r="I32" s="2" t="s">
        <v>35</v>
      </c>
      <c r="J32" s="16">
        <v>15</v>
      </c>
      <c r="K32" s="16"/>
      <c r="L32" s="17">
        <f t="shared" si="0"/>
        <v>0</v>
      </c>
      <c r="HV32" s="2" t="s">
        <v>195</v>
      </c>
      <c r="HW32" s="2" t="s">
        <v>32</v>
      </c>
      <c r="IR32" s="18">
        <f>K32*0.75954071</f>
        <v>0</v>
      </c>
      <c r="IS32" s="18">
        <f>K32*(1-0.75954071)</f>
        <v>0</v>
      </c>
    </row>
    <row r="33" spans="1:253" x14ac:dyDescent="0.25">
      <c r="A33" s="15">
        <v>105</v>
      </c>
      <c r="B33" s="2" t="s">
        <v>193</v>
      </c>
      <c r="C33" s="2" t="s">
        <v>238</v>
      </c>
      <c r="D33" s="77" t="s">
        <v>239</v>
      </c>
      <c r="E33" s="71"/>
      <c r="F33" s="71"/>
      <c r="G33" s="71"/>
      <c r="H33" s="71"/>
      <c r="I33" s="2" t="s">
        <v>76</v>
      </c>
      <c r="J33" s="16">
        <v>0.3</v>
      </c>
      <c r="K33" s="16"/>
      <c r="L33" s="17">
        <f t="shared" si="0"/>
        <v>0</v>
      </c>
      <c r="HV33" s="2" t="s">
        <v>195</v>
      </c>
      <c r="HW33" s="2" t="s">
        <v>32</v>
      </c>
      <c r="IR33" s="18">
        <f>K33*0</f>
        <v>0</v>
      </c>
      <c r="IS33" s="18">
        <f>K33*(1-0)</f>
        <v>0</v>
      </c>
    </row>
    <row r="34" spans="1:253" x14ac:dyDescent="0.25">
      <c r="A34" s="15">
        <v>106</v>
      </c>
      <c r="B34" s="2" t="s">
        <v>193</v>
      </c>
      <c r="C34" s="2" t="s">
        <v>240</v>
      </c>
      <c r="D34" s="77" t="s">
        <v>241</v>
      </c>
      <c r="E34" s="71"/>
      <c r="F34" s="71"/>
      <c r="G34" s="71"/>
      <c r="H34" s="71"/>
      <c r="I34" s="2" t="s">
        <v>43</v>
      </c>
      <c r="J34" s="16">
        <v>1961</v>
      </c>
      <c r="K34" s="16"/>
      <c r="L34" s="17">
        <f t="shared" si="0"/>
        <v>0</v>
      </c>
      <c r="HV34" s="2" t="s">
        <v>195</v>
      </c>
      <c r="HW34" s="2" t="s">
        <v>32</v>
      </c>
      <c r="IR34" s="18">
        <f>K34*0</f>
        <v>0</v>
      </c>
      <c r="IS34" s="18">
        <f>K34*(1-0)</f>
        <v>0</v>
      </c>
    </row>
    <row r="35" spans="1:253" x14ac:dyDescent="0.25">
      <c r="A35" s="11" t="s">
        <v>23</v>
      </c>
      <c r="B35" s="12" t="s">
        <v>242</v>
      </c>
      <c r="C35" s="12" t="s">
        <v>25</v>
      </c>
      <c r="D35" s="84" t="s">
        <v>243</v>
      </c>
      <c r="E35" s="85"/>
      <c r="F35" s="85"/>
      <c r="G35" s="85"/>
      <c r="H35" s="85"/>
      <c r="I35" s="12" t="s">
        <v>23</v>
      </c>
      <c r="J35" s="13" t="s">
        <v>23</v>
      </c>
      <c r="K35" s="13"/>
      <c r="L35" s="14">
        <f>L36</f>
        <v>0</v>
      </c>
    </row>
    <row r="36" spans="1:253" x14ac:dyDescent="0.25">
      <c r="A36" s="11" t="s">
        <v>23</v>
      </c>
      <c r="B36" s="12" t="s">
        <v>242</v>
      </c>
      <c r="C36" s="12" t="s">
        <v>195</v>
      </c>
      <c r="D36" s="84" t="s">
        <v>196</v>
      </c>
      <c r="E36" s="85"/>
      <c r="F36" s="85"/>
      <c r="G36" s="85"/>
      <c r="H36" s="85"/>
      <c r="I36" s="12" t="s">
        <v>23</v>
      </c>
      <c r="J36" s="13" t="s">
        <v>23</v>
      </c>
      <c r="K36" s="13"/>
      <c r="L36" s="14">
        <f>SUM(L37:L49)</f>
        <v>0</v>
      </c>
    </row>
    <row r="37" spans="1:253" x14ac:dyDescent="0.25">
      <c r="A37" s="15">
        <v>107</v>
      </c>
      <c r="B37" s="2" t="s">
        <v>242</v>
      </c>
      <c r="C37" s="2" t="s">
        <v>244</v>
      </c>
      <c r="D37" s="77" t="s">
        <v>245</v>
      </c>
      <c r="E37" s="71"/>
      <c r="F37" s="71"/>
      <c r="G37" s="71"/>
      <c r="H37" s="71"/>
      <c r="I37" s="2" t="s">
        <v>31</v>
      </c>
      <c r="J37" s="16">
        <v>52.5</v>
      </c>
      <c r="K37" s="16"/>
      <c r="L37" s="17">
        <f t="shared" ref="L37:L49" si="1">IR37*J37+IS37*J37</f>
        <v>0</v>
      </c>
      <c r="HV37" s="2" t="s">
        <v>195</v>
      </c>
      <c r="HW37" s="2" t="s">
        <v>32</v>
      </c>
      <c r="IR37" s="18">
        <f>K37*0.767182663</f>
        <v>0</v>
      </c>
      <c r="IS37" s="18">
        <f>K37*(1-0.767182663)</f>
        <v>0</v>
      </c>
    </row>
    <row r="38" spans="1:253" x14ac:dyDescent="0.25">
      <c r="A38" s="15">
        <v>108</v>
      </c>
      <c r="B38" s="2" t="s">
        <v>242</v>
      </c>
      <c r="C38" s="2" t="s">
        <v>246</v>
      </c>
      <c r="D38" s="77" t="s">
        <v>247</v>
      </c>
      <c r="E38" s="71"/>
      <c r="F38" s="71"/>
      <c r="G38" s="71"/>
      <c r="H38" s="71"/>
      <c r="I38" s="2" t="s">
        <v>31</v>
      </c>
      <c r="J38" s="16">
        <v>52.5</v>
      </c>
      <c r="K38" s="16"/>
      <c r="L38" s="17">
        <f t="shared" si="1"/>
        <v>0</v>
      </c>
      <c r="HV38" s="2" t="s">
        <v>195</v>
      </c>
      <c r="HW38" s="2" t="s">
        <v>32</v>
      </c>
      <c r="IR38" s="18">
        <f>K38*0.600590476</f>
        <v>0</v>
      </c>
      <c r="IS38" s="18">
        <f>K38*(1-0.600590476)</f>
        <v>0</v>
      </c>
    </row>
    <row r="39" spans="1:253" x14ac:dyDescent="0.25">
      <c r="A39" s="15">
        <v>109</v>
      </c>
      <c r="B39" s="2" t="s">
        <v>242</v>
      </c>
      <c r="C39" s="2" t="s">
        <v>248</v>
      </c>
      <c r="D39" s="77" t="s">
        <v>249</v>
      </c>
      <c r="E39" s="71"/>
      <c r="F39" s="71"/>
      <c r="G39" s="71"/>
      <c r="H39" s="71"/>
      <c r="I39" s="2" t="s">
        <v>31</v>
      </c>
      <c r="J39" s="16">
        <v>2.2999999999999998</v>
      </c>
      <c r="K39" s="16"/>
      <c r="L39" s="17">
        <f t="shared" si="1"/>
        <v>0</v>
      </c>
      <c r="HV39" s="2" t="s">
        <v>195</v>
      </c>
      <c r="HW39" s="2" t="s">
        <v>32</v>
      </c>
      <c r="IR39" s="18">
        <f>K39*0.646386294</f>
        <v>0</v>
      </c>
      <c r="IS39" s="18">
        <f>K39*(1-0.646386294)</f>
        <v>0</v>
      </c>
    </row>
    <row r="40" spans="1:253" x14ac:dyDescent="0.25">
      <c r="A40" s="15">
        <v>110</v>
      </c>
      <c r="B40" s="2" t="s">
        <v>242</v>
      </c>
      <c r="C40" s="2" t="s">
        <v>250</v>
      </c>
      <c r="D40" s="77" t="s">
        <v>251</v>
      </c>
      <c r="E40" s="71"/>
      <c r="F40" s="71"/>
      <c r="G40" s="71"/>
      <c r="H40" s="71"/>
      <c r="I40" s="2" t="s">
        <v>35</v>
      </c>
      <c r="J40" s="16">
        <v>15</v>
      </c>
      <c r="K40" s="16"/>
      <c r="L40" s="17">
        <f t="shared" si="1"/>
        <v>0</v>
      </c>
      <c r="HV40" s="2" t="s">
        <v>195</v>
      </c>
      <c r="HW40" s="2" t="s">
        <v>32</v>
      </c>
      <c r="IR40" s="18">
        <f>K40*0.373567625</f>
        <v>0</v>
      </c>
      <c r="IS40" s="18">
        <f>K40*(1-0.373567625)</f>
        <v>0</v>
      </c>
    </row>
    <row r="41" spans="1:253" x14ac:dyDescent="0.25">
      <c r="A41" s="15">
        <v>111</v>
      </c>
      <c r="B41" s="2" t="s">
        <v>242</v>
      </c>
      <c r="C41" s="2" t="s">
        <v>207</v>
      </c>
      <c r="D41" s="77" t="s">
        <v>208</v>
      </c>
      <c r="E41" s="71"/>
      <c r="F41" s="71"/>
      <c r="G41" s="71"/>
      <c r="H41" s="71"/>
      <c r="I41" s="2" t="s">
        <v>35</v>
      </c>
      <c r="J41" s="16">
        <v>15</v>
      </c>
      <c r="K41" s="16"/>
      <c r="L41" s="17">
        <f t="shared" si="1"/>
        <v>0</v>
      </c>
      <c r="HV41" s="2" t="s">
        <v>195</v>
      </c>
      <c r="HW41" s="2" t="s">
        <v>32</v>
      </c>
      <c r="IR41" s="18">
        <f>K41*0</f>
        <v>0</v>
      </c>
      <c r="IS41" s="18">
        <f>K41*(1-0)</f>
        <v>0</v>
      </c>
    </row>
    <row r="42" spans="1:253" x14ac:dyDescent="0.25">
      <c r="A42" s="15">
        <v>112</v>
      </c>
      <c r="B42" s="2" t="s">
        <v>242</v>
      </c>
      <c r="C42" s="2" t="s">
        <v>205</v>
      </c>
      <c r="D42" s="77" t="s">
        <v>206</v>
      </c>
      <c r="E42" s="71"/>
      <c r="F42" s="71"/>
      <c r="G42" s="71"/>
      <c r="H42" s="71"/>
      <c r="I42" s="2" t="s">
        <v>31</v>
      </c>
      <c r="J42" s="16">
        <v>52.5</v>
      </c>
      <c r="K42" s="16"/>
      <c r="L42" s="17">
        <f t="shared" si="1"/>
        <v>0</v>
      </c>
      <c r="HV42" s="2" t="s">
        <v>195</v>
      </c>
      <c r="HW42" s="2" t="s">
        <v>32</v>
      </c>
      <c r="IR42" s="18">
        <f>K42*0</f>
        <v>0</v>
      </c>
      <c r="IS42" s="18">
        <f>K42*(1-0)</f>
        <v>0</v>
      </c>
    </row>
    <row r="43" spans="1:253" x14ac:dyDescent="0.25">
      <c r="A43" s="15">
        <v>113</v>
      </c>
      <c r="B43" s="2" t="s">
        <v>242</v>
      </c>
      <c r="C43" s="2" t="s">
        <v>209</v>
      </c>
      <c r="D43" s="77" t="s">
        <v>210</v>
      </c>
      <c r="E43" s="71"/>
      <c r="F43" s="71"/>
      <c r="G43" s="71"/>
      <c r="H43" s="71"/>
      <c r="I43" s="2" t="s">
        <v>35</v>
      </c>
      <c r="J43" s="16">
        <v>15</v>
      </c>
      <c r="K43" s="16"/>
      <c r="L43" s="17">
        <f t="shared" si="1"/>
        <v>0</v>
      </c>
      <c r="HV43" s="2" t="s">
        <v>195</v>
      </c>
      <c r="HW43" s="2" t="s">
        <v>32</v>
      </c>
      <c r="IR43" s="18">
        <f>K43*0</f>
        <v>0</v>
      </c>
      <c r="IS43" s="18">
        <f>K43*(1-0)</f>
        <v>0</v>
      </c>
    </row>
    <row r="44" spans="1:253" x14ac:dyDescent="0.25">
      <c r="A44" s="15">
        <v>114</v>
      </c>
      <c r="B44" s="2" t="s">
        <v>242</v>
      </c>
      <c r="C44" s="2" t="s">
        <v>252</v>
      </c>
      <c r="D44" s="77" t="s">
        <v>253</v>
      </c>
      <c r="E44" s="71"/>
      <c r="F44" s="71"/>
      <c r="G44" s="71"/>
      <c r="H44" s="71"/>
      <c r="I44" s="2" t="s">
        <v>40</v>
      </c>
      <c r="J44" s="16">
        <v>15</v>
      </c>
      <c r="K44" s="16"/>
      <c r="L44" s="17">
        <f t="shared" si="1"/>
        <v>0</v>
      </c>
      <c r="HV44" s="2" t="s">
        <v>195</v>
      </c>
      <c r="HW44" s="2" t="s">
        <v>32</v>
      </c>
      <c r="IR44" s="18">
        <f>K44*0</f>
        <v>0</v>
      </c>
      <c r="IS44" s="18">
        <f>K44*(1-0)</f>
        <v>0</v>
      </c>
    </row>
    <row r="45" spans="1:253" x14ac:dyDescent="0.25">
      <c r="A45" s="15">
        <v>115</v>
      </c>
      <c r="B45" s="2" t="s">
        <v>242</v>
      </c>
      <c r="C45" s="2" t="s">
        <v>254</v>
      </c>
      <c r="D45" s="77" t="s">
        <v>255</v>
      </c>
      <c r="E45" s="71"/>
      <c r="F45" s="71"/>
      <c r="G45" s="71"/>
      <c r="H45" s="71"/>
      <c r="I45" s="2" t="s">
        <v>35</v>
      </c>
      <c r="J45" s="16">
        <v>15</v>
      </c>
      <c r="K45" s="16"/>
      <c r="L45" s="17">
        <f t="shared" si="1"/>
        <v>0</v>
      </c>
      <c r="HV45" s="2" t="s">
        <v>195</v>
      </c>
      <c r="HW45" s="2" t="s">
        <v>32</v>
      </c>
      <c r="IR45" s="18">
        <f>K45*0.039514536</f>
        <v>0</v>
      </c>
      <c r="IS45" s="18">
        <f>K45*(1-0.039514536)</f>
        <v>0</v>
      </c>
    </row>
    <row r="46" spans="1:253" x14ac:dyDescent="0.25">
      <c r="A46" s="15">
        <v>116</v>
      </c>
      <c r="B46" s="2" t="s">
        <v>242</v>
      </c>
      <c r="C46" s="2" t="s">
        <v>256</v>
      </c>
      <c r="D46" s="77" t="s">
        <v>257</v>
      </c>
      <c r="E46" s="71"/>
      <c r="F46" s="71"/>
      <c r="G46" s="71"/>
      <c r="H46" s="71"/>
      <c r="I46" s="2" t="s">
        <v>40</v>
      </c>
      <c r="J46" s="16">
        <v>15</v>
      </c>
      <c r="K46" s="16"/>
      <c r="L46" s="17">
        <f t="shared" si="1"/>
        <v>0</v>
      </c>
      <c r="HV46" s="2" t="s">
        <v>195</v>
      </c>
      <c r="HW46" s="2" t="s">
        <v>135</v>
      </c>
      <c r="IR46" s="18">
        <f>K46*1</f>
        <v>0</v>
      </c>
      <c r="IS46" s="18">
        <f>K46*(1-1)</f>
        <v>0</v>
      </c>
    </row>
    <row r="47" spans="1:253" x14ac:dyDescent="0.25">
      <c r="A47" s="15">
        <v>117</v>
      </c>
      <c r="B47" s="2" t="s">
        <v>242</v>
      </c>
      <c r="C47" s="2" t="s">
        <v>258</v>
      </c>
      <c r="D47" s="77" t="s">
        <v>259</v>
      </c>
      <c r="E47" s="71"/>
      <c r="F47" s="71"/>
      <c r="G47" s="71"/>
      <c r="H47" s="71"/>
      <c r="I47" s="2" t="s">
        <v>40</v>
      </c>
      <c r="J47" s="16">
        <v>15</v>
      </c>
      <c r="K47" s="16"/>
      <c r="L47" s="17">
        <f t="shared" si="1"/>
        <v>0</v>
      </c>
      <c r="HV47" s="2" t="s">
        <v>195</v>
      </c>
      <c r="HW47" s="2" t="s">
        <v>32</v>
      </c>
      <c r="IR47" s="18">
        <f>K47*0</f>
        <v>0</v>
      </c>
      <c r="IS47" s="18">
        <f>K47*(1-0)</f>
        <v>0</v>
      </c>
    </row>
    <row r="48" spans="1:253" x14ac:dyDescent="0.25">
      <c r="A48" s="15">
        <v>118</v>
      </c>
      <c r="B48" s="2" t="s">
        <v>242</v>
      </c>
      <c r="C48" s="2" t="s">
        <v>238</v>
      </c>
      <c r="D48" s="77" t="s">
        <v>239</v>
      </c>
      <c r="E48" s="71"/>
      <c r="F48" s="71"/>
      <c r="G48" s="71"/>
      <c r="H48" s="71"/>
      <c r="I48" s="2" t="s">
        <v>76</v>
      </c>
      <c r="J48" s="16">
        <v>0.1</v>
      </c>
      <c r="K48" s="16"/>
      <c r="L48" s="17">
        <f t="shared" si="1"/>
        <v>0</v>
      </c>
      <c r="HV48" s="2" t="s">
        <v>195</v>
      </c>
      <c r="HW48" s="2" t="s">
        <v>32</v>
      </c>
      <c r="IR48" s="18">
        <f>K48*0</f>
        <v>0</v>
      </c>
      <c r="IS48" s="18">
        <f>K48*(1-0)</f>
        <v>0</v>
      </c>
    </row>
    <row r="49" spans="1:253" x14ac:dyDescent="0.25">
      <c r="A49" s="15">
        <v>119</v>
      </c>
      <c r="B49" s="2" t="s">
        <v>242</v>
      </c>
      <c r="C49" s="2" t="s">
        <v>240</v>
      </c>
      <c r="D49" s="77" t="s">
        <v>241</v>
      </c>
      <c r="E49" s="71"/>
      <c r="F49" s="71"/>
      <c r="G49" s="71"/>
      <c r="H49" s="71"/>
      <c r="I49" s="2" t="s">
        <v>43</v>
      </c>
      <c r="J49" s="16">
        <v>796</v>
      </c>
      <c r="K49" s="16"/>
      <c r="L49" s="17">
        <f t="shared" si="1"/>
        <v>0</v>
      </c>
      <c r="HV49" s="2" t="s">
        <v>195</v>
      </c>
      <c r="HW49" s="2" t="s">
        <v>32</v>
      </c>
      <c r="IR49" s="18">
        <f>K49*0</f>
        <v>0</v>
      </c>
      <c r="IS49" s="18">
        <f>K49*(1-0)</f>
        <v>0</v>
      </c>
    </row>
    <row r="50" spans="1:253" x14ac:dyDescent="0.25">
      <c r="A50" s="11" t="s">
        <v>23</v>
      </c>
      <c r="B50" s="12" t="s">
        <v>260</v>
      </c>
      <c r="C50" s="12" t="s">
        <v>25</v>
      </c>
      <c r="D50" s="84" t="s">
        <v>261</v>
      </c>
      <c r="E50" s="85"/>
      <c r="F50" s="85"/>
      <c r="G50" s="85"/>
      <c r="H50" s="85"/>
      <c r="I50" s="12" t="s">
        <v>23</v>
      </c>
      <c r="J50" s="13" t="s">
        <v>23</v>
      </c>
      <c r="K50" s="13"/>
      <c r="L50" s="14">
        <f>L51</f>
        <v>0</v>
      </c>
    </row>
    <row r="51" spans="1:253" x14ac:dyDescent="0.25">
      <c r="A51" s="11" t="s">
        <v>23</v>
      </c>
      <c r="B51" s="12" t="s">
        <v>260</v>
      </c>
      <c r="C51" s="12" t="s">
        <v>195</v>
      </c>
      <c r="D51" s="84" t="s">
        <v>196</v>
      </c>
      <c r="E51" s="85"/>
      <c r="F51" s="85"/>
      <c r="G51" s="85"/>
      <c r="H51" s="85"/>
      <c r="I51" s="12" t="s">
        <v>23</v>
      </c>
      <c r="J51" s="13" t="s">
        <v>23</v>
      </c>
      <c r="K51" s="13"/>
      <c r="L51" s="14">
        <f>SUM(L52:L62)</f>
        <v>0</v>
      </c>
    </row>
    <row r="52" spans="1:253" x14ac:dyDescent="0.25">
      <c r="A52" s="15">
        <v>120</v>
      </c>
      <c r="B52" s="2" t="s">
        <v>260</v>
      </c>
      <c r="C52" s="2" t="s">
        <v>197</v>
      </c>
      <c r="D52" s="77" t="s">
        <v>262</v>
      </c>
      <c r="E52" s="71"/>
      <c r="F52" s="71"/>
      <c r="G52" s="71"/>
      <c r="H52" s="71"/>
      <c r="I52" s="2" t="s">
        <v>31</v>
      </c>
      <c r="J52" s="16">
        <v>2</v>
      </c>
      <c r="K52" s="16"/>
      <c r="L52" s="17">
        <f t="shared" ref="L52:L62" si="2">IR52*J52+IS52*J52</f>
        <v>0</v>
      </c>
      <c r="HV52" s="2" t="s">
        <v>195</v>
      </c>
      <c r="HW52" s="2" t="s">
        <v>32</v>
      </c>
      <c r="IR52" s="18">
        <f>K52*0.884450262</f>
        <v>0</v>
      </c>
      <c r="IS52" s="18">
        <f>K52*(1-0.884450262)</f>
        <v>0</v>
      </c>
    </row>
    <row r="53" spans="1:253" x14ac:dyDescent="0.25">
      <c r="A53" s="15">
        <v>121</v>
      </c>
      <c r="B53" s="2" t="s">
        <v>260</v>
      </c>
      <c r="C53" s="2" t="s">
        <v>263</v>
      </c>
      <c r="D53" s="77" t="s">
        <v>264</v>
      </c>
      <c r="E53" s="71"/>
      <c r="F53" s="71"/>
      <c r="G53" s="71"/>
      <c r="H53" s="71"/>
      <c r="I53" s="2" t="s">
        <v>35</v>
      </c>
      <c r="J53" s="16">
        <v>2</v>
      </c>
      <c r="K53" s="16"/>
      <c r="L53" s="17">
        <f t="shared" si="2"/>
        <v>0</v>
      </c>
      <c r="HV53" s="2" t="s">
        <v>195</v>
      </c>
      <c r="HW53" s="2" t="s">
        <v>32</v>
      </c>
      <c r="IR53" s="18">
        <f>K53*0.496760436</f>
        <v>0</v>
      </c>
      <c r="IS53" s="18">
        <f>K53*(1-0.496760436)</f>
        <v>0</v>
      </c>
    </row>
    <row r="54" spans="1:253" x14ac:dyDescent="0.25">
      <c r="A54" s="15">
        <v>122</v>
      </c>
      <c r="B54" s="2" t="s">
        <v>260</v>
      </c>
      <c r="C54" s="2" t="s">
        <v>265</v>
      </c>
      <c r="D54" s="77" t="s">
        <v>266</v>
      </c>
      <c r="E54" s="71"/>
      <c r="F54" s="71"/>
      <c r="G54" s="71"/>
      <c r="H54" s="71"/>
      <c r="I54" s="2" t="s">
        <v>31</v>
      </c>
      <c r="J54" s="16">
        <v>3</v>
      </c>
      <c r="K54" s="16"/>
      <c r="L54" s="17">
        <f t="shared" si="2"/>
        <v>0</v>
      </c>
      <c r="HV54" s="2" t="s">
        <v>195</v>
      </c>
      <c r="HW54" s="2" t="s">
        <v>32</v>
      </c>
      <c r="IR54" s="18">
        <f>K54*0.80177043</f>
        <v>0</v>
      </c>
      <c r="IS54" s="18">
        <f>K54*(1-0.80177043)</f>
        <v>0</v>
      </c>
    </row>
    <row r="55" spans="1:253" x14ac:dyDescent="0.25">
      <c r="A55" s="15">
        <v>123</v>
      </c>
      <c r="B55" s="2" t="s">
        <v>260</v>
      </c>
      <c r="C55" s="2" t="s">
        <v>267</v>
      </c>
      <c r="D55" s="77" t="s">
        <v>268</v>
      </c>
      <c r="E55" s="71"/>
      <c r="F55" s="71"/>
      <c r="G55" s="71"/>
      <c r="H55" s="71"/>
      <c r="I55" s="2" t="s">
        <v>31</v>
      </c>
      <c r="J55" s="16">
        <v>1</v>
      </c>
      <c r="K55" s="16"/>
      <c r="L55" s="17">
        <f t="shared" si="2"/>
        <v>0</v>
      </c>
      <c r="HV55" s="2" t="s">
        <v>195</v>
      </c>
      <c r="HW55" s="2" t="s">
        <v>32</v>
      </c>
      <c r="IR55" s="18">
        <f>K55*0.8196875</f>
        <v>0</v>
      </c>
      <c r="IS55" s="18">
        <f>K55*(1-0.8196875)</f>
        <v>0</v>
      </c>
    </row>
    <row r="56" spans="1:253" x14ac:dyDescent="0.25">
      <c r="A56" s="15">
        <v>124</v>
      </c>
      <c r="B56" s="2" t="s">
        <v>260</v>
      </c>
      <c r="C56" s="2" t="s">
        <v>207</v>
      </c>
      <c r="D56" s="77" t="s">
        <v>208</v>
      </c>
      <c r="E56" s="71"/>
      <c r="F56" s="71"/>
      <c r="G56" s="71"/>
      <c r="H56" s="71"/>
      <c r="I56" s="2" t="s">
        <v>35</v>
      </c>
      <c r="J56" s="16">
        <v>2</v>
      </c>
      <c r="K56" s="16"/>
      <c r="L56" s="17">
        <f t="shared" si="2"/>
        <v>0</v>
      </c>
      <c r="HV56" s="2" t="s">
        <v>195</v>
      </c>
      <c r="HW56" s="2" t="s">
        <v>32</v>
      </c>
      <c r="IR56" s="18">
        <f>K56*0</f>
        <v>0</v>
      </c>
      <c r="IS56" s="18">
        <f>K56*(1-0)</f>
        <v>0</v>
      </c>
    </row>
    <row r="57" spans="1:253" x14ac:dyDescent="0.25">
      <c r="A57" s="15">
        <v>125</v>
      </c>
      <c r="B57" s="2" t="s">
        <v>260</v>
      </c>
      <c r="C57" s="2" t="s">
        <v>205</v>
      </c>
      <c r="D57" s="77" t="s">
        <v>206</v>
      </c>
      <c r="E57" s="71"/>
      <c r="F57" s="71"/>
      <c r="G57" s="71"/>
      <c r="H57" s="71"/>
      <c r="I57" s="2" t="s">
        <v>31</v>
      </c>
      <c r="J57" s="16">
        <v>22</v>
      </c>
      <c r="K57" s="16"/>
      <c r="L57" s="17">
        <f t="shared" si="2"/>
        <v>0</v>
      </c>
      <c r="HV57" s="2" t="s">
        <v>195</v>
      </c>
      <c r="HW57" s="2" t="s">
        <v>32</v>
      </c>
      <c r="IR57" s="18">
        <f>K57*0</f>
        <v>0</v>
      </c>
      <c r="IS57" s="18">
        <f>K57*(1-0)</f>
        <v>0</v>
      </c>
    </row>
    <row r="58" spans="1:253" x14ac:dyDescent="0.25">
      <c r="A58" s="15">
        <v>126</v>
      </c>
      <c r="B58" s="2" t="s">
        <v>260</v>
      </c>
      <c r="C58" s="2" t="s">
        <v>209</v>
      </c>
      <c r="D58" s="77" t="s">
        <v>210</v>
      </c>
      <c r="E58" s="71"/>
      <c r="F58" s="71"/>
      <c r="G58" s="71"/>
      <c r="H58" s="71"/>
      <c r="I58" s="2" t="s">
        <v>35</v>
      </c>
      <c r="J58" s="16">
        <v>1</v>
      </c>
      <c r="K58" s="16"/>
      <c r="L58" s="17">
        <f t="shared" si="2"/>
        <v>0</v>
      </c>
      <c r="HV58" s="2" t="s">
        <v>195</v>
      </c>
      <c r="HW58" s="2" t="s">
        <v>32</v>
      </c>
      <c r="IR58" s="18">
        <f>K58*0</f>
        <v>0</v>
      </c>
      <c r="IS58" s="18">
        <f>K58*(1-0)</f>
        <v>0</v>
      </c>
    </row>
    <row r="59" spans="1:253" x14ac:dyDescent="0.25">
      <c r="A59" s="15">
        <v>127</v>
      </c>
      <c r="B59" s="2" t="s">
        <v>260</v>
      </c>
      <c r="C59" s="2" t="s">
        <v>269</v>
      </c>
      <c r="D59" s="77" t="s">
        <v>270</v>
      </c>
      <c r="E59" s="71"/>
      <c r="F59" s="71"/>
      <c r="G59" s="71"/>
      <c r="H59" s="71"/>
      <c r="I59" s="2" t="s">
        <v>35</v>
      </c>
      <c r="J59" s="16">
        <v>2</v>
      </c>
      <c r="K59" s="16"/>
      <c r="L59" s="17">
        <f t="shared" si="2"/>
        <v>0</v>
      </c>
      <c r="HV59" s="2" t="s">
        <v>195</v>
      </c>
      <c r="HW59" s="2" t="s">
        <v>32</v>
      </c>
      <c r="IR59" s="18">
        <f>K59*0.875739842</f>
        <v>0</v>
      </c>
      <c r="IS59" s="18">
        <f>K59*(1-0.875739842)</f>
        <v>0</v>
      </c>
    </row>
    <row r="60" spans="1:253" x14ac:dyDescent="0.25">
      <c r="A60" s="15">
        <v>128</v>
      </c>
      <c r="B60" s="2" t="s">
        <v>260</v>
      </c>
      <c r="C60" s="2" t="s">
        <v>271</v>
      </c>
      <c r="D60" s="77" t="s">
        <v>272</v>
      </c>
      <c r="E60" s="71"/>
      <c r="F60" s="71"/>
      <c r="G60" s="71"/>
      <c r="H60" s="71"/>
      <c r="I60" s="2" t="s">
        <v>35</v>
      </c>
      <c r="J60" s="16">
        <v>1</v>
      </c>
      <c r="K60" s="16"/>
      <c r="L60" s="17">
        <f t="shared" si="2"/>
        <v>0</v>
      </c>
      <c r="HV60" s="2" t="s">
        <v>195</v>
      </c>
      <c r="HW60" s="2" t="s">
        <v>32</v>
      </c>
      <c r="IR60" s="18">
        <f>K60*0.333333333</f>
        <v>0</v>
      </c>
      <c r="IS60" s="18">
        <f>K60*(1-0.333333333)</f>
        <v>0</v>
      </c>
    </row>
    <row r="61" spans="1:253" x14ac:dyDescent="0.25">
      <c r="A61" s="15">
        <v>129</v>
      </c>
      <c r="B61" s="2" t="s">
        <v>260</v>
      </c>
      <c r="C61" s="2" t="s">
        <v>273</v>
      </c>
      <c r="D61" s="77" t="s">
        <v>274</v>
      </c>
      <c r="E61" s="71"/>
      <c r="F61" s="71"/>
      <c r="G61" s="71"/>
      <c r="H61" s="71"/>
      <c r="I61" s="2" t="s">
        <v>35</v>
      </c>
      <c r="J61" s="16">
        <v>1</v>
      </c>
      <c r="K61" s="16"/>
      <c r="L61" s="17">
        <f t="shared" si="2"/>
        <v>0</v>
      </c>
      <c r="HV61" s="2" t="s">
        <v>195</v>
      </c>
      <c r="HW61" s="2" t="s">
        <v>135</v>
      </c>
      <c r="IR61" s="18">
        <f>K61*1</f>
        <v>0</v>
      </c>
      <c r="IS61" s="18">
        <f>K61*(1-1)</f>
        <v>0</v>
      </c>
    </row>
    <row r="62" spans="1:253" x14ac:dyDescent="0.25">
      <c r="A62" s="15">
        <v>130</v>
      </c>
      <c r="B62" s="2" t="s">
        <v>260</v>
      </c>
      <c r="C62" s="2" t="s">
        <v>275</v>
      </c>
      <c r="D62" s="77" t="s">
        <v>276</v>
      </c>
      <c r="E62" s="71"/>
      <c r="F62" s="71"/>
      <c r="G62" s="71"/>
      <c r="H62" s="71"/>
      <c r="I62" s="2" t="s">
        <v>43</v>
      </c>
      <c r="J62" s="16">
        <v>240</v>
      </c>
      <c r="K62" s="16"/>
      <c r="L62" s="17">
        <f t="shared" si="2"/>
        <v>0</v>
      </c>
      <c r="HV62" s="2" t="s">
        <v>195</v>
      </c>
      <c r="HW62" s="2" t="s">
        <v>32</v>
      </c>
      <c r="IR62" s="18">
        <f>K62*0</f>
        <v>0</v>
      </c>
      <c r="IS62" s="18">
        <f>K62*(1-0)</f>
        <v>0</v>
      </c>
    </row>
  </sheetData>
  <mergeCells count="78">
    <mergeCell ref="D58:H58"/>
    <mergeCell ref="D59:H59"/>
    <mergeCell ref="D60:H60"/>
    <mergeCell ref="D61:H61"/>
    <mergeCell ref="D62:H62"/>
    <mergeCell ref="D53:H53"/>
    <mergeCell ref="D54:H54"/>
    <mergeCell ref="D55:H55"/>
    <mergeCell ref="D56:H56"/>
    <mergeCell ref="D57:H57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D13:H13"/>
    <mergeCell ref="D14:H14"/>
    <mergeCell ref="D15:H15"/>
    <mergeCell ref="D16:H16"/>
    <mergeCell ref="D17:H17"/>
    <mergeCell ref="D11:H11"/>
    <mergeCell ref="D12:H12"/>
    <mergeCell ref="I2:L3"/>
    <mergeCell ref="I4:L5"/>
    <mergeCell ref="I6:L7"/>
    <mergeCell ref="I8:L9"/>
    <mergeCell ref="G6:G7"/>
    <mergeCell ref="G8:G9"/>
    <mergeCell ref="H2:H3"/>
    <mergeCell ref="H4:H5"/>
    <mergeCell ref="H6:H7"/>
    <mergeCell ref="H8:H9"/>
    <mergeCell ref="D10:H10"/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E4:F5"/>
    <mergeCell ref="E6:F7"/>
    <mergeCell ref="E8:F9"/>
    <mergeCell ref="G2:G3"/>
    <mergeCell ref="G4:G5"/>
  </mergeCells>
  <pageMargins left="0.393999993801117" right="0.393999993801117" top="0.59100002050399802" bottom="0.59100002050399802" header="0" footer="0"/>
  <pageSetup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91" t="s">
        <v>382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1</v>
      </c>
      <c r="B2" s="69"/>
      <c r="C2" s="75" t="str">
        <f>'Stavební rozpočet'!D2</f>
        <v>Oprava rozvodů kanalizace, vody a plynu v bytovém domě Studenstská 1557 Havířov</v>
      </c>
      <c r="D2" s="92"/>
      <c r="E2" s="78" t="s">
        <v>3</v>
      </c>
      <c r="F2" s="78" t="str">
        <f>'Stavební rozpočet'!J2</f>
        <v>Společenstní vlastníků Studenstká 1557 Havířov</v>
      </c>
      <c r="G2" s="69"/>
      <c r="H2" s="78" t="s">
        <v>399</v>
      </c>
      <c r="I2" s="79" t="s">
        <v>400</v>
      </c>
    </row>
    <row r="3" spans="1:9" ht="25.5" customHeight="1" x14ac:dyDescent="0.25">
      <c r="A3" s="70"/>
      <c r="B3" s="71"/>
      <c r="C3" s="76"/>
      <c r="D3" s="76"/>
      <c r="E3" s="71"/>
      <c r="F3" s="71"/>
      <c r="G3" s="71"/>
      <c r="H3" s="71"/>
      <c r="I3" s="80"/>
    </row>
    <row r="4" spans="1:9" x14ac:dyDescent="0.25">
      <c r="A4" s="72" t="s">
        <v>4</v>
      </c>
      <c r="B4" s="71"/>
      <c r="C4" s="77" t="str">
        <f>'Stavební rozpočet'!D4</f>
        <v xml:space="preserve"> </v>
      </c>
      <c r="D4" s="71"/>
      <c r="E4" s="77" t="s">
        <v>6</v>
      </c>
      <c r="F4" s="77" t="str">
        <f>'Stavební rozpočet'!J4</f>
        <v>Ing. Radim Kyjonka</v>
      </c>
      <c r="G4" s="71"/>
      <c r="H4" s="77" t="s">
        <v>399</v>
      </c>
      <c r="I4" s="80" t="s">
        <v>401</v>
      </c>
    </row>
    <row r="5" spans="1:9" ht="15" customHeight="1" x14ac:dyDescent="0.25">
      <c r="A5" s="70"/>
      <c r="B5" s="71"/>
      <c r="C5" s="71"/>
      <c r="D5" s="71"/>
      <c r="E5" s="71"/>
      <c r="F5" s="71"/>
      <c r="G5" s="71"/>
      <c r="H5" s="71"/>
      <c r="I5" s="80"/>
    </row>
    <row r="6" spans="1:9" x14ac:dyDescent="0.25">
      <c r="A6" s="72" t="s">
        <v>7</v>
      </c>
      <c r="B6" s="71"/>
      <c r="C6" s="77" t="str">
        <f>'Stavební rozpočet'!D6</f>
        <v xml:space="preserve"> </v>
      </c>
      <c r="D6" s="71"/>
      <c r="E6" s="77" t="s">
        <v>9</v>
      </c>
      <c r="F6" s="77" t="str">
        <f>'Stavební rozpočet'!J6</f>
        <v> </v>
      </c>
      <c r="G6" s="71"/>
      <c r="H6" s="77" t="s">
        <v>399</v>
      </c>
      <c r="I6" s="80" t="s">
        <v>25</v>
      </c>
    </row>
    <row r="7" spans="1:9" ht="15" customHeight="1" x14ac:dyDescent="0.25">
      <c r="A7" s="70"/>
      <c r="B7" s="71"/>
      <c r="C7" s="71"/>
      <c r="D7" s="71"/>
      <c r="E7" s="71"/>
      <c r="F7" s="71"/>
      <c r="G7" s="71"/>
      <c r="H7" s="71"/>
      <c r="I7" s="80"/>
    </row>
    <row r="8" spans="1:9" x14ac:dyDescent="0.25">
      <c r="A8" s="72" t="s">
        <v>5</v>
      </c>
      <c r="B8" s="71"/>
      <c r="C8" s="77" t="str">
        <f>'Stavební rozpočet'!H4</f>
        <v xml:space="preserve"> </v>
      </c>
      <c r="D8" s="71"/>
      <c r="E8" s="77" t="s">
        <v>8</v>
      </c>
      <c r="F8" s="77" t="str">
        <f>'Stavební rozpočet'!H6</f>
        <v xml:space="preserve"> </v>
      </c>
      <c r="G8" s="71"/>
      <c r="H8" s="71" t="s">
        <v>402</v>
      </c>
      <c r="I8" s="93">
        <v>172</v>
      </c>
    </row>
    <row r="9" spans="1:9" x14ac:dyDescent="0.25">
      <c r="A9" s="70"/>
      <c r="B9" s="71"/>
      <c r="C9" s="71"/>
      <c r="D9" s="71"/>
      <c r="E9" s="71"/>
      <c r="F9" s="71"/>
      <c r="G9" s="71"/>
      <c r="H9" s="71"/>
      <c r="I9" s="80"/>
    </row>
    <row r="10" spans="1:9" x14ac:dyDescent="0.25">
      <c r="A10" s="72" t="s">
        <v>10</v>
      </c>
      <c r="B10" s="71"/>
      <c r="C10" s="77" t="str">
        <f>'Stavební rozpočet'!D8</f>
        <v xml:space="preserve"> </v>
      </c>
      <c r="D10" s="71"/>
      <c r="E10" s="77" t="s">
        <v>12</v>
      </c>
      <c r="F10" s="77" t="str">
        <f>'Stavební rozpočet'!J8</f>
        <v>Ing. Radim Kyjonka</v>
      </c>
      <c r="G10" s="71"/>
      <c r="H10" s="71" t="s">
        <v>403</v>
      </c>
      <c r="I10" s="89" t="str">
        <f>'Stavební rozpočet'!H8</f>
        <v>07.01.2025</v>
      </c>
    </row>
    <row r="11" spans="1:9" x14ac:dyDescent="0.25">
      <c r="A11" s="73"/>
      <c r="B11" s="74"/>
      <c r="C11" s="74"/>
      <c r="D11" s="74"/>
      <c r="E11" s="74"/>
      <c r="F11" s="74"/>
      <c r="G11" s="74"/>
      <c r="H11" s="74"/>
      <c r="I11" s="81"/>
    </row>
    <row r="13" spans="1:9" ht="15.75" x14ac:dyDescent="0.25">
      <c r="A13" s="94" t="s">
        <v>414</v>
      </c>
      <c r="B13" s="94"/>
      <c r="C13" s="94"/>
      <c r="D13" s="94"/>
      <c r="E13" s="94"/>
    </row>
    <row r="14" spans="1:9" x14ac:dyDescent="0.25">
      <c r="A14" s="95" t="s">
        <v>415</v>
      </c>
      <c r="B14" s="96"/>
      <c r="C14" s="96"/>
      <c r="D14" s="96"/>
      <c r="E14" s="97"/>
      <c r="F14" s="21" t="s">
        <v>416</v>
      </c>
      <c r="G14" s="21" t="s">
        <v>43</v>
      </c>
      <c r="H14" s="21" t="s">
        <v>417</v>
      </c>
      <c r="I14" s="21" t="s">
        <v>416</v>
      </c>
    </row>
    <row r="15" spans="1:9" x14ac:dyDescent="0.25">
      <c r="A15" s="98" t="s">
        <v>405</v>
      </c>
      <c r="B15" s="99"/>
      <c r="C15" s="99"/>
      <c r="D15" s="99"/>
      <c r="E15" s="100"/>
      <c r="F15" s="22">
        <v>0</v>
      </c>
      <c r="G15" s="23" t="s">
        <v>25</v>
      </c>
      <c r="H15" s="23" t="s">
        <v>25</v>
      </c>
      <c r="I15" s="22">
        <f>F15</f>
        <v>0</v>
      </c>
    </row>
    <row r="16" spans="1:9" x14ac:dyDescent="0.25">
      <c r="A16" s="98" t="s">
        <v>407</v>
      </c>
      <c r="B16" s="99"/>
      <c r="C16" s="99"/>
      <c r="D16" s="99"/>
      <c r="E16" s="100"/>
      <c r="F16" s="22">
        <v>0</v>
      </c>
      <c r="G16" s="23" t="s">
        <v>25</v>
      </c>
      <c r="H16" s="23" t="s">
        <v>25</v>
      </c>
      <c r="I16" s="22">
        <f>F16</f>
        <v>0</v>
      </c>
    </row>
    <row r="17" spans="1:9" x14ac:dyDescent="0.25">
      <c r="A17" s="101" t="s">
        <v>409</v>
      </c>
      <c r="B17" s="102"/>
      <c r="C17" s="102"/>
      <c r="D17" s="102"/>
      <c r="E17" s="103"/>
      <c r="F17" s="24">
        <v>0</v>
      </c>
      <c r="G17" s="25" t="s">
        <v>25</v>
      </c>
      <c r="H17" s="25" t="s">
        <v>25</v>
      </c>
      <c r="I17" s="24">
        <f>F17</f>
        <v>0</v>
      </c>
    </row>
    <row r="18" spans="1:9" x14ac:dyDescent="0.25">
      <c r="A18" s="104" t="s">
        <v>418</v>
      </c>
      <c r="B18" s="105"/>
      <c r="C18" s="105"/>
      <c r="D18" s="105"/>
      <c r="E18" s="106"/>
      <c r="F18" s="26" t="s">
        <v>25</v>
      </c>
      <c r="G18" s="27" t="s">
        <v>25</v>
      </c>
      <c r="H18" s="27" t="s">
        <v>25</v>
      </c>
      <c r="I18" s="28">
        <f>SUM(I15:I17)</f>
        <v>0</v>
      </c>
    </row>
    <row r="20" spans="1:9" x14ac:dyDescent="0.25">
      <c r="A20" s="95" t="s">
        <v>404</v>
      </c>
      <c r="B20" s="96"/>
      <c r="C20" s="96"/>
      <c r="D20" s="96"/>
      <c r="E20" s="97"/>
      <c r="F20" s="21" t="s">
        <v>416</v>
      </c>
      <c r="G20" s="21" t="s">
        <v>43</v>
      </c>
      <c r="H20" s="21" t="s">
        <v>417</v>
      </c>
      <c r="I20" s="21" t="s">
        <v>416</v>
      </c>
    </row>
    <row r="21" spans="1:9" x14ac:dyDescent="0.25">
      <c r="A21" s="98" t="s">
        <v>389</v>
      </c>
      <c r="B21" s="99"/>
      <c r="C21" s="99"/>
      <c r="D21" s="99"/>
      <c r="E21" s="100"/>
      <c r="F21" s="22">
        <v>0</v>
      </c>
      <c r="G21" s="23" t="s">
        <v>25</v>
      </c>
      <c r="H21" s="23" t="s">
        <v>25</v>
      </c>
      <c r="I21" s="22">
        <f t="shared" ref="I21:I26" si="0">F21</f>
        <v>0</v>
      </c>
    </row>
    <row r="22" spans="1:9" x14ac:dyDescent="0.25">
      <c r="A22" s="98" t="s">
        <v>408</v>
      </c>
      <c r="B22" s="99"/>
      <c r="C22" s="99"/>
      <c r="D22" s="99"/>
      <c r="E22" s="100"/>
      <c r="F22" s="22">
        <v>0</v>
      </c>
      <c r="G22" s="23" t="s">
        <v>25</v>
      </c>
      <c r="H22" s="23" t="s">
        <v>25</v>
      </c>
      <c r="I22" s="22">
        <f t="shared" si="0"/>
        <v>0</v>
      </c>
    </row>
    <row r="23" spans="1:9" x14ac:dyDescent="0.25">
      <c r="A23" s="98" t="s">
        <v>410</v>
      </c>
      <c r="B23" s="99"/>
      <c r="C23" s="99"/>
      <c r="D23" s="99"/>
      <c r="E23" s="100"/>
      <c r="F23" s="22">
        <v>0</v>
      </c>
      <c r="G23" s="23" t="s">
        <v>25</v>
      </c>
      <c r="H23" s="23" t="s">
        <v>25</v>
      </c>
      <c r="I23" s="22">
        <f t="shared" si="0"/>
        <v>0</v>
      </c>
    </row>
    <row r="24" spans="1:9" x14ac:dyDescent="0.25">
      <c r="A24" s="98" t="s">
        <v>395</v>
      </c>
      <c r="B24" s="99"/>
      <c r="C24" s="99"/>
      <c r="D24" s="99"/>
      <c r="E24" s="100"/>
      <c r="F24" s="22">
        <v>0</v>
      </c>
      <c r="G24" s="23" t="s">
        <v>25</v>
      </c>
      <c r="H24" s="23" t="s">
        <v>25</v>
      </c>
      <c r="I24" s="22">
        <f t="shared" si="0"/>
        <v>0</v>
      </c>
    </row>
    <row r="25" spans="1:9" x14ac:dyDescent="0.25">
      <c r="A25" s="98" t="s">
        <v>411</v>
      </c>
      <c r="B25" s="99"/>
      <c r="C25" s="99"/>
      <c r="D25" s="99"/>
      <c r="E25" s="100"/>
      <c r="F25" s="22">
        <v>0</v>
      </c>
      <c r="G25" s="23" t="s">
        <v>25</v>
      </c>
      <c r="H25" s="23" t="s">
        <v>25</v>
      </c>
      <c r="I25" s="22">
        <f t="shared" si="0"/>
        <v>0</v>
      </c>
    </row>
    <row r="26" spans="1:9" x14ac:dyDescent="0.25">
      <c r="A26" s="101" t="s">
        <v>412</v>
      </c>
      <c r="B26" s="102"/>
      <c r="C26" s="102"/>
      <c r="D26" s="102"/>
      <c r="E26" s="103"/>
      <c r="F26" s="24">
        <v>0</v>
      </c>
      <c r="G26" s="25" t="s">
        <v>25</v>
      </c>
      <c r="H26" s="25" t="s">
        <v>25</v>
      </c>
      <c r="I26" s="24">
        <f t="shared" si="0"/>
        <v>0</v>
      </c>
    </row>
    <row r="27" spans="1:9" x14ac:dyDescent="0.25">
      <c r="A27" s="104" t="s">
        <v>419</v>
      </c>
      <c r="B27" s="105"/>
      <c r="C27" s="105"/>
      <c r="D27" s="105"/>
      <c r="E27" s="106"/>
      <c r="F27" s="26" t="s">
        <v>25</v>
      </c>
      <c r="G27" s="27" t="s">
        <v>25</v>
      </c>
      <c r="H27" s="27" t="s">
        <v>25</v>
      </c>
      <c r="I27" s="28">
        <f>SUM(I21:I26)</f>
        <v>0</v>
      </c>
    </row>
    <row r="29" spans="1:9" ht="15.75" x14ac:dyDescent="0.25">
      <c r="A29" s="107" t="s">
        <v>420</v>
      </c>
      <c r="B29" s="108"/>
      <c r="C29" s="108"/>
      <c r="D29" s="108"/>
      <c r="E29" s="109"/>
      <c r="F29" s="110">
        <f>I18+I27</f>
        <v>0</v>
      </c>
      <c r="G29" s="111"/>
      <c r="H29" s="111"/>
      <c r="I29" s="112"/>
    </row>
    <row r="33" spans="1:9" ht="15.75" x14ac:dyDescent="0.25">
      <c r="A33" s="94" t="s">
        <v>421</v>
      </c>
      <c r="B33" s="94"/>
      <c r="C33" s="94"/>
      <c r="D33" s="94"/>
      <c r="E33" s="94"/>
    </row>
    <row r="34" spans="1:9" x14ac:dyDescent="0.25">
      <c r="A34" s="95" t="s">
        <v>422</v>
      </c>
      <c r="B34" s="96"/>
      <c r="C34" s="96"/>
      <c r="D34" s="96"/>
      <c r="E34" s="97"/>
      <c r="F34" s="21" t="s">
        <v>416</v>
      </c>
      <c r="G34" s="21" t="s">
        <v>43</v>
      </c>
      <c r="H34" s="21" t="s">
        <v>417</v>
      </c>
      <c r="I34" s="21" t="s">
        <v>416</v>
      </c>
    </row>
    <row r="35" spans="1:9" x14ac:dyDescent="0.25">
      <c r="A35" s="98" t="s">
        <v>384</v>
      </c>
      <c r="B35" s="99"/>
      <c r="C35" s="99"/>
      <c r="D35" s="99"/>
      <c r="E35" s="100"/>
      <c r="F35" s="22" t="e">
        <f>SUM('Stavební rozpočet'!BM12:BM254)</f>
        <v>#REF!</v>
      </c>
      <c r="G35" s="23" t="s">
        <v>25</v>
      </c>
      <c r="H35" s="23" t="s">
        <v>25</v>
      </c>
      <c r="I35" s="22" t="e">
        <f t="shared" ref="I35:I44" si="1">F35</f>
        <v>#REF!</v>
      </c>
    </row>
    <row r="36" spans="1:9" x14ac:dyDescent="0.25">
      <c r="A36" s="98" t="s">
        <v>423</v>
      </c>
      <c r="B36" s="99"/>
      <c r="C36" s="99"/>
      <c r="D36" s="99"/>
      <c r="E36" s="100"/>
      <c r="F36" s="22">
        <f>SUM('Stavební rozpočet'!BN12:BN254)</f>
        <v>0</v>
      </c>
      <c r="G36" s="23" t="s">
        <v>25</v>
      </c>
      <c r="H36" s="23" t="s">
        <v>25</v>
      </c>
      <c r="I36" s="22">
        <f t="shared" si="1"/>
        <v>0</v>
      </c>
    </row>
    <row r="37" spans="1:9" x14ac:dyDescent="0.25">
      <c r="A37" s="98" t="s">
        <v>389</v>
      </c>
      <c r="B37" s="99"/>
      <c r="C37" s="99"/>
      <c r="D37" s="99"/>
      <c r="E37" s="100"/>
      <c r="F37" s="22" t="e">
        <f>SUM('Stavební rozpočet'!BO12:BO254)</f>
        <v>#REF!</v>
      </c>
      <c r="G37" s="23" t="s">
        <v>25</v>
      </c>
      <c r="H37" s="23" t="s">
        <v>25</v>
      </c>
      <c r="I37" s="22" t="e">
        <f t="shared" si="1"/>
        <v>#REF!</v>
      </c>
    </row>
    <row r="38" spans="1:9" x14ac:dyDescent="0.25">
      <c r="A38" s="98" t="s">
        <v>424</v>
      </c>
      <c r="B38" s="99"/>
      <c r="C38" s="99"/>
      <c r="D38" s="99"/>
      <c r="E38" s="100"/>
      <c r="F38" s="22">
        <f>SUM('Stavební rozpočet'!BP12:BP254)</f>
        <v>0</v>
      </c>
      <c r="G38" s="23" t="s">
        <v>25</v>
      </c>
      <c r="H38" s="23" t="s">
        <v>25</v>
      </c>
      <c r="I38" s="22">
        <f t="shared" si="1"/>
        <v>0</v>
      </c>
    </row>
    <row r="39" spans="1:9" x14ac:dyDescent="0.25">
      <c r="A39" s="98" t="s">
        <v>425</v>
      </c>
      <c r="B39" s="99"/>
      <c r="C39" s="99"/>
      <c r="D39" s="99"/>
      <c r="E39" s="100"/>
      <c r="F39" s="22">
        <f>SUM('Stavební rozpočet'!BQ12:BQ254)</f>
        <v>0</v>
      </c>
      <c r="G39" s="23" t="s">
        <v>25</v>
      </c>
      <c r="H39" s="23" t="s">
        <v>25</v>
      </c>
      <c r="I39" s="22">
        <f t="shared" si="1"/>
        <v>0</v>
      </c>
    </row>
    <row r="40" spans="1:9" x14ac:dyDescent="0.25">
      <c r="A40" s="98" t="s">
        <v>410</v>
      </c>
      <c r="B40" s="99"/>
      <c r="C40" s="99"/>
      <c r="D40" s="99"/>
      <c r="E40" s="100"/>
      <c r="F40" s="22">
        <f>SUM('Stavební rozpočet'!BR12:BR254)</f>
        <v>0</v>
      </c>
      <c r="G40" s="23" t="s">
        <v>25</v>
      </c>
      <c r="H40" s="23" t="s">
        <v>25</v>
      </c>
      <c r="I40" s="22">
        <f t="shared" si="1"/>
        <v>0</v>
      </c>
    </row>
    <row r="41" spans="1:9" x14ac:dyDescent="0.25">
      <c r="A41" s="98" t="s">
        <v>395</v>
      </c>
      <c r="B41" s="99"/>
      <c r="C41" s="99"/>
      <c r="D41" s="99"/>
      <c r="E41" s="100"/>
      <c r="F41" s="22" t="e">
        <f>SUM('Stavební rozpočet'!BS12:BS254)</f>
        <v>#REF!</v>
      </c>
      <c r="G41" s="23" t="s">
        <v>25</v>
      </c>
      <c r="H41" s="23" t="s">
        <v>25</v>
      </c>
      <c r="I41" s="22" t="e">
        <f t="shared" si="1"/>
        <v>#REF!</v>
      </c>
    </row>
    <row r="42" spans="1:9" x14ac:dyDescent="0.25">
      <c r="A42" s="98" t="s">
        <v>426</v>
      </c>
      <c r="B42" s="99"/>
      <c r="C42" s="99"/>
      <c r="D42" s="99"/>
      <c r="E42" s="100"/>
      <c r="F42" s="22">
        <f>SUM('Stavební rozpočet'!BT12:BT254)</f>
        <v>0</v>
      </c>
      <c r="G42" s="23" t="s">
        <v>25</v>
      </c>
      <c r="H42" s="23" t="s">
        <v>25</v>
      </c>
      <c r="I42" s="22">
        <f t="shared" si="1"/>
        <v>0</v>
      </c>
    </row>
    <row r="43" spans="1:9" x14ac:dyDescent="0.25">
      <c r="A43" s="98" t="s">
        <v>427</v>
      </c>
      <c r="B43" s="99"/>
      <c r="C43" s="99"/>
      <c r="D43" s="99"/>
      <c r="E43" s="100"/>
      <c r="F43" s="22">
        <f>SUM('Stavební rozpočet'!BU12:BU254)</f>
        <v>0</v>
      </c>
      <c r="G43" s="23" t="s">
        <v>25</v>
      </c>
      <c r="H43" s="23" t="s">
        <v>25</v>
      </c>
      <c r="I43" s="22">
        <f t="shared" si="1"/>
        <v>0</v>
      </c>
    </row>
    <row r="44" spans="1:9" x14ac:dyDescent="0.25">
      <c r="A44" s="101" t="s">
        <v>428</v>
      </c>
      <c r="B44" s="102"/>
      <c r="C44" s="102"/>
      <c r="D44" s="102"/>
      <c r="E44" s="103"/>
      <c r="F44" s="24">
        <f>SUM('Stavební rozpočet'!BV12:BV254)</f>
        <v>0</v>
      </c>
      <c r="G44" s="25" t="s">
        <v>25</v>
      </c>
      <c r="H44" s="25" t="s">
        <v>25</v>
      </c>
      <c r="I44" s="24">
        <f t="shared" si="1"/>
        <v>0</v>
      </c>
    </row>
    <row r="45" spans="1:9" x14ac:dyDescent="0.25">
      <c r="A45" s="104" t="s">
        <v>429</v>
      </c>
      <c r="B45" s="105"/>
      <c r="C45" s="105"/>
      <c r="D45" s="105"/>
      <c r="E45" s="106"/>
      <c r="F45" s="26" t="s">
        <v>25</v>
      </c>
      <c r="G45" s="27" t="s">
        <v>25</v>
      </c>
      <c r="H45" s="27" t="s">
        <v>25</v>
      </c>
      <c r="I45" s="28" t="e">
        <f>SUM(I35:I44)</f>
        <v>#REF!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257"/>
  <sheetViews>
    <sheetView workbookViewId="0">
      <pane ySplit="11" topLeftCell="A12" activePane="bottomLeft" state="frozen"/>
      <selection pane="bottomLeft" activeCell="A257" sqref="A257:P257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AS1" s="29">
        <f>SUM(AJ1:AJ2)</f>
        <v>0</v>
      </c>
      <c r="AT1" s="29">
        <f>SUM(AK1:AK2)</f>
        <v>0</v>
      </c>
      <c r="AU1" s="29">
        <f>SUM(AL1:AL2)</f>
        <v>0</v>
      </c>
    </row>
    <row r="2" spans="1:76" x14ac:dyDescent="0.25">
      <c r="A2" s="68" t="s">
        <v>1</v>
      </c>
      <c r="B2" s="69"/>
      <c r="C2" s="69"/>
      <c r="D2" s="75" t="s">
        <v>430</v>
      </c>
      <c r="E2" s="92"/>
      <c r="F2" s="69" t="s">
        <v>2</v>
      </c>
      <c r="G2" s="69"/>
      <c r="H2" s="69" t="s">
        <v>23</v>
      </c>
      <c r="I2" s="78" t="s">
        <v>3</v>
      </c>
      <c r="J2" s="78" t="s">
        <v>431</v>
      </c>
      <c r="K2" s="69"/>
      <c r="L2" s="69"/>
      <c r="M2" s="69"/>
      <c r="N2" s="69"/>
      <c r="O2" s="69"/>
      <c r="P2" s="79"/>
    </row>
    <row r="3" spans="1:76" x14ac:dyDescent="0.25">
      <c r="A3" s="70"/>
      <c r="B3" s="71"/>
      <c r="C3" s="71"/>
      <c r="D3" s="76"/>
      <c r="E3" s="76"/>
      <c r="F3" s="71"/>
      <c r="G3" s="71"/>
      <c r="H3" s="71"/>
      <c r="I3" s="71"/>
      <c r="J3" s="71"/>
      <c r="K3" s="71"/>
      <c r="L3" s="71"/>
      <c r="M3" s="71"/>
      <c r="N3" s="71"/>
      <c r="O3" s="71"/>
      <c r="P3" s="80"/>
    </row>
    <row r="4" spans="1:76" x14ac:dyDescent="0.25">
      <c r="A4" s="72" t="s">
        <v>4</v>
      </c>
      <c r="B4" s="71"/>
      <c r="C4" s="71"/>
      <c r="D4" s="77" t="s">
        <v>23</v>
      </c>
      <c r="E4" s="71"/>
      <c r="F4" s="71" t="s">
        <v>5</v>
      </c>
      <c r="G4" s="71"/>
      <c r="H4" s="71" t="s">
        <v>23</v>
      </c>
      <c r="I4" s="77" t="s">
        <v>6</v>
      </c>
      <c r="J4" s="77" t="s">
        <v>432</v>
      </c>
      <c r="K4" s="71"/>
      <c r="L4" s="71"/>
      <c r="M4" s="71"/>
      <c r="N4" s="71"/>
      <c r="O4" s="71"/>
      <c r="P4" s="80"/>
    </row>
    <row r="5" spans="1:76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80"/>
    </row>
    <row r="6" spans="1:76" x14ac:dyDescent="0.25">
      <c r="A6" s="72" t="s">
        <v>7</v>
      </c>
      <c r="B6" s="71"/>
      <c r="C6" s="71"/>
      <c r="D6" s="77" t="s">
        <v>23</v>
      </c>
      <c r="E6" s="71"/>
      <c r="F6" s="71" t="s">
        <v>8</v>
      </c>
      <c r="G6" s="71"/>
      <c r="H6" s="71" t="s">
        <v>23</v>
      </c>
      <c r="I6" s="77" t="s">
        <v>9</v>
      </c>
      <c r="J6" s="71" t="s">
        <v>433</v>
      </c>
      <c r="K6" s="71"/>
      <c r="L6" s="71"/>
      <c r="M6" s="71"/>
      <c r="N6" s="71"/>
      <c r="O6" s="71"/>
      <c r="P6" s="80"/>
    </row>
    <row r="7" spans="1:76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80"/>
    </row>
    <row r="8" spans="1:76" x14ac:dyDescent="0.25">
      <c r="A8" s="72" t="s">
        <v>10</v>
      </c>
      <c r="B8" s="71"/>
      <c r="C8" s="71"/>
      <c r="D8" s="77" t="s">
        <v>23</v>
      </c>
      <c r="E8" s="71"/>
      <c r="F8" s="71" t="s">
        <v>11</v>
      </c>
      <c r="G8" s="71"/>
      <c r="H8" s="71" t="s">
        <v>398</v>
      </c>
      <c r="I8" s="77" t="s">
        <v>12</v>
      </c>
      <c r="J8" s="77" t="s">
        <v>432</v>
      </c>
      <c r="K8" s="71"/>
      <c r="L8" s="71"/>
      <c r="M8" s="71"/>
      <c r="N8" s="71"/>
      <c r="O8" s="71"/>
      <c r="P8" s="80"/>
    </row>
    <row r="9" spans="1:76" x14ac:dyDescent="0.2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90"/>
    </row>
    <row r="10" spans="1:76" x14ac:dyDescent="0.25">
      <c r="A10" s="30" t="s">
        <v>13</v>
      </c>
      <c r="B10" s="31" t="s">
        <v>14</v>
      </c>
      <c r="C10" s="31" t="s">
        <v>15</v>
      </c>
      <c r="D10" s="113" t="s">
        <v>16</v>
      </c>
      <c r="E10" s="114"/>
      <c r="F10" s="31" t="s">
        <v>17</v>
      </c>
      <c r="G10" s="32" t="s">
        <v>18</v>
      </c>
      <c r="H10" s="33" t="s">
        <v>434</v>
      </c>
      <c r="I10" s="34" t="s">
        <v>435</v>
      </c>
      <c r="J10" s="117" t="s">
        <v>436</v>
      </c>
      <c r="K10" s="118"/>
      <c r="L10" s="119"/>
      <c r="M10" s="35" t="s">
        <v>436</v>
      </c>
      <c r="N10" s="120" t="s">
        <v>437</v>
      </c>
      <c r="O10" s="121"/>
      <c r="P10" s="36" t="s">
        <v>438</v>
      </c>
      <c r="BK10" s="13" t="s">
        <v>22</v>
      </c>
      <c r="BL10" s="37" t="s">
        <v>21</v>
      </c>
      <c r="BW10" s="37" t="s">
        <v>439</v>
      </c>
    </row>
    <row r="11" spans="1:76" x14ac:dyDescent="0.25">
      <c r="A11" s="38" t="s">
        <v>23</v>
      </c>
      <c r="B11" s="39" t="s">
        <v>23</v>
      </c>
      <c r="C11" s="39" t="s">
        <v>23</v>
      </c>
      <c r="D11" s="115" t="s">
        <v>440</v>
      </c>
      <c r="E11" s="116"/>
      <c r="F11" s="39" t="s">
        <v>23</v>
      </c>
      <c r="G11" s="39" t="s">
        <v>23</v>
      </c>
      <c r="H11" s="40" t="s">
        <v>441</v>
      </c>
      <c r="I11" s="41" t="s">
        <v>23</v>
      </c>
      <c r="J11" s="42" t="s">
        <v>442</v>
      </c>
      <c r="K11" s="43" t="s">
        <v>406</v>
      </c>
      <c r="L11" s="44" t="s">
        <v>443</v>
      </c>
      <c r="M11" s="45" t="s">
        <v>444</v>
      </c>
      <c r="N11" s="46" t="s">
        <v>445</v>
      </c>
      <c r="O11" s="47" t="s">
        <v>443</v>
      </c>
      <c r="P11" s="48" t="s">
        <v>446</v>
      </c>
      <c r="Z11" s="13" t="s">
        <v>447</v>
      </c>
      <c r="AA11" s="13" t="s">
        <v>448</v>
      </c>
      <c r="AB11" s="13" t="s">
        <v>449</v>
      </c>
      <c r="AC11" s="13" t="s">
        <v>450</v>
      </c>
      <c r="AD11" s="13" t="s">
        <v>451</v>
      </c>
      <c r="AE11" s="13" t="s">
        <v>452</v>
      </c>
      <c r="AF11" s="13" t="s">
        <v>453</v>
      </c>
      <c r="AG11" s="13" t="s">
        <v>454</v>
      </c>
      <c r="AH11" s="13" t="s">
        <v>455</v>
      </c>
      <c r="BH11" s="13" t="s">
        <v>456</v>
      </c>
      <c r="BI11" s="13" t="s">
        <v>457</v>
      </c>
      <c r="BJ11" s="13" t="s">
        <v>458</v>
      </c>
    </row>
    <row r="12" spans="1:76" x14ac:dyDescent="0.25">
      <c r="A12" s="49" t="s">
        <v>25</v>
      </c>
      <c r="B12" s="9" t="s">
        <v>24</v>
      </c>
      <c r="C12" s="9" t="s">
        <v>25</v>
      </c>
      <c r="D12" s="82" t="s">
        <v>26</v>
      </c>
      <c r="E12" s="83"/>
      <c r="F12" s="50" t="s">
        <v>23</v>
      </c>
      <c r="G12" s="50" t="s">
        <v>23</v>
      </c>
      <c r="H12" s="50" t="s">
        <v>23</v>
      </c>
      <c r="I12" s="50" t="s">
        <v>23</v>
      </c>
      <c r="J12" s="51" t="e">
        <f>J13</f>
        <v>#REF!</v>
      </c>
      <c r="K12" s="51" t="e">
        <f>K13</f>
        <v>#REF!</v>
      </c>
      <c r="L12" s="51" t="e">
        <f>L13</f>
        <v>#REF!</v>
      </c>
      <c r="M12" s="51" t="e">
        <f>M13</f>
        <v>#REF!</v>
      </c>
      <c r="N12" s="10" t="s">
        <v>25</v>
      </c>
      <c r="O12" s="51" t="e">
        <f>O13</f>
        <v>#REF!</v>
      </c>
      <c r="P12" s="52" t="s">
        <v>25</v>
      </c>
    </row>
    <row r="13" spans="1:76" x14ac:dyDescent="0.25">
      <c r="A13" s="53" t="s">
        <v>25</v>
      </c>
      <c r="B13" s="12" t="s">
        <v>24</v>
      </c>
      <c r="C13" s="12" t="s">
        <v>27</v>
      </c>
      <c r="D13" s="84" t="s">
        <v>28</v>
      </c>
      <c r="E13" s="85"/>
      <c r="F13" s="54" t="s">
        <v>23</v>
      </c>
      <c r="G13" s="54" t="s">
        <v>23</v>
      </c>
      <c r="H13" s="54" t="s">
        <v>23</v>
      </c>
      <c r="I13" s="54" t="s">
        <v>23</v>
      </c>
      <c r="J13" s="29" t="e">
        <f>SUM(J14:J18)</f>
        <v>#REF!</v>
      </c>
      <c r="K13" s="29" t="e">
        <f>SUM(K14:K18)</f>
        <v>#REF!</v>
      </c>
      <c r="L13" s="29" t="e">
        <f>SUM(L14:L18)</f>
        <v>#REF!</v>
      </c>
      <c r="M13" s="29" t="e">
        <f>SUM(M14:M18)</f>
        <v>#REF!</v>
      </c>
      <c r="N13" s="13" t="s">
        <v>25</v>
      </c>
      <c r="O13" s="29" t="e">
        <f>SUM(O14:O18)</f>
        <v>#REF!</v>
      </c>
      <c r="P13" s="55" t="s">
        <v>25</v>
      </c>
      <c r="AI13" s="13" t="s">
        <v>24</v>
      </c>
      <c r="AS13" s="29">
        <f>SUM(AJ14:AJ18)</f>
        <v>0</v>
      </c>
      <c r="AT13" s="29" t="e">
        <f>SUM(AK14:AK18)</f>
        <v>#REF!</v>
      </c>
      <c r="AU13" s="29">
        <f>SUM(AL14:AL18)</f>
        <v>0</v>
      </c>
    </row>
    <row r="14" spans="1:76" x14ac:dyDescent="0.25">
      <c r="A14" s="1" t="s">
        <v>459</v>
      </c>
      <c r="B14" s="2" t="s">
        <v>24</v>
      </c>
      <c r="C14" s="2" t="s">
        <v>29</v>
      </c>
      <c r="D14" s="77" t="s">
        <v>30</v>
      </c>
      <c r="E14" s="71"/>
      <c r="F14" s="2" t="s">
        <v>31</v>
      </c>
      <c r="G14" s="16" t="e">
        <f>'Rozpočet - vybrané sloupce'!#REF!</f>
        <v>#REF!</v>
      </c>
      <c r="H14" s="16" t="e">
        <f>'Rozpočet - vybrané sloupce'!#REF!</f>
        <v>#REF!</v>
      </c>
      <c r="I14" s="56" t="s">
        <v>460</v>
      </c>
      <c r="J14" s="16" t="e">
        <f>G14*AO14</f>
        <v>#REF!</v>
      </c>
      <c r="K14" s="16" t="e">
        <f>G14*AP14</f>
        <v>#REF!</v>
      </c>
      <c r="L14" s="16" t="e">
        <f>G14*H14</f>
        <v>#REF!</v>
      </c>
      <c r="M14" s="16" t="e">
        <f>L14*(1+BW14/100)</f>
        <v>#REF!</v>
      </c>
      <c r="N14" s="16">
        <v>0</v>
      </c>
      <c r="O14" s="16" t="e">
        <f>G14*N14</f>
        <v>#REF!</v>
      </c>
      <c r="P14" s="57" t="s">
        <v>461</v>
      </c>
      <c r="Z14" s="16">
        <f>IF(AQ14="5",BJ14,0)</f>
        <v>0</v>
      </c>
      <c r="AB14" s="16">
        <f>IF(AQ14="1",BH14,0)</f>
        <v>0</v>
      </c>
      <c r="AC14" s="16">
        <f>IF(AQ14="1",BI14,0)</f>
        <v>0</v>
      </c>
      <c r="AD14" s="16" t="e">
        <f>IF(AQ14="7",BH14,0)</f>
        <v>#REF!</v>
      </c>
      <c r="AE14" s="16" t="e">
        <f>IF(AQ14="7",BI14,0)</f>
        <v>#REF!</v>
      </c>
      <c r="AF14" s="16">
        <f>IF(AQ14="2",BH14,0)</f>
        <v>0</v>
      </c>
      <c r="AG14" s="16">
        <f>IF(AQ14="2",BI14,0)</f>
        <v>0</v>
      </c>
      <c r="AH14" s="16">
        <f>IF(AQ14="0",BJ14,0)</f>
        <v>0</v>
      </c>
      <c r="AI14" s="13" t="s">
        <v>24</v>
      </c>
      <c r="AJ14" s="16">
        <f>IF(AN14=0,L14,0)</f>
        <v>0</v>
      </c>
      <c r="AK14" s="16" t="e">
        <f>IF(AN14=12,L14,0)</f>
        <v>#REF!</v>
      </c>
      <c r="AL14" s="16">
        <f>IF(AN14=21,L14,0)</f>
        <v>0</v>
      </c>
      <c r="AN14" s="16">
        <v>12</v>
      </c>
      <c r="AO14" s="16" t="e">
        <f>H14*1</f>
        <v>#REF!</v>
      </c>
      <c r="AP14" s="16" t="e">
        <f>H14*(1-1)</f>
        <v>#REF!</v>
      </c>
      <c r="AQ14" s="56" t="s">
        <v>462</v>
      </c>
      <c r="AV14" s="16" t="e">
        <f>AW14+AX14</f>
        <v>#REF!</v>
      </c>
      <c r="AW14" s="16" t="e">
        <f>G14*AO14</f>
        <v>#REF!</v>
      </c>
      <c r="AX14" s="16" t="e">
        <f>G14*AP14</f>
        <v>#REF!</v>
      </c>
      <c r="AY14" s="56" t="s">
        <v>463</v>
      </c>
      <c r="AZ14" s="56" t="s">
        <v>464</v>
      </c>
      <c r="BA14" s="13" t="s">
        <v>465</v>
      </c>
      <c r="BC14" s="16" t="e">
        <f>AW14+AX14</f>
        <v>#REF!</v>
      </c>
      <c r="BD14" s="16" t="e">
        <f>H14/(100-BE14)*100</f>
        <v>#REF!</v>
      </c>
      <c r="BE14" s="16">
        <v>0</v>
      </c>
      <c r="BF14" s="16" t="e">
        <f>O14</f>
        <v>#REF!</v>
      </c>
      <c r="BH14" s="16" t="e">
        <f>G14*AO14</f>
        <v>#REF!</v>
      </c>
      <c r="BI14" s="16" t="e">
        <f>G14*AP14</f>
        <v>#REF!</v>
      </c>
      <c r="BJ14" s="16" t="e">
        <f>G14*H14</f>
        <v>#REF!</v>
      </c>
      <c r="BK14" s="16"/>
      <c r="BL14" s="16">
        <v>721</v>
      </c>
      <c r="BW14" s="16" t="str">
        <f>I14</f>
        <v>12</v>
      </c>
      <c r="BX14" s="3" t="s">
        <v>30</v>
      </c>
    </row>
    <row r="15" spans="1:76" x14ac:dyDescent="0.25">
      <c r="A15" s="1" t="s">
        <v>466</v>
      </c>
      <c r="B15" s="2" t="s">
        <v>24</v>
      </c>
      <c r="C15" s="2" t="s">
        <v>33</v>
      </c>
      <c r="D15" s="77" t="s">
        <v>34</v>
      </c>
      <c r="E15" s="71"/>
      <c r="F15" s="2" t="s">
        <v>35</v>
      </c>
      <c r="G15" s="16" t="e">
        <f>'Rozpočet - vybrané sloupce'!#REF!</f>
        <v>#REF!</v>
      </c>
      <c r="H15" s="16" t="e">
        <f>'Rozpočet - vybrané sloupce'!#REF!</f>
        <v>#REF!</v>
      </c>
      <c r="I15" s="56" t="s">
        <v>460</v>
      </c>
      <c r="J15" s="16" t="e">
        <f>G15*AO15</f>
        <v>#REF!</v>
      </c>
      <c r="K15" s="16" t="e">
        <f>G15*AP15</f>
        <v>#REF!</v>
      </c>
      <c r="L15" s="16" t="e">
        <f>G15*H15</f>
        <v>#REF!</v>
      </c>
      <c r="M15" s="16" t="e">
        <f>L15*(1+BW15/100)</f>
        <v>#REF!</v>
      </c>
      <c r="N15" s="16">
        <v>2.0109999999999999E-2</v>
      </c>
      <c r="O15" s="16" t="e">
        <f>G15*N15</f>
        <v>#REF!</v>
      </c>
      <c r="P15" s="57" t="s">
        <v>461</v>
      </c>
      <c r="Z15" s="16">
        <f>IF(AQ15="5",BJ15,0)</f>
        <v>0</v>
      </c>
      <c r="AB15" s="16">
        <f>IF(AQ15="1",BH15,0)</f>
        <v>0</v>
      </c>
      <c r="AC15" s="16">
        <f>IF(AQ15="1",BI15,0)</f>
        <v>0</v>
      </c>
      <c r="AD15" s="16" t="e">
        <f>IF(AQ15="7",BH15,0)</f>
        <v>#REF!</v>
      </c>
      <c r="AE15" s="16" t="e">
        <f>IF(AQ15="7",BI15,0)</f>
        <v>#REF!</v>
      </c>
      <c r="AF15" s="16">
        <f>IF(AQ15="2",BH15,0)</f>
        <v>0</v>
      </c>
      <c r="AG15" s="16">
        <f>IF(AQ15="2",BI15,0)</f>
        <v>0</v>
      </c>
      <c r="AH15" s="16">
        <f>IF(AQ15="0",BJ15,0)</f>
        <v>0</v>
      </c>
      <c r="AI15" s="13" t="s">
        <v>24</v>
      </c>
      <c r="AJ15" s="16">
        <f>IF(AN15=0,L15,0)</f>
        <v>0</v>
      </c>
      <c r="AK15" s="16" t="e">
        <f>IF(AN15=12,L15,0)</f>
        <v>#REF!</v>
      </c>
      <c r="AL15" s="16">
        <f>IF(AN15=21,L15,0)</f>
        <v>0</v>
      </c>
      <c r="AN15" s="16">
        <v>12</v>
      </c>
      <c r="AO15" s="16" t="e">
        <f>H15*0</f>
        <v>#REF!</v>
      </c>
      <c r="AP15" s="16" t="e">
        <f>H15*(1-0)</f>
        <v>#REF!</v>
      </c>
      <c r="AQ15" s="56" t="s">
        <v>462</v>
      </c>
      <c r="AV15" s="16" t="e">
        <f>AW15+AX15</f>
        <v>#REF!</v>
      </c>
      <c r="AW15" s="16" t="e">
        <f>G15*AO15</f>
        <v>#REF!</v>
      </c>
      <c r="AX15" s="16" t="e">
        <f>G15*AP15</f>
        <v>#REF!</v>
      </c>
      <c r="AY15" s="56" t="s">
        <v>463</v>
      </c>
      <c r="AZ15" s="56" t="s">
        <v>464</v>
      </c>
      <c r="BA15" s="13" t="s">
        <v>465</v>
      </c>
      <c r="BC15" s="16" t="e">
        <f>AW15+AX15</f>
        <v>#REF!</v>
      </c>
      <c r="BD15" s="16" t="e">
        <f>H15/(100-BE15)*100</f>
        <v>#REF!</v>
      </c>
      <c r="BE15" s="16">
        <v>0</v>
      </c>
      <c r="BF15" s="16" t="e">
        <f>O15</f>
        <v>#REF!</v>
      </c>
      <c r="BH15" s="16" t="e">
        <f>G15*AO15</f>
        <v>#REF!</v>
      </c>
      <c r="BI15" s="16" t="e">
        <f>G15*AP15</f>
        <v>#REF!</v>
      </c>
      <c r="BJ15" s="16" t="e">
        <f>G15*H15</f>
        <v>#REF!</v>
      </c>
      <c r="BK15" s="16"/>
      <c r="BL15" s="16">
        <v>721</v>
      </c>
      <c r="BW15" s="16" t="str">
        <f>I15</f>
        <v>12</v>
      </c>
      <c r="BX15" s="3" t="s">
        <v>34</v>
      </c>
    </row>
    <row r="16" spans="1:76" x14ac:dyDescent="0.25">
      <c r="A16" s="1" t="s">
        <v>467</v>
      </c>
      <c r="B16" s="2" t="s">
        <v>24</v>
      </c>
      <c r="C16" s="2" t="s">
        <v>36</v>
      </c>
      <c r="D16" s="77" t="s">
        <v>37</v>
      </c>
      <c r="E16" s="71"/>
      <c r="F16" s="2" t="s">
        <v>35</v>
      </c>
      <c r="G16" s="16" t="e">
        <f>'Rozpočet - vybrané sloupce'!#REF!</f>
        <v>#REF!</v>
      </c>
      <c r="H16" s="16" t="e">
        <f>'Rozpočet - vybrané sloupce'!#REF!</f>
        <v>#REF!</v>
      </c>
      <c r="I16" s="56" t="s">
        <v>460</v>
      </c>
      <c r="J16" s="16" t="e">
        <f>G16*AO16</f>
        <v>#REF!</v>
      </c>
      <c r="K16" s="16" t="e">
        <f>G16*AP16</f>
        <v>#REF!</v>
      </c>
      <c r="L16" s="16" t="e">
        <f>G16*H16</f>
        <v>#REF!</v>
      </c>
      <c r="M16" s="16" t="e">
        <f>L16*(1+BW16/100)</f>
        <v>#REF!</v>
      </c>
      <c r="N16" s="16">
        <v>1.67E-3</v>
      </c>
      <c r="O16" s="16" t="e">
        <f>G16*N16</f>
        <v>#REF!</v>
      </c>
      <c r="P16" s="57" t="s">
        <v>461</v>
      </c>
      <c r="Z16" s="16">
        <f>IF(AQ16="5",BJ16,0)</f>
        <v>0</v>
      </c>
      <c r="AB16" s="16">
        <f>IF(AQ16="1",BH16,0)</f>
        <v>0</v>
      </c>
      <c r="AC16" s="16">
        <f>IF(AQ16="1",BI16,0)</f>
        <v>0</v>
      </c>
      <c r="AD16" s="16" t="e">
        <f>IF(AQ16="7",BH16,0)</f>
        <v>#REF!</v>
      </c>
      <c r="AE16" s="16" t="e">
        <f>IF(AQ16="7",BI16,0)</f>
        <v>#REF!</v>
      </c>
      <c r="AF16" s="16">
        <f>IF(AQ16="2",BH16,0)</f>
        <v>0</v>
      </c>
      <c r="AG16" s="16">
        <f>IF(AQ16="2",BI16,0)</f>
        <v>0</v>
      </c>
      <c r="AH16" s="16">
        <f>IF(AQ16="0",BJ16,0)</f>
        <v>0</v>
      </c>
      <c r="AI16" s="13" t="s">
        <v>24</v>
      </c>
      <c r="AJ16" s="16">
        <f>IF(AN16=0,L16,0)</f>
        <v>0</v>
      </c>
      <c r="AK16" s="16" t="e">
        <f>IF(AN16=12,L16,0)</f>
        <v>#REF!</v>
      </c>
      <c r="AL16" s="16">
        <f>IF(AN16=21,L16,0)</f>
        <v>0</v>
      </c>
      <c r="AN16" s="16">
        <v>12</v>
      </c>
      <c r="AO16" s="16" t="e">
        <f>H16*0.858551237</f>
        <v>#REF!</v>
      </c>
      <c r="AP16" s="16" t="e">
        <f>H16*(1-0.858551237)</f>
        <v>#REF!</v>
      </c>
      <c r="AQ16" s="56" t="s">
        <v>462</v>
      </c>
      <c r="AV16" s="16" t="e">
        <f>AW16+AX16</f>
        <v>#REF!</v>
      </c>
      <c r="AW16" s="16" t="e">
        <f>G16*AO16</f>
        <v>#REF!</v>
      </c>
      <c r="AX16" s="16" t="e">
        <f>G16*AP16</f>
        <v>#REF!</v>
      </c>
      <c r="AY16" s="56" t="s">
        <v>463</v>
      </c>
      <c r="AZ16" s="56" t="s">
        <v>464</v>
      </c>
      <c r="BA16" s="13" t="s">
        <v>465</v>
      </c>
      <c r="BC16" s="16" t="e">
        <f>AW16+AX16</f>
        <v>#REF!</v>
      </c>
      <c r="BD16" s="16" t="e">
        <f>H16/(100-BE16)*100</f>
        <v>#REF!</v>
      </c>
      <c r="BE16" s="16">
        <v>0</v>
      </c>
      <c r="BF16" s="16" t="e">
        <f>O16</f>
        <v>#REF!</v>
      </c>
      <c r="BH16" s="16" t="e">
        <f>G16*AO16</f>
        <v>#REF!</v>
      </c>
      <c r="BI16" s="16" t="e">
        <f>G16*AP16</f>
        <v>#REF!</v>
      </c>
      <c r="BJ16" s="16" t="e">
        <f>G16*H16</f>
        <v>#REF!</v>
      </c>
      <c r="BK16" s="16"/>
      <c r="BL16" s="16">
        <v>721</v>
      </c>
      <c r="BW16" s="16" t="str">
        <f>I16</f>
        <v>12</v>
      </c>
      <c r="BX16" s="3" t="s">
        <v>37</v>
      </c>
    </row>
    <row r="17" spans="1:76" x14ac:dyDescent="0.25">
      <c r="A17" s="1" t="s">
        <v>468</v>
      </c>
      <c r="B17" s="2" t="s">
        <v>24</v>
      </c>
      <c r="C17" s="2" t="s">
        <v>38</v>
      </c>
      <c r="D17" s="77" t="s">
        <v>39</v>
      </c>
      <c r="E17" s="71"/>
      <c r="F17" s="2" t="s">
        <v>40</v>
      </c>
      <c r="G17" s="16" t="e">
        <f>'Rozpočet - vybrané sloupce'!#REF!</f>
        <v>#REF!</v>
      </c>
      <c r="H17" s="16" t="e">
        <f>'Rozpočet - vybrané sloupce'!#REF!</f>
        <v>#REF!</v>
      </c>
      <c r="I17" s="56" t="s">
        <v>460</v>
      </c>
      <c r="J17" s="16" t="e">
        <f>G17*AO17</f>
        <v>#REF!</v>
      </c>
      <c r="K17" s="16" t="e">
        <f>G17*AP17</f>
        <v>#REF!</v>
      </c>
      <c r="L17" s="16" t="e">
        <f>G17*H17</f>
        <v>#REF!</v>
      </c>
      <c r="M17" s="16" t="e">
        <f>L17*(1+BW17/100)</f>
        <v>#REF!</v>
      </c>
      <c r="N17" s="16">
        <v>1.6999999999999999E-3</v>
      </c>
      <c r="O17" s="16" t="e">
        <f>G17*N17</f>
        <v>#REF!</v>
      </c>
      <c r="P17" s="57" t="s">
        <v>469</v>
      </c>
      <c r="Z17" s="16">
        <f>IF(AQ17="5",BJ17,0)</f>
        <v>0</v>
      </c>
      <c r="AB17" s="16">
        <f>IF(AQ17="1",BH17,0)</f>
        <v>0</v>
      </c>
      <c r="AC17" s="16">
        <f>IF(AQ17="1",BI17,0)</f>
        <v>0</v>
      </c>
      <c r="AD17" s="16" t="e">
        <f>IF(AQ17="7",BH17,0)</f>
        <v>#REF!</v>
      </c>
      <c r="AE17" s="16" t="e">
        <f>IF(AQ17="7",BI17,0)</f>
        <v>#REF!</v>
      </c>
      <c r="AF17" s="16">
        <f>IF(AQ17="2",BH17,0)</f>
        <v>0</v>
      </c>
      <c r="AG17" s="16">
        <f>IF(AQ17="2",BI17,0)</f>
        <v>0</v>
      </c>
      <c r="AH17" s="16">
        <f>IF(AQ17="0",BJ17,0)</f>
        <v>0</v>
      </c>
      <c r="AI17" s="13" t="s">
        <v>24</v>
      </c>
      <c r="AJ17" s="16">
        <f>IF(AN17=0,L17,0)</f>
        <v>0</v>
      </c>
      <c r="AK17" s="16" t="e">
        <f>IF(AN17=12,L17,0)</f>
        <v>#REF!</v>
      </c>
      <c r="AL17" s="16">
        <f>IF(AN17=21,L17,0)</f>
        <v>0</v>
      </c>
      <c r="AN17" s="16">
        <v>12</v>
      </c>
      <c r="AO17" s="16" t="e">
        <f>H17*0.865097778</f>
        <v>#REF!</v>
      </c>
      <c r="AP17" s="16" t="e">
        <f>H17*(1-0.865097778)</f>
        <v>#REF!</v>
      </c>
      <c r="AQ17" s="56" t="s">
        <v>462</v>
      </c>
      <c r="AV17" s="16" t="e">
        <f>AW17+AX17</f>
        <v>#REF!</v>
      </c>
      <c r="AW17" s="16" t="e">
        <f>G17*AO17</f>
        <v>#REF!</v>
      </c>
      <c r="AX17" s="16" t="e">
        <f>G17*AP17</f>
        <v>#REF!</v>
      </c>
      <c r="AY17" s="56" t="s">
        <v>463</v>
      </c>
      <c r="AZ17" s="56" t="s">
        <v>464</v>
      </c>
      <c r="BA17" s="13" t="s">
        <v>465</v>
      </c>
      <c r="BC17" s="16" t="e">
        <f>AW17+AX17</f>
        <v>#REF!</v>
      </c>
      <c r="BD17" s="16" t="e">
        <f>H17/(100-BE17)*100</f>
        <v>#REF!</v>
      </c>
      <c r="BE17" s="16">
        <v>0</v>
      </c>
      <c r="BF17" s="16" t="e">
        <f>O17</f>
        <v>#REF!</v>
      </c>
      <c r="BH17" s="16" t="e">
        <f>G17*AO17</f>
        <v>#REF!</v>
      </c>
      <c r="BI17" s="16" t="e">
        <f>G17*AP17</f>
        <v>#REF!</v>
      </c>
      <c r="BJ17" s="16" t="e">
        <f>G17*H17</f>
        <v>#REF!</v>
      </c>
      <c r="BK17" s="16"/>
      <c r="BL17" s="16">
        <v>721</v>
      </c>
      <c r="BW17" s="16" t="str">
        <f>I17</f>
        <v>12</v>
      </c>
      <c r="BX17" s="3" t="s">
        <v>39</v>
      </c>
    </row>
    <row r="18" spans="1:76" x14ac:dyDescent="0.25">
      <c r="A18" s="1" t="s">
        <v>470</v>
      </c>
      <c r="B18" s="2" t="s">
        <v>24</v>
      </c>
      <c r="C18" s="2" t="s">
        <v>41</v>
      </c>
      <c r="D18" s="77" t="s">
        <v>42</v>
      </c>
      <c r="E18" s="71"/>
      <c r="F18" s="2" t="s">
        <v>43</v>
      </c>
      <c r="G18" s="16" t="e">
        <f>'Rozpočet - vybrané sloupce'!#REF!</f>
        <v>#REF!</v>
      </c>
      <c r="H18" s="16" t="e">
        <f>'Rozpočet - vybrané sloupce'!#REF!</f>
        <v>#REF!</v>
      </c>
      <c r="I18" s="56" t="s">
        <v>460</v>
      </c>
      <c r="J18" s="16" t="e">
        <f>G18*AO18</f>
        <v>#REF!</v>
      </c>
      <c r="K18" s="16" t="e">
        <f>G18*AP18</f>
        <v>#REF!</v>
      </c>
      <c r="L18" s="16" t="e">
        <f>G18*H18</f>
        <v>#REF!</v>
      </c>
      <c r="M18" s="16" t="e">
        <f>L18*(1+BW18/100)</f>
        <v>#REF!</v>
      </c>
      <c r="N18" s="16">
        <v>0</v>
      </c>
      <c r="O18" s="16" t="e">
        <f>G18*N18</f>
        <v>#REF!</v>
      </c>
      <c r="P18" s="57" t="s">
        <v>461</v>
      </c>
      <c r="Z18" s="16" t="e">
        <f>IF(AQ18="5",BJ18,0)</f>
        <v>#REF!</v>
      </c>
      <c r="AB18" s="16">
        <f>IF(AQ18="1",BH18,0)</f>
        <v>0</v>
      </c>
      <c r="AC18" s="16">
        <f>IF(AQ18="1",BI18,0)</f>
        <v>0</v>
      </c>
      <c r="AD18" s="16">
        <f>IF(AQ18="7",BH18,0)</f>
        <v>0</v>
      </c>
      <c r="AE18" s="16">
        <f>IF(AQ18="7",BI18,0)</f>
        <v>0</v>
      </c>
      <c r="AF18" s="16">
        <f>IF(AQ18="2",BH18,0)</f>
        <v>0</v>
      </c>
      <c r="AG18" s="16">
        <f>IF(AQ18="2",BI18,0)</f>
        <v>0</v>
      </c>
      <c r="AH18" s="16">
        <f>IF(AQ18="0",BJ18,0)</f>
        <v>0</v>
      </c>
      <c r="AI18" s="13" t="s">
        <v>24</v>
      </c>
      <c r="AJ18" s="16">
        <f>IF(AN18=0,L18,0)</f>
        <v>0</v>
      </c>
      <c r="AK18" s="16" t="e">
        <f>IF(AN18=12,L18,0)</f>
        <v>#REF!</v>
      </c>
      <c r="AL18" s="16">
        <f>IF(AN18=21,L18,0)</f>
        <v>0</v>
      </c>
      <c r="AN18" s="16">
        <v>12</v>
      </c>
      <c r="AO18" s="16" t="e">
        <f>H18*0</f>
        <v>#REF!</v>
      </c>
      <c r="AP18" s="16" t="e">
        <f>H18*(1-0)</f>
        <v>#REF!</v>
      </c>
      <c r="AQ18" s="56" t="s">
        <v>470</v>
      </c>
      <c r="AV18" s="16" t="e">
        <f>AW18+AX18</f>
        <v>#REF!</v>
      </c>
      <c r="AW18" s="16" t="e">
        <f>G18*AO18</f>
        <v>#REF!</v>
      </c>
      <c r="AX18" s="16" t="e">
        <f>G18*AP18</f>
        <v>#REF!</v>
      </c>
      <c r="AY18" s="56" t="s">
        <v>463</v>
      </c>
      <c r="AZ18" s="56" t="s">
        <v>464</v>
      </c>
      <c r="BA18" s="13" t="s">
        <v>465</v>
      </c>
      <c r="BC18" s="16" t="e">
        <f>AW18+AX18</f>
        <v>#REF!</v>
      </c>
      <c r="BD18" s="16" t="e">
        <f>H18/(100-BE18)*100</f>
        <v>#REF!</v>
      </c>
      <c r="BE18" s="16">
        <v>0</v>
      </c>
      <c r="BF18" s="16" t="e">
        <f>O18</f>
        <v>#REF!</v>
      </c>
      <c r="BH18" s="16" t="e">
        <f>G18*AO18</f>
        <v>#REF!</v>
      </c>
      <c r="BI18" s="16" t="e">
        <f>G18*AP18</f>
        <v>#REF!</v>
      </c>
      <c r="BJ18" s="16" t="e">
        <f>G18*H18</f>
        <v>#REF!</v>
      </c>
      <c r="BK18" s="16"/>
      <c r="BL18" s="16">
        <v>721</v>
      </c>
      <c r="BW18" s="16" t="str">
        <f>I18</f>
        <v>12</v>
      </c>
      <c r="BX18" s="3" t="s">
        <v>42</v>
      </c>
    </row>
    <row r="19" spans="1:76" x14ac:dyDescent="0.25">
      <c r="A19" s="53" t="s">
        <v>25</v>
      </c>
      <c r="B19" s="12" t="s">
        <v>44</v>
      </c>
      <c r="C19" s="12" t="s">
        <v>25</v>
      </c>
      <c r="D19" s="84" t="s">
        <v>45</v>
      </c>
      <c r="E19" s="85"/>
      <c r="F19" s="54" t="s">
        <v>23</v>
      </c>
      <c r="G19" s="54" t="s">
        <v>23</v>
      </c>
      <c r="H19" s="54" t="s">
        <v>23</v>
      </c>
      <c r="I19" s="54" t="s">
        <v>23</v>
      </c>
      <c r="J19" s="29" t="e">
        <f>J20+J24</f>
        <v>#REF!</v>
      </c>
      <c r="K19" s="29" t="e">
        <f>K20+K24</f>
        <v>#REF!</v>
      </c>
      <c r="L19" s="29" t="e">
        <f>L20+L24</f>
        <v>#REF!</v>
      </c>
      <c r="M19" s="29" t="e">
        <f>M20+M24</f>
        <v>#REF!</v>
      </c>
      <c r="N19" s="13" t="s">
        <v>25</v>
      </c>
      <c r="O19" s="29" t="e">
        <f>O20+O24</f>
        <v>#REF!</v>
      </c>
      <c r="P19" s="55" t="s">
        <v>25</v>
      </c>
    </row>
    <row r="20" spans="1:76" x14ac:dyDescent="0.25">
      <c r="A20" s="53" t="s">
        <v>25</v>
      </c>
      <c r="B20" s="12" t="s">
        <v>44</v>
      </c>
      <c r="C20" s="12" t="s">
        <v>46</v>
      </c>
      <c r="D20" s="84" t="s">
        <v>47</v>
      </c>
      <c r="E20" s="85"/>
      <c r="F20" s="54" t="s">
        <v>23</v>
      </c>
      <c r="G20" s="54" t="s">
        <v>23</v>
      </c>
      <c r="H20" s="54" t="s">
        <v>23</v>
      </c>
      <c r="I20" s="54" t="s">
        <v>23</v>
      </c>
      <c r="J20" s="29" t="e">
        <f>SUM(J21:J23)</f>
        <v>#REF!</v>
      </c>
      <c r="K20" s="29" t="e">
        <f>SUM(K21:K23)</f>
        <v>#REF!</v>
      </c>
      <c r="L20" s="29" t="e">
        <f>SUM(L21:L23)</f>
        <v>#REF!</v>
      </c>
      <c r="M20" s="29" t="e">
        <f>SUM(M21:M23)</f>
        <v>#REF!</v>
      </c>
      <c r="N20" s="13" t="s">
        <v>25</v>
      </c>
      <c r="O20" s="29" t="e">
        <f>SUM(O21:O23)</f>
        <v>#REF!</v>
      </c>
      <c r="P20" s="55" t="s">
        <v>25</v>
      </c>
      <c r="AI20" s="13" t="s">
        <v>44</v>
      </c>
      <c r="AS20" s="29">
        <f>SUM(AJ21:AJ23)</f>
        <v>0</v>
      </c>
      <c r="AT20" s="29" t="e">
        <f>SUM(AK21:AK23)</f>
        <v>#REF!</v>
      </c>
      <c r="AU20" s="29">
        <f>SUM(AL21:AL23)</f>
        <v>0</v>
      </c>
    </row>
    <row r="21" spans="1:76" x14ac:dyDescent="0.25">
      <c r="A21" s="1" t="s">
        <v>471</v>
      </c>
      <c r="B21" s="2" t="s">
        <v>44</v>
      </c>
      <c r="C21" s="2" t="s">
        <v>48</v>
      </c>
      <c r="D21" s="77" t="s">
        <v>49</v>
      </c>
      <c r="E21" s="71"/>
      <c r="F21" s="2" t="s">
        <v>35</v>
      </c>
      <c r="G21" s="16" t="e">
        <f>'Rozpočet - vybrané sloupce'!#REF!</f>
        <v>#REF!</v>
      </c>
      <c r="H21" s="16" t="e">
        <f>'Rozpočet - vybrané sloupce'!#REF!</f>
        <v>#REF!</v>
      </c>
      <c r="I21" s="56" t="s">
        <v>460</v>
      </c>
      <c r="J21" s="16" t="e">
        <f>G21*AO21</f>
        <v>#REF!</v>
      </c>
      <c r="K21" s="16" t="e">
        <f>G21*AP21</f>
        <v>#REF!</v>
      </c>
      <c r="L21" s="16" t="e">
        <f>G21*H21</f>
        <v>#REF!</v>
      </c>
      <c r="M21" s="16" t="e">
        <f>L21*(1+BW21/100)</f>
        <v>#REF!</v>
      </c>
      <c r="N21" s="16">
        <v>5.0000000000000002E-5</v>
      </c>
      <c r="O21" s="16" t="e">
        <f>G21*N21</f>
        <v>#REF!</v>
      </c>
      <c r="P21" s="57" t="s">
        <v>461</v>
      </c>
      <c r="Z21" s="16">
        <f>IF(AQ21="5",BJ21,0)</f>
        <v>0</v>
      </c>
      <c r="AB21" s="16">
        <f>IF(AQ21="1",BH21,0)</f>
        <v>0</v>
      </c>
      <c r="AC21" s="16">
        <f>IF(AQ21="1",BI21,0)</f>
        <v>0</v>
      </c>
      <c r="AD21" s="16" t="e">
        <f>IF(AQ21="7",BH21,0)</f>
        <v>#REF!</v>
      </c>
      <c r="AE21" s="16" t="e">
        <f>IF(AQ21="7",BI21,0)</f>
        <v>#REF!</v>
      </c>
      <c r="AF21" s="16">
        <f>IF(AQ21="2",BH21,0)</f>
        <v>0</v>
      </c>
      <c r="AG21" s="16">
        <f>IF(AQ21="2",BI21,0)</f>
        <v>0</v>
      </c>
      <c r="AH21" s="16">
        <f>IF(AQ21="0",BJ21,0)</f>
        <v>0</v>
      </c>
      <c r="AI21" s="13" t="s">
        <v>44</v>
      </c>
      <c r="AJ21" s="16">
        <f>IF(AN21=0,L21,0)</f>
        <v>0</v>
      </c>
      <c r="AK21" s="16" t="e">
        <f>IF(AN21=12,L21,0)</f>
        <v>#REF!</v>
      </c>
      <c r="AL21" s="16">
        <f>IF(AN21=21,L21,0)</f>
        <v>0</v>
      </c>
      <c r="AN21" s="16">
        <v>12</v>
      </c>
      <c r="AO21" s="16" t="e">
        <f>H21*0.834267069</f>
        <v>#REF!</v>
      </c>
      <c r="AP21" s="16" t="e">
        <f>H21*(1-0.834267069)</f>
        <v>#REF!</v>
      </c>
      <c r="AQ21" s="56" t="s">
        <v>462</v>
      </c>
      <c r="AV21" s="16" t="e">
        <f>AW21+AX21</f>
        <v>#REF!</v>
      </c>
      <c r="AW21" s="16" t="e">
        <f>G21*AO21</f>
        <v>#REF!</v>
      </c>
      <c r="AX21" s="16" t="e">
        <f>G21*AP21</f>
        <v>#REF!</v>
      </c>
      <c r="AY21" s="56" t="s">
        <v>472</v>
      </c>
      <c r="AZ21" s="56" t="s">
        <v>473</v>
      </c>
      <c r="BA21" s="13" t="s">
        <v>474</v>
      </c>
      <c r="BC21" s="16" t="e">
        <f>AW21+AX21</f>
        <v>#REF!</v>
      </c>
      <c r="BD21" s="16" t="e">
        <f>H21/(100-BE21)*100</f>
        <v>#REF!</v>
      </c>
      <c r="BE21" s="16">
        <v>0</v>
      </c>
      <c r="BF21" s="16" t="e">
        <f>O21</f>
        <v>#REF!</v>
      </c>
      <c r="BH21" s="16" t="e">
        <f>G21*AO21</f>
        <v>#REF!</v>
      </c>
      <c r="BI21" s="16" t="e">
        <f>G21*AP21</f>
        <v>#REF!</v>
      </c>
      <c r="BJ21" s="16" t="e">
        <f>G21*H21</f>
        <v>#REF!</v>
      </c>
      <c r="BK21" s="16"/>
      <c r="BL21" s="16">
        <v>713</v>
      </c>
      <c r="BW21" s="16" t="str">
        <f>I21</f>
        <v>12</v>
      </c>
      <c r="BX21" s="3" t="s">
        <v>49</v>
      </c>
    </row>
    <row r="22" spans="1:76" ht="51" x14ac:dyDescent="0.25">
      <c r="A22" s="58"/>
      <c r="C22" s="59" t="s">
        <v>475</v>
      </c>
      <c r="D22" s="122" t="s">
        <v>476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4"/>
      <c r="BX22" s="60" t="s">
        <v>476</v>
      </c>
    </row>
    <row r="23" spans="1:76" x14ac:dyDescent="0.25">
      <c r="A23" s="1" t="s">
        <v>462</v>
      </c>
      <c r="B23" s="2" t="s">
        <v>44</v>
      </c>
      <c r="C23" s="2" t="s">
        <v>50</v>
      </c>
      <c r="D23" s="77" t="s">
        <v>51</v>
      </c>
      <c r="E23" s="71"/>
      <c r="F23" s="2" t="s">
        <v>43</v>
      </c>
      <c r="G23" s="16" t="e">
        <f>'Rozpočet - vybrané sloupce'!#REF!</f>
        <v>#REF!</v>
      </c>
      <c r="H23" s="16" t="e">
        <f>'Rozpočet - vybrané sloupce'!#REF!</f>
        <v>#REF!</v>
      </c>
      <c r="I23" s="56" t="s">
        <v>460</v>
      </c>
      <c r="J23" s="16" t="e">
        <f>G23*AO23</f>
        <v>#REF!</v>
      </c>
      <c r="K23" s="16" t="e">
        <f>G23*AP23</f>
        <v>#REF!</v>
      </c>
      <c r="L23" s="16" t="e">
        <f>G23*H23</f>
        <v>#REF!</v>
      </c>
      <c r="M23" s="16" t="e">
        <f>L23*(1+BW23/100)</f>
        <v>#REF!</v>
      </c>
      <c r="N23" s="16">
        <v>0</v>
      </c>
      <c r="O23" s="16" t="e">
        <f>G23*N23</f>
        <v>#REF!</v>
      </c>
      <c r="P23" s="57" t="s">
        <v>461</v>
      </c>
      <c r="Z23" s="16" t="e">
        <f>IF(AQ23="5",BJ23,0)</f>
        <v>#REF!</v>
      </c>
      <c r="AB23" s="16">
        <f>IF(AQ23="1",BH23,0)</f>
        <v>0</v>
      </c>
      <c r="AC23" s="16">
        <f>IF(AQ23="1",BI23,0)</f>
        <v>0</v>
      </c>
      <c r="AD23" s="16">
        <f>IF(AQ23="7",BH23,0)</f>
        <v>0</v>
      </c>
      <c r="AE23" s="16">
        <f>IF(AQ23="7",BI23,0)</f>
        <v>0</v>
      </c>
      <c r="AF23" s="16">
        <f>IF(AQ23="2",BH23,0)</f>
        <v>0</v>
      </c>
      <c r="AG23" s="16">
        <f>IF(AQ23="2",BI23,0)</f>
        <v>0</v>
      </c>
      <c r="AH23" s="16">
        <f>IF(AQ23="0",BJ23,0)</f>
        <v>0</v>
      </c>
      <c r="AI23" s="13" t="s">
        <v>44</v>
      </c>
      <c r="AJ23" s="16">
        <f>IF(AN23=0,L23,0)</f>
        <v>0</v>
      </c>
      <c r="AK23" s="16" t="e">
        <f>IF(AN23=12,L23,0)</f>
        <v>#REF!</v>
      </c>
      <c r="AL23" s="16">
        <f>IF(AN23=21,L23,0)</f>
        <v>0</v>
      </c>
      <c r="AN23" s="16">
        <v>12</v>
      </c>
      <c r="AO23" s="16" t="e">
        <f>H23*0</f>
        <v>#REF!</v>
      </c>
      <c r="AP23" s="16" t="e">
        <f>H23*(1-0)</f>
        <v>#REF!</v>
      </c>
      <c r="AQ23" s="56" t="s">
        <v>470</v>
      </c>
      <c r="AV23" s="16" t="e">
        <f>AW23+AX23</f>
        <v>#REF!</v>
      </c>
      <c r="AW23" s="16" t="e">
        <f>G23*AO23</f>
        <v>#REF!</v>
      </c>
      <c r="AX23" s="16" t="e">
        <f>G23*AP23</f>
        <v>#REF!</v>
      </c>
      <c r="AY23" s="56" t="s">
        <v>472</v>
      </c>
      <c r="AZ23" s="56" t="s">
        <v>473</v>
      </c>
      <c r="BA23" s="13" t="s">
        <v>474</v>
      </c>
      <c r="BC23" s="16" t="e">
        <f>AW23+AX23</f>
        <v>#REF!</v>
      </c>
      <c r="BD23" s="16" t="e">
        <f>H23/(100-BE23)*100</f>
        <v>#REF!</v>
      </c>
      <c r="BE23" s="16">
        <v>0</v>
      </c>
      <c r="BF23" s="16" t="e">
        <f>O23</f>
        <v>#REF!</v>
      </c>
      <c r="BH23" s="16" t="e">
        <f>G23*AO23</f>
        <v>#REF!</v>
      </c>
      <c r="BI23" s="16" t="e">
        <f>G23*AP23</f>
        <v>#REF!</v>
      </c>
      <c r="BJ23" s="16" t="e">
        <f>G23*H23</f>
        <v>#REF!</v>
      </c>
      <c r="BK23" s="16"/>
      <c r="BL23" s="16">
        <v>713</v>
      </c>
      <c r="BW23" s="16" t="str">
        <f>I23</f>
        <v>12</v>
      </c>
      <c r="BX23" s="3" t="s">
        <v>51</v>
      </c>
    </row>
    <row r="24" spans="1:76" x14ac:dyDescent="0.25">
      <c r="A24" s="53" t="s">
        <v>25</v>
      </c>
      <c r="B24" s="12" t="s">
        <v>44</v>
      </c>
      <c r="C24" s="12" t="s">
        <v>27</v>
      </c>
      <c r="D24" s="84" t="s">
        <v>28</v>
      </c>
      <c r="E24" s="85"/>
      <c r="F24" s="54" t="s">
        <v>23</v>
      </c>
      <c r="G24" s="54" t="s">
        <v>23</v>
      </c>
      <c r="H24" s="54" t="s">
        <v>23</v>
      </c>
      <c r="I24" s="54" t="s">
        <v>23</v>
      </c>
      <c r="J24" s="29" t="e">
        <f>SUM(J25:J39)</f>
        <v>#REF!</v>
      </c>
      <c r="K24" s="29" t="e">
        <f>SUM(K25:K39)</f>
        <v>#REF!</v>
      </c>
      <c r="L24" s="29" t="e">
        <f>SUM(L25:L39)</f>
        <v>#REF!</v>
      </c>
      <c r="M24" s="29" t="e">
        <f>SUM(M25:M39)</f>
        <v>#REF!</v>
      </c>
      <c r="N24" s="13" t="s">
        <v>25</v>
      </c>
      <c r="O24" s="29" t="e">
        <f>SUM(O25:O39)</f>
        <v>#REF!</v>
      </c>
      <c r="P24" s="55" t="s">
        <v>25</v>
      </c>
      <c r="AI24" s="13" t="s">
        <v>44</v>
      </c>
      <c r="AS24" s="29">
        <f>SUM(AJ25:AJ39)</f>
        <v>0</v>
      </c>
      <c r="AT24" s="29" t="e">
        <f>SUM(AK25:AK39)</f>
        <v>#REF!</v>
      </c>
      <c r="AU24" s="29">
        <f>SUM(AL25:AL39)</f>
        <v>0</v>
      </c>
    </row>
    <row r="25" spans="1:76" x14ac:dyDescent="0.25">
      <c r="A25" s="1" t="s">
        <v>477</v>
      </c>
      <c r="B25" s="2" t="s">
        <v>44</v>
      </c>
      <c r="C25" s="2" t="s">
        <v>52</v>
      </c>
      <c r="D25" s="77" t="s">
        <v>53</v>
      </c>
      <c r="E25" s="71"/>
      <c r="F25" s="2" t="s">
        <v>31</v>
      </c>
      <c r="G25" s="16" t="e">
        <f>'Rozpočet - vybrané sloupce'!#REF!</f>
        <v>#REF!</v>
      </c>
      <c r="H25" s="16" t="e">
        <f>'Rozpočet - vybrané sloupce'!#REF!</f>
        <v>#REF!</v>
      </c>
      <c r="I25" s="56" t="s">
        <v>460</v>
      </c>
      <c r="J25" s="16" t="e">
        <f>G25*AO25</f>
        <v>#REF!</v>
      </c>
      <c r="K25" s="16" t="e">
        <f>G25*AP25</f>
        <v>#REF!</v>
      </c>
      <c r="L25" s="16" t="e">
        <f>G25*H25</f>
        <v>#REF!</v>
      </c>
      <c r="M25" s="16" t="e">
        <f>L25*(1+BW25/100)</f>
        <v>#REF!</v>
      </c>
      <c r="N25" s="16">
        <v>1.4919999999999999E-2</v>
      </c>
      <c r="O25" s="16" t="e">
        <f>G25*N25</f>
        <v>#REF!</v>
      </c>
      <c r="P25" s="57" t="s">
        <v>461</v>
      </c>
      <c r="Z25" s="16">
        <f>IF(AQ25="5",BJ25,0)</f>
        <v>0</v>
      </c>
      <c r="AB25" s="16">
        <f>IF(AQ25="1",BH25,0)</f>
        <v>0</v>
      </c>
      <c r="AC25" s="16">
        <f>IF(AQ25="1",BI25,0)</f>
        <v>0</v>
      </c>
      <c r="AD25" s="16" t="e">
        <f>IF(AQ25="7",BH25,0)</f>
        <v>#REF!</v>
      </c>
      <c r="AE25" s="16" t="e">
        <f>IF(AQ25="7",BI25,0)</f>
        <v>#REF!</v>
      </c>
      <c r="AF25" s="16">
        <f>IF(AQ25="2",BH25,0)</f>
        <v>0</v>
      </c>
      <c r="AG25" s="16">
        <f>IF(AQ25="2",BI25,0)</f>
        <v>0</v>
      </c>
      <c r="AH25" s="16">
        <f>IF(AQ25="0",BJ25,0)</f>
        <v>0</v>
      </c>
      <c r="AI25" s="13" t="s">
        <v>44</v>
      </c>
      <c r="AJ25" s="16">
        <f>IF(AN25=0,L25,0)</f>
        <v>0</v>
      </c>
      <c r="AK25" s="16" t="e">
        <f>IF(AN25=12,L25,0)</f>
        <v>#REF!</v>
      </c>
      <c r="AL25" s="16">
        <f>IF(AN25=21,L25,0)</f>
        <v>0</v>
      </c>
      <c r="AN25" s="16">
        <v>12</v>
      </c>
      <c r="AO25" s="16" t="e">
        <f>H25*0</f>
        <v>#REF!</v>
      </c>
      <c r="AP25" s="16" t="e">
        <f>H25*(1-0)</f>
        <v>#REF!</v>
      </c>
      <c r="AQ25" s="56" t="s">
        <v>462</v>
      </c>
      <c r="AV25" s="16" t="e">
        <f>AW25+AX25</f>
        <v>#REF!</v>
      </c>
      <c r="AW25" s="16" t="e">
        <f>G25*AO25</f>
        <v>#REF!</v>
      </c>
      <c r="AX25" s="16" t="e">
        <f>G25*AP25</f>
        <v>#REF!</v>
      </c>
      <c r="AY25" s="56" t="s">
        <v>463</v>
      </c>
      <c r="AZ25" s="56" t="s">
        <v>478</v>
      </c>
      <c r="BA25" s="13" t="s">
        <v>474</v>
      </c>
      <c r="BC25" s="16" t="e">
        <f>AW25+AX25</f>
        <v>#REF!</v>
      </c>
      <c r="BD25" s="16" t="e">
        <f>H25/(100-BE25)*100</f>
        <v>#REF!</v>
      </c>
      <c r="BE25" s="16">
        <v>0</v>
      </c>
      <c r="BF25" s="16" t="e">
        <f>O25</f>
        <v>#REF!</v>
      </c>
      <c r="BH25" s="16" t="e">
        <f>G25*AO25</f>
        <v>#REF!</v>
      </c>
      <c r="BI25" s="16" t="e">
        <f>G25*AP25</f>
        <v>#REF!</v>
      </c>
      <c r="BJ25" s="16" t="e">
        <f>G25*H25</f>
        <v>#REF!</v>
      </c>
      <c r="BK25" s="16"/>
      <c r="BL25" s="16">
        <v>721</v>
      </c>
      <c r="BW25" s="16" t="str">
        <f>I25</f>
        <v>12</v>
      </c>
      <c r="BX25" s="3" t="s">
        <v>53</v>
      </c>
    </row>
    <row r="26" spans="1:76" x14ac:dyDescent="0.25">
      <c r="A26" s="1" t="s">
        <v>479</v>
      </c>
      <c r="B26" s="2" t="s">
        <v>44</v>
      </c>
      <c r="C26" s="2" t="s">
        <v>54</v>
      </c>
      <c r="D26" s="77" t="s">
        <v>55</v>
      </c>
      <c r="E26" s="71"/>
      <c r="F26" s="2" t="s">
        <v>35</v>
      </c>
      <c r="G26" s="16" t="e">
        <f>'Rozpočet - vybrané sloupce'!#REF!</f>
        <v>#REF!</v>
      </c>
      <c r="H26" s="16" t="e">
        <f>'Rozpočet - vybrané sloupce'!#REF!</f>
        <v>#REF!</v>
      </c>
      <c r="I26" s="56" t="s">
        <v>460</v>
      </c>
      <c r="J26" s="16" t="e">
        <f>G26*AO26</f>
        <v>#REF!</v>
      </c>
      <c r="K26" s="16" t="e">
        <f>G26*AP26</f>
        <v>#REF!</v>
      </c>
      <c r="L26" s="16" t="e">
        <f>G26*H26</f>
        <v>#REF!</v>
      </c>
      <c r="M26" s="16" t="e">
        <f>L26*(1+BW26/100)</f>
        <v>#REF!</v>
      </c>
      <c r="N26" s="16">
        <v>3.8000000000000002E-4</v>
      </c>
      <c r="O26" s="16" t="e">
        <f>G26*N26</f>
        <v>#REF!</v>
      </c>
      <c r="P26" s="57" t="s">
        <v>461</v>
      </c>
      <c r="Z26" s="16">
        <f>IF(AQ26="5",BJ26,0)</f>
        <v>0</v>
      </c>
      <c r="AB26" s="16">
        <f>IF(AQ26="1",BH26,0)</f>
        <v>0</v>
      </c>
      <c r="AC26" s="16">
        <f>IF(AQ26="1",BI26,0)</f>
        <v>0</v>
      </c>
      <c r="AD26" s="16" t="e">
        <f>IF(AQ26="7",BH26,0)</f>
        <v>#REF!</v>
      </c>
      <c r="AE26" s="16" t="e">
        <f>IF(AQ26="7",BI26,0)</f>
        <v>#REF!</v>
      </c>
      <c r="AF26" s="16">
        <f>IF(AQ26="2",BH26,0)</f>
        <v>0</v>
      </c>
      <c r="AG26" s="16">
        <f>IF(AQ26="2",BI26,0)</f>
        <v>0</v>
      </c>
      <c r="AH26" s="16">
        <f>IF(AQ26="0",BJ26,0)</f>
        <v>0</v>
      </c>
      <c r="AI26" s="13" t="s">
        <v>44</v>
      </c>
      <c r="AJ26" s="16">
        <f>IF(AN26=0,L26,0)</f>
        <v>0</v>
      </c>
      <c r="AK26" s="16" t="e">
        <f>IF(AN26=12,L26,0)</f>
        <v>#REF!</v>
      </c>
      <c r="AL26" s="16">
        <f>IF(AN26=21,L26,0)</f>
        <v>0</v>
      </c>
      <c r="AN26" s="16">
        <v>12</v>
      </c>
      <c r="AO26" s="16" t="e">
        <f>H26*0.798522569</f>
        <v>#REF!</v>
      </c>
      <c r="AP26" s="16" t="e">
        <f>H26*(1-0.798522569)</f>
        <v>#REF!</v>
      </c>
      <c r="AQ26" s="56" t="s">
        <v>462</v>
      </c>
      <c r="AV26" s="16" t="e">
        <f>AW26+AX26</f>
        <v>#REF!</v>
      </c>
      <c r="AW26" s="16" t="e">
        <f>G26*AO26</f>
        <v>#REF!</v>
      </c>
      <c r="AX26" s="16" t="e">
        <f>G26*AP26</f>
        <v>#REF!</v>
      </c>
      <c r="AY26" s="56" t="s">
        <v>463</v>
      </c>
      <c r="AZ26" s="56" t="s">
        <v>478</v>
      </c>
      <c r="BA26" s="13" t="s">
        <v>474</v>
      </c>
      <c r="BC26" s="16" t="e">
        <f>AW26+AX26</f>
        <v>#REF!</v>
      </c>
      <c r="BD26" s="16" t="e">
        <f>H26/(100-BE26)*100</f>
        <v>#REF!</v>
      </c>
      <c r="BE26" s="16">
        <v>0</v>
      </c>
      <c r="BF26" s="16" t="e">
        <f>O26</f>
        <v>#REF!</v>
      </c>
      <c r="BH26" s="16" t="e">
        <f>G26*AO26</f>
        <v>#REF!</v>
      </c>
      <c r="BI26" s="16" t="e">
        <f>G26*AP26</f>
        <v>#REF!</v>
      </c>
      <c r="BJ26" s="16" t="e">
        <f>G26*H26</f>
        <v>#REF!</v>
      </c>
      <c r="BK26" s="16"/>
      <c r="BL26" s="16">
        <v>721</v>
      </c>
      <c r="BW26" s="16" t="str">
        <f>I26</f>
        <v>12</v>
      </c>
      <c r="BX26" s="3" t="s">
        <v>55</v>
      </c>
    </row>
    <row r="27" spans="1:76" ht="25.5" x14ac:dyDescent="0.25">
      <c r="A27" s="58"/>
      <c r="C27" s="59" t="s">
        <v>475</v>
      </c>
      <c r="D27" s="122" t="s">
        <v>480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BX27" s="60" t="s">
        <v>480</v>
      </c>
    </row>
    <row r="28" spans="1:76" x14ac:dyDescent="0.25">
      <c r="A28" s="1" t="s">
        <v>481</v>
      </c>
      <c r="B28" s="2" t="s">
        <v>44</v>
      </c>
      <c r="C28" s="2" t="s">
        <v>56</v>
      </c>
      <c r="D28" s="77" t="s">
        <v>57</v>
      </c>
      <c r="E28" s="71"/>
      <c r="F28" s="2" t="s">
        <v>31</v>
      </c>
      <c r="G28" s="16" t="e">
        <f>'Rozpočet - vybrané sloupce'!#REF!</f>
        <v>#REF!</v>
      </c>
      <c r="H28" s="16" t="e">
        <f>'Rozpočet - vybrané sloupce'!#REF!</f>
        <v>#REF!</v>
      </c>
      <c r="I28" s="56" t="s">
        <v>460</v>
      </c>
      <c r="J28" s="16" t="e">
        <f t="shared" ref="J28:J37" si="0">G28*AO28</f>
        <v>#REF!</v>
      </c>
      <c r="K28" s="16" t="e">
        <f t="shared" ref="K28:K37" si="1">G28*AP28</f>
        <v>#REF!</v>
      </c>
      <c r="L28" s="16" t="e">
        <f t="shared" ref="L28:L37" si="2">G28*H28</f>
        <v>#REF!</v>
      </c>
      <c r="M28" s="16" t="e">
        <f t="shared" ref="M28:M37" si="3">L28*(1+BW28/100)</f>
        <v>#REF!</v>
      </c>
      <c r="N28" s="16">
        <v>1.98E-3</v>
      </c>
      <c r="O28" s="16" t="e">
        <f t="shared" ref="O28:O37" si="4">G28*N28</f>
        <v>#REF!</v>
      </c>
      <c r="P28" s="57" t="s">
        <v>461</v>
      </c>
      <c r="Z28" s="16">
        <f t="shared" ref="Z28:Z37" si="5">IF(AQ28="5",BJ28,0)</f>
        <v>0</v>
      </c>
      <c r="AB28" s="16">
        <f t="shared" ref="AB28:AB37" si="6">IF(AQ28="1",BH28,0)</f>
        <v>0</v>
      </c>
      <c r="AC28" s="16">
        <f t="shared" ref="AC28:AC37" si="7">IF(AQ28="1",BI28,0)</f>
        <v>0</v>
      </c>
      <c r="AD28" s="16" t="e">
        <f t="shared" ref="AD28:AD37" si="8">IF(AQ28="7",BH28,0)</f>
        <v>#REF!</v>
      </c>
      <c r="AE28" s="16" t="e">
        <f t="shared" ref="AE28:AE37" si="9">IF(AQ28="7",BI28,0)</f>
        <v>#REF!</v>
      </c>
      <c r="AF28" s="16">
        <f t="shared" ref="AF28:AF37" si="10">IF(AQ28="2",BH28,0)</f>
        <v>0</v>
      </c>
      <c r="AG28" s="16">
        <f t="shared" ref="AG28:AG37" si="11">IF(AQ28="2",BI28,0)</f>
        <v>0</v>
      </c>
      <c r="AH28" s="16">
        <f t="shared" ref="AH28:AH37" si="12">IF(AQ28="0",BJ28,0)</f>
        <v>0</v>
      </c>
      <c r="AI28" s="13" t="s">
        <v>44</v>
      </c>
      <c r="AJ28" s="16">
        <f t="shared" ref="AJ28:AJ37" si="13">IF(AN28=0,L28,0)</f>
        <v>0</v>
      </c>
      <c r="AK28" s="16" t="e">
        <f t="shared" ref="AK28:AK37" si="14">IF(AN28=12,L28,0)</f>
        <v>#REF!</v>
      </c>
      <c r="AL28" s="16">
        <f t="shared" ref="AL28:AL37" si="15">IF(AN28=21,L28,0)</f>
        <v>0</v>
      </c>
      <c r="AN28" s="16">
        <v>12</v>
      </c>
      <c r="AO28" s="16" t="e">
        <f>H28*0</f>
        <v>#REF!</v>
      </c>
      <c r="AP28" s="16" t="e">
        <f>H28*(1-0)</f>
        <v>#REF!</v>
      </c>
      <c r="AQ28" s="56" t="s">
        <v>462</v>
      </c>
      <c r="AV28" s="16" t="e">
        <f t="shared" ref="AV28:AV37" si="16">AW28+AX28</f>
        <v>#REF!</v>
      </c>
      <c r="AW28" s="16" t="e">
        <f t="shared" ref="AW28:AW37" si="17">G28*AO28</f>
        <v>#REF!</v>
      </c>
      <c r="AX28" s="16" t="e">
        <f t="shared" ref="AX28:AX37" si="18">G28*AP28</f>
        <v>#REF!</v>
      </c>
      <c r="AY28" s="56" t="s">
        <v>463</v>
      </c>
      <c r="AZ28" s="56" t="s">
        <v>478</v>
      </c>
      <c r="BA28" s="13" t="s">
        <v>474</v>
      </c>
      <c r="BC28" s="16" t="e">
        <f t="shared" ref="BC28:BC37" si="19">AW28+AX28</f>
        <v>#REF!</v>
      </c>
      <c r="BD28" s="16" t="e">
        <f t="shared" ref="BD28:BD37" si="20">H28/(100-BE28)*100</f>
        <v>#REF!</v>
      </c>
      <c r="BE28" s="16">
        <v>0</v>
      </c>
      <c r="BF28" s="16" t="e">
        <f t="shared" ref="BF28:BF37" si="21">O28</f>
        <v>#REF!</v>
      </c>
      <c r="BH28" s="16" t="e">
        <f t="shared" ref="BH28:BH37" si="22">G28*AO28</f>
        <v>#REF!</v>
      </c>
      <c r="BI28" s="16" t="e">
        <f t="shared" ref="BI28:BI37" si="23">G28*AP28</f>
        <v>#REF!</v>
      </c>
      <c r="BJ28" s="16" t="e">
        <f t="shared" ref="BJ28:BJ37" si="24">G28*H28</f>
        <v>#REF!</v>
      </c>
      <c r="BK28" s="16"/>
      <c r="BL28" s="16">
        <v>721</v>
      </c>
      <c r="BW28" s="16" t="str">
        <f t="shared" ref="BW28:BW37" si="25">I28</f>
        <v>12</v>
      </c>
      <c r="BX28" s="3" t="s">
        <v>57</v>
      </c>
    </row>
    <row r="29" spans="1:76" x14ac:dyDescent="0.25">
      <c r="A29" s="1" t="s">
        <v>482</v>
      </c>
      <c r="B29" s="2" t="s">
        <v>44</v>
      </c>
      <c r="C29" s="2" t="s">
        <v>58</v>
      </c>
      <c r="D29" s="77" t="s">
        <v>59</v>
      </c>
      <c r="E29" s="71"/>
      <c r="F29" s="2" t="s">
        <v>31</v>
      </c>
      <c r="G29" s="16" t="e">
        <f>'Rozpočet - vybrané sloupce'!#REF!</f>
        <v>#REF!</v>
      </c>
      <c r="H29" s="16" t="e">
        <f>'Rozpočet - vybrané sloupce'!#REF!</f>
        <v>#REF!</v>
      </c>
      <c r="I29" s="56" t="s">
        <v>460</v>
      </c>
      <c r="J29" s="16" t="e">
        <f t="shared" si="0"/>
        <v>#REF!</v>
      </c>
      <c r="K29" s="16" t="e">
        <f t="shared" si="1"/>
        <v>#REF!</v>
      </c>
      <c r="L29" s="16" t="e">
        <f t="shared" si="2"/>
        <v>#REF!</v>
      </c>
      <c r="M29" s="16" t="e">
        <f t="shared" si="3"/>
        <v>#REF!</v>
      </c>
      <c r="N29" s="16">
        <v>1.31E-3</v>
      </c>
      <c r="O29" s="16" t="e">
        <f t="shared" si="4"/>
        <v>#REF!</v>
      </c>
      <c r="P29" s="57" t="s">
        <v>461</v>
      </c>
      <c r="Z29" s="16">
        <f t="shared" si="5"/>
        <v>0</v>
      </c>
      <c r="AB29" s="16">
        <f t="shared" si="6"/>
        <v>0</v>
      </c>
      <c r="AC29" s="16">
        <f t="shared" si="7"/>
        <v>0</v>
      </c>
      <c r="AD29" s="16" t="e">
        <f t="shared" si="8"/>
        <v>#REF!</v>
      </c>
      <c r="AE29" s="16" t="e">
        <f t="shared" si="9"/>
        <v>#REF!</v>
      </c>
      <c r="AF29" s="16">
        <f t="shared" si="10"/>
        <v>0</v>
      </c>
      <c r="AG29" s="16">
        <f t="shared" si="11"/>
        <v>0</v>
      </c>
      <c r="AH29" s="16">
        <f t="shared" si="12"/>
        <v>0</v>
      </c>
      <c r="AI29" s="13" t="s">
        <v>44</v>
      </c>
      <c r="AJ29" s="16">
        <f t="shared" si="13"/>
        <v>0</v>
      </c>
      <c r="AK29" s="16" t="e">
        <f t="shared" si="14"/>
        <v>#REF!</v>
      </c>
      <c r="AL29" s="16">
        <f t="shared" si="15"/>
        <v>0</v>
      </c>
      <c r="AN29" s="16">
        <v>12</v>
      </c>
      <c r="AO29" s="16" t="e">
        <f>H29*0.372243421</f>
        <v>#REF!</v>
      </c>
      <c r="AP29" s="16" t="e">
        <f>H29*(1-0.372243421)</f>
        <v>#REF!</v>
      </c>
      <c r="AQ29" s="56" t="s">
        <v>462</v>
      </c>
      <c r="AV29" s="16" t="e">
        <f t="shared" si="16"/>
        <v>#REF!</v>
      </c>
      <c r="AW29" s="16" t="e">
        <f t="shared" si="17"/>
        <v>#REF!</v>
      </c>
      <c r="AX29" s="16" t="e">
        <f t="shared" si="18"/>
        <v>#REF!</v>
      </c>
      <c r="AY29" s="56" t="s">
        <v>463</v>
      </c>
      <c r="AZ29" s="56" t="s">
        <v>478</v>
      </c>
      <c r="BA29" s="13" t="s">
        <v>474</v>
      </c>
      <c r="BC29" s="16" t="e">
        <f t="shared" si="19"/>
        <v>#REF!</v>
      </c>
      <c r="BD29" s="16" t="e">
        <f t="shared" si="20"/>
        <v>#REF!</v>
      </c>
      <c r="BE29" s="16">
        <v>0</v>
      </c>
      <c r="BF29" s="16" t="e">
        <f t="shared" si="21"/>
        <v>#REF!</v>
      </c>
      <c r="BH29" s="16" t="e">
        <f t="shared" si="22"/>
        <v>#REF!</v>
      </c>
      <c r="BI29" s="16" t="e">
        <f t="shared" si="23"/>
        <v>#REF!</v>
      </c>
      <c r="BJ29" s="16" t="e">
        <f t="shared" si="24"/>
        <v>#REF!</v>
      </c>
      <c r="BK29" s="16"/>
      <c r="BL29" s="16">
        <v>721</v>
      </c>
      <c r="BW29" s="16" t="str">
        <f t="shared" si="25"/>
        <v>12</v>
      </c>
      <c r="BX29" s="3" t="s">
        <v>59</v>
      </c>
    </row>
    <row r="30" spans="1:76" ht="25.5" x14ac:dyDescent="0.25">
      <c r="A30" s="1" t="s">
        <v>460</v>
      </c>
      <c r="B30" s="2" t="s">
        <v>44</v>
      </c>
      <c r="C30" s="2" t="s">
        <v>60</v>
      </c>
      <c r="D30" s="77" t="s">
        <v>61</v>
      </c>
      <c r="E30" s="71"/>
      <c r="F30" s="2" t="s">
        <v>35</v>
      </c>
      <c r="G30" s="16" t="e">
        <f>'Rozpočet - vybrané sloupce'!#REF!</f>
        <v>#REF!</v>
      </c>
      <c r="H30" s="16" t="e">
        <f>'Rozpočet - vybrané sloupce'!#REF!</f>
        <v>#REF!</v>
      </c>
      <c r="I30" s="56" t="s">
        <v>460</v>
      </c>
      <c r="J30" s="16" t="e">
        <f t="shared" si="0"/>
        <v>#REF!</v>
      </c>
      <c r="K30" s="16" t="e">
        <f t="shared" si="1"/>
        <v>#REF!</v>
      </c>
      <c r="L30" s="16" t="e">
        <f t="shared" si="2"/>
        <v>#REF!</v>
      </c>
      <c r="M30" s="16" t="e">
        <f t="shared" si="3"/>
        <v>#REF!</v>
      </c>
      <c r="N30" s="16">
        <v>1.265E-2</v>
      </c>
      <c r="O30" s="16" t="e">
        <f t="shared" si="4"/>
        <v>#REF!</v>
      </c>
      <c r="P30" s="57" t="s">
        <v>461</v>
      </c>
      <c r="Z30" s="16">
        <f t="shared" si="5"/>
        <v>0</v>
      </c>
      <c r="AB30" s="16">
        <f t="shared" si="6"/>
        <v>0</v>
      </c>
      <c r="AC30" s="16">
        <f t="shared" si="7"/>
        <v>0</v>
      </c>
      <c r="AD30" s="16" t="e">
        <f t="shared" si="8"/>
        <v>#REF!</v>
      </c>
      <c r="AE30" s="16" t="e">
        <f t="shared" si="9"/>
        <v>#REF!</v>
      </c>
      <c r="AF30" s="16">
        <f t="shared" si="10"/>
        <v>0</v>
      </c>
      <c r="AG30" s="16">
        <f t="shared" si="11"/>
        <v>0</v>
      </c>
      <c r="AH30" s="16">
        <f t="shared" si="12"/>
        <v>0</v>
      </c>
      <c r="AI30" s="13" t="s">
        <v>44</v>
      </c>
      <c r="AJ30" s="16">
        <f t="shared" si="13"/>
        <v>0</v>
      </c>
      <c r="AK30" s="16" t="e">
        <f t="shared" si="14"/>
        <v>#REF!</v>
      </c>
      <c r="AL30" s="16">
        <f t="shared" si="15"/>
        <v>0</v>
      </c>
      <c r="AN30" s="16">
        <v>12</v>
      </c>
      <c r="AO30" s="16" t="e">
        <f>H30*0.232535499</f>
        <v>#REF!</v>
      </c>
      <c r="AP30" s="16" t="e">
        <f>H30*(1-0.232535499)</f>
        <v>#REF!</v>
      </c>
      <c r="AQ30" s="56" t="s">
        <v>462</v>
      </c>
      <c r="AV30" s="16" t="e">
        <f t="shared" si="16"/>
        <v>#REF!</v>
      </c>
      <c r="AW30" s="16" t="e">
        <f t="shared" si="17"/>
        <v>#REF!</v>
      </c>
      <c r="AX30" s="16" t="e">
        <f t="shared" si="18"/>
        <v>#REF!</v>
      </c>
      <c r="AY30" s="56" t="s">
        <v>463</v>
      </c>
      <c r="AZ30" s="56" t="s">
        <v>478</v>
      </c>
      <c r="BA30" s="13" t="s">
        <v>474</v>
      </c>
      <c r="BC30" s="16" t="e">
        <f t="shared" si="19"/>
        <v>#REF!</v>
      </c>
      <c r="BD30" s="16" t="e">
        <f t="shared" si="20"/>
        <v>#REF!</v>
      </c>
      <c r="BE30" s="16">
        <v>0</v>
      </c>
      <c r="BF30" s="16" t="e">
        <f t="shared" si="21"/>
        <v>#REF!</v>
      </c>
      <c r="BH30" s="16" t="e">
        <f t="shared" si="22"/>
        <v>#REF!</v>
      </c>
      <c r="BI30" s="16" t="e">
        <f t="shared" si="23"/>
        <v>#REF!</v>
      </c>
      <c r="BJ30" s="16" t="e">
        <f t="shared" si="24"/>
        <v>#REF!</v>
      </c>
      <c r="BK30" s="16"/>
      <c r="BL30" s="16">
        <v>721</v>
      </c>
      <c r="BW30" s="16" t="str">
        <f t="shared" si="25"/>
        <v>12</v>
      </c>
      <c r="BX30" s="3" t="s">
        <v>61</v>
      </c>
    </row>
    <row r="31" spans="1:76" ht="25.5" x14ac:dyDescent="0.25">
      <c r="A31" s="1" t="s">
        <v>483</v>
      </c>
      <c r="B31" s="2" t="s">
        <v>44</v>
      </c>
      <c r="C31" s="2" t="s">
        <v>62</v>
      </c>
      <c r="D31" s="77" t="s">
        <v>63</v>
      </c>
      <c r="E31" s="71"/>
      <c r="F31" s="2" t="s">
        <v>35</v>
      </c>
      <c r="G31" s="16" t="e">
        <f>'Rozpočet - vybrané sloupce'!#REF!</f>
        <v>#REF!</v>
      </c>
      <c r="H31" s="16" t="e">
        <f>'Rozpočet - vybrané sloupce'!#REF!</f>
        <v>#REF!</v>
      </c>
      <c r="I31" s="56" t="s">
        <v>460</v>
      </c>
      <c r="J31" s="16" t="e">
        <f t="shared" si="0"/>
        <v>#REF!</v>
      </c>
      <c r="K31" s="16" t="e">
        <f t="shared" si="1"/>
        <v>#REF!</v>
      </c>
      <c r="L31" s="16" t="e">
        <f t="shared" si="2"/>
        <v>#REF!</v>
      </c>
      <c r="M31" s="16" t="e">
        <f t="shared" si="3"/>
        <v>#REF!</v>
      </c>
      <c r="N31" s="16">
        <v>6.7499999999999999E-3</v>
      </c>
      <c r="O31" s="16" t="e">
        <f t="shared" si="4"/>
        <v>#REF!</v>
      </c>
      <c r="P31" s="57" t="s">
        <v>461</v>
      </c>
      <c r="Z31" s="16">
        <f t="shared" si="5"/>
        <v>0</v>
      </c>
      <c r="AB31" s="16">
        <f t="shared" si="6"/>
        <v>0</v>
      </c>
      <c r="AC31" s="16">
        <f t="shared" si="7"/>
        <v>0</v>
      </c>
      <c r="AD31" s="16" t="e">
        <f t="shared" si="8"/>
        <v>#REF!</v>
      </c>
      <c r="AE31" s="16" t="e">
        <f t="shared" si="9"/>
        <v>#REF!</v>
      </c>
      <c r="AF31" s="16">
        <f t="shared" si="10"/>
        <v>0</v>
      </c>
      <c r="AG31" s="16">
        <f t="shared" si="11"/>
        <v>0</v>
      </c>
      <c r="AH31" s="16">
        <f t="shared" si="12"/>
        <v>0</v>
      </c>
      <c r="AI31" s="13" t="s">
        <v>44</v>
      </c>
      <c r="AJ31" s="16">
        <f t="shared" si="13"/>
        <v>0</v>
      </c>
      <c r="AK31" s="16" t="e">
        <f t="shared" si="14"/>
        <v>#REF!</v>
      </c>
      <c r="AL31" s="16">
        <f t="shared" si="15"/>
        <v>0</v>
      </c>
      <c r="AN31" s="16">
        <v>12</v>
      </c>
      <c r="AO31" s="16" t="e">
        <f>H31*0.208685185</f>
        <v>#REF!</v>
      </c>
      <c r="AP31" s="16" t="e">
        <f>H31*(1-0.208685185)</f>
        <v>#REF!</v>
      </c>
      <c r="AQ31" s="56" t="s">
        <v>462</v>
      </c>
      <c r="AV31" s="16" t="e">
        <f t="shared" si="16"/>
        <v>#REF!</v>
      </c>
      <c r="AW31" s="16" t="e">
        <f t="shared" si="17"/>
        <v>#REF!</v>
      </c>
      <c r="AX31" s="16" t="e">
        <f t="shared" si="18"/>
        <v>#REF!</v>
      </c>
      <c r="AY31" s="56" t="s">
        <v>463</v>
      </c>
      <c r="AZ31" s="56" t="s">
        <v>478</v>
      </c>
      <c r="BA31" s="13" t="s">
        <v>474</v>
      </c>
      <c r="BC31" s="16" t="e">
        <f t="shared" si="19"/>
        <v>#REF!</v>
      </c>
      <c r="BD31" s="16" t="e">
        <f t="shared" si="20"/>
        <v>#REF!</v>
      </c>
      <c r="BE31" s="16">
        <v>0</v>
      </c>
      <c r="BF31" s="16" t="e">
        <f t="shared" si="21"/>
        <v>#REF!</v>
      </c>
      <c r="BH31" s="16" t="e">
        <f t="shared" si="22"/>
        <v>#REF!</v>
      </c>
      <c r="BI31" s="16" t="e">
        <f t="shared" si="23"/>
        <v>#REF!</v>
      </c>
      <c r="BJ31" s="16" t="e">
        <f t="shared" si="24"/>
        <v>#REF!</v>
      </c>
      <c r="BK31" s="16"/>
      <c r="BL31" s="16">
        <v>721</v>
      </c>
      <c r="BW31" s="16" t="str">
        <f t="shared" si="25"/>
        <v>12</v>
      </c>
      <c r="BX31" s="3" t="s">
        <v>63</v>
      </c>
    </row>
    <row r="32" spans="1:76" x14ac:dyDescent="0.25">
      <c r="A32" s="1" t="s">
        <v>484</v>
      </c>
      <c r="B32" s="2" t="s">
        <v>44</v>
      </c>
      <c r="C32" s="2" t="s">
        <v>64</v>
      </c>
      <c r="D32" s="77" t="s">
        <v>65</v>
      </c>
      <c r="E32" s="71"/>
      <c r="F32" s="2" t="s">
        <v>31</v>
      </c>
      <c r="G32" s="16" t="e">
        <f>'Rozpočet - vybrané sloupce'!#REF!</f>
        <v>#REF!</v>
      </c>
      <c r="H32" s="16" t="e">
        <f>'Rozpočet - vybrané sloupce'!#REF!</f>
        <v>#REF!</v>
      </c>
      <c r="I32" s="56" t="s">
        <v>460</v>
      </c>
      <c r="J32" s="16" t="e">
        <f t="shared" si="0"/>
        <v>#REF!</v>
      </c>
      <c r="K32" s="16" t="e">
        <f t="shared" si="1"/>
        <v>#REF!</v>
      </c>
      <c r="L32" s="16" t="e">
        <f t="shared" si="2"/>
        <v>#REF!</v>
      </c>
      <c r="M32" s="16" t="e">
        <f t="shared" si="3"/>
        <v>#REF!</v>
      </c>
      <c r="N32" s="16">
        <v>1.5200000000000001E-3</v>
      </c>
      <c r="O32" s="16" t="e">
        <f t="shared" si="4"/>
        <v>#REF!</v>
      </c>
      <c r="P32" s="57" t="s">
        <v>461</v>
      </c>
      <c r="Z32" s="16">
        <f t="shared" si="5"/>
        <v>0</v>
      </c>
      <c r="AB32" s="16">
        <f t="shared" si="6"/>
        <v>0</v>
      </c>
      <c r="AC32" s="16">
        <f t="shared" si="7"/>
        <v>0</v>
      </c>
      <c r="AD32" s="16" t="e">
        <f t="shared" si="8"/>
        <v>#REF!</v>
      </c>
      <c r="AE32" s="16" t="e">
        <f t="shared" si="9"/>
        <v>#REF!</v>
      </c>
      <c r="AF32" s="16">
        <f t="shared" si="10"/>
        <v>0</v>
      </c>
      <c r="AG32" s="16">
        <f t="shared" si="11"/>
        <v>0</v>
      </c>
      <c r="AH32" s="16">
        <f t="shared" si="12"/>
        <v>0</v>
      </c>
      <c r="AI32" s="13" t="s">
        <v>44</v>
      </c>
      <c r="AJ32" s="16">
        <f t="shared" si="13"/>
        <v>0</v>
      </c>
      <c r="AK32" s="16" t="e">
        <f t="shared" si="14"/>
        <v>#REF!</v>
      </c>
      <c r="AL32" s="16">
        <f t="shared" si="15"/>
        <v>0</v>
      </c>
      <c r="AN32" s="16">
        <v>12</v>
      </c>
      <c r="AO32" s="16" t="e">
        <f>H32*0.262889072</f>
        <v>#REF!</v>
      </c>
      <c r="AP32" s="16" t="e">
        <f>H32*(1-0.262889072)</f>
        <v>#REF!</v>
      </c>
      <c r="AQ32" s="56" t="s">
        <v>462</v>
      </c>
      <c r="AV32" s="16" t="e">
        <f t="shared" si="16"/>
        <v>#REF!</v>
      </c>
      <c r="AW32" s="16" t="e">
        <f t="shared" si="17"/>
        <v>#REF!</v>
      </c>
      <c r="AX32" s="16" t="e">
        <f t="shared" si="18"/>
        <v>#REF!</v>
      </c>
      <c r="AY32" s="56" t="s">
        <v>463</v>
      </c>
      <c r="AZ32" s="56" t="s">
        <v>478</v>
      </c>
      <c r="BA32" s="13" t="s">
        <v>474</v>
      </c>
      <c r="BC32" s="16" t="e">
        <f t="shared" si="19"/>
        <v>#REF!</v>
      </c>
      <c r="BD32" s="16" t="e">
        <f t="shared" si="20"/>
        <v>#REF!</v>
      </c>
      <c r="BE32" s="16">
        <v>0</v>
      </c>
      <c r="BF32" s="16" t="e">
        <f t="shared" si="21"/>
        <v>#REF!</v>
      </c>
      <c r="BH32" s="16" t="e">
        <f t="shared" si="22"/>
        <v>#REF!</v>
      </c>
      <c r="BI32" s="16" t="e">
        <f t="shared" si="23"/>
        <v>#REF!</v>
      </c>
      <c r="BJ32" s="16" t="e">
        <f t="shared" si="24"/>
        <v>#REF!</v>
      </c>
      <c r="BK32" s="16"/>
      <c r="BL32" s="16">
        <v>721</v>
      </c>
      <c r="BW32" s="16" t="str">
        <f t="shared" si="25"/>
        <v>12</v>
      </c>
      <c r="BX32" s="3" t="s">
        <v>65</v>
      </c>
    </row>
    <row r="33" spans="1:76" x14ac:dyDescent="0.25">
      <c r="A33" s="1" t="s">
        <v>485</v>
      </c>
      <c r="B33" s="2" t="s">
        <v>44</v>
      </c>
      <c r="C33" s="2" t="s">
        <v>66</v>
      </c>
      <c r="D33" s="77" t="s">
        <v>67</v>
      </c>
      <c r="E33" s="71"/>
      <c r="F33" s="2" t="s">
        <v>35</v>
      </c>
      <c r="G33" s="16" t="e">
        <f>'Rozpočet - vybrané sloupce'!#REF!</f>
        <v>#REF!</v>
      </c>
      <c r="H33" s="16" t="e">
        <f>'Rozpočet - vybrané sloupce'!#REF!</f>
        <v>#REF!</v>
      </c>
      <c r="I33" s="56" t="s">
        <v>460</v>
      </c>
      <c r="J33" s="16" t="e">
        <f t="shared" si="0"/>
        <v>#REF!</v>
      </c>
      <c r="K33" s="16" t="e">
        <f t="shared" si="1"/>
        <v>#REF!</v>
      </c>
      <c r="L33" s="16" t="e">
        <f t="shared" si="2"/>
        <v>#REF!</v>
      </c>
      <c r="M33" s="16" t="e">
        <f t="shared" si="3"/>
        <v>#REF!</v>
      </c>
      <c r="N33" s="16">
        <v>2.4000000000000001E-4</v>
      </c>
      <c r="O33" s="16" t="e">
        <f t="shared" si="4"/>
        <v>#REF!</v>
      </c>
      <c r="P33" s="57" t="s">
        <v>461</v>
      </c>
      <c r="Z33" s="16">
        <f t="shared" si="5"/>
        <v>0</v>
      </c>
      <c r="AB33" s="16">
        <f t="shared" si="6"/>
        <v>0</v>
      </c>
      <c r="AC33" s="16">
        <f t="shared" si="7"/>
        <v>0</v>
      </c>
      <c r="AD33" s="16" t="e">
        <f t="shared" si="8"/>
        <v>#REF!</v>
      </c>
      <c r="AE33" s="16" t="e">
        <f t="shared" si="9"/>
        <v>#REF!</v>
      </c>
      <c r="AF33" s="16">
        <f t="shared" si="10"/>
        <v>0</v>
      </c>
      <c r="AG33" s="16">
        <f t="shared" si="11"/>
        <v>0</v>
      </c>
      <c r="AH33" s="16">
        <f t="shared" si="12"/>
        <v>0</v>
      </c>
      <c r="AI33" s="13" t="s">
        <v>44</v>
      </c>
      <c r="AJ33" s="16">
        <f t="shared" si="13"/>
        <v>0</v>
      </c>
      <c r="AK33" s="16" t="e">
        <f t="shared" si="14"/>
        <v>#REF!</v>
      </c>
      <c r="AL33" s="16">
        <f t="shared" si="15"/>
        <v>0</v>
      </c>
      <c r="AN33" s="16">
        <v>12</v>
      </c>
      <c r="AO33" s="16" t="e">
        <f>H33*0.584488115</f>
        <v>#REF!</v>
      </c>
      <c r="AP33" s="16" t="e">
        <f>H33*(1-0.584488115)</f>
        <v>#REF!</v>
      </c>
      <c r="AQ33" s="56" t="s">
        <v>462</v>
      </c>
      <c r="AV33" s="16" t="e">
        <f t="shared" si="16"/>
        <v>#REF!</v>
      </c>
      <c r="AW33" s="16" t="e">
        <f t="shared" si="17"/>
        <v>#REF!</v>
      </c>
      <c r="AX33" s="16" t="e">
        <f t="shared" si="18"/>
        <v>#REF!</v>
      </c>
      <c r="AY33" s="56" t="s">
        <v>463</v>
      </c>
      <c r="AZ33" s="56" t="s">
        <v>478</v>
      </c>
      <c r="BA33" s="13" t="s">
        <v>474</v>
      </c>
      <c r="BC33" s="16" t="e">
        <f t="shared" si="19"/>
        <v>#REF!</v>
      </c>
      <c r="BD33" s="16" t="e">
        <f t="shared" si="20"/>
        <v>#REF!</v>
      </c>
      <c r="BE33" s="16">
        <v>0</v>
      </c>
      <c r="BF33" s="16" t="e">
        <f t="shared" si="21"/>
        <v>#REF!</v>
      </c>
      <c r="BH33" s="16" t="e">
        <f t="shared" si="22"/>
        <v>#REF!</v>
      </c>
      <c r="BI33" s="16" t="e">
        <f t="shared" si="23"/>
        <v>#REF!</v>
      </c>
      <c r="BJ33" s="16" t="e">
        <f t="shared" si="24"/>
        <v>#REF!</v>
      </c>
      <c r="BK33" s="16"/>
      <c r="BL33" s="16">
        <v>721</v>
      </c>
      <c r="BW33" s="16" t="str">
        <f t="shared" si="25"/>
        <v>12</v>
      </c>
      <c r="BX33" s="3" t="s">
        <v>67</v>
      </c>
    </row>
    <row r="34" spans="1:76" x14ac:dyDescent="0.25">
      <c r="A34" s="1" t="s">
        <v>486</v>
      </c>
      <c r="B34" s="2" t="s">
        <v>44</v>
      </c>
      <c r="C34" s="2" t="s">
        <v>68</v>
      </c>
      <c r="D34" s="77" t="s">
        <v>69</v>
      </c>
      <c r="E34" s="71"/>
      <c r="F34" s="2" t="s">
        <v>35</v>
      </c>
      <c r="G34" s="16" t="e">
        <f>'Rozpočet - vybrané sloupce'!#REF!</f>
        <v>#REF!</v>
      </c>
      <c r="H34" s="16" t="e">
        <f>'Rozpočet - vybrané sloupce'!#REF!</f>
        <v>#REF!</v>
      </c>
      <c r="I34" s="56" t="s">
        <v>460</v>
      </c>
      <c r="J34" s="16" t="e">
        <f t="shared" si="0"/>
        <v>#REF!</v>
      </c>
      <c r="K34" s="16" t="e">
        <f t="shared" si="1"/>
        <v>#REF!</v>
      </c>
      <c r="L34" s="16" t="e">
        <f t="shared" si="2"/>
        <v>#REF!</v>
      </c>
      <c r="M34" s="16" t="e">
        <f t="shared" si="3"/>
        <v>#REF!</v>
      </c>
      <c r="N34" s="16">
        <v>0</v>
      </c>
      <c r="O34" s="16" t="e">
        <f t="shared" si="4"/>
        <v>#REF!</v>
      </c>
      <c r="P34" s="57" t="s">
        <v>461</v>
      </c>
      <c r="Z34" s="16">
        <f t="shared" si="5"/>
        <v>0</v>
      </c>
      <c r="AB34" s="16">
        <f t="shared" si="6"/>
        <v>0</v>
      </c>
      <c r="AC34" s="16">
        <f t="shared" si="7"/>
        <v>0</v>
      </c>
      <c r="AD34" s="16" t="e">
        <f t="shared" si="8"/>
        <v>#REF!</v>
      </c>
      <c r="AE34" s="16" t="e">
        <f t="shared" si="9"/>
        <v>#REF!</v>
      </c>
      <c r="AF34" s="16">
        <f t="shared" si="10"/>
        <v>0</v>
      </c>
      <c r="AG34" s="16">
        <f t="shared" si="11"/>
        <v>0</v>
      </c>
      <c r="AH34" s="16">
        <f t="shared" si="12"/>
        <v>0</v>
      </c>
      <c r="AI34" s="13" t="s">
        <v>44</v>
      </c>
      <c r="AJ34" s="16">
        <f t="shared" si="13"/>
        <v>0</v>
      </c>
      <c r="AK34" s="16" t="e">
        <f t="shared" si="14"/>
        <v>#REF!</v>
      </c>
      <c r="AL34" s="16">
        <f t="shared" si="15"/>
        <v>0</v>
      </c>
      <c r="AN34" s="16">
        <v>12</v>
      </c>
      <c r="AO34" s="16" t="e">
        <f>H34*0</f>
        <v>#REF!</v>
      </c>
      <c r="AP34" s="16" t="e">
        <f>H34*(1-0)</f>
        <v>#REF!</v>
      </c>
      <c r="AQ34" s="56" t="s">
        <v>462</v>
      </c>
      <c r="AV34" s="16" t="e">
        <f t="shared" si="16"/>
        <v>#REF!</v>
      </c>
      <c r="AW34" s="16" t="e">
        <f t="shared" si="17"/>
        <v>#REF!</v>
      </c>
      <c r="AX34" s="16" t="e">
        <f t="shared" si="18"/>
        <v>#REF!</v>
      </c>
      <c r="AY34" s="56" t="s">
        <v>463</v>
      </c>
      <c r="AZ34" s="56" t="s">
        <v>478</v>
      </c>
      <c r="BA34" s="13" t="s">
        <v>474</v>
      </c>
      <c r="BC34" s="16" t="e">
        <f t="shared" si="19"/>
        <v>#REF!</v>
      </c>
      <c r="BD34" s="16" t="e">
        <f t="shared" si="20"/>
        <v>#REF!</v>
      </c>
      <c r="BE34" s="16">
        <v>0</v>
      </c>
      <c r="BF34" s="16" t="e">
        <f t="shared" si="21"/>
        <v>#REF!</v>
      </c>
      <c r="BH34" s="16" t="e">
        <f t="shared" si="22"/>
        <v>#REF!</v>
      </c>
      <c r="BI34" s="16" t="e">
        <f t="shared" si="23"/>
        <v>#REF!</v>
      </c>
      <c r="BJ34" s="16" t="e">
        <f t="shared" si="24"/>
        <v>#REF!</v>
      </c>
      <c r="BK34" s="16"/>
      <c r="BL34" s="16">
        <v>721</v>
      </c>
      <c r="BW34" s="16" t="str">
        <f t="shared" si="25"/>
        <v>12</v>
      </c>
      <c r="BX34" s="3" t="s">
        <v>69</v>
      </c>
    </row>
    <row r="35" spans="1:76" x14ac:dyDescent="0.25">
      <c r="A35" s="1" t="s">
        <v>487</v>
      </c>
      <c r="B35" s="2" t="s">
        <v>44</v>
      </c>
      <c r="C35" s="2" t="s">
        <v>70</v>
      </c>
      <c r="D35" s="77" t="s">
        <v>71</v>
      </c>
      <c r="E35" s="71"/>
      <c r="F35" s="2" t="s">
        <v>35</v>
      </c>
      <c r="G35" s="16" t="e">
        <f>'Rozpočet - vybrané sloupce'!#REF!</f>
        <v>#REF!</v>
      </c>
      <c r="H35" s="16" t="e">
        <f>'Rozpočet - vybrané sloupce'!#REF!</f>
        <v>#REF!</v>
      </c>
      <c r="I35" s="56" t="s">
        <v>460</v>
      </c>
      <c r="J35" s="16" t="e">
        <f t="shared" si="0"/>
        <v>#REF!</v>
      </c>
      <c r="K35" s="16" t="e">
        <f t="shared" si="1"/>
        <v>#REF!</v>
      </c>
      <c r="L35" s="16" t="e">
        <f t="shared" si="2"/>
        <v>#REF!</v>
      </c>
      <c r="M35" s="16" t="e">
        <f t="shared" si="3"/>
        <v>#REF!</v>
      </c>
      <c r="N35" s="16">
        <v>2.7E-4</v>
      </c>
      <c r="O35" s="16" t="e">
        <f t="shared" si="4"/>
        <v>#REF!</v>
      </c>
      <c r="P35" s="57" t="s">
        <v>461</v>
      </c>
      <c r="Z35" s="16">
        <f t="shared" si="5"/>
        <v>0</v>
      </c>
      <c r="AB35" s="16">
        <f t="shared" si="6"/>
        <v>0</v>
      </c>
      <c r="AC35" s="16">
        <f t="shared" si="7"/>
        <v>0</v>
      </c>
      <c r="AD35" s="16" t="e">
        <f t="shared" si="8"/>
        <v>#REF!</v>
      </c>
      <c r="AE35" s="16" t="e">
        <f t="shared" si="9"/>
        <v>#REF!</v>
      </c>
      <c r="AF35" s="16">
        <f t="shared" si="10"/>
        <v>0</v>
      </c>
      <c r="AG35" s="16">
        <f t="shared" si="11"/>
        <v>0</v>
      </c>
      <c r="AH35" s="16">
        <f t="shared" si="12"/>
        <v>0</v>
      </c>
      <c r="AI35" s="13" t="s">
        <v>44</v>
      </c>
      <c r="AJ35" s="16">
        <f t="shared" si="13"/>
        <v>0</v>
      </c>
      <c r="AK35" s="16" t="e">
        <f t="shared" si="14"/>
        <v>#REF!</v>
      </c>
      <c r="AL35" s="16">
        <f t="shared" si="15"/>
        <v>0</v>
      </c>
      <c r="AN35" s="16">
        <v>12</v>
      </c>
      <c r="AO35" s="16" t="e">
        <f>H35*0.809531338</f>
        <v>#REF!</v>
      </c>
      <c r="AP35" s="16" t="e">
        <f>H35*(1-0.809531338)</f>
        <v>#REF!</v>
      </c>
      <c r="AQ35" s="56" t="s">
        <v>462</v>
      </c>
      <c r="AV35" s="16" t="e">
        <f t="shared" si="16"/>
        <v>#REF!</v>
      </c>
      <c r="AW35" s="16" t="e">
        <f t="shared" si="17"/>
        <v>#REF!</v>
      </c>
      <c r="AX35" s="16" t="e">
        <f t="shared" si="18"/>
        <v>#REF!</v>
      </c>
      <c r="AY35" s="56" t="s">
        <v>463</v>
      </c>
      <c r="AZ35" s="56" t="s">
        <v>478</v>
      </c>
      <c r="BA35" s="13" t="s">
        <v>474</v>
      </c>
      <c r="BC35" s="16" t="e">
        <f t="shared" si="19"/>
        <v>#REF!</v>
      </c>
      <c r="BD35" s="16" t="e">
        <f t="shared" si="20"/>
        <v>#REF!</v>
      </c>
      <c r="BE35" s="16">
        <v>0</v>
      </c>
      <c r="BF35" s="16" t="e">
        <f t="shared" si="21"/>
        <v>#REF!</v>
      </c>
      <c r="BH35" s="16" t="e">
        <f t="shared" si="22"/>
        <v>#REF!</v>
      </c>
      <c r="BI35" s="16" t="e">
        <f t="shared" si="23"/>
        <v>#REF!</v>
      </c>
      <c r="BJ35" s="16" t="e">
        <f t="shared" si="24"/>
        <v>#REF!</v>
      </c>
      <c r="BK35" s="16"/>
      <c r="BL35" s="16">
        <v>721</v>
      </c>
      <c r="BW35" s="16" t="str">
        <f t="shared" si="25"/>
        <v>12</v>
      </c>
      <c r="BX35" s="3" t="s">
        <v>71</v>
      </c>
    </row>
    <row r="36" spans="1:76" x14ac:dyDescent="0.25">
      <c r="A36" s="1" t="s">
        <v>488</v>
      </c>
      <c r="B36" s="2" t="s">
        <v>44</v>
      </c>
      <c r="C36" s="2" t="s">
        <v>72</v>
      </c>
      <c r="D36" s="77" t="s">
        <v>73</v>
      </c>
      <c r="E36" s="71"/>
      <c r="F36" s="2" t="s">
        <v>31</v>
      </c>
      <c r="G36" s="16" t="e">
        <f>'Rozpočet - vybrané sloupce'!#REF!</f>
        <v>#REF!</v>
      </c>
      <c r="H36" s="16" t="e">
        <f>'Rozpočet - vybrané sloupce'!#REF!</f>
        <v>#REF!</v>
      </c>
      <c r="I36" s="56" t="s">
        <v>460</v>
      </c>
      <c r="J36" s="16" t="e">
        <f t="shared" si="0"/>
        <v>#REF!</v>
      </c>
      <c r="K36" s="16" t="e">
        <f t="shared" si="1"/>
        <v>#REF!</v>
      </c>
      <c r="L36" s="16" t="e">
        <f t="shared" si="2"/>
        <v>#REF!</v>
      </c>
      <c r="M36" s="16" t="e">
        <f t="shared" si="3"/>
        <v>#REF!</v>
      </c>
      <c r="N36" s="16">
        <v>0</v>
      </c>
      <c r="O36" s="16" t="e">
        <f t="shared" si="4"/>
        <v>#REF!</v>
      </c>
      <c r="P36" s="57" t="s">
        <v>461</v>
      </c>
      <c r="Z36" s="16">
        <f t="shared" si="5"/>
        <v>0</v>
      </c>
      <c r="AB36" s="16">
        <f t="shared" si="6"/>
        <v>0</v>
      </c>
      <c r="AC36" s="16">
        <f t="shared" si="7"/>
        <v>0</v>
      </c>
      <c r="AD36" s="16" t="e">
        <f t="shared" si="8"/>
        <v>#REF!</v>
      </c>
      <c r="AE36" s="16" t="e">
        <f t="shared" si="9"/>
        <v>#REF!</v>
      </c>
      <c r="AF36" s="16">
        <f t="shared" si="10"/>
        <v>0</v>
      </c>
      <c r="AG36" s="16">
        <f t="shared" si="11"/>
        <v>0</v>
      </c>
      <c r="AH36" s="16">
        <f t="shared" si="12"/>
        <v>0</v>
      </c>
      <c r="AI36" s="13" t="s">
        <v>44</v>
      </c>
      <c r="AJ36" s="16">
        <f t="shared" si="13"/>
        <v>0</v>
      </c>
      <c r="AK36" s="16" t="e">
        <f t="shared" si="14"/>
        <v>#REF!</v>
      </c>
      <c r="AL36" s="16">
        <f t="shared" si="15"/>
        <v>0</v>
      </c>
      <c r="AN36" s="16">
        <v>12</v>
      </c>
      <c r="AO36" s="16" t="e">
        <f>H36*0.028571751</f>
        <v>#REF!</v>
      </c>
      <c r="AP36" s="16" t="e">
        <f>H36*(1-0.028571751)</f>
        <v>#REF!</v>
      </c>
      <c r="AQ36" s="56" t="s">
        <v>462</v>
      </c>
      <c r="AV36" s="16" t="e">
        <f t="shared" si="16"/>
        <v>#REF!</v>
      </c>
      <c r="AW36" s="16" t="e">
        <f t="shared" si="17"/>
        <v>#REF!</v>
      </c>
      <c r="AX36" s="16" t="e">
        <f t="shared" si="18"/>
        <v>#REF!</v>
      </c>
      <c r="AY36" s="56" t="s">
        <v>463</v>
      </c>
      <c r="AZ36" s="56" t="s">
        <v>478</v>
      </c>
      <c r="BA36" s="13" t="s">
        <v>474</v>
      </c>
      <c r="BC36" s="16" t="e">
        <f t="shared" si="19"/>
        <v>#REF!</v>
      </c>
      <c r="BD36" s="16" t="e">
        <f t="shared" si="20"/>
        <v>#REF!</v>
      </c>
      <c r="BE36" s="16">
        <v>0</v>
      </c>
      <c r="BF36" s="16" t="e">
        <f t="shared" si="21"/>
        <v>#REF!</v>
      </c>
      <c r="BH36" s="16" t="e">
        <f t="shared" si="22"/>
        <v>#REF!</v>
      </c>
      <c r="BI36" s="16" t="e">
        <f t="shared" si="23"/>
        <v>#REF!</v>
      </c>
      <c r="BJ36" s="16" t="e">
        <f t="shared" si="24"/>
        <v>#REF!</v>
      </c>
      <c r="BK36" s="16"/>
      <c r="BL36" s="16">
        <v>721</v>
      </c>
      <c r="BW36" s="16" t="str">
        <f t="shared" si="25"/>
        <v>12</v>
      </c>
      <c r="BX36" s="3" t="s">
        <v>73</v>
      </c>
    </row>
    <row r="37" spans="1:76" ht="25.5" x14ac:dyDescent="0.25">
      <c r="A37" s="1" t="s">
        <v>489</v>
      </c>
      <c r="B37" s="2" t="s">
        <v>44</v>
      </c>
      <c r="C37" s="2" t="s">
        <v>74</v>
      </c>
      <c r="D37" s="77" t="s">
        <v>75</v>
      </c>
      <c r="E37" s="71"/>
      <c r="F37" s="2" t="s">
        <v>76</v>
      </c>
      <c r="G37" s="16" t="e">
        <f>'Rozpočet - vybrané sloupce'!#REF!</f>
        <v>#REF!</v>
      </c>
      <c r="H37" s="16" t="e">
        <f>'Rozpočet - vybrané sloupce'!#REF!</f>
        <v>#REF!</v>
      </c>
      <c r="I37" s="56" t="s">
        <v>460</v>
      </c>
      <c r="J37" s="16" t="e">
        <f t="shared" si="0"/>
        <v>#REF!</v>
      </c>
      <c r="K37" s="16" t="e">
        <f t="shared" si="1"/>
        <v>#REF!</v>
      </c>
      <c r="L37" s="16" t="e">
        <f t="shared" si="2"/>
        <v>#REF!</v>
      </c>
      <c r="M37" s="16" t="e">
        <f t="shared" si="3"/>
        <v>#REF!</v>
      </c>
      <c r="N37" s="16">
        <v>0</v>
      </c>
      <c r="O37" s="16" t="e">
        <f t="shared" si="4"/>
        <v>#REF!</v>
      </c>
      <c r="P37" s="57" t="s">
        <v>461</v>
      </c>
      <c r="Z37" s="16">
        <f t="shared" si="5"/>
        <v>0</v>
      </c>
      <c r="AB37" s="16">
        <f t="shared" si="6"/>
        <v>0</v>
      </c>
      <c r="AC37" s="16">
        <f t="shared" si="7"/>
        <v>0</v>
      </c>
      <c r="AD37" s="16" t="e">
        <f t="shared" si="8"/>
        <v>#REF!</v>
      </c>
      <c r="AE37" s="16" t="e">
        <f t="shared" si="9"/>
        <v>#REF!</v>
      </c>
      <c r="AF37" s="16">
        <f t="shared" si="10"/>
        <v>0</v>
      </c>
      <c r="AG37" s="16">
        <f t="shared" si="11"/>
        <v>0</v>
      </c>
      <c r="AH37" s="16">
        <f t="shared" si="12"/>
        <v>0</v>
      </c>
      <c r="AI37" s="13" t="s">
        <v>44</v>
      </c>
      <c r="AJ37" s="16">
        <f t="shared" si="13"/>
        <v>0</v>
      </c>
      <c r="AK37" s="16" t="e">
        <f t="shared" si="14"/>
        <v>#REF!</v>
      </c>
      <c r="AL37" s="16">
        <f t="shared" si="15"/>
        <v>0</v>
      </c>
      <c r="AN37" s="16">
        <v>12</v>
      </c>
      <c r="AO37" s="16" t="e">
        <f>H37*0</f>
        <v>#REF!</v>
      </c>
      <c r="AP37" s="16" t="e">
        <f>H37*(1-0)</f>
        <v>#REF!</v>
      </c>
      <c r="AQ37" s="56" t="s">
        <v>462</v>
      </c>
      <c r="AV37" s="16" t="e">
        <f t="shared" si="16"/>
        <v>#REF!</v>
      </c>
      <c r="AW37" s="16" t="e">
        <f t="shared" si="17"/>
        <v>#REF!</v>
      </c>
      <c r="AX37" s="16" t="e">
        <f t="shared" si="18"/>
        <v>#REF!</v>
      </c>
      <c r="AY37" s="56" t="s">
        <v>463</v>
      </c>
      <c r="AZ37" s="56" t="s">
        <v>478</v>
      </c>
      <c r="BA37" s="13" t="s">
        <v>474</v>
      </c>
      <c r="BC37" s="16" t="e">
        <f t="shared" si="19"/>
        <v>#REF!</v>
      </c>
      <c r="BD37" s="16" t="e">
        <f t="shared" si="20"/>
        <v>#REF!</v>
      </c>
      <c r="BE37" s="16">
        <v>0</v>
      </c>
      <c r="BF37" s="16" t="e">
        <f t="shared" si="21"/>
        <v>#REF!</v>
      </c>
      <c r="BH37" s="16" t="e">
        <f t="shared" si="22"/>
        <v>#REF!</v>
      </c>
      <c r="BI37" s="16" t="e">
        <f t="shared" si="23"/>
        <v>#REF!</v>
      </c>
      <c r="BJ37" s="16" t="e">
        <f t="shared" si="24"/>
        <v>#REF!</v>
      </c>
      <c r="BK37" s="16"/>
      <c r="BL37" s="16">
        <v>721</v>
      </c>
      <c r="BW37" s="16" t="str">
        <f t="shared" si="25"/>
        <v>12</v>
      </c>
      <c r="BX37" s="3" t="s">
        <v>75</v>
      </c>
    </row>
    <row r="38" spans="1:76" x14ac:dyDescent="0.25">
      <c r="A38" s="58"/>
      <c r="C38" s="59" t="s">
        <v>475</v>
      </c>
      <c r="D38" s="122" t="s">
        <v>490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BX38" s="60" t="s">
        <v>490</v>
      </c>
    </row>
    <row r="39" spans="1:76" x14ac:dyDescent="0.25">
      <c r="A39" s="1" t="s">
        <v>491</v>
      </c>
      <c r="B39" s="2" t="s">
        <v>44</v>
      </c>
      <c r="C39" s="2" t="s">
        <v>41</v>
      </c>
      <c r="D39" s="77" t="s">
        <v>42</v>
      </c>
      <c r="E39" s="71"/>
      <c r="F39" s="2" t="s">
        <v>43</v>
      </c>
      <c r="G39" s="16" t="e">
        <f>'Rozpočet - vybrané sloupce'!#REF!</f>
        <v>#REF!</v>
      </c>
      <c r="H39" s="16" t="e">
        <f>'Rozpočet - vybrané sloupce'!#REF!</f>
        <v>#REF!</v>
      </c>
      <c r="I39" s="56" t="s">
        <v>460</v>
      </c>
      <c r="J39" s="16" t="e">
        <f>G39*AO39</f>
        <v>#REF!</v>
      </c>
      <c r="K39" s="16" t="e">
        <f>G39*AP39</f>
        <v>#REF!</v>
      </c>
      <c r="L39" s="16" t="e">
        <f>G39*H39</f>
        <v>#REF!</v>
      </c>
      <c r="M39" s="16" t="e">
        <f>L39*(1+BW39/100)</f>
        <v>#REF!</v>
      </c>
      <c r="N39" s="16">
        <v>0</v>
      </c>
      <c r="O39" s="16" t="e">
        <f>G39*N39</f>
        <v>#REF!</v>
      </c>
      <c r="P39" s="57" t="s">
        <v>461</v>
      </c>
      <c r="Z39" s="16" t="e">
        <f>IF(AQ39="5",BJ39,0)</f>
        <v>#REF!</v>
      </c>
      <c r="AB39" s="16">
        <f>IF(AQ39="1",BH39,0)</f>
        <v>0</v>
      </c>
      <c r="AC39" s="16">
        <f>IF(AQ39="1",BI39,0)</f>
        <v>0</v>
      </c>
      <c r="AD39" s="16">
        <f>IF(AQ39="7",BH39,0)</f>
        <v>0</v>
      </c>
      <c r="AE39" s="16">
        <f>IF(AQ39="7",BI39,0)</f>
        <v>0</v>
      </c>
      <c r="AF39" s="16">
        <f>IF(AQ39="2",BH39,0)</f>
        <v>0</v>
      </c>
      <c r="AG39" s="16">
        <f>IF(AQ39="2",BI39,0)</f>
        <v>0</v>
      </c>
      <c r="AH39" s="16">
        <f>IF(AQ39="0",BJ39,0)</f>
        <v>0</v>
      </c>
      <c r="AI39" s="13" t="s">
        <v>44</v>
      </c>
      <c r="AJ39" s="16">
        <f>IF(AN39=0,L39,0)</f>
        <v>0</v>
      </c>
      <c r="AK39" s="16" t="e">
        <f>IF(AN39=12,L39,0)</f>
        <v>#REF!</v>
      </c>
      <c r="AL39" s="16">
        <f>IF(AN39=21,L39,0)</f>
        <v>0</v>
      </c>
      <c r="AN39" s="16">
        <v>12</v>
      </c>
      <c r="AO39" s="16" t="e">
        <f>H39*0</f>
        <v>#REF!</v>
      </c>
      <c r="AP39" s="16" t="e">
        <f>H39*(1-0)</f>
        <v>#REF!</v>
      </c>
      <c r="AQ39" s="56" t="s">
        <v>470</v>
      </c>
      <c r="AV39" s="16" t="e">
        <f>AW39+AX39</f>
        <v>#REF!</v>
      </c>
      <c r="AW39" s="16" t="e">
        <f>G39*AO39</f>
        <v>#REF!</v>
      </c>
      <c r="AX39" s="16" t="e">
        <f>G39*AP39</f>
        <v>#REF!</v>
      </c>
      <c r="AY39" s="56" t="s">
        <v>463</v>
      </c>
      <c r="AZ39" s="56" t="s">
        <v>478</v>
      </c>
      <c r="BA39" s="13" t="s">
        <v>474</v>
      </c>
      <c r="BC39" s="16" t="e">
        <f>AW39+AX39</f>
        <v>#REF!</v>
      </c>
      <c r="BD39" s="16" t="e">
        <f>H39/(100-BE39)*100</f>
        <v>#REF!</v>
      </c>
      <c r="BE39" s="16">
        <v>0</v>
      </c>
      <c r="BF39" s="16" t="e">
        <f>O39</f>
        <v>#REF!</v>
      </c>
      <c r="BH39" s="16" t="e">
        <f>G39*AO39</f>
        <v>#REF!</v>
      </c>
      <c r="BI39" s="16" t="e">
        <f>G39*AP39</f>
        <v>#REF!</v>
      </c>
      <c r="BJ39" s="16" t="e">
        <f>G39*H39</f>
        <v>#REF!</v>
      </c>
      <c r="BK39" s="16"/>
      <c r="BL39" s="16">
        <v>721</v>
      </c>
      <c r="BW39" s="16" t="str">
        <f>I39</f>
        <v>12</v>
      </c>
      <c r="BX39" s="3" t="s">
        <v>42</v>
      </c>
    </row>
    <row r="40" spans="1:76" x14ac:dyDescent="0.25">
      <c r="A40" s="53" t="s">
        <v>25</v>
      </c>
      <c r="B40" s="12" t="s">
        <v>77</v>
      </c>
      <c r="C40" s="12" t="s">
        <v>25</v>
      </c>
      <c r="D40" s="84" t="s">
        <v>78</v>
      </c>
      <c r="E40" s="85"/>
      <c r="F40" s="54" t="s">
        <v>23</v>
      </c>
      <c r="G40" s="54" t="s">
        <v>23</v>
      </c>
      <c r="H40" s="54" t="s">
        <v>23</v>
      </c>
      <c r="I40" s="54" t="s">
        <v>23</v>
      </c>
      <c r="J40" s="29" t="e">
        <f>J41</f>
        <v>#REF!</v>
      </c>
      <c r="K40" s="29" t="e">
        <f>K41</f>
        <v>#REF!</v>
      </c>
      <c r="L40" s="29" t="e">
        <f>L41</f>
        <v>#REF!</v>
      </c>
      <c r="M40" s="29" t="e">
        <f>M41</f>
        <v>#REF!</v>
      </c>
      <c r="N40" s="13" t="s">
        <v>25</v>
      </c>
      <c r="O40" s="29" t="e">
        <f>O41</f>
        <v>#REF!</v>
      </c>
      <c r="P40" s="55" t="s">
        <v>25</v>
      </c>
    </row>
    <row r="41" spans="1:76" x14ac:dyDescent="0.25">
      <c r="A41" s="53" t="s">
        <v>25</v>
      </c>
      <c r="B41" s="12" t="s">
        <v>77</v>
      </c>
      <c r="C41" s="12" t="s">
        <v>79</v>
      </c>
      <c r="D41" s="84" t="s">
        <v>80</v>
      </c>
      <c r="E41" s="85"/>
      <c r="F41" s="54" t="s">
        <v>23</v>
      </c>
      <c r="G41" s="54" t="s">
        <v>23</v>
      </c>
      <c r="H41" s="54" t="s">
        <v>23</v>
      </c>
      <c r="I41" s="54" t="s">
        <v>23</v>
      </c>
      <c r="J41" s="29" t="e">
        <f>SUM(J42:J85)</f>
        <v>#REF!</v>
      </c>
      <c r="K41" s="29" t="e">
        <f>SUM(K42:K85)</f>
        <v>#REF!</v>
      </c>
      <c r="L41" s="29" t="e">
        <f>SUM(L42:L85)</f>
        <v>#REF!</v>
      </c>
      <c r="M41" s="29" t="e">
        <f>SUM(M42:M85)</f>
        <v>#REF!</v>
      </c>
      <c r="N41" s="13" t="s">
        <v>25</v>
      </c>
      <c r="O41" s="29" t="e">
        <f>SUM(O42:O85)</f>
        <v>#REF!</v>
      </c>
      <c r="P41" s="55" t="s">
        <v>25</v>
      </c>
      <c r="AI41" s="13" t="s">
        <v>77</v>
      </c>
      <c r="AS41" s="29">
        <f>SUM(AJ42:AJ85)</f>
        <v>0</v>
      </c>
      <c r="AT41" s="29" t="e">
        <f>SUM(AK42:AK85)</f>
        <v>#REF!</v>
      </c>
      <c r="AU41" s="29">
        <f>SUM(AL42:AL85)</f>
        <v>0</v>
      </c>
    </row>
    <row r="42" spans="1:76" x14ac:dyDescent="0.25">
      <c r="A42" s="1" t="s">
        <v>492</v>
      </c>
      <c r="B42" s="2" t="s">
        <v>77</v>
      </c>
      <c r="C42" s="2" t="s">
        <v>81</v>
      </c>
      <c r="D42" s="77" t="s">
        <v>82</v>
      </c>
      <c r="E42" s="71"/>
      <c r="F42" s="2" t="s">
        <v>35</v>
      </c>
      <c r="G42" s="16" t="e">
        <f>'Rozpočet - vybrané sloupce'!#REF!</f>
        <v>#REF!</v>
      </c>
      <c r="H42" s="16" t="e">
        <f>'Rozpočet - vybrané sloupce'!#REF!</f>
        <v>#REF!</v>
      </c>
      <c r="I42" s="56" t="s">
        <v>460</v>
      </c>
      <c r="J42" s="16" t="e">
        <f t="shared" ref="J42:J50" si="26">G42*AO42</f>
        <v>#REF!</v>
      </c>
      <c r="K42" s="16" t="e">
        <f t="shared" ref="K42:K50" si="27">G42*AP42</f>
        <v>#REF!</v>
      </c>
      <c r="L42" s="16" t="e">
        <f t="shared" ref="L42:L50" si="28">G42*H42</f>
        <v>#REF!</v>
      </c>
      <c r="M42" s="16" t="e">
        <f t="shared" ref="M42:M50" si="29">L42*(1+BW42/100)</f>
        <v>#REF!</v>
      </c>
      <c r="N42" s="16">
        <v>1.3500000000000001E-3</v>
      </c>
      <c r="O42" s="16" t="e">
        <f t="shared" ref="O42:O50" si="30">G42*N42</f>
        <v>#REF!</v>
      </c>
      <c r="P42" s="57" t="s">
        <v>461</v>
      </c>
      <c r="Z42" s="16">
        <f t="shared" ref="Z42:Z50" si="31">IF(AQ42="5",BJ42,0)</f>
        <v>0</v>
      </c>
      <c r="AB42" s="16">
        <f t="shared" ref="AB42:AB50" si="32">IF(AQ42="1",BH42,0)</f>
        <v>0</v>
      </c>
      <c r="AC42" s="16">
        <f t="shared" ref="AC42:AC50" si="33">IF(AQ42="1",BI42,0)</f>
        <v>0</v>
      </c>
      <c r="AD42" s="16" t="e">
        <f t="shared" ref="AD42:AD50" si="34">IF(AQ42="7",BH42,0)</f>
        <v>#REF!</v>
      </c>
      <c r="AE42" s="16" t="e">
        <f t="shared" ref="AE42:AE50" si="35">IF(AQ42="7",BI42,0)</f>
        <v>#REF!</v>
      </c>
      <c r="AF42" s="16">
        <f t="shared" ref="AF42:AF50" si="36">IF(AQ42="2",BH42,0)</f>
        <v>0</v>
      </c>
      <c r="AG42" s="16">
        <f t="shared" ref="AG42:AG50" si="37">IF(AQ42="2",BI42,0)</f>
        <v>0</v>
      </c>
      <c r="AH42" s="16">
        <f t="shared" ref="AH42:AH50" si="38">IF(AQ42="0",BJ42,0)</f>
        <v>0</v>
      </c>
      <c r="AI42" s="13" t="s">
        <v>77</v>
      </c>
      <c r="AJ42" s="16">
        <f t="shared" ref="AJ42:AJ50" si="39">IF(AN42=0,L42,0)</f>
        <v>0</v>
      </c>
      <c r="AK42" s="16" t="e">
        <f t="shared" ref="AK42:AK50" si="40">IF(AN42=12,L42,0)</f>
        <v>#REF!</v>
      </c>
      <c r="AL42" s="16">
        <f t="shared" ref="AL42:AL50" si="41">IF(AN42=21,L42,0)</f>
        <v>0</v>
      </c>
      <c r="AN42" s="16">
        <v>12</v>
      </c>
      <c r="AO42" s="16" t="e">
        <f>H42*0.361858824</f>
        <v>#REF!</v>
      </c>
      <c r="AP42" s="16" t="e">
        <f>H42*(1-0.361858824)</f>
        <v>#REF!</v>
      </c>
      <c r="AQ42" s="56" t="s">
        <v>462</v>
      </c>
      <c r="AV42" s="16" t="e">
        <f t="shared" ref="AV42:AV50" si="42">AW42+AX42</f>
        <v>#REF!</v>
      </c>
      <c r="AW42" s="16" t="e">
        <f t="shared" ref="AW42:AW50" si="43">G42*AO42</f>
        <v>#REF!</v>
      </c>
      <c r="AX42" s="16" t="e">
        <f t="shared" ref="AX42:AX50" si="44">G42*AP42</f>
        <v>#REF!</v>
      </c>
      <c r="AY42" s="56" t="s">
        <v>493</v>
      </c>
      <c r="AZ42" s="56" t="s">
        <v>494</v>
      </c>
      <c r="BA42" s="13" t="s">
        <v>495</v>
      </c>
      <c r="BC42" s="16" t="e">
        <f t="shared" ref="BC42:BC50" si="45">AW42+AX42</f>
        <v>#REF!</v>
      </c>
      <c r="BD42" s="16" t="e">
        <f t="shared" ref="BD42:BD50" si="46">H42/(100-BE42)*100</f>
        <v>#REF!</v>
      </c>
      <c r="BE42" s="16">
        <v>0</v>
      </c>
      <c r="BF42" s="16" t="e">
        <f t="shared" ref="BF42:BF50" si="47">O42</f>
        <v>#REF!</v>
      </c>
      <c r="BH42" s="16" t="e">
        <f t="shared" ref="BH42:BH50" si="48">G42*AO42</f>
        <v>#REF!</v>
      </c>
      <c r="BI42" s="16" t="e">
        <f t="shared" ref="BI42:BI50" si="49">G42*AP42</f>
        <v>#REF!</v>
      </c>
      <c r="BJ42" s="16" t="e">
        <f t="shared" ref="BJ42:BJ50" si="50">G42*H42</f>
        <v>#REF!</v>
      </c>
      <c r="BK42" s="16"/>
      <c r="BL42" s="16">
        <v>722</v>
      </c>
      <c r="BW42" s="16" t="str">
        <f t="shared" ref="BW42:BW50" si="51">I42</f>
        <v>12</v>
      </c>
      <c r="BX42" s="3" t="s">
        <v>82</v>
      </c>
    </row>
    <row r="43" spans="1:76" x14ac:dyDescent="0.25">
      <c r="A43" s="1" t="s">
        <v>496</v>
      </c>
      <c r="B43" s="2" t="s">
        <v>77</v>
      </c>
      <c r="C43" s="2" t="s">
        <v>83</v>
      </c>
      <c r="D43" s="77" t="s">
        <v>84</v>
      </c>
      <c r="E43" s="71"/>
      <c r="F43" s="2" t="s">
        <v>31</v>
      </c>
      <c r="G43" s="16" t="e">
        <f>'Rozpočet - vybrané sloupce'!#REF!</f>
        <v>#REF!</v>
      </c>
      <c r="H43" s="16" t="e">
        <f>'Rozpočet - vybrané sloupce'!#REF!</f>
        <v>#REF!</v>
      </c>
      <c r="I43" s="56" t="s">
        <v>460</v>
      </c>
      <c r="J43" s="16" t="e">
        <f t="shared" si="26"/>
        <v>#REF!</v>
      </c>
      <c r="K43" s="16" t="e">
        <f t="shared" si="27"/>
        <v>#REF!</v>
      </c>
      <c r="L43" s="16" t="e">
        <f t="shared" si="28"/>
        <v>#REF!</v>
      </c>
      <c r="M43" s="16" t="e">
        <f t="shared" si="29"/>
        <v>#REF!</v>
      </c>
      <c r="N43" s="16">
        <v>4.9699999999999996E-3</v>
      </c>
      <c r="O43" s="16" t="e">
        <f t="shared" si="30"/>
        <v>#REF!</v>
      </c>
      <c r="P43" s="57" t="s">
        <v>461</v>
      </c>
      <c r="Z43" s="16">
        <f t="shared" si="31"/>
        <v>0</v>
      </c>
      <c r="AB43" s="16">
        <f t="shared" si="32"/>
        <v>0</v>
      </c>
      <c r="AC43" s="16">
        <f t="shared" si="33"/>
        <v>0</v>
      </c>
      <c r="AD43" s="16" t="e">
        <f t="shared" si="34"/>
        <v>#REF!</v>
      </c>
      <c r="AE43" s="16" t="e">
        <f t="shared" si="35"/>
        <v>#REF!</v>
      </c>
      <c r="AF43" s="16">
        <f t="shared" si="36"/>
        <v>0</v>
      </c>
      <c r="AG43" s="16">
        <f t="shared" si="37"/>
        <v>0</v>
      </c>
      <c r="AH43" s="16">
        <f t="shared" si="38"/>
        <v>0</v>
      </c>
      <c r="AI43" s="13" t="s">
        <v>77</v>
      </c>
      <c r="AJ43" s="16">
        <f t="shared" si="39"/>
        <v>0</v>
      </c>
      <c r="AK43" s="16" t="e">
        <f t="shared" si="40"/>
        <v>#REF!</v>
      </c>
      <c r="AL43" s="16">
        <f t="shared" si="41"/>
        <v>0</v>
      </c>
      <c r="AN43" s="16">
        <v>12</v>
      </c>
      <c r="AO43" s="16" t="e">
        <f>H43*0</f>
        <v>#REF!</v>
      </c>
      <c r="AP43" s="16" t="e">
        <f>H43*(1-0)</f>
        <v>#REF!</v>
      </c>
      <c r="AQ43" s="56" t="s">
        <v>462</v>
      </c>
      <c r="AV43" s="16" t="e">
        <f t="shared" si="42"/>
        <v>#REF!</v>
      </c>
      <c r="AW43" s="16" t="e">
        <f t="shared" si="43"/>
        <v>#REF!</v>
      </c>
      <c r="AX43" s="16" t="e">
        <f t="shared" si="44"/>
        <v>#REF!</v>
      </c>
      <c r="AY43" s="56" t="s">
        <v>493</v>
      </c>
      <c r="AZ43" s="56" t="s">
        <v>494</v>
      </c>
      <c r="BA43" s="13" t="s">
        <v>495</v>
      </c>
      <c r="BC43" s="16" t="e">
        <f t="shared" si="45"/>
        <v>#REF!</v>
      </c>
      <c r="BD43" s="16" t="e">
        <f t="shared" si="46"/>
        <v>#REF!</v>
      </c>
      <c r="BE43" s="16">
        <v>0</v>
      </c>
      <c r="BF43" s="16" t="e">
        <f t="shared" si="47"/>
        <v>#REF!</v>
      </c>
      <c r="BH43" s="16" t="e">
        <f t="shared" si="48"/>
        <v>#REF!</v>
      </c>
      <c r="BI43" s="16" t="e">
        <f t="shared" si="49"/>
        <v>#REF!</v>
      </c>
      <c r="BJ43" s="16" t="e">
        <f t="shared" si="50"/>
        <v>#REF!</v>
      </c>
      <c r="BK43" s="16"/>
      <c r="BL43" s="16">
        <v>722</v>
      </c>
      <c r="BW43" s="16" t="str">
        <f t="shared" si="51"/>
        <v>12</v>
      </c>
      <c r="BX43" s="3" t="s">
        <v>84</v>
      </c>
    </row>
    <row r="44" spans="1:76" x14ac:dyDescent="0.25">
      <c r="A44" s="1" t="s">
        <v>497</v>
      </c>
      <c r="B44" s="2" t="s">
        <v>77</v>
      </c>
      <c r="C44" s="2" t="s">
        <v>85</v>
      </c>
      <c r="D44" s="77" t="s">
        <v>86</v>
      </c>
      <c r="E44" s="71"/>
      <c r="F44" s="2" t="s">
        <v>31</v>
      </c>
      <c r="G44" s="16" t="e">
        <f>'Rozpočet - vybrané sloupce'!#REF!</f>
        <v>#REF!</v>
      </c>
      <c r="H44" s="16" t="e">
        <f>'Rozpočet - vybrané sloupce'!#REF!</f>
        <v>#REF!</v>
      </c>
      <c r="I44" s="56" t="s">
        <v>460</v>
      </c>
      <c r="J44" s="16" t="e">
        <f t="shared" si="26"/>
        <v>#REF!</v>
      </c>
      <c r="K44" s="16" t="e">
        <f t="shared" si="27"/>
        <v>#REF!</v>
      </c>
      <c r="L44" s="16" t="e">
        <f t="shared" si="28"/>
        <v>#REF!</v>
      </c>
      <c r="M44" s="16" t="e">
        <f t="shared" si="29"/>
        <v>#REF!</v>
      </c>
      <c r="N44" s="16">
        <v>2.7999999999999998E-4</v>
      </c>
      <c r="O44" s="16" t="e">
        <f t="shared" si="30"/>
        <v>#REF!</v>
      </c>
      <c r="P44" s="57" t="s">
        <v>461</v>
      </c>
      <c r="Z44" s="16">
        <f t="shared" si="31"/>
        <v>0</v>
      </c>
      <c r="AB44" s="16">
        <f t="shared" si="32"/>
        <v>0</v>
      </c>
      <c r="AC44" s="16">
        <f t="shared" si="33"/>
        <v>0</v>
      </c>
      <c r="AD44" s="16" t="e">
        <f t="shared" si="34"/>
        <v>#REF!</v>
      </c>
      <c r="AE44" s="16" t="e">
        <f t="shared" si="35"/>
        <v>#REF!</v>
      </c>
      <c r="AF44" s="16">
        <f t="shared" si="36"/>
        <v>0</v>
      </c>
      <c r="AG44" s="16">
        <f t="shared" si="37"/>
        <v>0</v>
      </c>
      <c r="AH44" s="16">
        <f t="shared" si="38"/>
        <v>0</v>
      </c>
      <c r="AI44" s="13" t="s">
        <v>77</v>
      </c>
      <c r="AJ44" s="16">
        <f t="shared" si="39"/>
        <v>0</v>
      </c>
      <c r="AK44" s="16" t="e">
        <f t="shared" si="40"/>
        <v>#REF!</v>
      </c>
      <c r="AL44" s="16">
        <f t="shared" si="41"/>
        <v>0</v>
      </c>
      <c r="AN44" s="16">
        <v>12</v>
      </c>
      <c r="AO44" s="16" t="e">
        <f>H44*0</f>
        <v>#REF!</v>
      </c>
      <c r="AP44" s="16" t="e">
        <f>H44*(1-0)</f>
        <v>#REF!</v>
      </c>
      <c r="AQ44" s="56" t="s">
        <v>462</v>
      </c>
      <c r="AV44" s="16" t="e">
        <f t="shared" si="42"/>
        <v>#REF!</v>
      </c>
      <c r="AW44" s="16" t="e">
        <f t="shared" si="43"/>
        <v>#REF!</v>
      </c>
      <c r="AX44" s="16" t="e">
        <f t="shared" si="44"/>
        <v>#REF!</v>
      </c>
      <c r="AY44" s="56" t="s">
        <v>493</v>
      </c>
      <c r="AZ44" s="56" t="s">
        <v>494</v>
      </c>
      <c r="BA44" s="13" t="s">
        <v>495</v>
      </c>
      <c r="BC44" s="16" t="e">
        <f t="shared" si="45"/>
        <v>#REF!</v>
      </c>
      <c r="BD44" s="16" t="e">
        <f t="shared" si="46"/>
        <v>#REF!</v>
      </c>
      <c r="BE44" s="16">
        <v>0</v>
      </c>
      <c r="BF44" s="16" t="e">
        <f t="shared" si="47"/>
        <v>#REF!</v>
      </c>
      <c r="BH44" s="16" t="e">
        <f t="shared" si="48"/>
        <v>#REF!</v>
      </c>
      <c r="BI44" s="16" t="e">
        <f t="shared" si="49"/>
        <v>#REF!</v>
      </c>
      <c r="BJ44" s="16" t="e">
        <f t="shared" si="50"/>
        <v>#REF!</v>
      </c>
      <c r="BK44" s="16"/>
      <c r="BL44" s="16">
        <v>722</v>
      </c>
      <c r="BW44" s="16" t="str">
        <f t="shared" si="51"/>
        <v>12</v>
      </c>
      <c r="BX44" s="3" t="s">
        <v>86</v>
      </c>
    </row>
    <row r="45" spans="1:76" x14ac:dyDescent="0.25">
      <c r="A45" s="1" t="s">
        <v>498</v>
      </c>
      <c r="B45" s="2" t="s">
        <v>77</v>
      </c>
      <c r="C45" s="2" t="s">
        <v>87</v>
      </c>
      <c r="D45" s="77" t="s">
        <v>88</v>
      </c>
      <c r="E45" s="71"/>
      <c r="F45" s="2" t="s">
        <v>31</v>
      </c>
      <c r="G45" s="16" t="e">
        <f>'Rozpočet - vybrané sloupce'!#REF!</f>
        <v>#REF!</v>
      </c>
      <c r="H45" s="16" t="e">
        <f>'Rozpočet - vybrané sloupce'!#REF!</f>
        <v>#REF!</v>
      </c>
      <c r="I45" s="56" t="s">
        <v>460</v>
      </c>
      <c r="J45" s="16" t="e">
        <f t="shared" si="26"/>
        <v>#REF!</v>
      </c>
      <c r="K45" s="16" t="e">
        <f t="shared" si="27"/>
        <v>#REF!</v>
      </c>
      <c r="L45" s="16" t="e">
        <f t="shared" si="28"/>
        <v>#REF!</v>
      </c>
      <c r="M45" s="16" t="e">
        <f t="shared" si="29"/>
        <v>#REF!</v>
      </c>
      <c r="N45" s="16">
        <v>2.9E-4</v>
      </c>
      <c r="O45" s="16" t="e">
        <f t="shared" si="30"/>
        <v>#REF!</v>
      </c>
      <c r="P45" s="57" t="s">
        <v>461</v>
      </c>
      <c r="Z45" s="16">
        <f t="shared" si="31"/>
        <v>0</v>
      </c>
      <c r="AB45" s="16">
        <f t="shared" si="32"/>
        <v>0</v>
      </c>
      <c r="AC45" s="16">
        <f t="shared" si="33"/>
        <v>0</v>
      </c>
      <c r="AD45" s="16" t="e">
        <f t="shared" si="34"/>
        <v>#REF!</v>
      </c>
      <c r="AE45" s="16" t="e">
        <f t="shared" si="35"/>
        <v>#REF!</v>
      </c>
      <c r="AF45" s="16">
        <f t="shared" si="36"/>
        <v>0</v>
      </c>
      <c r="AG45" s="16">
        <f t="shared" si="37"/>
        <v>0</v>
      </c>
      <c r="AH45" s="16">
        <f t="shared" si="38"/>
        <v>0</v>
      </c>
      <c r="AI45" s="13" t="s">
        <v>77</v>
      </c>
      <c r="AJ45" s="16">
        <f t="shared" si="39"/>
        <v>0</v>
      </c>
      <c r="AK45" s="16" t="e">
        <f t="shared" si="40"/>
        <v>#REF!</v>
      </c>
      <c r="AL45" s="16">
        <f t="shared" si="41"/>
        <v>0</v>
      </c>
      <c r="AN45" s="16">
        <v>12</v>
      </c>
      <c r="AO45" s="16" t="e">
        <f>H45*0</f>
        <v>#REF!</v>
      </c>
      <c r="AP45" s="16" t="e">
        <f>H45*(1-0)</f>
        <v>#REF!</v>
      </c>
      <c r="AQ45" s="56" t="s">
        <v>462</v>
      </c>
      <c r="AV45" s="16" t="e">
        <f t="shared" si="42"/>
        <v>#REF!</v>
      </c>
      <c r="AW45" s="16" t="e">
        <f t="shared" si="43"/>
        <v>#REF!</v>
      </c>
      <c r="AX45" s="16" t="e">
        <f t="shared" si="44"/>
        <v>#REF!</v>
      </c>
      <c r="AY45" s="56" t="s">
        <v>493</v>
      </c>
      <c r="AZ45" s="56" t="s">
        <v>494</v>
      </c>
      <c r="BA45" s="13" t="s">
        <v>495</v>
      </c>
      <c r="BC45" s="16" t="e">
        <f t="shared" si="45"/>
        <v>#REF!</v>
      </c>
      <c r="BD45" s="16" t="e">
        <f t="shared" si="46"/>
        <v>#REF!</v>
      </c>
      <c r="BE45" s="16">
        <v>0</v>
      </c>
      <c r="BF45" s="16" t="e">
        <f t="shared" si="47"/>
        <v>#REF!</v>
      </c>
      <c r="BH45" s="16" t="e">
        <f t="shared" si="48"/>
        <v>#REF!</v>
      </c>
      <c r="BI45" s="16" t="e">
        <f t="shared" si="49"/>
        <v>#REF!</v>
      </c>
      <c r="BJ45" s="16" t="e">
        <f t="shared" si="50"/>
        <v>#REF!</v>
      </c>
      <c r="BK45" s="16"/>
      <c r="BL45" s="16">
        <v>722</v>
      </c>
      <c r="BW45" s="16" t="str">
        <f t="shared" si="51"/>
        <v>12</v>
      </c>
      <c r="BX45" s="3" t="s">
        <v>88</v>
      </c>
    </row>
    <row r="46" spans="1:76" x14ac:dyDescent="0.25">
      <c r="A46" s="1" t="s">
        <v>499</v>
      </c>
      <c r="B46" s="2" t="s">
        <v>77</v>
      </c>
      <c r="C46" s="2" t="s">
        <v>89</v>
      </c>
      <c r="D46" s="77" t="s">
        <v>90</v>
      </c>
      <c r="E46" s="71"/>
      <c r="F46" s="2" t="s">
        <v>31</v>
      </c>
      <c r="G46" s="16" t="e">
        <f>'Rozpočet - vybrané sloupce'!#REF!</f>
        <v>#REF!</v>
      </c>
      <c r="H46" s="16" t="e">
        <f>'Rozpočet - vybrané sloupce'!#REF!</f>
        <v>#REF!</v>
      </c>
      <c r="I46" s="56" t="s">
        <v>460</v>
      </c>
      <c r="J46" s="16" t="e">
        <f t="shared" si="26"/>
        <v>#REF!</v>
      </c>
      <c r="K46" s="16" t="e">
        <f t="shared" si="27"/>
        <v>#REF!</v>
      </c>
      <c r="L46" s="16" t="e">
        <f t="shared" si="28"/>
        <v>#REF!</v>
      </c>
      <c r="M46" s="16" t="e">
        <f t="shared" si="29"/>
        <v>#REF!</v>
      </c>
      <c r="N46" s="16">
        <v>5.2999999999999998E-4</v>
      </c>
      <c r="O46" s="16" t="e">
        <f t="shared" si="30"/>
        <v>#REF!</v>
      </c>
      <c r="P46" s="57" t="s">
        <v>461</v>
      </c>
      <c r="Z46" s="16">
        <f t="shared" si="31"/>
        <v>0</v>
      </c>
      <c r="AB46" s="16">
        <f t="shared" si="32"/>
        <v>0</v>
      </c>
      <c r="AC46" s="16">
        <f t="shared" si="33"/>
        <v>0</v>
      </c>
      <c r="AD46" s="16" t="e">
        <f t="shared" si="34"/>
        <v>#REF!</v>
      </c>
      <c r="AE46" s="16" t="e">
        <f t="shared" si="35"/>
        <v>#REF!</v>
      </c>
      <c r="AF46" s="16">
        <f t="shared" si="36"/>
        <v>0</v>
      </c>
      <c r="AG46" s="16">
        <f t="shared" si="37"/>
        <v>0</v>
      </c>
      <c r="AH46" s="16">
        <f t="shared" si="38"/>
        <v>0</v>
      </c>
      <c r="AI46" s="13" t="s">
        <v>77</v>
      </c>
      <c r="AJ46" s="16">
        <f t="shared" si="39"/>
        <v>0</v>
      </c>
      <c r="AK46" s="16" t="e">
        <f t="shared" si="40"/>
        <v>#REF!</v>
      </c>
      <c r="AL46" s="16">
        <f t="shared" si="41"/>
        <v>0</v>
      </c>
      <c r="AN46" s="16">
        <v>12</v>
      </c>
      <c r="AO46" s="16" t="e">
        <f>H46*0.499111111</f>
        <v>#REF!</v>
      </c>
      <c r="AP46" s="16" t="e">
        <f>H46*(1-0.499111111)</f>
        <v>#REF!</v>
      </c>
      <c r="AQ46" s="56" t="s">
        <v>462</v>
      </c>
      <c r="AV46" s="16" t="e">
        <f t="shared" si="42"/>
        <v>#REF!</v>
      </c>
      <c r="AW46" s="16" t="e">
        <f t="shared" si="43"/>
        <v>#REF!</v>
      </c>
      <c r="AX46" s="16" t="e">
        <f t="shared" si="44"/>
        <v>#REF!</v>
      </c>
      <c r="AY46" s="56" t="s">
        <v>493</v>
      </c>
      <c r="AZ46" s="56" t="s">
        <v>494</v>
      </c>
      <c r="BA46" s="13" t="s">
        <v>495</v>
      </c>
      <c r="BC46" s="16" t="e">
        <f t="shared" si="45"/>
        <v>#REF!</v>
      </c>
      <c r="BD46" s="16" t="e">
        <f t="shared" si="46"/>
        <v>#REF!</v>
      </c>
      <c r="BE46" s="16">
        <v>0</v>
      </c>
      <c r="BF46" s="16" t="e">
        <f t="shared" si="47"/>
        <v>#REF!</v>
      </c>
      <c r="BH46" s="16" t="e">
        <f t="shared" si="48"/>
        <v>#REF!</v>
      </c>
      <c r="BI46" s="16" t="e">
        <f t="shared" si="49"/>
        <v>#REF!</v>
      </c>
      <c r="BJ46" s="16" t="e">
        <f t="shared" si="50"/>
        <v>#REF!</v>
      </c>
      <c r="BK46" s="16"/>
      <c r="BL46" s="16">
        <v>722</v>
      </c>
      <c r="BW46" s="16" t="str">
        <f t="shared" si="51"/>
        <v>12</v>
      </c>
      <c r="BX46" s="3" t="s">
        <v>90</v>
      </c>
    </row>
    <row r="47" spans="1:76" x14ac:dyDescent="0.25">
      <c r="A47" s="1" t="s">
        <v>500</v>
      </c>
      <c r="B47" s="2" t="s">
        <v>77</v>
      </c>
      <c r="C47" s="2" t="s">
        <v>91</v>
      </c>
      <c r="D47" s="77" t="s">
        <v>92</v>
      </c>
      <c r="E47" s="71"/>
      <c r="F47" s="2" t="s">
        <v>31</v>
      </c>
      <c r="G47" s="16" t="e">
        <f>'Rozpočet - vybrané sloupce'!#REF!</f>
        <v>#REF!</v>
      </c>
      <c r="H47" s="16" t="e">
        <f>'Rozpočet - vybrané sloupce'!#REF!</f>
        <v>#REF!</v>
      </c>
      <c r="I47" s="56" t="s">
        <v>460</v>
      </c>
      <c r="J47" s="16" t="e">
        <f t="shared" si="26"/>
        <v>#REF!</v>
      </c>
      <c r="K47" s="16" t="e">
        <f t="shared" si="27"/>
        <v>#REF!</v>
      </c>
      <c r="L47" s="16" t="e">
        <f t="shared" si="28"/>
        <v>#REF!</v>
      </c>
      <c r="M47" s="16" t="e">
        <f t="shared" si="29"/>
        <v>#REF!</v>
      </c>
      <c r="N47" s="16">
        <v>7.2999999999999996E-4</v>
      </c>
      <c r="O47" s="16" t="e">
        <f t="shared" si="30"/>
        <v>#REF!</v>
      </c>
      <c r="P47" s="57" t="s">
        <v>461</v>
      </c>
      <c r="Z47" s="16">
        <f t="shared" si="31"/>
        <v>0</v>
      </c>
      <c r="AB47" s="16">
        <f t="shared" si="32"/>
        <v>0</v>
      </c>
      <c r="AC47" s="16">
        <f t="shared" si="33"/>
        <v>0</v>
      </c>
      <c r="AD47" s="16" t="e">
        <f t="shared" si="34"/>
        <v>#REF!</v>
      </c>
      <c r="AE47" s="16" t="e">
        <f t="shared" si="35"/>
        <v>#REF!</v>
      </c>
      <c r="AF47" s="16">
        <f t="shared" si="36"/>
        <v>0</v>
      </c>
      <c r="AG47" s="16">
        <f t="shared" si="37"/>
        <v>0</v>
      </c>
      <c r="AH47" s="16">
        <f t="shared" si="38"/>
        <v>0</v>
      </c>
      <c r="AI47" s="13" t="s">
        <v>77</v>
      </c>
      <c r="AJ47" s="16">
        <f t="shared" si="39"/>
        <v>0</v>
      </c>
      <c r="AK47" s="16" t="e">
        <f t="shared" si="40"/>
        <v>#REF!</v>
      </c>
      <c r="AL47" s="16">
        <f t="shared" si="41"/>
        <v>0</v>
      </c>
      <c r="AN47" s="16">
        <v>12</v>
      </c>
      <c r="AO47" s="16" t="e">
        <f>H47*0.578521836</f>
        <v>#REF!</v>
      </c>
      <c r="AP47" s="16" t="e">
        <f>H47*(1-0.578521836)</f>
        <v>#REF!</v>
      </c>
      <c r="AQ47" s="56" t="s">
        <v>462</v>
      </c>
      <c r="AV47" s="16" t="e">
        <f t="shared" si="42"/>
        <v>#REF!</v>
      </c>
      <c r="AW47" s="16" t="e">
        <f t="shared" si="43"/>
        <v>#REF!</v>
      </c>
      <c r="AX47" s="16" t="e">
        <f t="shared" si="44"/>
        <v>#REF!</v>
      </c>
      <c r="AY47" s="56" t="s">
        <v>493</v>
      </c>
      <c r="AZ47" s="56" t="s">
        <v>494</v>
      </c>
      <c r="BA47" s="13" t="s">
        <v>495</v>
      </c>
      <c r="BC47" s="16" t="e">
        <f t="shared" si="45"/>
        <v>#REF!</v>
      </c>
      <c r="BD47" s="16" t="e">
        <f t="shared" si="46"/>
        <v>#REF!</v>
      </c>
      <c r="BE47" s="16">
        <v>0</v>
      </c>
      <c r="BF47" s="16" t="e">
        <f t="shared" si="47"/>
        <v>#REF!</v>
      </c>
      <c r="BH47" s="16" t="e">
        <f t="shared" si="48"/>
        <v>#REF!</v>
      </c>
      <c r="BI47" s="16" t="e">
        <f t="shared" si="49"/>
        <v>#REF!</v>
      </c>
      <c r="BJ47" s="16" t="e">
        <f t="shared" si="50"/>
        <v>#REF!</v>
      </c>
      <c r="BK47" s="16"/>
      <c r="BL47" s="16">
        <v>722</v>
      </c>
      <c r="BW47" s="16" t="str">
        <f t="shared" si="51"/>
        <v>12</v>
      </c>
      <c r="BX47" s="3" t="s">
        <v>92</v>
      </c>
    </row>
    <row r="48" spans="1:76" x14ac:dyDescent="0.25">
      <c r="A48" s="1" t="s">
        <v>501</v>
      </c>
      <c r="B48" s="2" t="s">
        <v>77</v>
      </c>
      <c r="C48" s="2" t="s">
        <v>93</v>
      </c>
      <c r="D48" s="77" t="s">
        <v>94</v>
      </c>
      <c r="E48" s="71"/>
      <c r="F48" s="2" t="s">
        <v>31</v>
      </c>
      <c r="G48" s="16" t="e">
        <f>'Rozpočet - vybrané sloupce'!#REF!</f>
        <v>#REF!</v>
      </c>
      <c r="H48" s="16" t="e">
        <f>'Rozpočet - vybrané sloupce'!#REF!</f>
        <v>#REF!</v>
      </c>
      <c r="I48" s="56" t="s">
        <v>460</v>
      </c>
      <c r="J48" s="16" t="e">
        <f t="shared" si="26"/>
        <v>#REF!</v>
      </c>
      <c r="K48" s="16" t="e">
        <f t="shared" si="27"/>
        <v>#REF!</v>
      </c>
      <c r="L48" s="16" t="e">
        <f t="shared" si="28"/>
        <v>#REF!</v>
      </c>
      <c r="M48" s="16" t="e">
        <f t="shared" si="29"/>
        <v>#REF!</v>
      </c>
      <c r="N48" s="16">
        <v>1.0200000000000001E-3</v>
      </c>
      <c r="O48" s="16" t="e">
        <f t="shared" si="30"/>
        <v>#REF!</v>
      </c>
      <c r="P48" s="57" t="s">
        <v>461</v>
      </c>
      <c r="Z48" s="16">
        <f t="shared" si="31"/>
        <v>0</v>
      </c>
      <c r="AB48" s="16">
        <f t="shared" si="32"/>
        <v>0</v>
      </c>
      <c r="AC48" s="16">
        <f t="shared" si="33"/>
        <v>0</v>
      </c>
      <c r="AD48" s="16" t="e">
        <f t="shared" si="34"/>
        <v>#REF!</v>
      </c>
      <c r="AE48" s="16" t="e">
        <f t="shared" si="35"/>
        <v>#REF!</v>
      </c>
      <c r="AF48" s="16">
        <f t="shared" si="36"/>
        <v>0</v>
      </c>
      <c r="AG48" s="16">
        <f t="shared" si="37"/>
        <v>0</v>
      </c>
      <c r="AH48" s="16">
        <f t="shared" si="38"/>
        <v>0</v>
      </c>
      <c r="AI48" s="13" t="s">
        <v>77</v>
      </c>
      <c r="AJ48" s="16">
        <f t="shared" si="39"/>
        <v>0</v>
      </c>
      <c r="AK48" s="16" t="e">
        <f t="shared" si="40"/>
        <v>#REF!</v>
      </c>
      <c r="AL48" s="16">
        <f t="shared" si="41"/>
        <v>0</v>
      </c>
      <c r="AN48" s="16">
        <v>12</v>
      </c>
      <c r="AO48" s="16" t="e">
        <f>H48*0.679691333</f>
        <v>#REF!</v>
      </c>
      <c r="AP48" s="16" t="e">
        <f>H48*(1-0.679691333)</f>
        <v>#REF!</v>
      </c>
      <c r="AQ48" s="56" t="s">
        <v>462</v>
      </c>
      <c r="AV48" s="16" t="e">
        <f t="shared" si="42"/>
        <v>#REF!</v>
      </c>
      <c r="AW48" s="16" t="e">
        <f t="shared" si="43"/>
        <v>#REF!</v>
      </c>
      <c r="AX48" s="16" t="e">
        <f t="shared" si="44"/>
        <v>#REF!</v>
      </c>
      <c r="AY48" s="56" t="s">
        <v>493</v>
      </c>
      <c r="AZ48" s="56" t="s">
        <v>494</v>
      </c>
      <c r="BA48" s="13" t="s">
        <v>495</v>
      </c>
      <c r="BC48" s="16" t="e">
        <f t="shared" si="45"/>
        <v>#REF!</v>
      </c>
      <c r="BD48" s="16" t="e">
        <f t="shared" si="46"/>
        <v>#REF!</v>
      </c>
      <c r="BE48" s="16">
        <v>0</v>
      </c>
      <c r="BF48" s="16" t="e">
        <f t="shared" si="47"/>
        <v>#REF!</v>
      </c>
      <c r="BH48" s="16" t="e">
        <f t="shared" si="48"/>
        <v>#REF!</v>
      </c>
      <c r="BI48" s="16" t="e">
        <f t="shared" si="49"/>
        <v>#REF!</v>
      </c>
      <c r="BJ48" s="16" t="e">
        <f t="shared" si="50"/>
        <v>#REF!</v>
      </c>
      <c r="BK48" s="16"/>
      <c r="BL48" s="16">
        <v>722</v>
      </c>
      <c r="BW48" s="16" t="str">
        <f t="shared" si="51"/>
        <v>12</v>
      </c>
      <c r="BX48" s="3" t="s">
        <v>94</v>
      </c>
    </row>
    <row r="49" spans="1:76" x14ac:dyDescent="0.25">
      <c r="A49" s="1" t="s">
        <v>502</v>
      </c>
      <c r="B49" s="2" t="s">
        <v>77</v>
      </c>
      <c r="C49" s="2" t="s">
        <v>95</v>
      </c>
      <c r="D49" s="77" t="s">
        <v>96</v>
      </c>
      <c r="E49" s="71"/>
      <c r="F49" s="2" t="s">
        <v>31</v>
      </c>
      <c r="G49" s="16" t="e">
        <f>'Rozpočet - vybrané sloupce'!#REF!</f>
        <v>#REF!</v>
      </c>
      <c r="H49" s="16" t="e">
        <f>'Rozpočet - vybrané sloupce'!#REF!</f>
        <v>#REF!</v>
      </c>
      <c r="I49" s="56" t="s">
        <v>460</v>
      </c>
      <c r="J49" s="16" t="e">
        <f t="shared" si="26"/>
        <v>#REF!</v>
      </c>
      <c r="K49" s="16" t="e">
        <f t="shared" si="27"/>
        <v>#REF!</v>
      </c>
      <c r="L49" s="16" t="e">
        <f t="shared" si="28"/>
        <v>#REF!</v>
      </c>
      <c r="M49" s="16" t="e">
        <f t="shared" si="29"/>
        <v>#REF!</v>
      </c>
      <c r="N49" s="16">
        <v>1.3799999999999999E-3</v>
      </c>
      <c r="O49" s="16" t="e">
        <f t="shared" si="30"/>
        <v>#REF!</v>
      </c>
      <c r="P49" s="57" t="s">
        <v>461</v>
      </c>
      <c r="Z49" s="16">
        <f t="shared" si="31"/>
        <v>0</v>
      </c>
      <c r="AB49" s="16">
        <f t="shared" si="32"/>
        <v>0</v>
      </c>
      <c r="AC49" s="16">
        <f t="shared" si="33"/>
        <v>0</v>
      </c>
      <c r="AD49" s="16" t="e">
        <f t="shared" si="34"/>
        <v>#REF!</v>
      </c>
      <c r="AE49" s="16" t="e">
        <f t="shared" si="35"/>
        <v>#REF!</v>
      </c>
      <c r="AF49" s="16">
        <f t="shared" si="36"/>
        <v>0</v>
      </c>
      <c r="AG49" s="16">
        <f t="shared" si="37"/>
        <v>0</v>
      </c>
      <c r="AH49" s="16">
        <f t="shared" si="38"/>
        <v>0</v>
      </c>
      <c r="AI49" s="13" t="s">
        <v>77</v>
      </c>
      <c r="AJ49" s="16">
        <f t="shared" si="39"/>
        <v>0</v>
      </c>
      <c r="AK49" s="16" t="e">
        <f t="shared" si="40"/>
        <v>#REF!</v>
      </c>
      <c r="AL49" s="16">
        <f t="shared" si="41"/>
        <v>0</v>
      </c>
      <c r="AN49" s="16">
        <v>12</v>
      </c>
      <c r="AO49" s="16" t="e">
        <f>H49*0.677031983</f>
        <v>#REF!</v>
      </c>
      <c r="AP49" s="16" t="e">
        <f>H49*(1-0.677031983)</f>
        <v>#REF!</v>
      </c>
      <c r="AQ49" s="56" t="s">
        <v>462</v>
      </c>
      <c r="AV49" s="16" t="e">
        <f t="shared" si="42"/>
        <v>#REF!</v>
      </c>
      <c r="AW49" s="16" t="e">
        <f t="shared" si="43"/>
        <v>#REF!</v>
      </c>
      <c r="AX49" s="16" t="e">
        <f t="shared" si="44"/>
        <v>#REF!</v>
      </c>
      <c r="AY49" s="56" t="s">
        <v>493</v>
      </c>
      <c r="AZ49" s="56" t="s">
        <v>494</v>
      </c>
      <c r="BA49" s="13" t="s">
        <v>495</v>
      </c>
      <c r="BC49" s="16" t="e">
        <f t="shared" si="45"/>
        <v>#REF!</v>
      </c>
      <c r="BD49" s="16" t="e">
        <f t="shared" si="46"/>
        <v>#REF!</v>
      </c>
      <c r="BE49" s="16">
        <v>0</v>
      </c>
      <c r="BF49" s="16" t="e">
        <f t="shared" si="47"/>
        <v>#REF!</v>
      </c>
      <c r="BH49" s="16" t="e">
        <f t="shared" si="48"/>
        <v>#REF!</v>
      </c>
      <c r="BI49" s="16" t="e">
        <f t="shared" si="49"/>
        <v>#REF!</v>
      </c>
      <c r="BJ49" s="16" t="e">
        <f t="shared" si="50"/>
        <v>#REF!</v>
      </c>
      <c r="BK49" s="16"/>
      <c r="BL49" s="16">
        <v>722</v>
      </c>
      <c r="BW49" s="16" t="str">
        <f t="shared" si="51"/>
        <v>12</v>
      </c>
      <c r="BX49" s="3" t="s">
        <v>96</v>
      </c>
    </row>
    <row r="50" spans="1:76" x14ac:dyDescent="0.25">
      <c r="A50" s="1" t="s">
        <v>503</v>
      </c>
      <c r="B50" s="2" t="s">
        <v>77</v>
      </c>
      <c r="C50" s="2" t="s">
        <v>97</v>
      </c>
      <c r="D50" s="77" t="s">
        <v>98</v>
      </c>
      <c r="E50" s="71"/>
      <c r="F50" s="2" t="s">
        <v>31</v>
      </c>
      <c r="G50" s="16" t="e">
        <f>'Rozpočet - vybrané sloupce'!#REF!</f>
        <v>#REF!</v>
      </c>
      <c r="H50" s="16" t="e">
        <f>'Rozpočet - vybrané sloupce'!#REF!</f>
        <v>#REF!</v>
      </c>
      <c r="I50" s="56" t="s">
        <v>460</v>
      </c>
      <c r="J50" s="16" t="e">
        <f t="shared" si="26"/>
        <v>#REF!</v>
      </c>
      <c r="K50" s="16" t="e">
        <f t="shared" si="27"/>
        <v>#REF!</v>
      </c>
      <c r="L50" s="16" t="e">
        <f t="shared" si="28"/>
        <v>#REF!</v>
      </c>
      <c r="M50" s="16" t="e">
        <f t="shared" si="29"/>
        <v>#REF!</v>
      </c>
      <c r="N50" s="16">
        <v>9.0000000000000006E-5</v>
      </c>
      <c r="O50" s="16" t="e">
        <f t="shared" si="30"/>
        <v>#REF!</v>
      </c>
      <c r="P50" s="57" t="s">
        <v>461</v>
      </c>
      <c r="Z50" s="16">
        <f t="shared" si="31"/>
        <v>0</v>
      </c>
      <c r="AB50" s="16">
        <f t="shared" si="32"/>
        <v>0</v>
      </c>
      <c r="AC50" s="16">
        <f t="shared" si="33"/>
        <v>0</v>
      </c>
      <c r="AD50" s="16" t="e">
        <f t="shared" si="34"/>
        <v>#REF!</v>
      </c>
      <c r="AE50" s="16" t="e">
        <f t="shared" si="35"/>
        <v>#REF!</v>
      </c>
      <c r="AF50" s="16">
        <f t="shared" si="36"/>
        <v>0</v>
      </c>
      <c r="AG50" s="16">
        <f t="shared" si="37"/>
        <v>0</v>
      </c>
      <c r="AH50" s="16">
        <f t="shared" si="38"/>
        <v>0</v>
      </c>
      <c r="AI50" s="13" t="s">
        <v>77</v>
      </c>
      <c r="AJ50" s="16">
        <f t="shared" si="39"/>
        <v>0</v>
      </c>
      <c r="AK50" s="16" t="e">
        <f t="shared" si="40"/>
        <v>#REF!</v>
      </c>
      <c r="AL50" s="16">
        <f t="shared" si="41"/>
        <v>0</v>
      </c>
      <c r="AN50" s="16">
        <v>12</v>
      </c>
      <c r="AO50" s="16" t="e">
        <f>H50*0.255251613</f>
        <v>#REF!</v>
      </c>
      <c r="AP50" s="16" t="e">
        <f>H50*(1-0.255251613)</f>
        <v>#REF!</v>
      </c>
      <c r="AQ50" s="56" t="s">
        <v>462</v>
      </c>
      <c r="AV50" s="16" t="e">
        <f t="shared" si="42"/>
        <v>#REF!</v>
      </c>
      <c r="AW50" s="16" t="e">
        <f t="shared" si="43"/>
        <v>#REF!</v>
      </c>
      <c r="AX50" s="16" t="e">
        <f t="shared" si="44"/>
        <v>#REF!</v>
      </c>
      <c r="AY50" s="56" t="s">
        <v>493</v>
      </c>
      <c r="AZ50" s="56" t="s">
        <v>494</v>
      </c>
      <c r="BA50" s="13" t="s">
        <v>495</v>
      </c>
      <c r="BC50" s="16" t="e">
        <f t="shared" si="45"/>
        <v>#REF!</v>
      </c>
      <c r="BD50" s="16" t="e">
        <f t="shared" si="46"/>
        <v>#REF!</v>
      </c>
      <c r="BE50" s="16">
        <v>0</v>
      </c>
      <c r="BF50" s="16" t="e">
        <f t="shared" si="47"/>
        <v>#REF!</v>
      </c>
      <c r="BH50" s="16" t="e">
        <f t="shared" si="48"/>
        <v>#REF!</v>
      </c>
      <c r="BI50" s="16" t="e">
        <f t="shared" si="49"/>
        <v>#REF!</v>
      </c>
      <c r="BJ50" s="16" t="e">
        <f t="shared" si="50"/>
        <v>#REF!</v>
      </c>
      <c r="BK50" s="16"/>
      <c r="BL50" s="16">
        <v>722</v>
      </c>
      <c r="BW50" s="16" t="str">
        <f t="shared" si="51"/>
        <v>12</v>
      </c>
      <c r="BX50" s="3" t="s">
        <v>98</v>
      </c>
    </row>
    <row r="51" spans="1:76" x14ac:dyDescent="0.25">
      <c r="A51" s="58"/>
      <c r="C51" s="59" t="s">
        <v>475</v>
      </c>
      <c r="D51" s="122" t="s">
        <v>504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  <c r="BX51" s="60" t="s">
        <v>504</v>
      </c>
    </row>
    <row r="52" spans="1:76" x14ac:dyDescent="0.25">
      <c r="A52" s="1" t="s">
        <v>505</v>
      </c>
      <c r="B52" s="2" t="s">
        <v>77</v>
      </c>
      <c r="C52" s="2" t="s">
        <v>99</v>
      </c>
      <c r="D52" s="77" t="s">
        <v>100</v>
      </c>
      <c r="E52" s="71"/>
      <c r="F52" s="2" t="s">
        <v>31</v>
      </c>
      <c r="G52" s="16" t="e">
        <f>'Rozpočet - vybrané sloupce'!#REF!</f>
        <v>#REF!</v>
      </c>
      <c r="H52" s="16" t="e">
        <f>'Rozpočet - vybrané sloupce'!#REF!</f>
        <v>#REF!</v>
      </c>
      <c r="I52" s="56" t="s">
        <v>460</v>
      </c>
      <c r="J52" s="16" t="e">
        <f>G52*AO52</f>
        <v>#REF!</v>
      </c>
      <c r="K52" s="16" t="e">
        <f>G52*AP52</f>
        <v>#REF!</v>
      </c>
      <c r="L52" s="16" t="e">
        <f>G52*H52</f>
        <v>#REF!</v>
      </c>
      <c r="M52" s="16" t="e">
        <f>L52*(1+BW52/100)</f>
        <v>#REF!</v>
      </c>
      <c r="N52" s="16">
        <v>1.2E-4</v>
      </c>
      <c r="O52" s="16" t="e">
        <f>G52*N52</f>
        <v>#REF!</v>
      </c>
      <c r="P52" s="57" t="s">
        <v>461</v>
      </c>
      <c r="Z52" s="16">
        <f>IF(AQ52="5",BJ52,0)</f>
        <v>0</v>
      </c>
      <c r="AB52" s="16">
        <f>IF(AQ52="1",BH52,0)</f>
        <v>0</v>
      </c>
      <c r="AC52" s="16">
        <f>IF(AQ52="1",BI52,0)</f>
        <v>0</v>
      </c>
      <c r="AD52" s="16" t="e">
        <f>IF(AQ52="7",BH52,0)</f>
        <v>#REF!</v>
      </c>
      <c r="AE52" s="16" t="e">
        <f>IF(AQ52="7",BI52,0)</f>
        <v>#REF!</v>
      </c>
      <c r="AF52" s="16">
        <f>IF(AQ52="2",BH52,0)</f>
        <v>0</v>
      </c>
      <c r="AG52" s="16">
        <f>IF(AQ52="2",BI52,0)</f>
        <v>0</v>
      </c>
      <c r="AH52" s="16">
        <f>IF(AQ52="0",BJ52,0)</f>
        <v>0</v>
      </c>
      <c r="AI52" s="13" t="s">
        <v>77</v>
      </c>
      <c r="AJ52" s="16">
        <f>IF(AN52=0,L52,0)</f>
        <v>0</v>
      </c>
      <c r="AK52" s="16" t="e">
        <f>IF(AN52=12,L52,0)</f>
        <v>#REF!</v>
      </c>
      <c r="AL52" s="16">
        <f>IF(AN52=21,L52,0)</f>
        <v>0</v>
      </c>
      <c r="AN52" s="16">
        <v>12</v>
      </c>
      <c r="AO52" s="16" t="e">
        <f>H52*0.270073529</f>
        <v>#REF!</v>
      </c>
      <c r="AP52" s="16" t="e">
        <f>H52*(1-0.270073529)</f>
        <v>#REF!</v>
      </c>
      <c r="AQ52" s="56" t="s">
        <v>462</v>
      </c>
      <c r="AV52" s="16" t="e">
        <f>AW52+AX52</f>
        <v>#REF!</v>
      </c>
      <c r="AW52" s="16" t="e">
        <f>G52*AO52</f>
        <v>#REF!</v>
      </c>
      <c r="AX52" s="16" t="e">
        <f>G52*AP52</f>
        <v>#REF!</v>
      </c>
      <c r="AY52" s="56" t="s">
        <v>493</v>
      </c>
      <c r="AZ52" s="56" t="s">
        <v>494</v>
      </c>
      <c r="BA52" s="13" t="s">
        <v>495</v>
      </c>
      <c r="BC52" s="16" t="e">
        <f>AW52+AX52</f>
        <v>#REF!</v>
      </c>
      <c r="BD52" s="16" t="e">
        <f>H52/(100-BE52)*100</f>
        <v>#REF!</v>
      </c>
      <c r="BE52" s="16">
        <v>0</v>
      </c>
      <c r="BF52" s="16" t="e">
        <f>O52</f>
        <v>#REF!</v>
      </c>
      <c r="BH52" s="16" t="e">
        <f>G52*AO52</f>
        <v>#REF!</v>
      </c>
      <c r="BI52" s="16" t="e">
        <f>G52*AP52</f>
        <v>#REF!</v>
      </c>
      <c r="BJ52" s="16" t="e">
        <f>G52*H52</f>
        <v>#REF!</v>
      </c>
      <c r="BK52" s="16"/>
      <c r="BL52" s="16">
        <v>722</v>
      </c>
      <c r="BW52" s="16" t="str">
        <f>I52</f>
        <v>12</v>
      </c>
      <c r="BX52" s="3" t="s">
        <v>100</v>
      </c>
    </row>
    <row r="53" spans="1:76" x14ac:dyDescent="0.25">
      <c r="A53" s="58"/>
      <c r="C53" s="59" t="s">
        <v>475</v>
      </c>
      <c r="D53" s="122" t="s">
        <v>504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4"/>
      <c r="BX53" s="60" t="s">
        <v>504</v>
      </c>
    </row>
    <row r="54" spans="1:76" x14ac:dyDescent="0.25">
      <c r="A54" s="1" t="s">
        <v>506</v>
      </c>
      <c r="B54" s="2" t="s">
        <v>77</v>
      </c>
      <c r="C54" s="2" t="s">
        <v>101</v>
      </c>
      <c r="D54" s="77" t="s">
        <v>102</v>
      </c>
      <c r="E54" s="71"/>
      <c r="F54" s="2" t="s">
        <v>31</v>
      </c>
      <c r="G54" s="16" t="e">
        <f>'Rozpočet - vybrané sloupce'!#REF!</f>
        <v>#REF!</v>
      </c>
      <c r="H54" s="16" t="e">
        <f>'Rozpočet - vybrané sloupce'!#REF!</f>
        <v>#REF!</v>
      </c>
      <c r="I54" s="56" t="s">
        <v>460</v>
      </c>
      <c r="J54" s="16" t="e">
        <f>G54*AO54</f>
        <v>#REF!</v>
      </c>
      <c r="K54" s="16" t="e">
        <f>G54*AP54</f>
        <v>#REF!</v>
      </c>
      <c r="L54" s="16" t="e">
        <f>G54*H54</f>
        <v>#REF!</v>
      </c>
      <c r="M54" s="16" t="e">
        <f>L54*(1+BW54/100)</f>
        <v>#REF!</v>
      </c>
      <c r="N54" s="16">
        <v>6.9999999999999994E-5</v>
      </c>
      <c r="O54" s="16" t="e">
        <f>G54*N54</f>
        <v>#REF!</v>
      </c>
      <c r="P54" s="57" t="s">
        <v>461</v>
      </c>
      <c r="Z54" s="16">
        <f>IF(AQ54="5",BJ54,0)</f>
        <v>0</v>
      </c>
      <c r="AB54" s="16">
        <f>IF(AQ54="1",BH54,0)</f>
        <v>0</v>
      </c>
      <c r="AC54" s="16">
        <f>IF(AQ54="1",BI54,0)</f>
        <v>0</v>
      </c>
      <c r="AD54" s="16" t="e">
        <f>IF(AQ54="7",BH54,0)</f>
        <v>#REF!</v>
      </c>
      <c r="AE54" s="16" t="e">
        <f>IF(AQ54="7",BI54,0)</f>
        <v>#REF!</v>
      </c>
      <c r="AF54" s="16">
        <f>IF(AQ54="2",BH54,0)</f>
        <v>0</v>
      </c>
      <c r="AG54" s="16">
        <f>IF(AQ54="2",BI54,0)</f>
        <v>0</v>
      </c>
      <c r="AH54" s="16">
        <f>IF(AQ54="0",BJ54,0)</f>
        <v>0</v>
      </c>
      <c r="AI54" s="13" t="s">
        <v>77</v>
      </c>
      <c r="AJ54" s="16">
        <f>IF(AN54=0,L54,0)</f>
        <v>0</v>
      </c>
      <c r="AK54" s="16" t="e">
        <f>IF(AN54=12,L54,0)</f>
        <v>#REF!</v>
      </c>
      <c r="AL54" s="16">
        <f>IF(AN54=21,L54,0)</f>
        <v>0</v>
      </c>
      <c r="AN54" s="16">
        <v>12</v>
      </c>
      <c r="AO54" s="16" t="e">
        <f>H54*0.523245087</f>
        <v>#REF!</v>
      </c>
      <c r="AP54" s="16" t="e">
        <f>H54*(1-0.523245087)</f>
        <v>#REF!</v>
      </c>
      <c r="AQ54" s="56" t="s">
        <v>462</v>
      </c>
      <c r="AV54" s="16" t="e">
        <f>AW54+AX54</f>
        <v>#REF!</v>
      </c>
      <c r="AW54" s="16" t="e">
        <f>G54*AO54</f>
        <v>#REF!</v>
      </c>
      <c r="AX54" s="16" t="e">
        <f>G54*AP54</f>
        <v>#REF!</v>
      </c>
      <c r="AY54" s="56" t="s">
        <v>493</v>
      </c>
      <c r="AZ54" s="56" t="s">
        <v>494</v>
      </c>
      <c r="BA54" s="13" t="s">
        <v>495</v>
      </c>
      <c r="BC54" s="16" t="e">
        <f>AW54+AX54</f>
        <v>#REF!</v>
      </c>
      <c r="BD54" s="16" t="e">
        <f>H54/(100-BE54)*100</f>
        <v>#REF!</v>
      </c>
      <c r="BE54" s="16">
        <v>0</v>
      </c>
      <c r="BF54" s="16" t="e">
        <f>O54</f>
        <v>#REF!</v>
      </c>
      <c r="BH54" s="16" t="e">
        <f>G54*AO54</f>
        <v>#REF!</v>
      </c>
      <c r="BI54" s="16" t="e">
        <f>G54*AP54</f>
        <v>#REF!</v>
      </c>
      <c r="BJ54" s="16" t="e">
        <f>G54*H54</f>
        <v>#REF!</v>
      </c>
      <c r="BK54" s="16"/>
      <c r="BL54" s="16">
        <v>722</v>
      </c>
      <c r="BW54" s="16" t="str">
        <f>I54</f>
        <v>12</v>
      </c>
      <c r="BX54" s="3" t="s">
        <v>102</v>
      </c>
    </row>
    <row r="55" spans="1:76" x14ac:dyDescent="0.25">
      <c r="A55" s="58"/>
      <c r="C55" s="59" t="s">
        <v>475</v>
      </c>
      <c r="D55" s="122" t="s">
        <v>504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4"/>
      <c r="BX55" s="60" t="s">
        <v>504</v>
      </c>
    </row>
    <row r="56" spans="1:76" x14ac:dyDescent="0.25">
      <c r="A56" s="1" t="s">
        <v>507</v>
      </c>
      <c r="B56" s="2" t="s">
        <v>77</v>
      </c>
      <c r="C56" s="2" t="s">
        <v>103</v>
      </c>
      <c r="D56" s="77" t="s">
        <v>104</v>
      </c>
      <c r="E56" s="71"/>
      <c r="F56" s="2" t="s">
        <v>31</v>
      </c>
      <c r="G56" s="16" t="e">
        <f>'Rozpočet - vybrané sloupce'!#REF!</f>
        <v>#REF!</v>
      </c>
      <c r="H56" s="16" t="e">
        <f>'Rozpočet - vybrané sloupce'!#REF!</f>
        <v>#REF!</v>
      </c>
      <c r="I56" s="56" t="s">
        <v>460</v>
      </c>
      <c r="J56" s="16" t="e">
        <f>G56*AO56</f>
        <v>#REF!</v>
      </c>
      <c r="K56" s="16" t="e">
        <f>G56*AP56</f>
        <v>#REF!</v>
      </c>
      <c r="L56" s="16" t="e">
        <f>G56*H56</f>
        <v>#REF!</v>
      </c>
      <c r="M56" s="16" t="e">
        <f>L56*(1+BW56/100)</f>
        <v>#REF!</v>
      </c>
      <c r="N56" s="16">
        <v>8.0000000000000007E-5</v>
      </c>
      <c r="O56" s="16" t="e">
        <f>G56*N56</f>
        <v>#REF!</v>
      </c>
      <c r="P56" s="57" t="s">
        <v>461</v>
      </c>
      <c r="Z56" s="16">
        <f>IF(AQ56="5",BJ56,0)</f>
        <v>0</v>
      </c>
      <c r="AB56" s="16">
        <f>IF(AQ56="1",BH56,0)</f>
        <v>0</v>
      </c>
      <c r="AC56" s="16">
        <f>IF(AQ56="1",BI56,0)</f>
        <v>0</v>
      </c>
      <c r="AD56" s="16" t="e">
        <f>IF(AQ56="7",BH56,0)</f>
        <v>#REF!</v>
      </c>
      <c r="AE56" s="16" t="e">
        <f>IF(AQ56="7",BI56,0)</f>
        <v>#REF!</v>
      </c>
      <c r="AF56" s="16">
        <f>IF(AQ56="2",BH56,0)</f>
        <v>0</v>
      </c>
      <c r="AG56" s="16">
        <f>IF(AQ56="2",BI56,0)</f>
        <v>0</v>
      </c>
      <c r="AH56" s="16">
        <f>IF(AQ56="0",BJ56,0)</f>
        <v>0</v>
      </c>
      <c r="AI56" s="13" t="s">
        <v>77</v>
      </c>
      <c r="AJ56" s="16">
        <f>IF(AN56=0,L56,0)</f>
        <v>0</v>
      </c>
      <c r="AK56" s="16" t="e">
        <f>IF(AN56=12,L56,0)</f>
        <v>#REF!</v>
      </c>
      <c r="AL56" s="16">
        <f>IF(AN56=21,L56,0)</f>
        <v>0</v>
      </c>
      <c r="AN56" s="16">
        <v>12</v>
      </c>
      <c r="AO56" s="16" t="e">
        <f>H56*0.527714286</f>
        <v>#REF!</v>
      </c>
      <c r="AP56" s="16" t="e">
        <f>H56*(1-0.527714286)</f>
        <v>#REF!</v>
      </c>
      <c r="AQ56" s="56" t="s">
        <v>462</v>
      </c>
      <c r="AV56" s="16" t="e">
        <f>AW56+AX56</f>
        <v>#REF!</v>
      </c>
      <c r="AW56" s="16" t="e">
        <f>G56*AO56</f>
        <v>#REF!</v>
      </c>
      <c r="AX56" s="16" t="e">
        <f>G56*AP56</f>
        <v>#REF!</v>
      </c>
      <c r="AY56" s="56" t="s">
        <v>493</v>
      </c>
      <c r="AZ56" s="56" t="s">
        <v>494</v>
      </c>
      <c r="BA56" s="13" t="s">
        <v>495</v>
      </c>
      <c r="BC56" s="16" t="e">
        <f>AW56+AX56</f>
        <v>#REF!</v>
      </c>
      <c r="BD56" s="16" t="e">
        <f>H56/(100-BE56)*100</f>
        <v>#REF!</v>
      </c>
      <c r="BE56" s="16">
        <v>0</v>
      </c>
      <c r="BF56" s="16" t="e">
        <f>O56</f>
        <v>#REF!</v>
      </c>
      <c r="BH56" s="16" t="e">
        <f>G56*AO56</f>
        <v>#REF!</v>
      </c>
      <c r="BI56" s="16" t="e">
        <f>G56*AP56</f>
        <v>#REF!</v>
      </c>
      <c r="BJ56" s="16" t="e">
        <f>G56*H56</f>
        <v>#REF!</v>
      </c>
      <c r="BK56" s="16"/>
      <c r="BL56" s="16">
        <v>722</v>
      </c>
      <c r="BW56" s="16" t="str">
        <f>I56</f>
        <v>12</v>
      </c>
      <c r="BX56" s="3" t="s">
        <v>104</v>
      </c>
    </row>
    <row r="57" spans="1:76" x14ac:dyDescent="0.25">
      <c r="A57" s="58"/>
      <c r="C57" s="59" t="s">
        <v>475</v>
      </c>
      <c r="D57" s="122" t="s">
        <v>504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4"/>
      <c r="BX57" s="60" t="s">
        <v>504</v>
      </c>
    </row>
    <row r="58" spans="1:76" x14ac:dyDescent="0.25">
      <c r="A58" s="1" t="s">
        <v>508</v>
      </c>
      <c r="B58" s="2" t="s">
        <v>77</v>
      </c>
      <c r="C58" s="2" t="s">
        <v>105</v>
      </c>
      <c r="D58" s="77" t="s">
        <v>106</v>
      </c>
      <c r="E58" s="71"/>
      <c r="F58" s="2" t="s">
        <v>31</v>
      </c>
      <c r="G58" s="16" t="e">
        <f>'Rozpočet - vybrané sloupce'!#REF!</f>
        <v>#REF!</v>
      </c>
      <c r="H58" s="16" t="e">
        <f>'Rozpočet - vybrané sloupce'!#REF!</f>
        <v>#REF!</v>
      </c>
      <c r="I58" s="56" t="s">
        <v>460</v>
      </c>
      <c r="J58" s="16" t="e">
        <f>G58*AO58</f>
        <v>#REF!</v>
      </c>
      <c r="K58" s="16" t="e">
        <f>G58*AP58</f>
        <v>#REF!</v>
      </c>
      <c r="L58" s="16" t="e">
        <f>G58*H58</f>
        <v>#REF!</v>
      </c>
      <c r="M58" s="16" t="e">
        <f>L58*(1+BW58/100)</f>
        <v>#REF!</v>
      </c>
      <c r="N58" s="16">
        <v>1.2999999999999999E-4</v>
      </c>
      <c r="O58" s="16" t="e">
        <f>G58*N58</f>
        <v>#REF!</v>
      </c>
      <c r="P58" s="57" t="s">
        <v>461</v>
      </c>
      <c r="Z58" s="16">
        <f>IF(AQ58="5",BJ58,0)</f>
        <v>0</v>
      </c>
      <c r="AB58" s="16">
        <f>IF(AQ58="1",BH58,0)</f>
        <v>0</v>
      </c>
      <c r="AC58" s="16">
        <f>IF(AQ58="1",BI58,0)</f>
        <v>0</v>
      </c>
      <c r="AD58" s="16" t="e">
        <f>IF(AQ58="7",BH58,0)</f>
        <v>#REF!</v>
      </c>
      <c r="AE58" s="16" t="e">
        <f>IF(AQ58="7",BI58,0)</f>
        <v>#REF!</v>
      </c>
      <c r="AF58" s="16">
        <f>IF(AQ58="2",BH58,0)</f>
        <v>0</v>
      </c>
      <c r="AG58" s="16">
        <f>IF(AQ58="2",BI58,0)</f>
        <v>0</v>
      </c>
      <c r="AH58" s="16">
        <f>IF(AQ58="0",BJ58,0)</f>
        <v>0</v>
      </c>
      <c r="AI58" s="13" t="s">
        <v>77</v>
      </c>
      <c r="AJ58" s="16">
        <f>IF(AN58=0,L58,0)</f>
        <v>0</v>
      </c>
      <c r="AK58" s="16" t="e">
        <f>IF(AN58=12,L58,0)</f>
        <v>#REF!</v>
      </c>
      <c r="AL58" s="16">
        <f>IF(AN58=21,L58,0)</f>
        <v>0</v>
      </c>
      <c r="AN58" s="16">
        <v>12</v>
      </c>
      <c r="AO58" s="16" t="e">
        <f>H58*0.526547057</f>
        <v>#REF!</v>
      </c>
      <c r="AP58" s="16" t="e">
        <f>H58*(1-0.526547057)</f>
        <v>#REF!</v>
      </c>
      <c r="AQ58" s="56" t="s">
        <v>462</v>
      </c>
      <c r="AV58" s="16" t="e">
        <f>AW58+AX58</f>
        <v>#REF!</v>
      </c>
      <c r="AW58" s="16" t="e">
        <f>G58*AO58</f>
        <v>#REF!</v>
      </c>
      <c r="AX58" s="16" t="e">
        <f>G58*AP58</f>
        <v>#REF!</v>
      </c>
      <c r="AY58" s="56" t="s">
        <v>493</v>
      </c>
      <c r="AZ58" s="56" t="s">
        <v>494</v>
      </c>
      <c r="BA58" s="13" t="s">
        <v>495</v>
      </c>
      <c r="BC58" s="16" t="e">
        <f>AW58+AX58</f>
        <v>#REF!</v>
      </c>
      <c r="BD58" s="16" t="e">
        <f>H58/(100-BE58)*100</f>
        <v>#REF!</v>
      </c>
      <c r="BE58" s="16">
        <v>0</v>
      </c>
      <c r="BF58" s="16" t="e">
        <f>O58</f>
        <v>#REF!</v>
      </c>
      <c r="BH58" s="16" t="e">
        <f>G58*AO58</f>
        <v>#REF!</v>
      </c>
      <c r="BI58" s="16" t="e">
        <f>G58*AP58</f>
        <v>#REF!</v>
      </c>
      <c r="BJ58" s="16" t="e">
        <f>G58*H58</f>
        <v>#REF!</v>
      </c>
      <c r="BK58" s="16"/>
      <c r="BL58" s="16">
        <v>722</v>
      </c>
      <c r="BW58" s="16" t="str">
        <f>I58</f>
        <v>12</v>
      </c>
      <c r="BX58" s="3" t="s">
        <v>106</v>
      </c>
    </row>
    <row r="59" spans="1:76" x14ac:dyDescent="0.25">
      <c r="A59" s="58"/>
      <c r="C59" s="59" t="s">
        <v>475</v>
      </c>
      <c r="D59" s="122" t="s">
        <v>504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4"/>
      <c r="BX59" s="60" t="s">
        <v>504</v>
      </c>
    </row>
    <row r="60" spans="1:76" x14ac:dyDescent="0.25">
      <c r="A60" s="1" t="s">
        <v>279</v>
      </c>
      <c r="B60" s="2" t="s">
        <v>77</v>
      </c>
      <c r="C60" s="2" t="s">
        <v>107</v>
      </c>
      <c r="D60" s="77" t="s">
        <v>108</v>
      </c>
      <c r="E60" s="71"/>
      <c r="F60" s="2" t="s">
        <v>31</v>
      </c>
      <c r="G60" s="16" t="e">
        <f>'Rozpočet - vybrané sloupce'!#REF!</f>
        <v>#REF!</v>
      </c>
      <c r="H60" s="16" t="e">
        <f>'Rozpočet - vybrané sloupce'!#REF!</f>
        <v>#REF!</v>
      </c>
      <c r="I60" s="56" t="s">
        <v>460</v>
      </c>
      <c r="J60" s="16" t="e">
        <f>G60*AO60</f>
        <v>#REF!</v>
      </c>
      <c r="K60" s="16" t="e">
        <f>G60*AP60</f>
        <v>#REF!</v>
      </c>
      <c r="L60" s="16" t="e">
        <f>G60*H60</f>
        <v>#REF!</v>
      </c>
      <c r="M60" s="16" t="e">
        <f>L60*(1+BW60/100)</f>
        <v>#REF!</v>
      </c>
      <c r="N60" s="16">
        <v>1.9000000000000001E-4</v>
      </c>
      <c r="O60" s="16" t="e">
        <f>G60*N60</f>
        <v>#REF!</v>
      </c>
      <c r="P60" s="57" t="s">
        <v>461</v>
      </c>
      <c r="Z60" s="16">
        <f>IF(AQ60="5",BJ60,0)</f>
        <v>0</v>
      </c>
      <c r="AB60" s="16">
        <f>IF(AQ60="1",BH60,0)</f>
        <v>0</v>
      </c>
      <c r="AC60" s="16">
        <f>IF(AQ60="1",BI60,0)</f>
        <v>0</v>
      </c>
      <c r="AD60" s="16" t="e">
        <f>IF(AQ60="7",BH60,0)</f>
        <v>#REF!</v>
      </c>
      <c r="AE60" s="16" t="e">
        <f>IF(AQ60="7",BI60,0)</f>
        <v>#REF!</v>
      </c>
      <c r="AF60" s="16">
        <f>IF(AQ60="2",BH60,0)</f>
        <v>0</v>
      </c>
      <c r="AG60" s="16">
        <f>IF(AQ60="2",BI60,0)</f>
        <v>0</v>
      </c>
      <c r="AH60" s="16">
        <f>IF(AQ60="0",BJ60,0)</f>
        <v>0</v>
      </c>
      <c r="AI60" s="13" t="s">
        <v>77</v>
      </c>
      <c r="AJ60" s="16">
        <f>IF(AN60=0,L60,0)</f>
        <v>0</v>
      </c>
      <c r="AK60" s="16" t="e">
        <f>IF(AN60=12,L60,0)</f>
        <v>#REF!</v>
      </c>
      <c r="AL60" s="16">
        <f>IF(AN60=21,L60,0)</f>
        <v>0</v>
      </c>
      <c r="AN60" s="16">
        <v>12</v>
      </c>
      <c r="AO60" s="16" t="e">
        <f>H60*0.562201987</f>
        <v>#REF!</v>
      </c>
      <c r="AP60" s="16" t="e">
        <f>H60*(1-0.562201987)</f>
        <v>#REF!</v>
      </c>
      <c r="AQ60" s="56" t="s">
        <v>462</v>
      </c>
      <c r="AV60" s="16" t="e">
        <f>AW60+AX60</f>
        <v>#REF!</v>
      </c>
      <c r="AW60" s="16" t="e">
        <f>G60*AO60</f>
        <v>#REF!</v>
      </c>
      <c r="AX60" s="16" t="e">
        <f>G60*AP60</f>
        <v>#REF!</v>
      </c>
      <c r="AY60" s="56" t="s">
        <v>493</v>
      </c>
      <c r="AZ60" s="56" t="s">
        <v>494</v>
      </c>
      <c r="BA60" s="13" t="s">
        <v>495</v>
      </c>
      <c r="BC60" s="16" t="e">
        <f>AW60+AX60</f>
        <v>#REF!</v>
      </c>
      <c r="BD60" s="16" t="e">
        <f>H60/(100-BE60)*100</f>
        <v>#REF!</v>
      </c>
      <c r="BE60" s="16">
        <v>0</v>
      </c>
      <c r="BF60" s="16" t="e">
        <f>O60</f>
        <v>#REF!</v>
      </c>
      <c r="BH60" s="16" t="e">
        <f>G60*AO60</f>
        <v>#REF!</v>
      </c>
      <c r="BI60" s="16" t="e">
        <f>G60*AP60</f>
        <v>#REF!</v>
      </c>
      <c r="BJ60" s="16" t="e">
        <f>G60*H60</f>
        <v>#REF!</v>
      </c>
      <c r="BK60" s="16"/>
      <c r="BL60" s="16">
        <v>722</v>
      </c>
      <c r="BW60" s="16" t="str">
        <f>I60</f>
        <v>12</v>
      </c>
      <c r="BX60" s="3" t="s">
        <v>108</v>
      </c>
    </row>
    <row r="61" spans="1:76" x14ac:dyDescent="0.25">
      <c r="A61" s="58"/>
      <c r="C61" s="59" t="s">
        <v>475</v>
      </c>
      <c r="D61" s="122" t="s">
        <v>504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4"/>
      <c r="BX61" s="60" t="s">
        <v>504</v>
      </c>
    </row>
    <row r="62" spans="1:76" x14ac:dyDescent="0.25">
      <c r="A62" s="1" t="s">
        <v>509</v>
      </c>
      <c r="B62" s="2" t="s">
        <v>77</v>
      </c>
      <c r="C62" s="2" t="s">
        <v>109</v>
      </c>
      <c r="D62" s="77" t="s">
        <v>110</v>
      </c>
      <c r="E62" s="71"/>
      <c r="F62" s="2" t="s">
        <v>31</v>
      </c>
      <c r="G62" s="16" t="e">
        <f>'Rozpočet - vybrané sloupce'!#REF!</f>
        <v>#REF!</v>
      </c>
      <c r="H62" s="16" t="e">
        <f>'Rozpočet - vybrané sloupce'!#REF!</f>
        <v>#REF!</v>
      </c>
      <c r="I62" s="56" t="s">
        <v>460</v>
      </c>
      <c r="J62" s="16" t="e">
        <f t="shared" ref="J62:J83" si="52">G62*AO62</f>
        <v>#REF!</v>
      </c>
      <c r="K62" s="16" t="e">
        <f t="shared" ref="K62:K83" si="53">G62*AP62</f>
        <v>#REF!</v>
      </c>
      <c r="L62" s="16" t="e">
        <f t="shared" ref="L62:L83" si="54">G62*H62</f>
        <v>#REF!</v>
      </c>
      <c r="M62" s="16" t="e">
        <f t="shared" ref="M62:M83" si="55">L62*(1+BW62/100)</f>
        <v>#REF!</v>
      </c>
      <c r="N62" s="16">
        <v>0</v>
      </c>
      <c r="O62" s="16" t="e">
        <f t="shared" ref="O62:O83" si="56">G62*N62</f>
        <v>#REF!</v>
      </c>
      <c r="P62" s="57" t="s">
        <v>461</v>
      </c>
      <c r="Z62" s="16">
        <f t="shared" ref="Z62:Z83" si="57">IF(AQ62="5",BJ62,0)</f>
        <v>0</v>
      </c>
      <c r="AB62" s="16">
        <f t="shared" ref="AB62:AB83" si="58">IF(AQ62="1",BH62,0)</f>
        <v>0</v>
      </c>
      <c r="AC62" s="16">
        <f t="shared" ref="AC62:AC83" si="59">IF(AQ62="1",BI62,0)</f>
        <v>0</v>
      </c>
      <c r="AD62" s="16" t="e">
        <f t="shared" ref="AD62:AD83" si="60">IF(AQ62="7",BH62,0)</f>
        <v>#REF!</v>
      </c>
      <c r="AE62" s="16" t="e">
        <f t="shared" ref="AE62:AE83" si="61">IF(AQ62="7",BI62,0)</f>
        <v>#REF!</v>
      </c>
      <c r="AF62" s="16">
        <f t="shared" ref="AF62:AF83" si="62">IF(AQ62="2",BH62,0)</f>
        <v>0</v>
      </c>
      <c r="AG62" s="16">
        <f t="shared" ref="AG62:AG83" si="63">IF(AQ62="2",BI62,0)</f>
        <v>0</v>
      </c>
      <c r="AH62" s="16">
        <f t="shared" ref="AH62:AH83" si="64">IF(AQ62="0",BJ62,0)</f>
        <v>0</v>
      </c>
      <c r="AI62" s="13" t="s">
        <v>77</v>
      </c>
      <c r="AJ62" s="16">
        <f t="shared" ref="AJ62:AJ83" si="65">IF(AN62=0,L62,0)</f>
        <v>0</v>
      </c>
      <c r="AK62" s="16" t="e">
        <f t="shared" ref="AK62:AK83" si="66">IF(AN62=12,L62,0)</f>
        <v>#REF!</v>
      </c>
      <c r="AL62" s="16">
        <f t="shared" ref="AL62:AL83" si="67">IF(AN62=21,L62,0)</f>
        <v>0</v>
      </c>
      <c r="AN62" s="16">
        <v>12</v>
      </c>
      <c r="AO62" s="16" t="e">
        <f>H62*1</f>
        <v>#REF!</v>
      </c>
      <c r="AP62" s="16" t="e">
        <f>H62*(1-1)</f>
        <v>#REF!</v>
      </c>
      <c r="AQ62" s="56" t="s">
        <v>462</v>
      </c>
      <c r="AV62" s="16" t="e">
        <f t="shared" ref="AV62:AV83" si="68">AW62+AX62</f>
        <v>#REF!</v>
      </c>
      <c r="AW62" s="16" t="e">
        <f t="shared" ref="AW62:AW83" si="69">G62*AO62</f>
        <v>#REF!</v>
      </c>
      <c r="AX62" s="16" t="e">
        <f t="shared" ref="AX62:AX83" si="70">G62*AP62</f>
        <v>#REF!</v>
      </c>
      <c r="AY62" s="56" t="s">
        <v>493</v>
      </c>
      <c r="AZ62" s="56" t="s">
        <v>494</v>
      </c>
      <c r="BA62" s="13" t="s">
        <v>495</v>
      </c>
      <c r="BC62" s="16" t="e">
        <f t="shared" ref="BC62:BC83" si="71">AW62+AX62</f>
        <v>#REF!</v>
      </c>
      <c r="BD62" s="16" t="e">
        <f t="shared" ref="BD62:BD83" si="72">H62/(100-BE62)*100</f>
        <v>#REF!</v>
      </c>
      <c r="BE62" s="16">
        <v>0</v>
      </c>
      <c r="BF62" s="16" t="e">
        <f t="shared" ref="BF62:BF83" si="73">O62</f>
        <v>#REF!</v>
      </c>
      <c r="BH62" s="16" t="e">
        <f t="shared" ref="BH62:BH83" si="74">G62*AO62</f>
        <v>#REF!</v>
      </c>
      <c r="BI62" s="16" t="e">
        <f t="shared" ref="BI62:BI83" si="75">G62*AP62</f>
        <v>#REF!</v>
      </c>
      <c r="BJ62" s="16" t="e">
        <f t="shared" ref="BJ62:BJ83" si="76">G62*H62</f>
        <v>#REF!</v>
      </c>
      <c r="BK62" s="16"/>
      <c r="BL62" s="16">
        <v>722</v>
      </c>
      <c r="BW62" s="16" t="str">
        <f t="shared" ref="BW62:BW83" si="77">I62</f>
        <v>12</v>
      </c>
      <c r="BX62" s="3" t="s">
        <v>110</v>
      </c>
    </row>
    <row r="63" spans="1:76" x14ac:dyDescent="0.25">
      <c r="A63" s="1" t="s">
        <v>510</v>
      </c>
      <c r="B63" s="2" t="s">
        <v>77</v>
      </c>
      <c r="C63" s="2" t="s">
        <v>111</v>
      </c>
      <c r="D63" s="77" t="s">
        <v>112</v>
      </c>
      <c r="E63" s="71"/>
      <c r="F63" s="2" t="s">
        <v>31</v>
      </c>
      <c r="G63" s="16" t="e">
        <f>'Rozpočet - vybrané sloupce'!#REF!</f>
        <v>#REF!</v>
      </c>
      <c r="H63" s="16" t="e">
        <f>'Rozpočet - vybrané sloupce'!#REF!</f>
        <v>#REF!</v>
      </c>
      <c r="I63" s="56" t="s">
        <v>460</v>
      </c>
      <c r="J63" s="16" t="e">
        <f t="shared" si="52"/>
        <v>#REF!</v>
      </c>
      <c r="K63" s="16" t="e">
        <f t="shared" si="53"/>
        <v>#REF!</v>
      </c>
      <c r="L63" s="16" t="e">
        <f t="shared" si="54"/>
        <v>#REF!</v>
      </c>
      <c r="M63" s="16" t="e">
        <f t="shared" si="55"/>
        <v>#REF!</v>
      </c>
      <c r="N63" s="16">
        <v>0</v>
      </c>
      <c r="O63" s="16" t="e">
        <f t="shared" si="56"/>
        <v>#REF!</v>
      </c>
      <c r="P63" s="57" t="s">
        <v>461</v>
      </c>
      <c r="Z63" s="16">
        <f t="shared" si="57"/>
        <v>0</v>
      </c>
      <c r="AB63" s="16">
        <f t="shared" si="58"/>
        <v>0</v>
      </c>
      <c r="AC63" s="16">
        <f t="shared" si="59"/>
        <v>0</v>
      </c>
      <c r="AD63" s="16" t="e">
        <f t="shared" si="60"/>
        <v>#REF!</v>
      </c>
      <c r="AE63" s="16" t="e">
        <f t="shared" si="61"/>
        <v>#REF!</v>
      </c>
      <c r="AF63" s="16">
        <f t="shared" si="62"/>
        <v>0</v>
      </c>
      <c r="AG63" s="16">
        <f t="shared" si="63"/>
        <v>0</v>
      </c>
      <c r="AH63" s="16">
        <f t="shared" si="64"/>
        <v>0</v>
      </c>
      <c r="AI63" s="13" t="s">
        <v>77</v>
      </c>
      <c r="AJ63" s="16">
        <f t="shared" si="65"/>
        <v>0</v>
      </c>
      <c r="AK63" s="16" t="e">
        <f t="shared" si="66"/>
        <v>#REF!</v>
      </c>
      <c r="AL63" s="16">
        <f t="shared" si="67"/>
        <v>0</v>
      </c>
      <c r="AN63" s="16">
        <v>12</v>
      </c>
      <c r="AO63" s="16" t="e">
        <f>H63*1</f>
        <v>#REF!</v>
      </c>
      <c r="AP63" s="16" t="e">
        <f>H63*(1-1)</f>
        <v>#REF!</v>
      </c>
      <c r="AQ63" s="56" t="s">
        <v>462</v>
      </c>
      <c r="AV63" s="16" t="e">
        <f t="shared" si="68"/>
        <v>#REF!</v>
      </c>
      <c r="AW63" s="16" t="e">
        <f t="shared" si="69"/>
        <v>#REF!</v>
      </c>
      <c r="AX63" s="16" t="e">
        <f t="shared" si="70"/>
        <v>#REF!</v>
      </c>
      <c r="AY63" s="56" t="s">
        <v>493</v>
      </c>
      <c r="AZ63" s="56" t="s">
        <v>494</v>
      </c>
      <c r="BA63" s="13" t="s">
        <v>495</v>
      </c>
      <c r="BC63" s="16" t="e">
        <f t="shared" si="71"/>
        <v>#REF!</v>
      </c>
      <c r="BD63" s="16" t="e">
        <f t="shared" si="72"/>
        <v>#REF!</v>
      </c>
      <c r="BE63" s="16">
        <v>0</v>
      </c>
      <c r="BF63" s="16" t="e">
        <f t="shared" si="73"/>
        <v>#REF!</v>
      </c>
      <c r="BH63" s="16" t="e">
        <f t="shared" si="74"/>
        <v>#REF!</v>
      </c>
      <c r="BI63" s="16" t="e">
        <f t="shared" si="75"/>
        <v>#REF!</v>
      </c>
      <c r="BJ63" s="16" t="e">
        <f t="shared" si="76"/>
        <v>#REF!</v>
      </c>
      <c r="BK63" s="16"/>
      <c r="BL63" s="16">
        <v>722</v>
      </c>
      <c r="BW63" s="16" t="str">
        <f t="shared" si="77"/>
        <v>12</v>
      </c>
      <c r="BX63" s="3" t="s">
        <v>112</v>
      </c>
    </row>
    <row r="64" spans="1:76" x14ac:dyDescent="0.25">
      <c r="A64" s="1" t="s">
        <v>511</v>
      </c>
      <c r="B64" s="2" t="s">
        <v>77</v>
      </c>
      <c r="C64" s="2" t="s">
        <v>113</v>
      </c>
      <c r="D64" s="77" t="s">
        <v>114</v>
      </c>
      <c r="E64" s="71"/>
      <c r="F64" s="2" t="s">
        <v>35</v>
      </c>
      <c r="G64" s="16" t="e">
        <f>'Rozpočet - vybrané sloupce'!#REF!</f>
        <v>#REF!</v>
      </c>
      <c r="H64" s="16" t="e">
        <f>'Rozpočet - vybrané sloupce'!#REF!</f>
        <v>#REF!</v>
      </c>
      <c r="I64" s="56" t="s">
        <v>460</v>
      </c>
      <c r="J64" s="16" t="e">
        <f t="shared" si="52"/>
        <v>#REF!</v>
      </c>
      <c r="K64" s="16" t="e">
        <f t="shared" si="53"/>
        <v>#REF!</v>
      </c>
      <c r="L64" s="16" t="e">
        <f t="shared" si="54"/>
        <v>#REF!</v>
      </c>
      <c r="M64" s="16" t="e">
        <f t="shared" si="55"/>
        <v>#REF!</v>
      </c>
      <c r="N64" s="16">
        <v>0</v>
      </c>
      <c r="O64" s="16" t="e">
        <f t="shared" si="56"/>
        <v>#REF!</v>
      </c>
      <c r="P64" s="57" t="s">
        <v>461</v>
      </c>
      <c r="Z64" s="16">
        <f t="shared" si="57"/>
        <v>0</v>
      </c>
      <c r="AB64" s="16">
        <f t="shared" si="58"/>
        <v>0</v>
      </c>
      <c r="AC64" s="16">
        <f t="shared" si="59"/>
        <v>0</v>
      </c>
      <c r="AD64" s="16" t="e">
        <f t="shared" si="60"/>
        <v>#REF!</v>
      </c>
      <c r="AE64" s="16" t="e">
        <f t="shared" si="61"/>
        <v>#REF!</v>
      </c>
      <c r="AF64" s="16">
        <f t="shared" si="62"/>
        <v>0</v>
      </c>
      <c r="AG64" s="16">
        <f t="shared" si="63"/>
        <v>0</v>
      </c>
      <c r="AH64" s="16">
        <f t="shared" si="64"/>
        <v>0</v>
      </c>
      <c r="AI64" s="13" t="s">
        <v>77</v>
      </c>
      <c r="AJ64" s="16">
        <f t="shared" si="65"/>
        <v>0</v>
      </c>
      <c r="AK64" s="16" t="e">
        <f t="shared" si="66"/>
        <v>#REF!</v>
      </c>
      <c r="AL64" s="16">
        <f t="shared" si="67"/>
        <v>0</v>
      </c>
      <c r="AN64" s="16">
        <v>12</v>
      </c>
      <c r="AO64" s="16" t="e">
        <f>H64*1</f>
        <v>#REF!</v>
      </c>
      <c r="AP64" s="16" t="e">
        <f>H64*(1-1)</f>
        <v>#REF!</v>
      </c>
      <c r="AQ64" s="56" t="s">
        <v>462</v>
      </c>
      <c r="AV64" s="16" t="e">
        <f t="shared" si="68"/>
        <v>#REF!</v>
      </c>
      <c r="AW64" s="16" t="e">
        <f t="shared" si="69"/>
        <v>#REF!</v>
      </c>
      <c r="AX64" s="16" t="e">
        <f t="shared" si="70"/>
        <v>#REF!</v>
      </c>
      <c r="AY64" s="56" t="s">
        <v>493</v>
      </c>
      <c r="AZ64" s="56" t="s">
        <v>494</v>
      </c>
      <c r="BA64" s="13" t="s">
        <v>495</v>
      </c>
      <c r="BC64" s="16" t="e">
        <f t="shared" si="71"/>
        <v>#REF!</v>
      </c>
      <c r="BD64" s="16" t="e">
        <f t="shared" si="72"/>
        <v>#REF!</v>
      </c>
      <c r="BE64" s="16">
        <v>0</v>
      </c>
      <c r="BF64" s="16" t="e">
        <f t="shared" si="73"/>
        <v>#REF!</v>
      </c>
      <c r="BH64" s="16" t="e">
        <f t="shared" si="74"/>
        <v>#REF!</v>
      </c>
      <c r="BI64" s="16" t="e">
        <f t="shared" si="75"/>
        <v>#REF!</v>
      </c>
      <c r="BJ64" s="16" t="e">
        <f t="shared" si="76"/>
        <v>#REF!</v>
      </c>
      <c r="BK64" s="16"/>
      <c r="BL64" s="16">
        <v>722</v>
      </c>
      <c r="BW64" s="16" t="str">
        <f t="shared" si="77"/>
        <v>12</v>
      </c>
      <c r="BX64" s="3" t="s">
        <v>114</v>
      </c>
    </row>
    <row r="65" spans="1:76" x14ac:dyDescent="0.25">
      <c r="A65" s="1" t="s">
        <v>512</v>
      </c>
      <c r="B65" s="2" t="s">
        <v>77</v>
      </c>
      <c r="C65" s="2" t="s">
        <v>115</v>
      </c>
      <c r="D65" s="77" t="s">
        <v>116</v>
      </c>
      <c r="E65" s="71"/>
      <c r="F65" s="2" t="s">
        <v>35</v>
      </c>
      <c r="G65" s="16" t="e">
        <f>'Rozpočet - vybrané sloupce'!#REF!</f>
        <v>#REF!</v>
      </c>
      <c r="H65" s="16" t="e">
        <f>'Rozpočet - vybrané sloupce'!#REF!</f>
        <v>#REF!</v>
      </c>
      <c r="I65" s="56" t="s">
        <v>460</v>
      </c>
      <c r="J65" s="16" t="e">
        <f t="shared" si="52"/>
        <v>#REF!</v>
      </c>
      <c r="K65" s="16" t="e">
        <f t="shared" si="53"/>
        <v>#REF!</v>
      </c>
      <c r="L65" s="16" t="e">
        <f t="shared" si="54"/>
        <v>#REF!</v>
      </c>
      <c r="M65" s="16" t="e">
        <f t="shared" si="55"/>
        <v>#REF!</v>
      </c>
      <c r="N65" s="16">
        <v>0</v>
      </c>
      <c r="O65" s="16" t="e">
        <f t="shared" si="56"/>
        <v>#REF!</v>
      </c>
      <c r="P65" s="57" t="s">
        <v>461</v>
      </c>
      <c r="Z65" s="16">
        <f t="shared" si="57"/>
        <v>0</v>
      </c>
      <c r="AB65" s="16">
        <f t="shared" si="58"/>
        <v>0</v>
      </c>
      <c r="AC65" s="16">
        <f t="shared" si="59"/>
        <v>0</v>
      </c>
      <c r="AD65" s="16" t="e">
        <f t="shared" si="60"/>
        <v>#REF!</v>
      </c>
      <c r="AE65" s="16" t="e">
        <f t="shared" si="61"/>
        <v>#REF!</v>
      </c>
      <c r="AF65" s="16">
        <f t="shared" si="62"/>
        <v>0</v>
      </c>
      <c r="AG65" s="16">
        <f t="shared" si="63"/>
        <v>0</v>
      </c>
      <c r="AH65" s="16">
        <f t="shared" si="64"/>
        <v>0</v>
      </c>
      <c r="AI65" s="13" t="s">
        <v>77</v>
      </c>
      <c r="AJ65" s="16">
        <f t="shared" si="65"/>
        <v>0</v>
      </c>
      <c r="AK65" s="16" t="e">
        <f t="shared" si="66"/>
        <v>#REF!</v>
      </c>
      <c r="AL65" s="16">
        <f t="shared" si="67"/>
        <v>0</v>
      </c>
      <c r="AN65" s="16">
        <v>12</v>
      </c>
      <c r="AO65" s="16" t="e">
        <f>H65*1.000337838</f>
        <v>#REF!</v>
      </c>
      <c r="AP65" s="16" t="e">
        <f>H65*(1-1.000337838)</f>
        <v>#REF!</v>
      </c>
      <c r="AQ65" s="56" t="s">
        <v>462</v>
      </c>
      <c r="AV65" s="16" t="e">
        <f t="shared" si="68"/>
        <v>#REF!</v>
      </c>
      <c r="AW65" s="16" t="e">
        <f t="shared" si="69"/>
        <v>#REF!</v>
      </c>
      <c r="AX65" s="16" t="e">
        <f t="shared" si="70"/>
        <v>#REF!</v>
      </c>
      <c r="AY65" s="56" t="s">
        <v>493</v>
      </c>
      <c r="AZ65" s="56" t="s">
        <v>494</v>
      </c>
      <c r="BA65" s="13" t="s">
        <v>495</v>
      </c>
      <c r="BC65" s="16" t="e">
        <f t="shared" si="71"/>
        <v>#REF!</v>
      </c>
      <c r="BD65" s="16" t="e">
        <f t="shared" si="72"/>
        <v>#REF!</v>
      </c>
      <c r="BE65" s="16">
        <v>0</v>
      </c>
      <c r="BF65" s="16" t="e">
        <f t="shared" si="73"/>
        <v>#REF!</v>
      </c>
      <c r="BH65" s="16" t="e">
        <f t="shared" si="74"/>
        <v>#REF!</v>
      </c>
      <c r="BI65" s="16" t="e">
        <f t="shared" si="75"/>
        <v>#REF!</v>
      </c>
      <c r="BJ65" s="16" t="e">
        <f t="shared" si="76"/>
        <v>#REF!</v>
      </c>
      <c r="BK65" s="16"/>
      <c r="BL65" s="16">
        <v>722</v>
      </c>
      <c r="BW65" s="16" t="str">
        <f t="shared" si="77"/>
        <v>12</v>
      </c>
      <c r="BX65" s="3" t="s">
        <v>116</v>
      </c>
    </row>
    <row r="66" spans="1:76" x14ac:dyDescent="0.25">
      <c r="A66" s="1" t="s">
        <v>513</v>
      </c>
      <c r="B66" s="2" t="s">
        <v>77</v>
      </c>
      <c r="C66" s="2" t="s">
        <v>117</v>
      </c>
      <c r="D66" s="77" t="s">
        <v>118</v>
      </c>
      <c r="E66" s="71"/>
      <c r="F66" s="2" t="s">
        <v>35</v>
      </c>
      <c r="G66" s="16" t="e">
        <f>'Rozpočet - vybrané sloupce'!#REF!</f>
        <v>#REF!</v>
      </c>
      <c r="H66" s="16" t="e">
        <f>'Rozpočet - vybrané sloupce'!#REF!</f>
        <v>#REF!</v>
      </c>
      <c r="I66" s="56" t="s">
        <v>460</v>
      </c>
      <c r="J66" s="16" t="e">
        <f t="shared" si="52"/>
        <v>#REF!</v>
      </c>
      <c r="K66" s="16" t="e">
        <f t="shared" si="53"/>
        <v>#REF!</v>
      </c>
      <c r="L66" s="16" t="e">
        <f t="shared" si="54"/>
        <v>#REF!</v>
      </c>
      <c r="M66" s="16" t="e">
        <f t="shared" si="55"/>
        <v>#REF!</v>
      </c>
      <c r="N66" s="16">
        <v>0</v>
      </c>
      <c r="O66" s="16" t="e">
        <f t="shared" si="56"/>
        <v>#REF!</v>
      </c>
      <c r="P66" s="57" t="s">
        <v>461</v>
      </c>
      <c r="Z66" s="16">
        <f t="shared" si="57"/>
        <v>0</v>
      </c>
      <c r="AB66" s="16">
        <f t="shared" si="58"/>
        <v>0</v>
      </c>
      <c r="AC66" s="16">
        <f t="shared" si="59"/>
        <v>0</v>
      </c>
      <c r="AD66" s="16" t="e">
        <f t="shared" si="60"/>
        <v>#REF!</v>
      </c>
      <c r="AE66" s="16" t="e">
        <f t="shared" si="61"/>
        <v>#REF!</v>
      </c>
      <c r="AF66" s="16">
        <f t="shared" si="62"/>
        <v>0</v>
      </c>
      <c r="AG66" s="16">
        <f t="shared" si="63"/>
        <v>0</v>
      </c>
      <c r="AH66" s="16">
        <f t="shared" si="64"/>
        <v>0</v>
      </c>
      <c r="AI66" s="13" t="s">
        <v>77</v>
      </c>
      <c r="AJ66" s="16">
        <f t="shared" si="65"/>
        <v>0</v>
      </c>
      <c r="AK66" s="16" t="e">
        <f t="shared" si="66"/>
        <v>#REF!</v>
      </c>
      <c r="AL66" s="16">
        <f t="shared" si="67"/>
        <v>0</v>
      </c>
      <c r="AN66" s="16">
        <v>12</v>
      </c>
      <c r="AO66" s="16" t="e">
        <f>H66*0.999967913</f>
        <v>#REF!</v>
      </c>
      <c r="AP66" s="16" t="e">
        <f>H66*(1-0.999967913)</f>
        <v>#REF!</v>
      </c>
      <c r="AQ66" s="56" t="s">
        <v>462</v>
      </c>
      <c r="AV66" s="16" t="e">
        <f t="shared" si="68"/>
        <v>#REF!</v>
      </c>
      <c r="AW66" s="16" t="e">
        <f t="shared" si="69"/>
        <v>#REF!</v>
      </c>
      <c r="AX66" s="16" t="e">
        <f t="shared" si="70"/>
        <v>#REF!</v>
      </c>
      <c r="AY66" s="56" t="s">
        <v>493</v>
      </c>
      <c r="AZ66" s="56" t="s">
        <v>494</v>
      </c>
      <c r="BA66" s="13" t="s">
        <v>495</v>
      </c>
      <c r="BC66" s="16" t="e">
        <f t="shared" si="71"/>
        <v>#REF!</v>
      </c>
      <c r="BD66" s="16" t="e">
        <f t="shared" si="72"/>
        <v>#REF!</v>
      </c>
      <c r="BE66" s="16">
        <v>0</v>
      </c>
      <c r="BF66" s="16" t="e">
        <f t="shared" si="73"/>
        <v>#REF!</v>
      </c>
      <c r="BH66" s="16" t="e">
        <f t="shared" si="74"/>
        <v>#REF!</v>
      </c>
      <c r="BI66" s="16" t="e">
        <f t="shared" si="75"/>
        <v>#REF!</v>
      </c>
      <c r="BJ66" s="16" t="e">
        <f t="shared" si="76"/>
        <v>#REF!</v>
      </c>
      <c r="BK66" s="16"/>
      <c r="BL66" s="16">
        <v>722</v>
      </c>
      <c r="BW66" s="16" t="str">
        <f t="shared" si="77"/>
        <v>12</v>
      </c>
      <c r="BX66" s="3" t="s">
        <v>118</v>
      </c>
    </row>
    <row r="67" spans="1:76" x14ac:dyDescent="0.25">
      <c r="A67" s="1" t="s">
        <v>514</v>
      </c>
      <c r="B67" s="2" t="s">
        <v>77</v>
      </c>
      <c r="C67" s="2" t="s">
        <v>119</v>
      </c>
      <c r="D67" s="77" t="s">
        <v>120</v>
      </c>
      <c r="E67" s="71"/>
      <c r="F67" s="2" t="s">
        <v>35</v>
      </c>
      <c r="G67" s="16" t="e">
        <f>'Rozpočet - vybrané sloupce'!#REF!</f>
        <v>#REF!</v>
      </c>
      <c r="H67" s="16" t="e">
        <f>'Rozpočet - vybrané sloupce'!#REF!</f>
        <v>#REF!</v>
      </c>
      <c r="I67" s="56" t="s">
        <v>460</v>
      </c>
      <c r="J67" s="16" t="e">
        <f t="shared" si="52"/>
        <v>#REF!</v>
      </c>
      <c r="K67" s="16" t="e">
        <f t="shared" si="53"/>
        <v>#REF!</v>
      </c>
      <c r="L67" s="16" t="e">
        <f t="shared" si="54"/>
        <v>#REF!</v>
      </c>
      <c r="M67" s="16" t="e">
        <f t="shared" si="55"/>
        <v>#REF!</v>
      </c>
      <c r="N67" s="16">
        <v>0</v>
      </c>
      <c r="O67" s="16" t="e">
        <f t="shared" si="56"/>
        <v>#REF!</v>
      </c>
      <c r="P67" s="57" t="s">
        <v>461</v>
      </c>
      <c r="Z67" s="16">
        <f t="shared" si="57"/>
        <v>0</v>
      </c>
      <c r="AB67" s="16">
        <f t="shared" si="58"/>
        <v>0</v>
      </c>
      <c r="AC67" s="16">
        <f t="shared" si="59"/>
        <v>0</v>
      </c>
      <c r="AD67" s="16" t="e">
        <f t="shared" si="60"/>
        <v>#REF!</v>
      </c>
      <c r="AE67" s="16" t="e">
        <f t="shared" si="61"/>
        <v>#REF!</v>
      </c>
      <c r="AF67" s="16">
        <f t="shared" si="62"/>
        <v>0</v>
      </c>
      <c r="AG67" s="16">
        <f t="shared" si="63"/>
        <v>0</v>
      </c>
      <c r="AH67" s="16">
        <f t="shared" si="64"/>
        <v>0</v>
      </c>
      <c r="AI67" s="13" t="s">
        <v>77</v>
      </c>
      <c r="AJ67" s="16">
        <f t="shared" si="65"/>
        <v>0</v>
      </c>
      <c r="AK67" s="16" t="e">
        <f t="shared" si="66"/>
        <v>#REF!</v>
      </c>
      <c r="AL67" s="16">
        <f t="shared" si="67"/>
        <v>0</v>
      </c>
      <c r="AN67" s="16">
        <v>12</v>
      </c>
      <c r="AO67" s="16" t="e">
        <f>H67*1</f>
        <v>#REF!</v>
      </c>
      <c r="AP67" s="16" t="e">
        <f>H67*(1-1)</f>
        <v>#REF!</v>
      </c>
      <c r="AQ67" s="56" t="s">
        <v>462</v>
      </c>
      <c r="AV67" s="16" t="e">
        <f t="shared" si="68"/>
        <v>#REF!</v>
      </c>
      <c r="AW67" s="16" t="e">
        <f t="shared" si="69"/>
        <v>#REF!</v>
      </c>
      <c r="AX67" s="16" t="e">
        <f t="shared" si="70"/>
        <v>#REF!</v>
      </c>
      <c r="AY67" s="56" t="s">
        <v>493</v>
      </c>
      <c r="AZ67" s="56" t="s">
        <v>494</v>
      </c>
      <c r="BA67" s="13" t="s">
        <v>495</v>
      </c>
      <c r="BC67" s="16" t="e">
        <f t="shared" si="71"/>
        <v>#REF!</v>
      </c>
      <c r="BD67" s="16" t="e">
        <f t="shared" si="72"/>
        <v>#REF!</v>
      </c>
      <c r="BE67" s="16">
        <v>0</v>
      </c>
      <c r="BF67" s="16" t="e">
        <f t="shared" si="73"/>
        <v>#REF!</v>
      </c>
      <c r="BH67" s="16" t="e">
        <f t="shared" si="74"/>
        <v>#REF!</v>
      </c>
      <c r="BI67" s="16" t="e">
        <f t="shared" si="75"/>
        <v>#REF!</v>
      </c>
      <c r="BJ67" s="16" t="e">
        <f t="shared" si="76"/>
        <v>#REF!</v>
      </c>
      <c r="BK67" s="16"/>
      <c r="BL67" s="16">
        <v>722</v>
      </c>
      <c r="BW67" s="16" t="str">
        <f t="shared" si="77"/>
        <v>12</v>
      </c>
      <c r="BX67" s="3" t="s">
        <v>120</v>
      </c>
    </row>
    <row r="68" spans="1:76" x14ac:dyDescent="0.25">
      <c r="A68" s="1" t="s">
        <v>515</v>
      </c>
      <c r="B68" s="2" t="s">
        <v>77</v>
      </c>
      <c r="C68" s="2" t="s">
        <v>121</v>
      </c>
      <c r="D68" s="77" t="s">
        <v>122</v>
      </c>
      <c r="E68" s="71"/>
      <c r="F68" s="2" t="s">
        <v>35</v>
      </c>
      <c r="G68" s="16" t="e">
        <f>'Rozpočet - vybrané sloupce'!#REF!</f>
        <v>#REF!</v>
      </c>
      <c r="H68" s="16" t="e">
        <f>'Rozpočet - vybrané sloupce'!#REF!</f>
        <v>#REF!</v>
      </c>
      <c r="I68" s="56" t="s">
        <v>460</v>
      </c>
      <c r="J68" s="16" t="e">
        <f t="shared" si="52"/>
        <v>#REF!</v>
      </c>
      <c r="K68" s="16" t="e">
        <f t="shared" si="53"/>
        <v>#REF!</v>
      </c>
      <c r="L68" s="16" t="e">
        <f t="shared" si="54"/>
        <v>#REF!</v>
      </c>
      <c r="M68" s="16" t="e">
        <f t="shared" si="55"/>
        <v>#REF!</v>
      </c>
      <c r="N68" s="16">
        <v>2.4000000000000001E-4</v>
      </c>
      <c r="O68" s="16" t="e">
        <f t="shared" si="56"/>
        <v>#REF!</v>
      </c>
      <c r="P68" s="57" t="s">
        <v>461</v>
      </c>
      <c r="Z68" s="16">
        <f t="shared" si="57"/>
        <v>0</v>
      </c>
      <c r="AB68" s="16">
        <f t="shared" si="58"/>
        <v>0</v>
      </c>
      <c r="AC68" s="16">
        <f t="shared" si="59"/>
        <v>0</v>
      </c>
      <c r="AD68" s="16" t="e">
        <f t="shared" si="60"/>
        <v>#REF!</v>
      </c>
      <c r="AE68" s="16" t="e">
        <f t="shared" si="61"/>
        <v>#REF!</v>
      </c>
      <c r="AF68" s="16">
        <f t="shared" si="62"/>
        <v>0</v>
      </c>
      <c r="AG68" s="16">
        <f t="shared" si="63"/>
        <v>0</v>
      </c>
      <c r="AH68" s="16">
        <f t="shared" si="64"/>
        <v>0</v>
      </c>
      <c r="AI68" s="13" t="s">
        <v>77</v>
      </c>
      <c r="AJ68" s="16">
        <f t="shared" si="65"/>
        <v>0</v>
      </c>
      <c r="AK68" s="16" t="e">
        <f t="shared" si="66"/>
        <v>#REF!</v>
      </c>
      <c r="AL68" s="16">
        <f t="shared" si="67"/>
        <v>0</v>
      </c>
      <c r="AN68" s="16">
        <v>12</v>
      </c>
      <c r="AO68" s="16" t="e">
        <f>H68*0.728178454</f>
        <v>#REF!</v>
      </c>
      <c r="AP68" s="16" t="e">
        <f>H68*(1-0.728178454)</f>
        <v>#REF!</v>
      </c>
      <c r="AQ68" s="56" t="s">
        <v>462</v>
      </c>
      <c r="AV68" s="16" t="e">
        <f t="shared" si="68"/>
        <v>#REF!</v>
      </c>
      <c r="AW68" s="16" t="e">
        <f t="shared" si="69"/>
        <v>#REF!</v>
      </c>
      <c r="AX68" s="16" t="e">
        <f t="shared" si="70"/>
        <v>#REF!</v>
      </c>
      <c r="AY68" s="56" t="s">
        <v>493</v>
      </c>
      <c r="AZ68" s="56" t="s">
        <v>494</v>
      </c>
      <c r="BA68" s="13" t="s">
        <v>495</v>
      </c>
      <c r="BC68" s="16" t="e">
        <f t="shared" si="71"/>
        <v>#REF!</v>
      </c>
      <c r="BD68" s="16" t="e">
        <f t="shared" si="72"/>
        <v>#REF!</v>
      </c>
      <c r="BE68" s="16">
        <v>0</v>
      </c>
      <c r="BF68" s="16" t="e">
        <f t="shared" si="73"/>
        <v>#REF!</v>
      </c>
      <c r="BH68" s="16" t="e">
        <f t="shared" si="74"/>
        <v>#REF!</v>
      </c>
      <c r="BI68" s="16" t="e">
        <f t="shared" si="75"/>
        <v>#REF!</v>
      </c>
      <c r="BJ68" s="16" t="e">
        <f t="shared" si="76"/>
        <v>#REF!</v>
      </c>
      <c r="BK68" s="16"/>
      <c r="BL68" s="16">
        <v>722</v>
      </c>
      <c r="BW68" s="16" t="str">
        <f t="shared" si="77"/>
        <v>12</v>
      </c>
      <c r="BX68" s="3" t="s">
        <v>122</v>
      </c>
    </row>
    <row r="69" spans="1:76" x14ac:dyDescent="0.25">
      <c r="A69" s="1" t="s">
        <v>516</v>
      </c>
      <c r="B69" s="2" t="s">
        <v>77</v>
      </c>
      <c r="C69" s="2" t="s">
        <v>123</v>
      </c>
      <c r="D69" s="77" t="s">
        <v>124</v>
      </c>
      <c r="E69" s="71"/>
      <c r="F69" s="2" t="s">
        <v>35</v>
      </c>
      <c r="G69" s="16" t="e">
        <f>'Rozpočet - vybrané sloupce'!#REF!</f>
        <v>#REF!</v>
      </c>
      <c r="H69" s="16" t="e">
        <f>'Rozpočet - vybrané sloupce'!#REF!</f>
        <v>#REF!</v>
      </c>
      <c r="I69" s="56" t="s">
        <v>460</v>
      </c>
      <c r="J69" s="16" t="e">
        <f t="shared" si="52"/>
        <v>#REF!</v>
      </c>
      <c r="K69" s="16" t="e">
        <f t="shared" si="53"/>
        <v>#REF!</v>
      </c>
      <c r="L69" s="16" t="e">
        <f t="shared" si="54"/>
        <v>#REF!</v>
      </c>
      <c r="M69" s="16" t="e">
        <f t="shared" si="55"/>
        <v>#REF!</v>
      </c>
      <c r="N69" s="16">
        <v>6.0999999999999997E-4</v>
      </c>
      <c r="O69" s="16" t="e">
        <f t="shared" si="56"/>
        <v>#REF!</v>
      </c>
      <c r="P69" s="57" t="s">
        <v>461</v>
      </c>
      <c r="Z69" s="16">
        <f t="shared" si="57"/>
        <v>0</v>
      </c>
      <c r="AB69" s="16">
        <f t="shared" si="58"/>
        <v>0</v>
      </c>
      <c r="AC69" s="16">
        <f t="shared" si="59"/>
        <v>0</v>
      </c>
      <c r="AD69" s="16" t="e">
        <f t="shared" si="60"/>
        <v>#REF!</v>
      </c>
      <c r="AE69" s="16" t="e">
        <f t="shared" si="61"/>
        <v>#REF!</v>
      </c>
      <c r="AF69" s="16">
        <f t="shared" si="62"/>
        <v>0</v>
      </c>
      <c r="AG69" s="16">
        <f t="shared" si="63"/>
        <v>0</v>
      </c>
      <c r="AH69" s="16">
        <f t="shared" si="64"/>
        <v>0</v>
      </c>
      <c r="AI69" s="13" t="s">
        <v>77</v>
      </c>
      <c r="AJ69" s="16">
        <f t="shared" si="65"/>
        <v>0</v>
      </c>
      <c r="AK69" s="16" t="e">
        <f t="shared" si="66"/>
        <v>#REF!</v>
      </c>
      <c r="AL69" s="16">
        <f t="shared" si="67"/>
        <v>0</v>
      </c>
      <c r="AN69" s="16">
        <v>12</v>
      </c>
      <c r="AO69" s="16" t="e">
        <f>H69*0.816824096</f>
        <v>#REF!</v>
      </c>
      <c r="AP69" s="16" t="e">
        <f>H69*(1-0.816824096)</f>
        <v>#REF!</v>
      </c>
      <c r="AQ69" s="56" t="s">
        <v>462</v>
      </c>
      <c r="AV69" s="16" t="e">
        <f t="shared" si="68"/>
        <v>#REF!</v>
      </c>
      <c r="AW69" s="16" t="e">
        <f t="shared" si="69"/>
        <v>#REF!</v>
      </c>
      <c r="AX69" s="16" t="e">
        <f t="shared" si="70"/>
        <v>#REF!</v>
      </c>
      <c r="AY69" s="56" t="s">
        <v>493</v>
      </c>
      <c r="AZ69" s="56" t="s">
        <v>494</v>
      </c>
      <c r="BA69" s="13" t="s">
        <v>495</v>
      </c>
      <c r="BC69" s="16" t="e">
        <f t="shared" si="71"/>
        <v>#REF!</v>
      </c>
      <c r="BD69" s="16" t="e">
        <f t="shared" si="72"/>
        <v>#REF!</v>
      </c>
      <c r="BE69" s="16">
        <v>0</v>
      </c>
      <c r="BF69" s="16" t="e">
        <f t="shared" si="73"/>
        <v>#REF!</v>
      </c>
      <c r="BH69" s="16" t="e">
        <f t="shared" si="74"/>
        <v>#REF!</v>
      </c>
      <c r="BI69" s="16" t="e">
        <f t="shared" si="75"/>
        <v>#REF!</v>
      </c>
      <c r="BJ69" s="16" t="e">
        <f t="shared" si="76"/>
        <v>#REF!</v>
      </c>
      <c r="BK69" s="16"/>
      <c r="BL69" s="16">
        <v>722</v>
      </c>
      <c r="BW69" s="16" t="str">
        <f t="shared" si="77"/>
        <v>12</v>
      </c>
      <c r="BX69" s="3" t="s">
        <v>124</v>
      </c>
    </row>
    <row r="70" spans="1:76" x14ac:dyDescent="0.25">
      <c r="A70" s="1" t="s">
        <v>517</v>
      </c>
      <c r="B70" s="2" t="s">
        <v>77</v>
      </c>
      <c r="C70" s="2" t="s">
        <v>125</v>
      </c>
      <c r="D70" s="77" t="s">
        <v>126</v>
      </c>
      <c r="E70" s="71"/>
      <c r="F70" s="2" t="s">
        <v>35</v>
      </c>
      <c r="G70" s="16" t="e">
        <f>'Rozpočet - vybrané sloupce'!#REF!</f>
        <v>#REF!</v>
      </c>
      <c r="H70" s="16" t="e">
        <f>'Rozpočet - vybrané sloupce'!#REF!</f>
        <v>#REF!</v>
      </c>
      <c r="I70" s="56" t="s">
        <v>460</v>
      </c>
      <c r="J70" s="16" t="e">
        <f t="shared" si="52"/>
        <v>#REF!</v>
      </c>
      <c r="K70" s="16" t="e">
        <f t="shared" si="53"/>
        <v>#REF!</v>
      </c>
      <c r="L70" s="16" t="e">
        <f t="shared" si="54"/>
        <v>#REF!</v>
      </c>
      <c r="M70" s="16" t="e">
        <f t="shared" si="55"/>
        <v>#REF!</v>
      </c>
      <c r="N70" s="16">
        <v>8.8999999999999995E-4</v>
      </c>
      <c r="O70" s="16" t="e">
        <f t="shared" si="56"/>
        <v>#REF!</v>
      </c>
      <c r="P70" s="57" t="s">
        <v>461</v>
      </c>
      <c r="Z70" s="16">
        <f t="shared" si="57"/>
        <v>0</v>
      </c>
      <c r="AB70" s="16">
        <f t="shared" si="58"/>
        <v>0</v>
      </c>
      <c r="AC70" s="16">
        <f t="shared" si="59"/>
        <v>0</v>
      </c>
      <c r="AD70" s="16" t="e">
        <f t="shared" si="60"/>
        <v>#REF!</v>
      </c>
      <c r="AE70" s="16" t="e">
        <f t="shared" si="61"/>
        <v>#REF!</v>
      </c>
      <c r="AF70" s="16">
        <f t="shared" si="62"/>
        <v>0</v>
      </c>
      <c r="AG70" s="16">
        <f t="shared" si="63"/>
        <v>0</v>
      </c>
      <c r="AH70" s="16">
        <f t="shared" si="64"/>
        <v>0</v>
      </c>
      <c r="AI70" s="13" t="s">
        <v>77</v>
      </c>
      <c r="AJ70" s="16">
        <f t="shared" si="65"/>
        <v>0</v>
      </c>
      <c r="AK70" s="16" t="e">
        <f t="shared" si="66"/>
        <v>#REF!</v>
      </c>
      <c r="AL70" s="16">
        <f t="shared" si="67"/>
        <v>0</v>
      </c>
      <c r="AN70" s="16">
        <v>12</v>
      </c>
      <c r="AO70" s="16" t="e">
        <f>H70*0.843834431</f>
        <v>#REF!</v>
      </c>
      <c r="AP70" s="16" t="e">
        <f>H70*(1-0.843834431)</f>
        <v>#REF!</v>
      </c>
      <c r="AQ70" s="56" t="s">
        <v>462</v>
      </c>
      <c r="AV70" s="16" t="e">
        <f t="shared" si="68"/>
        <v>#REF!</v>
      </c>
      <c r="AW70" s="16" t="e">
        <f t="shared" si="69"/>
        <v>#REF!</v>
      </c>
      <c r="AX70" s="16" t="e">
        <f t="shared" si="70"/>
        <v>#REF!</v>
      </c>
      <c r="AY70" s="56" t="s">
        <v>493</v>
      </c>
      <c r="AZ70" s="56" t="s">
        <v>494</v>
      </c>
      <c r="BA70" s="13" t="s">
        <v>495</v>
      </c>
      <c r="BC70" s="16" t="e">
        <f t="shared" si="71"/>
        <v>#REF!</v>
      </c>
      <c r="BD70" s="16" t="e">
        <f t="shared" si="72"/>
        <v>#REF!</v>
      </c>
      <c r="BE70" s="16">
        <v>0</v>
      </c>
      <c r="BF70" s="16" t="e">
        <f t="shared" si="73"/>
        <v>#REF!</v>
      </c>
      <c r="BH70" s="16" t="e">
        <f t="shared" si="74"/>
        <v>#REF!</v>
      </c>
      <c r="BI70" s="16" t="e">
        <f t="shared" si="75"/>
        <v>#REF!</v>
      </c>
      <c r="BJ70" s="16" t="e">
        <f t="shared" si="76"/>
        <v>#REF!</v>
      </c>
      <c r="BK70" s="16"/>
      <c r="BL70" s="16">
        <v>722</v>
      </c>
      <c r="BW70" s="16" t="str">
        <f t="shared" si="77"/>
        <v>12</v>
      </c>
      <c r="BX70" s="3" t="s">
        <v>126</v>
      </c>
    </row>
    <row r="71" spans="1:76" x14ac:dyDescent="0.25">
      <c r="A71" s="1" t="s">
        <v>518</v>
      </c>
      <c r="B71" s="2" t="s">
        <v>77</v>
      </c>
      <c r="C71" s="2" t="s">
        <v>127</v>
      </c>
      <c r="D71" s="77" t="s">
        <v>128</v>
      </c>
      <c r="E71" s="71"/>
      <c r="F71" s="2" t="s">
        <v>35</v>
      </c>
      <c r="G71" s="16" t="e">
        <f>'Rozpočet - vybrané sloupce'!#REF!</f>
        <v>#REF!</v>
      </c>
      <c r="H71" s="16" t="e">
        <f>'Rozpočet - vybrané sloupce'!#REF!</f>
        <v>#REF!</v>
      </c>
      <c r="I71" s="56" t="s">
        <v>460</v>
      </c>
      <c r="J71" s="16" t="e">
        <f t="shared" si="52"/>
        <v>#REF!</v>
      </c>
      <c r="K71" s="16" t="e">
        <f t="shared" si="53"/>
        <v>#REF!</v>
      </c>
      <c r="L71" s="16" t="e">
        <f t="shared" si="54"/>
        <v>#REF!</v>
      </c>
      <c r="M71" s="16" t="e">
        <f t="shared" si="55"/>
        <v>#REF!</v>
      </c>
      <c r="N71" s="16">
        <v>1.2999999999999999E-3</v>
      </c>
      <c r="O71" s="16" t="e">
        <f t="shared" si="56"/>
        <v>#REF!</v>
      </c>
      <c r="P71" s="57" t="s">
        <v>461</v>
      </c>
      <c r="Z71" s="16">
        <f t="shared" si="57"/>
        <v>0</v>
      </c>
      <c r="AB71" s="16">
        <f t="shared" si="58"/>
        <v>0</v>
      </c>
      <c r="AC71" s="16">
        <f t="shared" si="59"/>
        <v>0</v>
      </c>
      <c r="AD71" s="16" t="e">
        <f t="shared" si="60"/>
        <v>#REF!</v>
      </c>
      <c r="AE71" s="16" t="e">
        <f t="shared" si="61"/>
        <v>#REF!</v>
      </c>
      <c r="AF71" s="16">
        <f t="shared" si="62"/>
        <v>0</v>
      </c>
      <c r="AG71" s="16">
        <f t="shared" si="63"/>
        <v>0</v>
      </c>
      <c r="AH71" s="16">
        <f t="shared" si="64"/>
        <v>0</v>
      </c>
      <c r="AI71" s="13" t="s">
        <v>77</v>
      </c>
      <c r="AJ71" s="16">
        <f t="shared" si="65"/>
        <v>0</v>
      </c>
      <c r="AK71" s="16" t="e">
        <f t="shared" si="66"/>
        <v>#REF!</v>
      </c>
      <c r="AL71" s="16">
        <f t="shared" si="67"/>
        <v>0</v>
      </c>
      <c r="AN71" s="16">
        <v>12</v>
      </c>
      <c r="AO71" s="16" t="e">
        <f>H71*0.867074872</f>
        <v>#REF!</v>
      </c>
      <c r="AP71" s="16" t="e">
        <f>H71*(1-0.867074872)</f>
        <v>#REF!</v>
      </c>
      <c r="AQ71" s="56" t="s">
        <v>462</v>
      </c>
      <c r="AV71" s="16" t="e">
        <f t="shared" si="68"/>
        <v>#REF!</v>
      </c>
      <c r="AW71" s="16" t="e">
        <f t="shared" si="69"/>
        <v>#REF!</v>
      </c>
      <c r="AX71" s="16" t="e">
        <f t="shared" si="70"/>
        <v>#REF!</v>
      </c>
      <c r="AY71" s="56" t="s">
        <v>493</v>
      </c>
      <c r="AZ71" s="56" t="s">
        <v>494</v>
      </c>
      <c r="BA71" s="13" t="s">
        <v>495</v>
      </c>
      <c r="BC71" s="16" t="e">
        <f t="shared" si="71"/>
        <v>#REF!</v>
      </c>
      <c r="BD71" s="16" t="e">
        <f t="shared" si="72"/>
        <v>#REF!</v>
      </c>
      <c r="BE71" s="16">
        <v>0</v>
      </c>
      <c r="BF71" s="16" t="e">
        <f t="shared" si="73"/>
        <v>#REF!</v>
      </c>
      <c r="BH71" s="16" t="e">
        <f t="shared" si="74"/>
        <v>#REF!</v>
      </c>
      <c r="BI71" s="16" t="e">
        <f t="shared" si="75"/>
        <v>#REF!</v>
      </c>
      <c r="BJ71" s="16" t="e">
        <f t="shared" si="76"/>
        <v>#REF!</v>
      </c>
      <c r="BK71" s="16"/>
      <c r="BL71" s="16">
        <v>722</v>
      </c>
      <c r="BW71" s="16" t="str">
        <f t="shared" si="77"/>
        <v>12</v>
      </c>
      <c r="BX71" s="3" t="s">
        <v>128</v>
      </c>
    </row>
    <row r="72" spans="1:76" x14ac:dyDescent="0.25">
      <c r="A72" s="1" t="s">
        <v>519</v>
      </c>
      <c r="B72" s="2" t="s">
        <v>77</v>
      </c>
      <c r="C72" s="2" t="s">
        <v>129</v>
      </c>
      <c r="D72" s="77" t="s">
        <v>130</v>
      </c>
      <c r="E72" s="71"/>
      <c r="F72" s="2" t="s">
        <v>35</v>
      </c>
      <c r="G72" s="16" t="e">
        <f>'Rozpočet - vybrané sloupce'!#REF!</f>
        <v>#REF!</v>
      </c>
      <c r="H72" s="16" t="e">
        <f>'Rozpočet - vybrané sloupce'!#REF!</f>
        <v>#REF!</v>
      </c>
      <c r="I72" s="56" t="s">
        <v>460</v>
      </c>
      <c r="J72" s="16" t="e">
        <f t="shared" si="52"/>
        <v>#REF!</v>
      </c>
      <c r="K72" s="16" t="e">
        <f t="shared" si="53"/>
        <v>#REF!</v>
      </c>
      <c r="L72" s="16" t="e">
        <f t="shared" si="54"/>
        <v>#REF!</v>
      </c>
      <c r="M72" s="16" t="e">
        <f t="shared" si="55"/>
        <v>#REF!</v>
      </c>
      <c r="N72" s="16">
        <v>4.0000000000000002E-4</v>
      </c>
      <c r="O72" s="16" t="e">
        <f t="shared" si="56"/>
        <v>#REF!</v>
      </c>
      <c r="P72" s="57" t="s">
        <v>461</v>
      </c>
      <c r="Z72" s="16">
        <f t="shared" si="57"/>
        <v>0</v>
      </c>
      <c r="AB72" s="16">
        <f t="shared" si="58"/>
        <v>0</v>
      </c>
      <c r="AC72" s="16">
        <f t="shared" si="59"/>
        <v>0</v>
      </c>
      <c r="AD72" s="16" t="e">
        <f t="shared" si="60"/>
        <v>#REF!</v>
      </c>
      <c r="AE72" s="16" t="e">
        <f t="shared" si="61"/>
        <v>#REF!</v>
      </c>
      <c r="AF72" s="16">
        <f t="shared" si="62"/>
        <v>0</v>
      </c>
      <c r="AG72" s="16">
        <f t="shared" si="63"/>
        <v>0</v>
      </c>
      <c r="AH72" s="16">
        <f t="shared" si="64"/>
        <v>0</v>
      </c>
      <c r="AI72" s="13" t="s">
        <v>77</v>
      </c>
      <c r="AJ72" s="16">
        <f t="shared" si="65"/>
        <v>0</v>
      </c>
      <c r="AK72" s="16" t="e">
        <f t="shared" si="66"/>
        <v>#REF!</v>
      </c>
      <c r="AL72" s="16">
        <f t="shared" si="67"/>
        <v>0</v>
      </c>
      <c r="AN72" s="16">
        <v>12</v>
      </c>
      <c r="AO72" s="16" t="e">
        <f>H72*0.790588953</f>
        <v>#REF!</v>
      </c>
      <c r="AP72" s="16" t="e">
        <f>H72*(1-0.790588953)</f>
        <v>#REF!</v>
      </c>
      <c r="AQ72" s="56" t="s">
        <v>462</v>
      </c>
      <c r="AV72" s="16" t="e">
        <f t="shared" si="68"/>
        <v>#REF!</v>
      </c>
      <c r="AW72" s="16" t="e">
        <f t="shared" si="69"/>
        <v>#REF!</v>
      </c>
      <c r="AX72" s="16" t="e">
        <f t="shared" si="70"/>
        <v>#REF!</v>
      </c>
      <c r="AY72" s="56" t="s">
        <v>493</v>
      </c>
      <c r="AZ72" s="56" t="s">
        <v>494</v>
      </c>
      <c r="BA72" s="13" t="s">
        <v>495</v>
      </c>
      <c r="BC72" s="16" t="e">
        <f t="shared" si="71"/>
        <v>#REF!</v>
      </c>
      <c r="BD72" s="16" t="e">
        <f t="shared" si="72"/>
        <v>#REF!</v>
      </c>
      <c r="BE72" s="16">
        <v>0</v>
      </c>
      <c r="BF72" s="16" t="e">
        <f t="shared" si="73"/>
        <v>#REF!</v>
      </c>
      <c r="BH72" s="16" t="e">
        <f t="shared" si="74"/>
        <v>#REF!</v>
      </c>
      <c r="BI72" s="16" t="e">
        <f t="shared" si="75"/>
        <v>#REF!</v>
      </c>
      <c r="BJ72" s="16" t="e">
        <f t="shared" si="76"/>
        <v>#REF!</v>
      </c>
      <c r="BK72" s="16"/>
      <c r="BL72" s="16">
        <v>722</v>
      </c>
      <c r="BW72" s="16" t="str">
        <f t="shared" si="77"/>
        <v>12</v>
      </c>
      <c r="BX72" s="3" t="s">
        <v>130</v>
      </c>
    </row>
    <row r="73" spans="1:76" x14ac:dyDescent="0.25">
      <c r="A73" s="1" t="s">
        <v>520</v>
      </c>
      <c r="B73" s="2" t="s">
        <v>77</v>
      </c>
      <c r="C73" s="2" t="s">
        <v>131</v>
      </c>
      <c r="D73" s="77" t="s">
        <v>132</v>
      </c>
      <c r="E73" s="71"/>
      <c r="F73" s="2" t="s">
        <v>35</v>
      </c>
      <c r="G73" s="16" t="e">
        <f>'Rozpočet - vybrané sloupce'!#REF!</f>
        <v>#REF!</v>
      </c>
      <c r="H73" s="16" t="e">
        <f>'Rozpočet - vybrané sloupce'!#REF!</f>
        <v>#REF!</v>
      </c>
      <c r="I73" s="56" t="s">
        <v>460</v>
      </c>
      <c r="J73" s="16" t="e">
        <f t="shared" si="52"/>
        <v>#REF!</v>
      </c>
      <c r="K73" s="16" t="e">
        <f t="shared" si="53"/>
        <v>#REF!</v>
      </c>
      <c r="L73" s="16" t="e">
        <f t="shared" si="54"/>
        <v>#REF!</v>
      </c>
      <c r="M73" s="16" t="e">
        <f t="shared" si="55"/>
        <v>#REF!</v>
      </c>
      <c r="N73" s="16">
        <v>0</v>
      </c>
      <c r="O73" s="16" t="e">
        <f t="shared" si="56"/>
        <v>#REF!</v>
      </c>
      <c r="P73" s="57" t="s">
        <v>461</v>
      </c>
      <c r="Z73" s="16">
        <f t="shared" si="57"/>
        <v>0</v>
      </c>
      <c r="AB73" s="16">
        <f t="shared" si="58"/>
        <v>0</v>
      </c>
      <c r="AC73" s="16">
        <f t="shared" si="59"/>
        <v>0</v>
      </c>
      <c r="AD73" s="16" t="e">
        <f t="shared" si="60"/>
        <v>#REF!</v>
      </c>
      <c r="AE73" s="16" t="e">
        <f t="shared" si="61"/>
        <v>#REF!</v>
      </c>
      <c r="AF73" s="16">
        <f t="shared" si="62"/>
        <v>0</v>
      </c>
      <c r="AG73" s="16">
        <f t="shared" si="63"/>
        <v>0</v>
      </c>
      <c r="AH73" s="16">
        <f t="shared" si="64"/>
        <v>0</v>
      </c>
      <c r="AI73" s="13" t="s">
        <v>77</v>
      </c>
      <c r="AJ73" s="16">
        <f t="shared" si="65"/>
        <v>0</v>
      </c>
      <c r="AK73" s="16" t="e">
        <f t="shared" si="66"/>
        <v>#REF!</v>
      </c>
      <c r="AL73" s="16">
        <f t="shared" si="67"/>
        <v>0</v>
      </c>
      <c r="AN73" s="16">
        <v>12</v>
      </c>
      <c r="AO73" s="16" t="e">
        <f>H73*0.03926087</f>
        <v>#REF!</v>
      </c>
      <c r="AP73" s="16" t="e">
        <f>H73*(1-0.03926087)</f>
        <v>#REF!</v>
      </c>
      <c r="AQ73" s="56" t="s">
        <v>462</v>
      </c>
      <c r="AV73" s="16" t="e">
        <f t="shared" si="68"/>
        <v>#REF!</v>
      </c>
      <c r="AW73" s="16" t="e">
        <f t="shared" si="69"/>
        <v>#REF!</v>
      </c>
      <c r="AX73" s="16" t="e">
        <f t="shared" si="70"/>
        <v>#REF!</v>
      </c>
      <c r="AY73" s="56" t="s">
        <v>493</v>
      </c>
      <c r="AZ73" s="56" t="s">
        <v>494</v>
      </c>
      <c r="BA73" s="13" t="s">
        <v>495</v>
      </c>
      <c r="BC73" s="16" t="e">
        <f t="shared" si="71"/>
        <v>#REF!</v>
      </c>
      <c r="BD73" s="16" t="e">
        <f t="shared" si="72"/>
        <v>#REF!</v>
      </c>
      <c r="BE73" s="16">
        <v>0</v>
      </c>
      <c r="BF73" s="16" t="e">
        <f t="shared" si="73"/>
        <v>#REF!</v>
      </c>
      <c r="BH73" s="16" t="e">
        <f t="shared" si="74"/>
        <v>#REF!</v>
      </c>
      <c r="BI73" s="16" t="e">
        <f t="shared" si="75"/>
        <v>#REF!</v>
      </c>
      <c r="BJ73" s="16" t="e">
        <f t="shared" si="76"/>
        <v>#REF!</v>
      </c>
      <c r="BK73" s="16"/>
      <c r="BL73" s="16">
        <v>722</v>
      </c>
      <c r="BW73" s="16" t="str">
        <f t="shared" si="77"/>
        <v>12</v>
      </c>
      <c r="BX73" s="3" t="s">
        <v>132</v>
      </c>
    </row>
    <row r="74" spans="1:76" x14ac:dyDescent="0.25">
      <c r="A74" s="1" t="s">
        <v>521</v>
      </c>
      <c r="B74" s="2" t="s">
        <v>77</v>
      </c>
      <c r="C74" s="2" t="s">
        <v>133</v>
      </c>
      <c r="D74" s="77" t="s">
        <v>134</v>
      </c>
      <c r="E74" s="71"/>
      <c r="F74" s="2" t="s">
        <v>35</v>
      </c>
      <c r="G74" s="16" t="e">
        <f>'Rozpočet - vybrané sloupce'!#REF!</f>
        <v>#REF!</v>
      </c>
      <c r="H74" s="16" t="e">
        <f>'Rozpočet - vybrané sloupce'!#REF!</f>
        <v>#REF!</v>
      </c>
      <c r="I74" s="56" t="s">
        <v>460</v>
      </c>
      <c r="J74" s="16" t="e">
        <f t="shared" si="52"/>
        <v>#REF!</v>
      </c>
      <c r="K74" s="16" t="e">
        <f t="shared" si="53"/>
        <v>#REF!</v>
      </c>
      <c r="L74" s="16" t="e">
        <f t="shared" si="54"/>
        <v>#REF!</v>
      </c>
      <c r="M74" s="16" t="e">
        <f t="shared" si="55"/>
        <v>#REF!</v>
      </c>
      <c r="N74" s="16">
        <v>0</v>
      </c>
      <c r="O74" s="16" t="e">
        <f t="shared" si="56"/>
        <v>#REF!</v>
      </c>
      <c r="P74" s="57" t="s">
        <v>461</v>
      </c>
      <c r="Z74" s="16">
        <f t="shared" si="57"/>
        <v>0</v>
      </c>
      <c r="AB74" s="16">
        <f t="shared" si="58"/>
        <v>0</v>
      </c>
      <c r="AC74" s="16">
        <f t="shared" si="59"/>
        <v>0</v>
      </c>
      <c r="AD74" s="16" t="e">
        <f t="shared" si="60"/>
        <v>#REF!</v>
      </c>
      <c r="AE74" s="16" t="e">
        <f t="shared" si="61"/>
        <v>#REF!</v>
      </c>
      <c r="AF74" s="16">
        <f t="shared" si="62"/>
        <v>0</v>
      </c>
      <c r="AG74" s="16">
        <f t="shared" si="63"/>
        <v>0</v>
      </c>
      <c r="AH74" s="16">
        <f t="shared" si="64"/>
        <v>0</v>
      </c>
      <c r="AI74" s="13" t="s">
        <v>77</v>
      </c>
      <c r="AJ74" s="16">
        <f t="shared" si="65"/>
        <v>0</v>
      </c>
      <c r="AK74" s="16" t="e">
        <f t="shared" si="66"/>
        <v>#REF!</v>
      </c>
      <c r="AL74" s="16">
        <f t="shared" si="67"/>
        <v>0</v>
      </c>
      <c r="AN74" s="16">
        <v>12</v>
      </c>
      <c r="AO74" s="16" t="e">
        <f>H74*1</f>
        <v>#REF!</v>
      </c>
      <c r="AP74" s="16" t="e">
        <f>H74*(1-1)</f>
        <v>#REF!</v>
      </c>
      <c r="AQ74" s="56" t="s">
        <v>462</v>
      </c>
      <c r="AV74" s="16" t="e">
        <f t="shared" si="68"/>
        <v>#REF!</v>
      </c>
      <c r="AW74" s="16" t="e">
        <f t="shared" si="69"/>
        <v>#REF!</v>
      </c>
      <c r="AX74" s="16" t="e">
        <f t="shared" si="70"/>
        <v>#REF!</v>
      </c>
      <c r="AY74" s="56" t="s">
        <v>493</v>
      </c>
      <c r="AZ74" s="56" t="s">
        <v>494</v>
      </c>
      <c r="BA74" s="13" t="s">
        <v>495</v>
      </c>
      <c r="BC74" s="16" t="e">
        <f t="shared" si="71"/>
        <v>#REF!</v>
      </c>
      <c r="BD74" s="16" t="e">
        <f t="shared" si="72"/>
        <v>#REF!</v>
      </c>
      <c r="BE74" s="16">
        <v>0</v>
      </c>
      <c r="BF74" s="16" t="e">
        <f t="shared" si="73"/>
        <v>#REF!</v>
      </c>
      <c r="BH74" s="16" t="e">
        <f t="shared" si="74"/>
        <v>#REF!</v>
      </c>
      <c r="BI74" s="16" t="e">
        <f t="shared" si="75"/>
        <v>#REF!</v>
      </c>
      <c r="BJ74" s="16" t="e">
        <f t="shared" si="76"/>
        <v>#REF!</v>
      </c>
      <c r="BK74" s="16"/>
      <c r="BL74" s="16">
        <v>722</v>
      </c>
      <c r="BW74" s="16" t="str">
        <f t="shared" si="77"/>
        <v>12</v>
      </c>
      <c r="BX74" s="3" t="s">
        <v>134</v>
      </c>
    </row>
    <row r="75" spans="1:76" x14ac:dyDescent="0.25">
      <c r="A75" s="1" t="s">
        <v>522</v>
      </c>
      <c r="B75" s="2" t="s">
        <v>77</v>
      </c>
      <c r="C75" s="2" t="s">
        <v>136</v>
      </c>
      <c r="D75" s="77" t="s">
        <v>137</v>
      </c>
      <c r="E75" s="71"/>
      <c r="F75" s="2" t="s">
        <v>35</v>
      </c>
      <c r="G75" s="16" t="e">
        <f>'Rozpočet - vybrané sloupce'!#REF!</f>
        <v>#REF!</v>
      </c>
      <c r="H75" s="16" t="e">
        <f>'Rozpočet - vybrané sloupce'!#REF!</f>
        <v>#REF!</v>
      </c>
      <c r="I75" s="56" t="s">
        <v>460</v>
      </c>
      <c r="J75" s="16" t="e">
        <f t="shared" si="52"/>
        <v>#REF!</v>
      </c>
      <c r="K75" s="16" t="e">
        <f t="shared" si="53"/>
        <v>#REF!</v>
      </c>
      <c r="L75" s="16" t="e">
        <f t="shared" si="54"/>
        <v>#REF!</v>
      </c>
      <c r="M75" s="16" t="e">
        <f t="shared" si="55"/>
        <v>#REF!</v>
      </c>
      <c r="N75" s="16">
        <v>0</v>
      </c>
      <c r="O75" s="16" t="e">
        <f t="shared" si="56"/>
        <v>#REF!</v>
      </c>
      <c r="P75" s="57" t="s">
        <v>461</v>
      </c>
      <c r="Z75" s="16">
        <f t="shared" si="57"/>
        <v>0</v>
      </c>
      <c r="AB75" s="16">
        <f t="shared" si="58"/>
        <v>0</v>
      </c>
      <c r="AC75" s="16">
        <f t="shared" si="59"/>
        <v>0</v>
      </c>
      <c r="AD75" s="16" t="e">
        <f t="shared" si="60"/>
        <v>#REF!</v>
      </c>
      <c r="AE75" s="16" t="e">
        <f t="shared" si="61"/>
        <v>#REF!</v>
      </c>
      <c r="AF75" s="16">
        <f t="shared" si="62"/>
        <v>0</v>
      </c>
      <c r="AG75" s="16">
        <f t="shared" si="63"/>
        <v>0</v>
      </c>
      <c r="AH75" s="16">
        <f t="shared" si="64"/>
        <v>0</v>
      </c>
      <c r="AI75" s="13" t="s">
        <v>77</v>
      </c>
      <c r="AJ75" s="16">
        <f t="shared" si="65"/>
        <v>0</v>
      </c>
      <c r="AK75" s="16" t="e">
        <f t="shared" si="66"/>
        <v>#REF!</v>
      </c>
      <c r="AL75" s="16">
        <f t="shared" si="67"/>
        <v>0</v>
      </c>
      <c r="AN75" s="16">
        <v>12</v>
      </c>
      <c r="AO75" s="16" t="e">
        <f>H75*0.06278125</f>
        <v>#REF!</v>
      </c>
      <c r="AP75" s="16" t="e">
        <f>H75*(1-0.06278125)</f>
        <v>#REF!</v>
      </c>
      <c r="AQ75" s="56" t="s">
        <v>462</v>
      </c>
      <c r="AV75" s="16" t="e">
        <f t="shared" si="68"/>
        <v>#REF!</v>
      </c>
      <c r="AW75" s="16" t="e">
        <f t="shared" si="69"/>
        <v>#REF!</v>
      </c>
      <c r="AX75" s="16" t="e">
        <f t="shared" si="70"/>
        <v>#REF!</v>
      </c>
      <c r="AY75" s="56" t="s">
        <v>493</v>
      </c>
      <c r="AZ75" s="56" t="s">
        <v>494</v>
      </c>
      <c r="BA75" s="13" t="s">
        <v>495</v>
      </c>
      <c r="BC75" s="16" t="e">
        <f t="shared" si="71"/>
        <v>#REF!</v>
      </c>
      <c r="BD75" s="16" t="e">
        <f t="shared" si="72"/>
        <v>#REF!</v>
      </c>
      <c r="BE75" s="16">
        <v>0</v>
      </c>
      <c r="BF75" s="16" t="e">
        <f t="shared" si="73"/>
        <v>#REF!</v>
      </c>
      <c r="BH75" s="16" t="e">
        <f t="shared" si="74"/>
        <v>#REF!</v>
      </c>
      <c r="BI75" s="16" t="e">
        <f t="shared" si="75"/>
        <v>#REF!</v>
      </c>
      <c r="BJ75" s="16" t="e">
        <f t="shared" si="76"/>
        <v>#REF!</v>
      </c>
      <c r="BK75" s="16"/>
      <c r="BL75" s="16">
        <v>722</v>
      </c>
      <c r="BW75" s="16" t="str">
        <f t="shared" si="77"/>
        <v>12</v>
      </c>
      <c r="BX75" s="3" t="s">
        <v>137</v>
      </c>
    </row>
    <row r="76" spans="1:76" x14ac:dyDescent="0.25">
      <c r="A76" s="1" t="s">
        <v>523</v>
      </c>
      <c r="B76" s="2" t="s">
        <v>77</v>
      </c>
      <c r="C76" s="2" t="s">
        <v>138</v>
      </c>
      <c r="D76" s="77" t="s">
        <v>139</v>
      </c>
      <c r="E76" s="71"/>
      <c r="F76" s="2" t="s">
        <v>35</v>
      </c>
      <c r="G76" s="16" t="e">
        <f>'Rozpočet - vybrané sloupce'!#REF!</f>
        <v>#REF!</v>
      </c>
      <c r="H76" s="16" t="e">
        <f>'Rozpočet - vybrané sloupce'!#REF!</f>
        <v>#REF!</v>
      </c>
      <c r="I76" s="56" t="s">
        <v>460</v>
      </c>
      <c r="J76" s="16" t="e">
        <f t="shared" si="52"/>
        <v>#REF!</v>
      </c>
      <c r="K76" s="16" t="e">
        <f t="shared" si="53"/>
        <v>#REF!</v>
      </c>
      <c r="L76" s="16" t="e">
        <f t="shared" si="54"/>
        <v>#REF!</v>
      </c>
      <c r="M76" s="16" t="e">
        <f t="shared" si="55"/>
        <v>#REF!</v>
      </c>
      <c r="N76" s="16">
        <v>0</v>
      </c>
      <c r="O76" s="16" t="e">
        <f t="shared" si="56"/>
        <v>#REF!</v>
      </c>
      <c r="P76" s="57" t="s">
        <v>461</v>
      </c>
      <c r="Z76" s="16">
        <f t="shared" si="57"/>
        <v>0</v>
      </c>
      <c r="AB76" s="16">
        <f t="shared" si="58"/>
        <v>0</v>
      </c>
      <c r="AC76" s="16">
        <f t="shared" si="59"/>
        <v>0</v>
      </c>
      <c r="AD76" s="16" t="e">
        <f t="shared" si="60"/>
        <v>#REF!</v>
      </c>
      <c r="AE76" s="16" t="e">
        <f t="shared" si="61"/>
        <v>#REF!</v>
      </c>
      <c r="AF76" s="16">
        <f t="shared" si="62"/>
        <v>0</v>
      </c>
      <c r="AG76" s="16">
        <f t="shared" si="63"/>
        <v>0</v>
      </c>
      <c r="AH76" s="16">
        <f t="shared" si="64"/>
        <v>0</v>
      </c>
      <c r="AI76" s="13" t="s">
        <v>77</v>
      </c>
      <c r="AJ76" s="16">
        <f t="shared" si="65"/>
        <v>0</v>
      </c>
      <c r="AK76" s="16" t="e">
        <f t="shared" si="66"/>
        <v>#REF!</v>
      </c>
      <c r="AL76" s="16">
        <f t="shared" si="67"/>
        <v>0</v>
      </c>
      <c r="AN76" s="16">
        <v>12</v>
      </c>
      <c r="AO76" s="16" t="e">
        <f>H76*1</f>
        <v>#REF!</v>
      </c>
      <c r="AP76" s="16" t="e">
        <f>H76*(1-1)</f>
        <v>#REF!</v>
      </c>
      <c r="AQ76" s="56" t="s">
        <v>462</v>
      </c>
      <c r="AV76" s="16" t="e">
        <f t="shared" si="68"/>
        <v>#REF!</v>
      </c>
      <c r="AW76" s="16" t="e">
        <f t="shared" si="69"/>
        <v>#REF!</v>
      </c>
      <c r="AX76" s="16" t="e">
        <f t="shared" si="70"/>
        <v>#REF!</v>
      </c>
      <c r="AY76" s="56" t="s">
        <v>493</v>
      </c>
      <c r="AZ76" s="56" t="s">
        <v>494</v>
      </c>
      <c r="BA76" s="13" t="s">
        <v>495</v>
      </c>
      <c r="BC76" s="16" t="e">
        <f t="shared" si="71"/>
        <v>#REF!</v>
      </c>
      <c r="BD76" s="16" t="e">
        <f t="shared" si="72"/>
        <v>#REF!</v>
      </c>
      <c r="BE76" s="16">
        <v>0</v>
      </c>
      <c r="BF76" s="16" t="e">
        <f t="shared" si="73"/>
        <v>#REF!</v>
      </c>
      <c r="BH76" s="16" t="e">
        <f t="shared" si="74"/>
        <v>#REF!</v>
      </c>
      <c r="BI76" s="16" t="e">
        <f t="shared" si="75"/>
        <v>#REF!</v>
      </c>
      <c r="BJ76" s="16" t="e">
        <f t="shared" si="76"/>
        <v>#REF!</v>
      </c>
      <c r="BK76" s="16"/>
      <c r="BL76" s="16">
        <v>722</v>
      </c>
      <c r="BW76" s="16" t="str">
        <f t="shared" si="77"/>
        <v>12</v>
      </c>
      <c r="BX76" s="3" t="s">
        <v>139</v>
      </c>
    </row>
    <row r="77" spans="1:76" x14ac:dyDescent="0.25">
      <c r="A77" s="1" t="s">
        <v>524</v>
      </c>
      <c r="B77" s="2" t="s">
        <v>77</v>
      </c>
      <c r="C77" s="2" t="s">
        <v>140</v>
      </c>
      <c r="D77" s="77" t="s">
        <v>141</v>
      </c>
      <c r="E77" s="71"/>
      <c r="F77" s="2" t="s">
        <v>35</v>
      </c>
      <c r="G77" s="16" t="e">
        <f>'Rozpočet - vybrané sloupce'!#REF!</f>
        <v>#REF!</v>
      </c>
      <c r="H77" s="16" t="e">
        <f>'Rozpočet - vybrané sloupce'!#REF!</f>
        <v>#REF!</v>
      </c>
      <c r="I77" s="56" t="s">
        <v>460</v>
      </c>
      <c r="J77" s="16" t="e">
        <f t="shared" si="52"/>
        <v>#REF!</v>
      </c>
      <c r="K77" s="16" t="e">
        <f t="shared" si="53"/>
        <v>#REF!</v>
      </c>
      <c r="L77" s="16" t="e">
        <f t="shared" si="54"/>
        <v>#REF!</v>
      </c>
      <c r="M77" s="16" t="e">
        <f t="shared" si="55"/>
        <v>#REF!</v>
      </c>
      <c r="N77" s="16">
        <v>0</v>
      </c>
      <c r="O77" s="16" t="e">
        <f t="shared" si="56"/>
        <v>#REF!</v>
      </c>
      <c r="P77" s="57" t="s">
        <v>461</v>
      </c>
      <c r="Z77" s="16">
        <f t="shared" si="57"/>
        <v>0</v>
      </c>
      <c r="AB77" s="16">
        <f t="shared" si="58"/>
        <v>0</v>
      </c>
      <c r="AC77" s="16">
        <f t="shared" si="59"/>
        <v>0</v>
      </c>
      <c r="AD77" s="16" t="e">
        <f t="shared" si="60"/>
        <v>#REF!</v>
      </c>
      <c r="AE77" s="16" t="e">
        <f t="shared" si="61"/>
        <v>#REF!</v>
      </c>
      <c r="AF77" s="16">
        <f t="shared" si="62"/>
        <v>0</v>
      </c>
      <c r="AG77" s="16">
        <f t="shared" si="63"/>
        <v>0</v>
      </c>
      <c r="AH77" s="16">
        <f t="shared" si="64"/>
        <v>0</v>
      </c>
      <c r="AI77" s="13" t="s">
        <v>77</v>
      </c>
      <c r="AJ77" s="16">
        <f t="shared" si="65"/>
        <v>0</v>
      </c>
      <c r="AK77" s="16" t="e">
        <f t="shared" si="66"/>
        <v>#REF!</v>
      </c>
      <c r="AL77" s="16">
        <f t="shared" si="67"/>
        <v>0</v>
      </c>
      <c r="AN77" s="16">
        <v>12</v>
      </c>
      <c r="AO77" s="16" t="e">
        <f>H77*0.066011952</f>
        <v>#REF!</v>
      </c>
      <c r="AP77" s="16" t="e">
        <f>H77*(1-0.066011952)</f>
        <v>#REF!</v>
      </c>
      <c r="AQ77" s="56" t="s">
        <v>462</v>
      </c>
      <c r="AV77" s="16" t="e">
        <f t="shared" si="68"/>
        <v>#REF!</v>
      </c>
      <c r="AW77" s="16" t="e">
        <f t="shared" si="69"/>
        <v>#REF!</v>
      </c>
      <c r="AX77" s="16" t="e">
        <f t="shared" si="70"/>
        <v>#REF!</v>
      </c>
      <c r="AY77" s="56" t="s">
        <v>493</v>
      </c>
      <c r="AZ77" s="56" t="s">
        <v>494</v>
      </c>
      <c r="BA77" s="13" t="s">
        <v>495</v>
      </c>
      <c r="BC77" s="16" t="e">
        <f t="shared" si="71"/>
        <v>#REF!</v>
      </c>
      <c r="BD77" s="16" t="e">
        <f t="shared" si="72"/>
        <v>#REF!</v>
      </c>
      <c r="BE77" s="16">
        <v>0</v>
      </c>
      <c r="BF77" s="16" t="e">
        <f t="shared" si="73"/>
        <v>#REF!</v>
      </c>
      <c r="BH77" s="16" t="e">
        <f t="shared" si="74"/>
        <v>#REF!</v>
      </c>
      <c r="BI77" s="16" t="e">
        <f t="shared" si="75"/>
        <v>#REF!</v>
      </c>
      <c r="BJ77" s="16" t="e">
        <f t="shared" si="76"/>
        <v>#REF!</v>
      </c>
      <c r="BK77" s="16"/>
      <c r="BL77" s="16">
        <v>722</v>
      </c>
      <c r="BW77" s="16" t="str">
        <f t="shared" si="77"/>
        <v>12</v>
      </c>
      <c r="BX77" s="3" t="s">
        <v>141</v>
      </c>
    </row>
    <row r="78" spans="1:76" x14ac:dyDescent="0.25">
      <c r="A78" s="1" t="s">
        <v>525</v>
      </c>
      <c r="B78" s="2" t="s">
        <v>77</v>
      </c>
      <c r="C78" s="2" t="s">
        <v>142</v>
      </c>
      <c r="D78" s="77" t="s">
        <v>143</v>
      </c>
      <c r="E78" s="71"/>
      <c r="F78" s="2" t="s">
        <v>35</v>
      </c>
      <c r="G78" s="16" t="e">
        <f>'Rozpočet - vybrané sloupce'!#REF!</f>
        <v>#REF!</v>
      </c>
      <c r="H78" s="16" t="e">
        <f>'Rozpočet - vybrané sloupce'!#REF!</f>
        <v>#REF!</v>
      </c>
      <c r="I78" s="56" t="s">
        <v>460</v>
      </c>
      <c r="J78" s="16" t="e">
        <f t="shared" si="52"/>
        <v>#REF!</v>
      </c>
      <c r="K78" s="16" t="e">
        <f t="shared" si="53"/>
        <v>#REF!</v>
      </c>
      <c r="L78" s="16" t="e">
        <f t="shared" si="54"/>
        <v>#REF!</v>
      </c>
      <c r="M78" s="16" t="e">
        <f t="shared" si="55"/>
        <v>#REF!</v>
      </c>
      <c r="N78" s="16">
        <v>0</v>
      </c>
      <c r="O78" s="16" t="e">
        <f t="shared" si="56"/>
        <v>#REF!</v>
      </c>
      <c r="P78" s="57" t="s">
        <v>461</v>
      </c>
      <c r="Z78" s="16">
        <f t="shared" si="57"/>
        <v>0</v>
      </c>
      <c r="AB78" s="16">
        <f t="shared" si="58"/>
        <v>0</v>
      </c>
      <c r="AC78" s="16">
        <f t="shared" si="59"/>
        <v>0</v>
      </c>
      <c r="AD78" s="16" t="e">
        <f t="shared" si="60"/>
        <v>#REF!</v>
      </c>
      <c r="AE78" s="16" t="e">
        <f t="shared" si="61"/>
        <v>#REF!</v>
      </c>
      <c r="AF78" s="16">
        <f t="shared" si="62"/>
        <v>0</v>
      </c>
      <c r="AG78" s="16">
        <f t="shared" si="63"/>
        <v>0</v>
      </c>
      <c r="AH78" s="16">
        <f t="shared" si="64"/>
        <v>0</v>
      </c>
      <c r="AI78" s="13" t="s">
        <v>77</v>
      </c>
      <c r="AJ78" s="16">
        <f t="shared" si="65"/>
        <v>0</v>
      </c>
      <c r="AK78" s="16" t="e">
        <f t="shared" si="66"/>
        <v>#REF!</v>
      </c>
      <c r="AL78" s="16">
        <f t="shared" si="67"/>
        <v>0</v>
      </c>
      <c r="AN78" s="16">
        <v>12</v>
      </c>
      <c r="AO78" s="16" t="e">
        <f>H78*1</f>
        <v>#REF!</v>
      </c>
      <c r="AP78" s="16" t="e">
        <f>H78*(1-1)</f>
        <v>#REF!</v>
      </c>
      <c r="AQ78" s="56" t="s">
        <v>462</v>
      </c>
      <c r="AV78" s="16" t="e">
        <f t="shared" si="68"/>
        <v>#REF!</v>
      </c>
      <c r="AW78" s="16" t="e">
        <f t="shared" si="69"/>
        <v>#REF!</v>
      </c>
      <c r="AX78" s="16" t="e">
        <f t="shared" si="70"/>
        <v>#REF!</v>
      </c>
      <c r="AY78" s="56" t="s">
        <v>493</v>
      </c>
      <c r="AZ78" s="56" t="s">
        <v>494</v>
      </c>
      <c r="BA78" s="13" t="s">
        <v>495</v>
      </c>
      <c r="BC78" s="16" t="e">
        <f t="shared" si="71"/>
        <v>#REF!</v>
      </c>
      <c r="BD78" s="16" t="e">
        <f t="shared" si="72"/>
        <v>#REF!</v>
      </c>
      <c r="BE78" s="16">
        <v>0</v>
      </c>
      <c r="BF78" s="16" t="e">
        <f t="shared" si="73"/>
        <v>#REF!</v>
      </c>
      <c r="BH78" s="16" t="e">
        <f t="shared" si="74"/>
        <v>#REF!</v>
      </c>
      <c r="BI78" s="16" t="e">
        <f t="shared" si="75"/>
        <v>#REF!</v>
      </c>
      <c r="BJ78" s="16" t="e">
        <f t="shared" si="76"/>
        <v>#REF!</v>
      </c>
      <c r="BK78" s="16"/>
      <c r="BL78" s="16">
        <v>722</v>
      </c>
      <c r="BW78" s="16" t="str">
        <f t="shared" si="77"/>
        <v>12</v>
      </c>
      <c r="BX78" s="3" t="s">
        <v>143</v>
      </c>
    </row>
    <row r="79" spans="1:76" x14ac:dyDescent="0.25">
      <c r="A79" s="1" t="s">
        <v>526</v>
      </c>
      <c r="B79" s="2" t="s">
        <v>77</v>
      </c>
      <c r="C79" s="2" t="s">
        <v>144</v>
      </c>
      <c r="D79" s="77" t="s">
        <v>145</v>
      </c>
      <c r="E79" s="71"/>
      <c r="F79" s="2" t="s">
        <v>40</v>
      </c>
      <c r="G79" s="16" t="e">
        <f>'Rozpočet - vybrané sloupce'!#REF!</f>
        <v>#REF!</v>
      </c>
      <c r="H79" s="16" t="e">
        <f>'Rozpočet - vybrané sloupce'!#REF!</f>
        <v>#REF!</v>
      </c>
      <c r="I79" s="56" t="s">
        <v>460</v>
      </c>
      <c r="J79" s="16" t="e">
        <f t="shared" si="52"/>
        <v>#REF!</v>
      </c>
      <c r="K79" s="16" t="e">
        <f t="shared" si="53"/>
        <v>#REF!</v>
      </c>
      <c r="L79" s="16" t="e">
        <f t="shared" si="54"/>
        <v>#REF!</v>
      </c>
      <c r="M79" s="16" t="e">
        <f t="shared" si="55"/>
        <v>#REF!</v>
      </c>
      <c r="N79" s="16">
        <v>3.8999999999999999E-4</v>
      </c>
      <c r="O79" s="16" t="e">
        <f t="shared" si="56"/>
        <v>#REF!</v>
      </c>
      <c r="P79" s="57" t="s">
        <v>461</v>
      </c>
      <c r="Z79" s="16">
        <f t="shared" si="57"/>
        <v>0</v>
      </c>
      <c r="AB79" s="16">
        <f t="shared" si="58"/>
        <v>0</v>
      </c>
      <c r="AC79" s="16">
        <f t="shared" si="59"/>
        <v>0</v>
      </c>
      <c r="AD79" s="16" t="e">
        <f t="shared" si="60"/>
        <v>#REF!</v>
      </c>
      <c r="AE79" s="16" t="e">
        <f t="shared" si="61"/>
        <v>#REF!</v>
      </c>
      <c r="AF79" s="16">
        <f t="shared" si="62"/>
        <v>0</v>
      </c>
      <c r="AG79" s="16">
        <f t="shared" si="63"/>
        <v>0</v>
      </c>
      <c r="AH79" s="16">
        <f t="shared" si="64"/>
        <v>0</v>
      </c>
      <c r="AI79" s="13" t="s">
        <v>77</v>
      </c>
      <c r="AJ79" s="16">
        <f t="shared" si="65"/>
        <v>0</v>
      </c>
      <c r="AK79" s="16" t="e">
        <f t="shared" si="66"/>
        <v>#REF!</v>
      </c>
      <c r="AL79" s="16">
        <f t="shared" si="67"/>
        <v>0</v>
      </c>
      <c r="AN79" s="16">
        <v>12</v>
      </c>
      <c r="AO79" s="16" t="e">
        <f>H79*0.615626667</f>
        <v>#REF!</v>
      </c>
      <c r="AP79" s="16" t="e">
        <f>H79*(1-0.615626667)</f>
        <v>#REF!</v>
      </c>
      <c r="AQ79" s="56" t="s">
        <v>462</v>
      </c>
      <c r="AV79" s="16" t="e">
        <f t="shared" si="68"/>
        <v>#REF!</v>
      </c>
      <c r="AW79" s="16" t="e">
        <f t="shared" si="69"/>
        <v>#REF!</v>
      </c>
      <c r="AX79" s="16" t="e">
        <f t="shared" si="70"/>
        <v>#REF!</v>
      </c>
      <c r="AY79" s="56" t="s">
        <v>493</v>
      </c>
      <c r="AZ79" s="56" t="s">
        <v>494</v>
      </c>
      <c r="BA79" s="13" t="s">
        <v>495</v>
      </c>
      <c r="BC79" s="16" t="e">
        <f t="shared" si="71"/>
        <v>#REF!</v>
      </c>
      <c r="BD79" s="16" t="e">
        <f t="shared" si="72"/>
        <v>#REF!</v>
      </c>
      <c r="BE79" s="16">
        <v>0</v>
      </c>
      <c r="BF79" s="16" t="e">
        <f t="shared" si="73"/>
        <v>#REF!</v>
      </c>
      <c r="BH79" s="16" t="e">
        <f t="shared" si="74"/>
        <v>#REF!</v>
      </c>
      <c r="BI79" s="16" t="e">
        <f t="shared" si="75"/>
        <v>#REF!</v>
      </c>
      <c r="BJ79" s="16" t="e">
        <f t="shared" si="76"/>
        <v>#REF!</v>
      </c>
      <c r="BK79" s="16"/>
      <c r="BL79" s="16">
        <v>722</v>
      </c>
      <c r="BW79" s="16" t="str">
        <f t="shared" si="77"/>
        <v>12</v>
      </c>
      <c r="BX79" s="3" t="s">
        <v>145</v>
      </c>
    </row>
    <row r="80" spans="1:76" x14ac:dyDescent="0.25">
      <c r="A80" s="1" t="s">
        <v>527</v>
      </c>
      <c r="B80" s="2" t="s">
        <v>77</v>
      </c>
      <c r="C80" s="2" t="s">
        <v>146</v>
      </c>
      <c r="D80" s="77" t="s">
        <v>147</v>
      </c>
      <c r="E80" s="71"/>
      <c r="F80" s="2" t="s">
        <v>31</v>
      </c>
      <c r="G80" s="16" t="e">
        <f>'Rozpočet - vybrané sloupce'!#REF!</f>
        <v>#REF!</v>
      </c>
      <c r="H80" s="16" t="e">
        <f>'Rozpočet - vybrané sloupce'!#REF!</f>
        <v>#REF!</v>
      </c>
      <c r="I80" s="56" t="s">
        <v>460</v>
      </c>
      <c r="J80" s="16" t="e">
        <f t="shared" si="52"/>
        <v>#REF!</v>
      </c>
      <c r="K80" s="16" t="e">
        <f t="shared" si="53"/>
        <v>#REF!</v>
      </c>
      <c r="L80" s="16" t="e">
        <f t="shared" si="54"/>
        <v>#REF!</v>
      </c>
      <c r="M80" s="16" t="e">
        <f t="shared" si="55"/>
        <v>#REF!</v>
      </c>
      <c r="N80" s="16">
        <v>0</v>
      </c>
      <c r="O80" s="16" t="e">
        <f t="shared" si="56"/>
        <v>#REF!</v>
      </c>
      <c r="P80" s="57" t="s">
        <v>461</v>
      </c>
      <c r="Z80" s="16">
        <f t="shared" si="57"/>
        <v>0</v>
      </c>
      <c r="AB80" s="16">
        <f t="shared" si="58"/>
        <v>0</v>
      </c>
      <c r="AC80" s="16">
        <f t="shared" si="59"/>
        <v>0</v>
      </c>
      <c r="AD80" s="16" t="e">
        <f t="shared" si="60"/>
        <v>#REF!</v>
      </c>
      <c r="AE80" s="16" t="e">
        <f t="shared" si="61"/>
        <v>#REF!</v>
      </c>
      <c r="AF80" s="16">
        <f t="shared" si="62"/>
        <v>0</v>
      </c>
      <c r="AG80" s="16">
        <f t="shared" si="63"/>
        <v>0</v>
      </c>
      <c r="AH80" s="16">
        <f t="shared" si="64"/>
        <v>0</v>
      </c>
      <c r="AI80" s="13" t="s">
        <v>77</v>
      </c>
      <c r="AJ80" s="16">
        <f t="shared" si="65"/>
        <v>0</v>
      </c>
      <c r="AK80" s="16" t="e">
        <f t="shared" si="66"/>
        <v>#REF!</v>
      </c>
      <c r="AL80" s="16">
        <f t="shared" si="67"/>
        <v>0</v>
      </c>
      <c r="AN80" s="16">
        <v>12</v>
      </c>
      <c r="AO80" s="16" t="e">
        <f>H80*0.014886076</f>
        <v>#REF!</v>
      </c>
      <c r="AP80" s="16" t="e">
        <f>H80*(1-0.014886076)</f>
        <v>#REF!</v>
      </c>
      <c r="AQ80" s="56" t="s">
        <v>462</v>
      </c>
      <c r="AV80" s="16" t="e">
        <f t="shared" si="68"/>
        <v>#REF!</v>
      </c>
      <c r="AW80" s="16" t="e">
        <f t="shared" si="69"/>
        <v>#REF!</v>
      </c>
      <c r="AX80" s="16" t="e">
        <f t="shared" si="70"/>
        <v>#REF!</v>
      </c>
      <c r="AY80" s="56" t="s">
        <v>493</v>
      </c>
      <c r="AZ80" s="56" t="s">
        <v>494</v>
      </c>
      <c r="BA80" s="13" t="s">
        <v>495</v>
      </c>
      <c r="BC80" s="16" t="e">
        <f t="shared" si="71"/>
        <v>#REF!</v>
      </c>
      <c r="BD80" s="16" t="e">
        <f t="shared" si="72"/>
        <v>#REF!</v>
      </c>
      <c r="BE80" s="16">
        <v>0</v>
      </c>
      <c r="BF80" s="16" t="e">
        <f t="shared" si="73"/>
        <v>#REF!</v>
      </c>
      <c r="BH80" s="16" t="e">
        <f t="shared" si="74"/>
        <v>#REF!</v>
      </c>
      <c r="BI80" s="16" t="e">
        <f t="shared" si="75"/>
        <v>#REF!</v>
      </c>
      <c r="BJ80" s="16" t="e">
        <f t="shared" si="76"/>
        <v>#REF!</v>
      </c>
      <c r="BK80" s="16"/>
      <c r="BL80" s="16">
        <v>722</v>
      </c>
      <c r="BW80" s="16" t="str">
        <f t="shared" si="77"/>
        <v>12</v>
      </c>
      <c r="BX80" s="3" t="s">
        <v>147</v>
      </c>
    </row>
    <row r="81" spans="1:76" x14ac:dyDescent="0.25">
      <c r="A81" s="1" t="s">
        <v>528</v>
      </c>
      <c r="B81" s="2" t="s">
        <v>77</v>
      </c>
      <c r="C81" s="2" t="s">
        <v>148</v>
      </c>
      <c r="D81" s="77" t="s">
        <v>149</v>
      </c>
      <c r="E81" s="71"/>
      <c r="F81" s="2" t="s">
        <v>31</v>
      </c>
      <c r="G81" s="16" t="e">
        <f>'Rozpočet - vybrané sloupce'!#REF!</f>
        <v>#REF!</v>
      </c>
      <c r="H81" s="16" t="e">
        <f>'Rozpočet - vybrané sloupce'!#REF!</f>
        <v>#REF!</v>
      </c>
      <c r="I81" s="56" t="s">
        <v>460</v>
      </c>
      <c r="J81" s="16" t="e">
        <f t="shared" si="52"/>
        <v>#REF!</v>
      </c>
      <c r="K81" s="16" t="e">
        <f t="shared" si="53"/>
        <v>#REF!</v>
      </c>
      <c r="L81" s="16" t="e">
        <f t="shared" si="54"/>
        <v>#REF!</v>
      </c>
      <c r="M81" s="16" t="e">
        <f t="shared" si="55"/>
        <v>#REF!</v>
      </c>
      <c r="N81" s="16">
        <v>0</v>
      </c>
      <c r="O81" s="16" t="e">
        <f t="shared" si="56"/>
        <v>#REF!</v>
      </c>
      <c r="P81" s="57" t="s">
        <v>461</v>
      </c>
      <c r="Z81" s="16">
        <f t="shared" si="57"/>
        <v>0</v>
      </c>
      <c r="AB81" s="16">
        <f t="shared" si="58"/>
        <v>0</v>
      </c>
      <c r="AC81" s="16">
        <f t="shared" si="59"/>
        <v>0</v>
      </c>
      <c r="AD81" s="16" t="e">
        <f t="shared" si="60"/>
        <v>#REF!</v>
      </c>
      <c r="AE81" s="16" t="e">
        <f t="shared" si="61"/>
        <v>#REF!</v>
      </c>
      <c r="AF81" s="16">
        <f t="shared" si="62"/>
        <v>0</v>
      </c>
      <c r="AG81" s="16">
        <f t="shared" si="63"/>
        <v>0</v>
      </c>
      <c r="AH81" s="16">
        <f t="shared" si="64"/>
        <v>0</v>
      </c>
      <c r="AI81" s="13" t="s">
        <v>77</v>
      </c>
      <c r="AJ81" s="16">
        <f t="shared" si="65"/>
        <v>0</v>
      </c>
      <c r="AK81" s="16" t="e">
        <f t="shared" si="66"/>
        <v>#REF!</v>
      </c>
      <c r="AL81" s="16">
        <f t="shared" si="67"/>
        <v>0</v>
      </c>
      <c r="AN81" s="16">
        <v>12</v>
      </c>
      <c r="AO81" s="16" t="e">
        <f>H81*0.016922516</f>
        <v>#REF!</v>
      </c>
      <c r="AP81" s="16" t="e">
        <f>H81*(1-0.016922516)</f>
        <v>#REF!</v>
      </c>
      <c r="AQ81" s="56" t="s">
        <v>462</v>
      </c>
      <c r="AV81" s="16" t="e">
        <f t="shared" si="68"/>
        <v>#REF!</v>
      </c>
      <c r="AW81" s="16" t="e">
        <f t="shared" si="69"/>
        <v>#REF!</v>
      </c>
      <c r="AX81" s="16" t="e">
        <f t="shared" si="70"/>
        <v>#REF!</v>
      </c>
      <c r="AY81" s="56" t="s">
        <v>493</v>
      </c>
      <c r="AZ81" s="56" t="s">
        <v>494</v>
      </c>
      <c r="BA81" s="13" t="s">
        <v>495</v>
      </c>
      <c r="BC81" s="16" t="e">
        <f t="shared" si="71"/>
        <v>#REF!</v>
      </c>
      <c r="BD81" s="16" t="e">
        <f t="shared" si="72"/>
        <v>#REF!</v>
      </c>
      <c r="BE81" s="16">
        <v>0</v>
      </c>
      <c r="BF81" s="16" t="e">
        <f t="shared" si="73"/>
        <v>#REF!</v>
      </c>
      <c r="BH81" s="16" t="e">
        <f t="shared" si="74"/>
        <v>#REF!</v>
      </c>
      <c r="BI81" s="16" t="e">
        <f t="shared" si="75"/>
        <v>#REF!</v>
      </c>
      <c r="BJ81" s="16" t="e">
        <f t="shared" si="76"/>
        <v>#REF!</v>
      </c>
      <c r="BK81" s="16"/>
      <c r="BL81" s="16">
        <v>722</v>
      </c>
      <c r="BW81" s="16" t="str">
        <f t="shared" si="77"/>
        <v>12</v>
      </c>
      <c r="BX81" s="3" t="s">
        <v>149</v>
      </c>
    </row>
    <row r="82" spans="1:76" x14ac:dyDescent="0.25">
      <c r="A82" s="1" t="s">
        <v>529</v>
      </c>
      <c r="B82" s="2" t="s">
        <v>77</v>
      </c>
      <c r="C82" s="2" t="s">
        <v>150</v>
      </c>
      <c r="D82" s="77" t="s">
        <v>151</v>
      </c>
      <c r="E82" s="71"/>
      <c r="F82" s="2" t="s">
        <v>31</v>
      </c>
      <c r="G82" s="16" t="e">
        <f>'Rozpočet - vybrané sloupce'!#REF!</f>
        <v>#REF!</v>
      </c>
      <c r="H82" s="16" t="e">
        <f>'Rozpočet - vybrané sloupce'!#REF!</f>
        <v>#REF!</v>
      </c>
      <c r="I82" s="56" t="s">
        <v>460</v>
      </c>
      <c r="J82" s="16" t="e">
        <f t="shared" si="52"/>
        <v>#REF!</v>
      </c>
      <c r="K82" s="16" t="e">
        <f t="shared" si="53"/>
        <v>#REF!</v>
      </c>
      <c r="L82" s="16" t="e">
        <f t="shared" si="54"/>
        <v>#REF!</v>
      </c>
      <c r="M82" s="16" t="e">
        <f t="shared" si="55"/>
        <v>#REF!</v>
      </c>
      <c r="N82" s="16">
        <v>0</v>
      </c>
      <c r="O82" s="16" t="e">
        <f t="shared" si="56"/>
        <v>#REF!</v>
      </c>
      <c r="P82" s="57" t="s">
        <v>461</v>
      </c>
      <c r="Z82" s="16">
        <f t="shared" si="57"/>
        <v>0</v>
      </c>
      <c r="AB82" s="16">
        <f t="shared" si="58"/>
        <v>0</v>
      </c>
      <c r="AC82" s="16">
        <f t="shared" si="59"/>
        <v>0</v>
      </c>
      <c r="AD82" s="16" t="e">
        <f t="shared" si="60"/>
        <v>#REF!</v>
      </c>
      <c r="AE82" s="16" t="e">
        <f t="shared" si="61"/>
        <v>#REF!</v>
      </c>
      <c r="AF82" s="16">
        <f t="shared" si="62"/>
        <v>0</v>
      </c>
      <c r="AG82" s="16">
        <f t="shared" si="63"/>
        <v>0</v>
      </c>
      <c r="AH82" s="16">
        <f t="shared" si="64"/>
        <v>0</v>
      </c>
      <c r="AI82" s="13" t="s">
        <v>77</v>
      </c>
      <c r="AJ82" s="16">
        <f t="shared" si="65"/>
        <v>0</v>
      </c>
      <c r="AK82" s="16" t="e">
        <f t="shared" si="66"/>
        <v>#REF!</v>
      </c>
      <c r="AL82" s="16">
        <f t="shared" si="67"/>
        <v>0</v>
      </c>
      <c r="AN82" s="16">
        <v>12</v>
      </c>
      <c r="AO82" s="16" t="e">
        <f>H82*0.019768621</f>
        <v>#REF!</v>
      </c>
      <c r="AP82" s="16" t="e">
        <f>H82*(1-0.019768621)</f>
        <v>#REF!</v>
      </c>
      <c r="AQ82" s="56" t="s">
        <v>462</v>
      </c>
      <c r="AV82" s="16" t="e">
        <f t="shared" si="68"/>
        <v>#REF!</v>
      </c>
      <c r="AW82" s="16" t="e">
        <f t="shared" si="69"/>
        <v>#REF!</v>
      </c>
      <c r="AX82" s="16" t="e">
        <f t="shared" si="70"/>
        <v>#REF!</v>
      </c>
      <c r="AY82" s="56" t="s">
        <v>493</v>
      </c>
      <c r="AZ82" s="56" t="s">
        <v>494</v>
      </c>
      <c r="BA82" s="13" t="s">
        <v>495</v>
      </c>
      <c r="BC82" s="16" t="e">
        <f t="shared" si="71"/>
        <v>#REF!</v>
      </c>
      <c r="BD82" s="16" t="e">
        <f t="shared" si="72"/>
        <v>#REF!</v>
      </c>
      <c r="BE82" s="16">
        <v>0</v>
      </c>
      <c r="BF82" s="16" t="e">
        <f t="shared" si="73"/>
        <v>#REF!</v>
      </c>
      <c r="BH82" s="16" t="e">
        <f t="shared" si="74"/>
        <v>#REF!</v>
      </c>
      <c r="BI82" s="16" t="e">
        <f t="shared" si="75"/>
        <v>#REF!</v>
      </c>
      <c r="BJ82" s="16" t="e">
        <f t="shared" si="76"/>
        <v>#REF!</v>
      </c>
      <c r="BK82" s="16"/>
      <c r="BL82" s="16">
        <v>722</v>
      </c>
      <c r="BW82" s="16" t="str">
        <f t="shared" si="77"/>
        <v>12</v>
      </c>
      <c r="BX82" s="3" t="s">
        <v>151</v>
      </c>
    </row>
    <row r="83" spans="1:76" x14ac:dyDescent="0.25">
      <c r="A83" s="1" t="s">
        <v>530</v>
      </c>
      <c r="B83" s="2" t="s">
        <v>77</v>
      </c>
      <c r="C83" s="2" t="s">
        <v>152</v>
      </c>
      <c r="D83" s="77" t="s">
        <v>153</v>
      </c>
      <c r="E83" s="71"/>
      <c r="F83" s="2" t="s">
        <v>76</v>
      </c>
      <c r="G83" s="16" t="e">
        <f>'Rozpočet - vybrané sloupce'!#REF!</f>
        <v>#REF!</v>
      </c>
      <c r="H83" s="16" t="e">
        <f>'Rozpočet - vybrané sloupce'!#REF!</f>
        <v>#REF!</v>
      </c>
      <c r="I83" s="56" t="s">
        <v>460</v>
      </c>
      <c r="J83" s="16" t="e">
        <f t="shared" si="52"/>
        <v>#REF!</v>
      </c>
      <c r="K83" s="16" t="e">
        <f t="shared" si="53"/>
        <v>#REF!</v>
      </c>
      <c r="L83" s="16" t="e">
        <f t="shared" si="54"/>
        <v>#REF!</v>
      </c>
      <c r="M83" s="16" t="e">
        <f t="shared" si="55"/>
        <v>#REF!</v>
      </c>
      <c r="N83" s="16">
        <v>0</v>
      </c>
      <c r="O83" s="16" t="e">
        <f t="shared" si="56"/>
        <v>#REF!</v>
      </c>
      <c r="P83" s="57" t="s">
        <v>461</v>
      </c>
      <c r="Z83" s="16">
        <f t="shared" si="57"/>
        <v>0</v>
      </c>
      <c r="AB83" s="16">
        <f t="shared" si="58"/>
        <v>0</v>
      </c>
      <c r="AC83" s="16">
        <f t="shared" si="59"/>
        <v>0</v>
      </c>
      <c r="AD83" s="16" t="e">
        <f t="shared" si="60"/>
        <v>#REF!</v>
      </c>
      <c r="AE83" s="16" t="e">
        <f t="shared" si="61"/>
        <v>#REF!</v>
      </c>
      <c r="AF83" s="16">
        <f t="shared" si="62"/>
        <v>0</v>
      </c>
      <c r="AG83" s="16">
        <f t="shared" si="63"/>
        <v>0</v>
      </c>
      <c r="AH83" s="16">
        <f t="shared" si="64"/>
        <v>0</v>
      </c>
      <c r="AI83" s="13" t="s">
        <v>77</v>
      </c>
      <c r="AJ83" s="16">
        <f t="shared" si="65"/>
        <v>0</v>
      </c>
      <c r="AK83" s="16" t="e">
        <f t="shared" si="66"/>
        <v>#REF!</v>
      </c>
      <c r="AL83" s="16">
        <f t="shared" si="67"/>
        <v>0</v>
      </c>
      <c r="AN83" s="16">
        <v>12</v>
      </c>
      <c r="AO83" s="16" t="e">
        <f>H83*0</f>
        <v>#REF!</v>
      </c>
      <c r="AP83" s="16" t="e">
        <f>H83*(1-0)</f>
        <v>#REF!</v>
      </c>
      <c r="AQ83" s="56" t="s">
        <v>462</v>
      </c>
      <c r="AV83" s="16" t="e">
        <f t="shared" si="68"/>
        <v>#REF!</v>
      </c>
      <c r="AW83" s="16" t="e">
        <f t="shared" si="69"/>
        <v>#REF!</v>
      </c>
      <c r="AX83" s="16" t="e">
        <f t="shared" si="70"/>
        <v>#REF!</v>
      </c>
      <c r="AY83" s="56" t="s">
        <v>493</v>
      </c>
      <c r="AZ83" s="56" t="s">
        <v>494</v>
      </c>
      <c r="BA83" s="13" t="s">
        <v>495</v>
      </c>
      <c r="BC83" s="16" t="e">
        <f t="shared" si="71"/>
        <v>#REF!</v>
      </c>
      <c r="BD83" s="16" t="e">
        <f t="shared" si="72"/>
        <v>#REF!</v>
      </c>
      <c r="BE83" s="16">
        <v>0</v>
      </c>
      <c r="BF83" s="16" t="e">
        <f t="shared" si="73"/>
        <v>#REF!</v>
      </c>
      <c r="BH83" s="16" t="e">
        <f t="shared" si="74"/>
        <v>#REF!</v>
      </c>
      <c r="BI83" s="16" t="e">
        <f t="shared" si="75"/>
        <v>#REF!</v>
      </c>
      <c r="BJ83" s="16" t="e">
        <f t="shared" si="76"/>
        <v>#REF!</v>
      </c>
      <c r="BK83" s="16"/>
      <c r="BL83" s="16">
        <v>722</v>
      </c>
      <c r="BW83" s="16" t="str">
        <f t="shared" si="77"/>
        <v>12</v>
      </c>
      <c r="BX83" s="3" t="s">
        <v>153</v>
      </c>
    </row>
    <row r="84" spans="1:76" x14ac:dyDescent="0.25">
      <c r="A84" s="58"/>
      <c r="C84" s="59" t="s">
        <v>475</v>
      </c>
      <c r="D84" s="122" t="s">
        <v>531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4"/>
      <c r="BX84" s="60" t="s">
        <v>531</v>
      </c>
    </row>
    <row r="85" spans="1:76" x14ac:dyDescent="0.25">
      <c r="A85" s="1" t="s">
        <v>532</v>
      </c>
      <c r="B85" s="2" t="s">
        <v>77</v>
      </c>
      <c r="C85" s="2" t="s">
        <v>154</v>
      </c>
      <c r="D85" s="77" t="s">
        <v>155</v>
      </c>
      <c r="E85" s="71"/>
      <c r="F85" s="2" t="s">
        <v>43</v>
      </c>
      <c r="G85" s="16" t="e">
        <f>'Rozpočet - vybrané sloupce'!#REF!</f>
        <v>#REF!</v>
      </c>
      <c r="H85" s="16" t="e">
        <f>'Rozpočet - vybrané sloupce'!#REF!</f>
        <v>#REF!</v>
      </c>
      <c r="I85" s="56" t="s">
        <v>460</v>
      </c>
      <c r="J85" s="16" t="e">
        <f>G85*AO85</f>
        <v>#REF!</v>
      </c>
      <c r="K85" s="16" t="e">
        <f>G85*AP85</f>
        <v>#REF!</v>
      </c>
      <c r="L85" s="16" t="e">
        <f>G85*H85</f>
        <v>#REF!</v>
      </c>
      <c r="M85" s="16" t="e">
        <f>L85*(1+BW85/100)</f>
        <v>#REF!</v>
      </c>
      <c r="N85" s="16">
        <v>0</v>
      </c>
      <c r="O85" s="16" t="e">
        <f>G85*N85</f>
        <v>#REF!</v>
      </c>
      <c r="P85" s="57" t="s">
        <v>461</v>
      </c>
      <c r="Z85" s="16" t="e">
        <f>IF(AQ85="5",BJ85,0)</f>
        <v>#REF!</v>
      </c>
      <c r="AB85" s="16">
        <f>IF(AQ85="1",BH85,0)</f>
        <v>0</v>
      </c>
      <c r="AC85" s="16">
        <f>IF(AQ85="1",BI85,0)</f>
        <v>0</v>
      </c>
      <c r="AD85" s="16">
        <f>IF(AQ85="7",BH85,0)</f>
        <v>0</v>
      </c>
      <c r="AE85" s="16">
        <f>IF(AQ85="7",BI85,0)</f>
        <v>0</v>
      </c>
      <c r="AF85" s="16">
        <f>IF(AQ85="2",BH85,0)</f>
        <v>0</v>
      </c>
      <c r="AG85" s="16">
        <f>IF(AQ85="2",BI85,0)</f>
        <v>0</v>
      </c>
      <c r="AH85" s="16">
        <f>IF(AQ85="0",BJ85,0)</f>
        <v>0</v>
      </c>
      <c r="AI85" s="13" t="s">
        <v>77</v>
      </c>
      <c r="AJ85" s="16">
        <f>IF(AN85=0,L85,0)</f>
        <v>0</v>
      </c>
      <c r="AK85" s="16" t="e">
        <f>IF(AN85=12,L85,0)</f>
        <v>#REF!</v>
      </c>
      <c r="AL85" s="16">
        <f>IF(AN85=21,L85,0)</f>
        <v>0</v>
      </c>
      <c r="AN85" s="16">
        <v>12</v>
      </c>
      <c r="AO85" s="16" t="e">
        <f>H85*0</f>
        <v>#REF!</v>
      </c>
      <c r="AP85" s="16" t="e">
        <f>H85*(1-0)</f>
        <v>#REF!</v>
      </c>
      <c r="AQ85" s="56" t="s">
        <v>470</v>
      </c>
      <c r="AV85" s="16" t="e">
        <f>AW85+AX85</f>
        <v>#REF!</v>
      </c>
      <c r="AW85" s="16" t="e">
        <f>G85*AO85</f>
        <v>#REF!</v>
      </c>
      <c r="AX85" s="16" t="e">
        <f>G85*AP85</f>
        <v>#REF!</v>
      </c>
      <c r="AY85" s="56" t="s">
        <v>493</v>
      </c>
      <c r="AZ85" s="56" t="s">
        <v>494</v>
      </c>
      <c r="BA85" s="13" t="s">
        <v>495</v>
      </c>
      <c r="BC85" s="16" t="e">
        <f>AW85+AX85</f>
        <v>#REF!</v>
      </c>
      <c r="BD85" s="16" t="e">
        <f>H85/(100-BE85)*100</f>
        <v>#REF!</v>
      </c>
      <c r="BE85" s="16">
        <v>0</v>
      </c>
      <c r="BF85" s="16" t="e">
        <f>O85</f>
        <v>#REF!</v>
      </c>
      <c r="BH85" s="16" t="e">
        <f>G85*AO85</f>
        <v>#REF!</v>
      </c>
      <c r="BI85" s="16" t="e">
        <f>G85*AP85</f>
        <v>#REF!</v>
      </c>
      <c r="BJ85" s="16" t="e">
        <f>G85*H85</f>
        <v>#REF!</v>
      </c>
      <c r="BK85" s="16"/>
      <c r="BL85" s="16">
        <v>722</v>
      </c>
      <c r="BW85" s="16" t="str">
        <f>I85</f>
        <v>12</v>
      </c>
      <c r="BX85" s="3" t="s">
        <v>155</v>
      </c>
    </row>
    <row r="86" spans="1:76" x14ac:dyDescent="0.25">
      <c r="A86" s="53" t="s">
        <v>25</v>
      </c>
      <c r="B86" s="12" t="s">
        <v>156</v>
      </c>
      <c r="C86" s="12" t="s">
        <v>25</v>
      </c>
      <c r="D86" s="84" t="s">
        <v>157</v>
      </c>
      <c r="E86" s="85"/>
      <c r="F86" s="54" t="s">
        <v>23</v>
      </c>
      <c r="G86" s="54" t="s">
        <v>23</v>
      </c>
      <c r="H86" s="54" t="s">
        <v>23</v>
      </c>
      <c r="I86" s="54" t="s">
        <v>23</v>
      </c>
      <c r="J86" s="29" t="e">
        <f>J87+J121</f>
        <v>#REF!</v>
      </c>
      <c r="K86" s="29" t="e">
        <f>K87+K121</f>
        <v>#REF!</v>
      </c>
      <c r="L86" s="29" t="e">
        <f>L87+L121</f>
        <v>#REF!</v>
      </c>
      <c r="M86" s="29" t="e">
        <f>M87+M121</f>
        <v>#REF!</v>
      </c>
      <c r="N86" s="13" t="s">
        <v>25</v>
      </c>
      <c r="O86" s="29" t="e">
        <f>O87+O121</f>
        <v>#REF!</v>
      </c>
      <c r="P86" s="55" t="s">
        <v>25</v>
      </c>
    </row>
    <row r="87" spans="1:76" x14ac:dyDescent="0.25">
      <c r="A87" s="53" t="s">
        <v>25</v>
      </c>
      <c r="B87" s="12" t="s">
        <v>156</v>
      </c>
      <c r="C87" s="12" t="s">
        <v>79</v>
      </c>
      <c r="D87" s="84" t="s">
        <v>80</v>
      </c>
      <c r="E87" s="85"/>
      <c r="F87" s="54" t="s">
        <v>23</v>
      </c>
      <c r="G87" s="54" t="s">
        <v>23</v>
      </c>
      <c r="H87" s="54" t="s">
        <v>23</v>
      </c>
      <c r="I87" s="54" t="s">
        <v>23</v>
      </c>
      <c r="J87" s="29" t="e">
        <f>SUM(J88:J120)</f>
        <v>#REF!</v>
      </c>
      <c r="K87" s="29" t="e">
        <f>SUM(K88:K120)</f>
        <v>#REF!</v>
      </c>
      <c r="L87" s="29" t="e">
        <f>SUM(L88:L120)</f>
        <v>#REF!</v>
      </c>
      <c r="M87" s="29" t="e">
        <f>SUM(M88:M120)</f>
        <v>#REF!</v>
      </c>
      <c r="N87" s="13" t="s">
        <v>25</v>
      </c>
      <c r="O87" s="29" t="e">
        <f>SUM(O88:O120)</f>
        <v>#REF!</v>
      </c>
      <c r="P87" s="55" t="s">
        <v>25</v>
      </c>
      <c r="AI87" s="13" t="s">
        <v>156</v>
      </c>
      <c r="AS87" s="29">
        <f>SUM(AJ88:AJ120)</f>
        <v>0</v>
      </c>
      <c r="AT87" s="29" t="e">
        <f>SUM(AK88:AK120)</f>
        <v>#REF!</v>
      </c>
      <c r="AU87" s="29">
        <f>SUM(AL88:AL120)</f>
        <v>0</v>
      </c>
    </row>
    <row r="88" spans="1:76" x14ac:dyDescent="0.25">
      <c r="A88" s="1" t="s">
        <v>533</v>
      </c>
      <c r="B88" s="2" t="s">
        <v>156</v>
      </c>
      <c r="C88" s="2" t="s">
        <v>85</v>
      </c>
      <c r="D88" s="77" t="s">
        <v>158</v>
      </c>
      <c r="E88" s="71"/>
      <c r="F88" s="2" t="s">
        <v>31</v>
      </c>
      <c r="G88" s="16" t="e">
        <f>'Rozpočet - vybrané sloupce'!#REF!</f>
        <v>#REF!</v>
      </c>
      <c r="H88" s="16" t="e">
        <f>'Rozpočet - vybrané sloupce'!#REF!</f>
        <v>#REF!</v>
      </c>
      <c r="I88" s="56" t="s">
        <v>460</v>
      </c>
      <c r="J88" s="16" t="e">
        <f>G88*AO88</f>
        <v>#REF!</v>
      </c>
      <c r="K88" s="16" t="e">
        <f>G88*AP88</f>
        <v>#REF!</v>
      </c>
      <c r="L88" s="16" t="e">
        <f>G88*H88</f>
        <v>#REF!</v>
      </c>
      <c r="M88" s="16" t="e">
        <f>L88*(1+BW88/100)</f>
        <v>#REF!</v>
      </c>
      <c r="N88" s="16">
        <v>2.7999999999999998E-4</v>
      </c>
      <c r="O88" s="16" t="e">
        <f>G88*N88</f>
        <v>#REF!</v>
      </c>
      <c r="P88" s="57" t="s">
        <v>461</v>
      </c>
      <c r="Z88" s="16">
        <f>IF(AQ88="5",BJ88,0)</f>
        <v>0</v>
      </c>
      <c r="AB88" s="16">
        <f>IF(AQ88="1",BH88,0)</f>
        <v>0</v>
      </c>
      <c r="AC88" s="16">
        <f>IF(AQ88="1",BI88,0)</f>
        <v>0</v>
      </c>
      <c r="AD88" s="16" t="e">
        <f>IF(AQ88="7",BH88,0)</f>
        <v>#REF!</v>
      </c>
      <c r="AE88" s="16" t="e">
        <f>IF(AQ88="7",BI88,0)</f>
        <v>#REF!</v>
      </c>
      <c r="AF88" s="16">
        <f>IF(AQ88="2",BH88,0)</f>
        <v>0</v>
      </c>
      <c r="AG88" s="16">
        <f>IF(AQ88="2",BI88,0)</f>
        <v>0</v>
      </c>
      <c r="AH88" s="16">
        <f>IF(AQ88="0",BJ88,0)</f>
        <v>0</v>
      </c>
      <c r="AI88" s="13" t="s">
        <v>156</v>
      </c>
      <c r="AJ88" s="16">
        <f>IF(AN88=0,L88,0)</f>
        <v>0</v>
      </c>
      <c r="AK88" s="16" t="e">
        <f>IF(AN88=12,L88,0)</f>
        <v>#REF!</v>
      </c>
      <c r="AL88" s="16">
        <f>IF(AN88=21,L88,0)</f>
        <v>0</v>
      </c>
      <c r="AN88" s="16">
        <v>12</v>
      </c>
      <c r="AO88" s="16" t="e">
        <f>H88*0</f>
        <v>#REF!</v>
      </c>
      <c r="AP88" s="16" t="e">
        <f>H88*(1-0)</f>
        <v>#REF!</v>
      </c>
      <c r="AQ88" s="56" t="s">
        <v>462</v>
      </c>
      <c r="AV88" s="16" t="e">
        <f>AW88+AX88</f>
        <v>#REF!</v>
      </c>
      <c r="AW88" s="16" t="e">
        <f>G88*AO88</f>
        <v>#REF!</v>
      </c>
      <c r="AX88" s="16" t="e">
        <f>G88*AP88</f>
        <v>#REF!</v>
      </c>
      <c r="AY88" s="56" t="s">
        <v>493</v>
      </c>
      <c r="AZ88" s="56" t="s">
        <v>534</v>
      </c>
      <c r="BA88" s="13" t="s">
        <v>535</v>
      </c>
      <c r="BC88" s="16" t="e">
        <f>AW88+AX88</f>
        <v>#REF!</v>
      </c>
      <c r="BD88" s="16" t="e">
        <f>H88/(100-BE88)*100</f>
        <v>#REF!</v>
      </c>
      <c r="BE88" s="16">
        <v>0</v>
      </c>
      <c r="BF88" s="16" t="e">
        <f>O88</f>
        <v>#REF!</v>
      </c>
      <c r="BH88" s="16" t="e">
        <f>G88*AO88</f>
        <v>#REF!</v>
      </c>
      <c r="BI88" s="16" t="e">
        <f>G88*AP88</f>
        <v>#REF!</v>
      </c>
      <c r="BJ88" s="16" t="e">
        <f>G88*H88</f>
        <v>#REF!</v>
      </c>
      <c r="BK88" s="16"/>
      <c r="BL88" s="16">
        <v>722</v>
      </c>
      <c r="BW88" s="16" t="str">
        <f>I88</f>
        <v>12</v>
      </c>
      <c r="BX88" s="3" t="s">
        <v>158</v>
      </c>
    </row>
    <row r="89" spans="1:76" x14ac:dyDescent="0.25">
      <c r="A89" s="1" t="s">
        <v>536</v>
      </c>
      <c r="B89" s="2" t="s">
        <v>156</v>
      </c>
      <c r="C89" s="2" t="s">
        <v>87</v>
      </c>
      <c r="D89" s="77" t="s">
        <v>159</v>
      </c>
      <c r="E89" s="71"/>
      <c r="F89" s="2" t="s">
        <v>31</v>
      </c>
      <c r="G89" s="16" t="e">
        <f>'Rozpočet - vybrané sloupce'!#REF!</f>
        <v>#REF!</v>
      </c>
      <c r="H89" s="16" t="e">
        <f>'Rozpočet - vybrané sloupce'!#REF!</f>
        <v>#REF!</v>
      </c>
      <c r="I89" s="56" t="s">
        <v>460</v>
      </c>
      <c r="J89" s="16" t="e">
        <f>G89*AO89</f>
        <v>#REF!</v>
      </c>
      <c r="K89" s="16" t="e">
        <f>G89*AP89</f>
        <v>#REF!</v>
      </c>
      <c r="L89" s="16" t="e">
        <f>G89*H89</f>
        <v>#REF!</v>
      </c>
      <c r="M89" s="16" t="e">
        <f>L89*(1+BW89/100)</f>
        <v>#REF!</v>
      </c>
      <c r="N89" s="16">
        <v>2.9E-4</v>
      </c>
      <c r="O89" s="16" t="e">
        <f>G89*N89</f>
        <v>#REF!</v>
      </c>
      <c r="P89" s="57" t="s">
        <v>461</v>
      </c>
      <c r="Z89" s="16">
        <f>IF(AQ89="5",BJ89,0)</f>
        <v>0</v>
      </c>
      <c r="AB89" s="16">
        <f>IF(AQ89="1",BH89,0)</f>
        <v>0</v>
      </c>
      <c r="AC89" s="16">
        <f>IF(AQ89="1",BI89,0)</f>
        <v>0</v>
      </c>
      <c r="AD89" s="16" t="e">
        <f>IF(AQ89="7",BH89,0)</f>
        <v>#REF!</v>
      </c>
      <c r="AE89" s="16" t="e">
        <f>IF(AQ89="7",BI89,0)</f>
        <v>#REF!</v>
      </c>
      <c r="AF89" s="16">
        <f>IF(AQ89="2",BH89,0)</f>
        <v>0</v>
      </c>
      <c r="AG89" s="16">
        <f>IF(AQ89="2",BI89,0)</f>
        <v>0</v>
      </c>
      <c r="AH89" s="16">
        <f>IF(AQ89="0",BJ89,0)</f>
        <v>0</v>
      </c>
      <c r="AI89" s="13" t="s">
        <v>156</v>
      </c>
      <c r="AJ89" s="16">
        <f>IF(AN89=0,L89,0)</f>
        <v>0</v>
      </c>
      <c r="AK89" s="16" t="e">
        <f>IF(AN89=12,L89,0)</f>
        <v>#REF!</v>
      </c>
      <c r="AL89" s="16">
        <f>IF(AN89=21,L89,0)</f>
        <v>0</v>
      </c>
      <c r="AN89" s="16">
        <v>12</v>
      </c>
      <c r="AO89" s="16" t="e">
        <f>H89*0</f>
        <v>#REF!</v>
      </c>
      <c r="AP89" s="16" t="e">
        <f>H89*(1-0)</f>
        <v>#REF!</v>
      </c>
      <c r="AQ89" s="56" t="s">
        <v>462</v>
      </c>
      <c r="AV89" s="16" t="e">
        <f>AW89+AX89</f>
        <v>#REF!</v>
      </c>
      <c r="AW89" s="16" t="e">
        <f>G89*AO89</f>
        <v>#REF!</v>
      </c>
      <c r="AX89" s="16" t="e">
        <f>G89*AP89</f>
        <v>#REF!</v>
      </c>
      <c r="AY89" s="56" t="s">
        <v>493</v>
      </c>
      <c r="AZ89" s="56" t="s">
        <v>534</v>
      </c>
      <c r="BA89" s="13" t="s">
        <v>535</v>
      </c>
      <c r="BC89" s="16" t="e">
        <f>AW89+AX89</f>
        <v>#REF!</v>
      </c>
      <c r="BD89" s="16" t="e">
        <f>H89/(100-BE89)*100</f>
        <v>#REF!</v>
      </c>
      <c r="BE89" s="16">
        <v>0</v>
      </c>
      <c r="BF89" s="16" t="e">
        <f>O89</f>
        <v>#REF!</v>
      </c>
      <c r="BH89" s="16" t="e">
        <f>G89*AO89</f>
        <v>#REF!</v>
      </c>
      <c r="BI89" s="16" t="e">
        <f>G89*AP89</f>
        <v>#REF!</v>
      </c>
      <c r="BJ89" s="16" t="e">
        <f>G89*H89</f>
        <v>#REF!</v>
      </c>
      <c r="BK89" s="16"/>
      <c r="BL89" s="16">
        <v>722</v>
      </c>
      <c r="BW89" s="16" t="str">
        <f>I89</f>
        <v>12</v>
      </c>
      <c r="BX89" s="3" t="s">
        <v>159</v>
      </c>
    </row>
    <row r="90" spans="1:76" x14ac:dyDescent="0.25">
      <c r="A90" s="1" t="s">
        <v>537</v>
      </c>
      <c r="B90" s="2" t="s">
        <v>156</v>
      </c>
      <c r="C90" s="2" t="s">
        <v>160</v>
      </c>
      <c r="D90" s="77" t="s">
        <v>161</v>
      </c>
      <c r="E90" s="71"/>
      <c r="F90" s="2" t="s">
        <v>31</v>
      </c>
      <c r="G90" s="16" t="e">
        <f>'Rozpočet - vybrané sloupce'!#REF!</f>
        <v>#REF!</v>
      </c>
      <c r="H90" s="16" t="e">
        <f>'Rozpočet - vybrané sloupce'!#REF!</f>
        <v>#REF!</v>
      </c>
      <c r="I90" s="56" t="s">
        <v>460</v>
      </c>
      <c r="J90" s="16" t="e">
        <f>G90*AO90</f>
        <v>#REF!</v>
      </c>
      <c r="K90" s="16" t="e">
        <f>G90*AP90</f>
        <v>#REF!</v>
      </c>
      <c r="L90" s="16" t="e">
        <f>G90*H90</f>
        <v>#REF!</v>
      </c>
      <c r="M90" s="16" t="e">
        <f>L90*(1+BW90/100)</f>
        <v>#REF!</v>
      </c>
      <c r="N90" s="16">
        <v>4.2999999999999999E-4</v>
      </c>
      <c r="O90" s="16" t="e">
        <f>G90*N90</f>
        <v>#REF!</v>
      </c>
      <c r="P90" s="57" t="s">
        <v>461</v>
      </c>
      <c r="Z90" s="16">
        <f>IF(AQ90="5",BJ90,0)</f>
        <v>0</v>
      </c>
      <c r="AB90" s="16">
        <f>IF(AQ90="1",BH90,0)</f>
        <v>0</v>
      </c>
      <c r="AC90" s="16">
        <f>IF(AQ90="1",BI90,0)</f>
        <v>0</v>
      </c>
      <c r="AD90" s="16" t="e">
        <f>IF(AQ90="7",BH90,0)</f>
        <v>#REF!</v>
      </c>
      <c r="AE90" s="16" t="e">
        <f>IF(AQ90="7",BI90,0)</f>
        <v>#REF!</v>
      </c>
      <c r="AF90" s="16">
        <f>IF(AQ90="2",BH90,0)</f>
        <v>0</v>
      </c>
      <c r="AG90" s="16">
        <f>IF(AQ90="2",BI90,0)</f>
        <v>0</v>
      </c>
      <c r="AH90" s="16">
        <f>IF(AQ90="0",BJ90,0)</f>
        <v>0</v>
      </c>
      <c r="AI90" s="13" t="s">
        <v>156</v>
      </c>
      <c r="AJ90" s="16">
        <f>IF(AN90=0,L90,0)</f>
        <v>0</v>
      </c>
      <c r="AK90" s="16" t="e">
        <f>IF(AN90=12,L90,0)</f>
        <v>#REF!</v>
      </c>
      <c r="AL90" s="16">
        <f>IF(AN90=21,L90,0)</f>
        <v>0</v>
      </c>
      <c r="AN90" s="16">
        <v>12</v>
      </c>
      <c r="AO90" s="16" t="e">
        <f>H90*0.433809524</f>
        <v>#REF!</v>
      </c>
      <c r="AP90" s="16" t="e">
        <f>H90*(1-0.433809524)</f>
        <v>#REF!</v>
      </c>
      <c r="AQ90" s="56" t="s">
        <v>462</v>
      </c>
      <c r="AV90" s="16" t="e">
        <f>AW90+AX90</f>
        <v>#REF!</v>
      </c>
      <c r="AW90" s="16" t="e">
        <f>G90*AO90</f>
        <v>#REF!</v>
      </c>
      <c r="AX90" s="16" t="e">
        <f>G90*AP90</f>
        <v>#REF!</v>
      </c>
      <c r="AY90" s="56" t="s">
        <v>493</v>
      </c>
      <c r="AZ90" s="56" t="s">
        <v>534</v>
      </c>
      <c r="BA90" s="13" t="s">
        <v>535</v>
      </c>
      <c r="BC90" s="16" t="e">
        <f>AW90+AX90</f>
        <v>#REF!</v>
      </c>
      <c r="BD90" s="16" t="e">
        <f>H90/(100-BE90)*100</f>
        <v>#REF!</v>
      </c>
      <c r="BE90" s="16">
        <v>0</v>
      </c>
      <c r="BF90" s="16" t="e">
        <f>O90</f>
        <v>#REF!</v>
      </c>
      <c r="BH90" s="16" t="e">
        <f>G90*AO90</f>
        <v>#REF!</v>
      </c>
      <c r="BI90" s="16" t="e">
        <f>G90*AP90</f>
        <v>#REF!</v>
      </c>
      <c r="BJ90" s="16" t="e">
        <f>G90*H90</f>
        <v>#REF!</v>
      </c>
      <c r="BK90" s="16"/>
      <c r="BL90" s="16">
        <v>722</v>
      </c>
      <c r="BW90" s="16" t="str">
        <f>I90</f>
        <v>12</v>
      </c>
      <c r="BX90" s="3" t="s">
        <v>161</v>
      </c>
    </row>
    <row r="91" spans="1:76" ht="25.5" x14ac:dyDescent="0.25">
      <c r="A91" s="58"/>
      <c r="C91" s="59" t="s">
        <v>475</v>
      </c>
      <c r="D91" s="122" t="s">
        <v>538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4"/>
      <c r="BX91" s="60" t="s">
        <v>538</v>
      </c>
    </row>
    <row r="92" spans="1:76" x14ac:dyDescent="0.25">
      <c r="A92" s="1" t="s">
        <v>539</v>
      </c>
      <c r="B92" s="2" t="s">
        <v>156</v>
      </c>
      <c r="C92" s="2" t="s">
        <v>89</v>
      </c>
      <c r="D92" s="77" t="s">
        <v>90</v>
      </c>
      <c r="E92" s="71"/>
      <c r="F92" s="2" t="s">
        <v>31</v>
      </c>
      <c r="G92" s="16" t="e">
        <f>'Rozpočet - vybrané sloupce'!#REF!</f>
        <v>#REF!</v>
      </c>
      <c r="H92" s="16" t="e">
        <f>'Rozpočet - vybrané sloupce'!#REF!</f>
        <v>#REF!</v>
      </c>
      <c r="I92" s="56" t="s">
        <v>460</v>
      </c>
      <c r="J92" s="16" t="e">
        <f>G92*AO92</f>
        <v>#REF!</v>
      </c>
      <c r="K92" s="16" t="e">
        <f>G92*AP92</f>
        <v>#REF!</v>
      </c>
      <c r="L92" s="16" t="e">
        <f>G92*H92</f>
        <v>#REF!</v>
      </c>
      <c r="M92" s="16" t="e">
        <f>L92*(1+BW92/100)</f>
        <v>#REF!</v>
      </c>
      <c r="N92" s="16">
        <v>5.2999999999999998E-4</v>
      </c>
      <c r="O92" s="16" t="e">
        <f>G92*N92</f>
        <v>#REF!</v>
      </c>
      <c r="P92" s="57" t="s">
        <v>461</v>
      </c>
      <c r="Z92" s="16">
        <f>IF(AQ92="5",BJ92,0)</f>
        <v>0</v>
      </c>
      <c r="AB92" s="16">
        <f>IF(AQ92="1",BH92,0)</f>
        <v>0</v>
      </c>
      <c r="AC92" s="16">
        <f>IF(AQ92="1",BI92,0)</f>
        <v>0</v>
      </c>
      <c r="AD92" s="16" t="e">
        <f>IF(AQ92="7",BH92,0)</f>
        <v>#REF!</v>
      </c>
      <c r="AE92" s="16" t="e">
        <f>IF(AQ92="7",BI92,0)</f>
        <v>#REF!</v>
      </c>
      <c r="AF92" s="16">
        <f>IF(AQ92="2",BH92,0)</f>
        <v>0</v>
      </c>
      <c r="AG92" s="16">
        <f>IF(AQ92="2",BI92,0)</f>
        <v>0</v>
      </c>
      <c r="AH92" s="16">
        <f>IF(AQ92="0",BJ92,0)</f>
        <v>0</v>
      </c>
      <c r="AI92" s="13" t="s">
        <v>156</v>
      </c>
      <c r="AJ92" s="16">
        <f>IF(AN92=0,L92,0)</f>
        <v>0</v>
      </c>
      <c r="AK92" s="16" t="e">
        <f>IF(AN92=12,L92,0)</f>
        <v>#REF!</v>
      </c>
      <c r="AL92" s="16">
        <f>IF(AN92=21,L92,0)</f>
        <v>0</v>
      </c>
      <c r="AN92" s="16">
        <v>12</v>
      </c>
      <c r="AO92" s="16" t="e">
        <f>H92*0.499111111</f>
        <v>#REF!</v>
      </c>
      <c r="AP92" s="16" t="e">
        <f>H92*(1-0.499111111)</f>
        <v>#REF!</v>
      </c>
      <c r="AQ92" s="56" t="s">
        <v>462</v>
      </c>
      <c r="AV92" s="16" t="e">
        <f>AW92+AX92</f>
        <v>#REF!</v>
      </c>
      <c r="AW92" s="16" t="e">
        <f>G92*AO92</f>
        <v>#REF!</v>
      </c>
      <c r="AX92" s="16" t="e">
        <f>G92*AP92</f>
        <v>#REF!</v>
      </c>
      <c r="AY92" s="56" t="s">
        <v>493</v>
      </c>
      <c r="AZ92" s="56" t="s">
        <v>534</v>
      </c>
      <c r="BA92" s="13" t="s">
        <v>535</v>
      </c>
      <c r="BC92" s="16" t="e">
        <f>AW92+AX92</f>
        <v>#REF!</v>
      </c>
      <c r="BD92" s="16" t="e">
        <f>H92/(100-BE92)*100</f>
        <v>#REF!</v>
      </c>
      <c r="BE92" s="16">
        <v>0</v>
      </c>
      <c r="BF92" s="16" t="e">
        <f>O92</f>
        <v>#REF!</v>
      </c>
      <c r="BH92" s="16" t="e">
        <f>G92*AO92</f>
        <v>#REF!</v>
      </c>
      <c r="BI92" s="16" t="e">
        <f>G92*AP92</f>
        <v>#REF!</v>
      </c>
      <c r="BJ92" s="16" t="e">
        <f>G92*H92</f>
        <v>#REF!</v>
      </c>
      <c r="BK92" s="16"/>
      <c r="BL92" s="16">
        <v>722</v>
      </c>
      <c r="BW92" s="16" t="str">
        <f>I92</f>
        <v>12</v>
      </c>
      <c r="BX92" s="3" t="s">
        <v>90</v>
      </c>
    </row>
    <row r="93" spans="1:76" x14ac:dyDescent="0.25">
      <c r="A93" s="1" t="s">
        <v>540</v>
      </c>
      <c r="B93" s="2" t="s">
        <v>156</v>
      </c>
      <c r="C93" s="2" t="s">
        <v>91</v>
      </c>
      <c r="D93" s="77" t="s">
        <v>92</v>
      </c>
      <c r="E93" s="71"/>
      <c r="F93" s="2" t="s">
        <v>31</v>
      </c>
      <c r="G93" s="16" t="e">
        <f>'Rozpočet - vybrané sloupce'!#REF!</f>
        <v>#REF!</v>
      </c>
      <c r="H93" s="16" t="e">
        <f>'Rozpočet - vybrané sloupce'!#REF!</f>
        <v>#REF!</v>
      </c>
      <c r="I93" s="56" t="s">
        <v>460</v>
      </c>
      <c r="J93" s="16" t="e">
        <f>G93*AO93</f>
        <v>#REF!</v>
      </c>
      <c r="K93" s="16" t="e">
        <f>G93*AP93</f>
        <v>#REF!</v>
      </c>
      <c r="L93" s="16" t="e">
        <f>G93*H93</f>
        <v>#REF!</v>
      </c>
      <c r="M93" s="16" t="e">
        <f>L93*(1+BW93/100)</f>
        <v>#REF!</v>
      </c>
      <c r="N93" s="16">
        <v>7.2999999999999996E-4</v>
      </c>
      <c r="O93" s="16" t="e">
        <f>G93*N93</f>
        <v>#REF!</v>
      </c>
      <c r="P93" s="57" t="s">
        <v>461</v>
      </c>
      <c r="Z93" s="16">
        <f>IF(AQ93="5",BJ93,0)</f>
        <v>0</v>
      </c>
      <c r="AB93" s="16">
        <f>IF(AQ93="1",BH93,0)</f>
        <v>0</v>
      </c>
      <c r="AC93" s="16">
        <f>IF(AQ93="1",BI93,0)</f>
        <v>0</v>
      </c>
      <c r="AD93" s="16" t="e">
        <f>IF(AQ93="7",BH93,0)</f>
        <v>#REF!</v>
      </c>
      <c r="AE93" s="16" t="e">
        <f>IF(AQ93="7",BI93,0)</f>
        <v>#REF!</v>
      </c>
      <c r="AF93" s="16">
        <f>IF(AQ93="2",BH93,0)</f>
        <v>0</v>
      </c>
      <c r="AG93" s="16">
        <f>IF(AQ93="2",BI93,0)</f>
        <v>0</v>
      </c>
      <c r="AH93" s="16">
        <f>IF(AQ93="0",BJ93,0)</f>
        <v>0</v>
      </c>
      <c r="AI93" s="13" t="s">
        <v>156</v>
      </c>
      <c r="AJ93" s="16">
        <f>IF(AN93=0,L93,0)</f>
        <v>0</v>
      </c>
      <c r="AK93" s="16" t="e">
        <f>IF(AN93=12,L93,0)</f>
        <v>#REF!</v>
      </c>
      <c r="AL93" s="16">
        <f>IF(AN93=21,L93,0)</f>
        <v>0</v>
      </c>
      <c r="AN93" s="16">
        <v>12</v>
      </c>
      <c r="AO93" s="16" t="e">
        <f>H93*0.578540157</f>
        <v>#REF!</v>
      </c>
      <c r="AP93" s="16" t="e">
        <f>H93*(1-0.578540157)</f>
        <v>#REF!</v>
      </c>
      <c r="AQ93" s="56" t="s">
        <v>462</v>
      </c>
      <c r="AV93" s="16" t="e">
        <f>AW93+AX93</f>
        <v>#REF!</v>
      </c>
      <c r="AW93" s="16" t="e">
        <f>G93*AO93</f>
        <v>#REF!</v>
      </c>
      <c r="AX93" s="16" t="e">
        <f>G93*AP93</f>
        <v>#REF!</v>
      </c>
      <c r="AY93" s="56" t="s">
        <v>493</v>
      </c>
      <c r="AZ93" s="56" t="s">
        <v>534</v>
      </c>
      <c r="BA93" s="13" t="s">
        <v>535</v>
      </c>
      <c r="BC93" s="16" t="e">
        <f>AW93+AX93</f>
        <v>#REF!</v>
      </c>
      <c r="BD93" s="16" t="e">
        <f>H93/(100-BE93)*100</f>
        <v>#REF!</v>
      </c>
      <c r="BE93" s="16">
        <v>0</v>
      </c>
      <c r="BF93" s="16" t="e">
        <f>O93</f>
        <v>#REF!</v>
      </c>
      <c r="BH93" s="16" t="e">
        <f>G93*AO93</f>
        <v>#REF!</v>
      </c>
      <c r="BI93" s="16" t="e">
        <f>G93*AP93</f>
        <v>#REF!</v>
      </c>
      <c r="BJ93" s="16" t="e">
        <f>G93*H93</f>
        <v>#REF!</v>
      </c>
      <c r="BK93" s="16"/>
      <c r="BL93" s="16">
        <v>722</v>
      </c>
      <c r="BW93" s="16" t="str">
        <f>I93</f>
        <v>12</v>
      </c>
      <c r="BX93" s="3" t="s">
        <v>92</v>
      </c>
    </row>
    <row r="94" spans="1:76" x14ac:dyDescent="0.25">
      <c r="A94" s="1" t="s">
        <v>541</v>
      </c>
      <c r="B94" s="2" t="s">
        <v>156</v>
      </c>
      <c r="C94" s="2" t="s">
        <v>93</v>
      </c>
      <c r="D94" s="77" t="s">
        <v>94</v>
      </c>
      <c r="E94" s="71"/>
      <c r="F94" s="2" t="s">
        <v>31</v>
      </c>
      <c r="G94" s="16" t="e">
        <f>'Rozpočet - vybrané sloupce'!#REF!</f>
        <v>#REF!</v>
      </c>
      <c r="H94" s="16" t="e">
        <f>'Rozpočet - vybrané sloupce'!#REF!</f>
        <v>#REF!</v>
      </c>
      <c r="I94" s="56" t="s">
        <v>460</v>
      </c>
      <c r="J94" s="16" t="e">
        <f>G94*AO94</f>
        <v>#REF!</v>
      </c>
      <c r="K94" s="16" t="e">
        <f>G94*AP94</f>
        <v>#REF!</v>
      </c>
      <c r="L94" s="16" t="e">
        <f>G94*H94</f>
        <v>#REF!</v>
      </c>
      <c r="M94" s="16" t="e">
        <f>L94*(1+BW94/100)</f>
        <v>#REF!</v>
      </c>
      <c r="N94" s="16">
        <v>1.0200000000000001E-3</v>
      </c>
      <c r="O94" s="16" t="e">
        <f>G94*N94</f>
        <v>#REF!</v>
      </c>
      <c r="P94" s="57" t="s">
        <v>461</v>
      </c>
      <c r="Z94" s="16">
        <f>IF(AQ94="5",BJ94,0)</f>
        <v>0</v>
      </c>
      <c r="AB94" s="16">
        <f>IF(AQ94="1",BH94,0)</f>
        <v>0</v>
      </c>
      <c r="AC94" s="16">
        <f>IF(AQ94="1",BI94,0)</f>
        <v>0</v>
      </c>
      <c r="AD94" s="16" t="e">
        <f>IF(AQ94="7",BH94,0)</f>
        <v>#REF!</v>
      </c>
      <c r="AE94" s="16" t="e">
        <f>IF(AQ94="7",BI94,0)</f>
        <v>#REF!</v>
      </c>
      <c r="AF94" s="16">
        <f>IF(AQ94="2",BH94,0)</f>
        <v>0</v>
      </c>
      <c r="AG94" s="16">
        <f>IF(AQ94="2",BI94,0)</f>
        <v>0</v>
      </c>
      <c r="AH94" s="16">
        <f>IF(AQ94="0",BJ94,0)</f>
        <v>0</v>
      </c>
      <c r="AI94" s="13" t="s">
        <v>156</v>
      </c>
      <c r="AJ94" s="16">
        <f>IF(AN94=0,L94,0)</f>
        <v>0</v>
      </c>
      <c r="AK94" s="16" t="e">
        <f>IF(AN94=12,L94,0)</f>
        <v>#REF!</v>
      </c>
      <c r="AL94" s="16">
        <f>IF(AN94=21,L94,0)</f>
        <v>0</v>
      </c>
      <c r="AN94" s="16">
        <v>12</v>
      </c>
      <c r="AO94" s="16" t="e">
        <f>H94*0.679698542</f>
        <v>#REF!</v>
      </c>
      <c r="AP94" s="16" t="e">
        <f>H94*(1-0.679698542)</f>
        <v>#REF!</v>
      </c>
      <c r="AQ94" s="56" t="s">
        <v>462</v>
      </c>
      <c r="AV94" s="16" t="e">
        <f>AW94+AX94</f>
        <v>#REF!</v>
      </c>
      <c r="AW94" s="16" t="e">
        <f>G94*AO94</f>
        <v>#REF!</v>
      </c>
      <c r="AX94" s="16" t="e">
        <f>G94*AP94</f>
        <v>#REF!</v>
      </c>
      <c r="AY94" s="56" t="s">
        <v>493</v>
      </c>
      <c r="AZ94" s="56" t="s">
        <v>534</v>
      </c>
      <c r="BA94" s="13" t="s">
        <v>535</v>
      </c>
      <c r="BC94" s="16" t="e">
        <f>AW94+AX94</f>
        <v>#REF!</v>
      </c>
      <c r="BD94" s="16" t="e">
        <f>H94/(100-BE94)*100</f>
        <v>#REF!</v>
      </c>
      <c r="BE94" s="16">
        <v>0</v>
      </c>
      <c r="BF94" s="16" t="e">
        <f>O94</f>
        <v>#REF!</v>
      </c>
      <c r="BH94" s="16" t="e">
        <f>G94*AO94</f>
        <v>#REF!</v>
      </c>
      <c r="BI94" s="16" t="e">
        <f>G94*AP94</f>
        <v>#REF!</v>
      </c>
      <c r="BJ94" s="16" t="e">
        <f>G94*H94</f>
        <v>#REF!</v>
      </c>
      <c r="BK94" s="16"/>
      <c r="BL94" s="16">
        <v>722</v>
      </c>
      <c r="BW94" s="16" t="str">
        <f>I94</f>
        <v>12</v>
      </c>
      <c r="BX94" s="3" t="s">
        <v>94</v>
      </c>
    </row>
    <row r="95" spans="1:76" x14ac:dyDescent="0.25">
      <c r="A95" s="1" t="s">
        <v>542</v>
      </c>
      <c r="B95" s="2" t="s">
        <v>156</v>
      </c>
      <c r="C95" s="2" t="s">
        <v>162</v>
      </c>
      <c r="D95" s="77" t="s">
        <v>163</v>
      </c>
      <c r="E95" s="71"/>
      <c r="F95" s="2" t="s">
        <v>35</v>
      </c>
      <c r="G95" s="16" t="e">
        <f>'Rozpočet - vybrané sloupce'!#REF!</f>
        <v>#REF!</v>
      </c>
      <c r="H95" s="16" t="e">
        <f>'Rozpočet - vybrané sloupce'!#REF!</f>
        <v>#REF!</v>
      </c>
      <c r="I95" s="56" t="s">
        <v>460</v>
      </c>
      <c r="J95" s="16" t="e">
        <f>G95*AO95</f>
        <v>#REF!</v>
      </c>
      <c r="K95" s="16" t="e">
        <f>G95*AP95</f>
        <v>#REF!</v>
      </c>
      <c r="L95" s="16" t="e">
        <f>G95*H95</f>
        <v>#REF!</v>
      </c>
      <c r="M95" s="16" t="e">
        <f>L95*(1+BW95/100)</f>
        <v>#REF!</v>
      </c>
      <c r="N95" s="16">
        <v>0</v>
      </c>
      <c r="O95" s="16" t="e">
        <f>G95*N95</f>
        <v>#REF!</v>
      </c>
      <c r="P95" s="57" t="s">
        <v>461</v>
      </c>
      <c r="Z95" s="16">
        <f>IF(AQ95="5",BJ95,0)</f>
        <v>0</v>
      </c>
      <c r="AB95" s="16">
        <f>IF(AQ95="1",BH95,0)</f>
        <v>0</v>
      </c>
      <c r="AC95" s="16">
        <f>IF(AQ95="1",BI95,0)</f>
        <v>0</v>
      </c>
      <c r="AD95" s="16" t="e">
        <f>IF(AQ95="7",BH95,0)</f>
        <v>#REF!</v>
      </c>
      <c r="AE95" s="16" t="e">
        <f>IF(AQ95="7",BI95,0)</f>
        <v>#REF!</v>
      </c>
      <c r="AF95" s="16">
        <f>IF(AQ95="2",BH95,0)</f>
        <v>0</v>
      </c>
      <c r="AG95" s="16">
        <f>IF(AQ95="2",BI95,0)</f>
        <v>0</v>
      </c>
      <c r="AH95" s="16">
        <f>IF(AQ95="0",BJ95,0)</f>
        <v>0</v>
      </c>
      <c r="AI95" s="13" t="s">
        <v>156</v>
      </c>
      <c r="AJ95" s="16">
        <f>IF(AN95=0,L95,0)</f>
        <v>0</v>
      </c>
      <c r="AK95" s="16" t="e">
        <f>IF(AN95=12,L95,0)</f>
        <v>#REF!</v>
      </c>
      <c r="AL95" s="16">
        <f>IF(AN95=21,L95,0)</f>
        <v>0</v>
      </c>
      <c r="AN95" s="16">
        <v>12</v>
      </c>
      <c r="AO95" s="16" t="e">
        <f>H95*0</f>
        <v>#REF!</v>
      </c>
      <c r="AP95" s="16" t="e">
        <f>H95*(1-0)</f>
        <v>#REF!</v>
      </c>
      <c r="AQ95" s="56" t="s">
        <v>462</v>
      </c>
      <c r="AV95" s="16" t="e">
        <f>AW95+AX95</f>
        <v>#REF!</v>
      </c>
      <c r="AW95" s="16" t="e">
        <f>G95*AO95</f>
        <v>#REF!</v>
      </c>
      <c r="AX95" s="16" t="e">
        <f>G95*AP95</f>
        <v>#REF!</v>
      </c>
      <c r="AY95" s="56" t="s">
        <v>493</v>
      </c>
      <c r="AZ95" s="56" t="s">
        <v>534</v>
      </c>
      <c r="BA95" s="13" t="s">
        <v>535</v>
      </c>
      <c r="BC95" s="16" t="e">
        <f>AW95+AX95</f>
        <v>#REF!</v>
      </c>
      <c r="BD95" s="16" t="e">
        <f>H95/(100-BE95)*100</f>
        <v>#REF!</v>
      </c>
      <c r="BE95" s="16">
        <v>0</v>
      </c>
      <c r="BF95" s="16" t="e">
        <f>O95</f>
        <v>#REF!</v>
      </c>
      <c r="BH95" s="16" t="e">
        <f>G95*AO95</f>
        <v>#REF!</v>
      </c>
      <c r="BI95" s="16" t="e">
        <f>G95*AP95</f>
        <v>#REF!</v>
      </c>
      <c r="BJ95" s="16" t="e">
        <f>G95*H95</f>
        <v>#REF!</v>
      </c>
      <c r="BK95" s="16"/>
      <c r="BL95" s="16">
        <v>722</v>
      </c>
      <c r="BW95" s="16" t="str">
        <f>I95</f>
        <v>12</v>
      </c>
      <c r="BX95" s="3" t="s">
        <v>163</v>
      </c>
    </row>
    <row r="96" spans="1:76" x14ac:dyDescent="0.25">
      <c r="A96" s="1" t="s">
        <v>543</v>
      </c>
      <c r="B96" s="2" t="s">
        <v>156</v>
      </c>
      <c r="C96" s="2" t="s">
        <v>164</v>
      </c>
      <c r="D96" s="77" t="s">
        <v>165</v>
      </c>
      <c r="E96" s="71"/>
      <c r="F96" s="2" t="s">
        <v>31</v>
      </c>
      <c r="G96" s="16" t="e">
        <f>'Rozpočet - vybrané sloupce'!#REF!</f>
        <v>#REF!</v>
      </c>
      <c r="H96" s="16" t="e">
        <f>'Rozpočet - vybrané sloupce'!#REF!</f>
        <v>#REF!</v>
      </c>
      <c r="I96" s="56" t="s">
        <v>460</v>
      </c>
      <c r="J96" s="16" t="e">
        <f>G96*AO96</f>
        <v>#REF!</v>
      </c>
      <c r="K96" s="16" t="e">
        <f>G96*AP96</f>
        <v>#REF!</v>
      </c>
      <c r="L96" s="16" t="e">
        <f>G96*H96</f>
        <v>#REF!</v>
      </c>
      <c r="M96" s="16" t="e">
        <f>L96*(1+BW96/100)</f>
        <v>#REF!</v>
      </c>
      <c r="N96" s="16">
        <v>3.0000000000000001E-5</v>
      </c>
      <c r="O96" s="16" t="e">
        <f>G96*N96</f>
        <v>#REF!</v>
      </c>
      <c r="P96" s="57" t="s">
        <v>461</v>
      </c>
      <c r="Z96" s="16">
        <f>IF(AQ96="5",BJ96,0)</f>
        <v>0</v>
      </c>
      <c r="AB96" s="16">
        <f>IF(AQ96="1",BH96,0)</f>
        <v>0</v>
      </c>
      <c r="AC96" s="16">
        <f>IF(AQ96="1",BI96,0)</f>
        <v>0</v>
      </c>
      <c r="AD96" s="16" t="e">
        <f>IF(AQ96="7",BH96,0)</f>
        <v>#REF!</v>
      </c>
      <c r="AE96" s="16" t="e">
        <f>IF(AQ96="7",BI96,0)</f>
        <v>#REF!</v>
      </c>
      <c r="AF96" s="16">
        <f>IF(AQ96="2",BH96,0)</f>
        <v>0</v>
      </c>
      <c r="AG96" s="16">
        <f>IF(AQ96="2",BI96,0)</f>
        <v>0</v>
      </c>
      <c r="AH96" s="16">
        <f>IF(AQ96="0",BJ96,0)</f>
        <v>0</v>
      </c>
      <c r="AI96" s="13" t="s">
        <v>156</v>
      </c>
      <c r="AJ96" s="16">
        <f>IF(AN96=0,L96,0)</f>
        <v>0</v>
      </c>
      <c r="AK96" s="16" t="e">
        <f>IF(AN96=12,L96,0)</f>
        <v>#REF!</v>
      </c>
      <c r="AL96" s="16">
        <f>IF(AN96=21,L96,0)</f>
        <v>0</v>
      </c>
      <c r="AN96" s="16">
        <v>12</v>
      </c>
      <c r="AO96" s="16" t="e">
        <f>H96*0.230672515</f>
        <v>#REF!</v>
      </c>
      <c r="AP96" s="16" t="e">
        <f>H96*(1-0.230672515)</f>
        <v>#REF!</v>
      </c>
      <c r="AQ96" s="56" t="s">
        <v>462</v>
      </c>
      <c r="AV96" s="16" t="e">
        <f>AW96+AX96</f>
        <v>#REF!</v>
      </c>
      <c r="AW96" s="16" t="e">
        <f>G96*AO96</f>
        <v>#REF!</v>
      </c>
      <c r="AX96" s="16" t="e">
        <f>G96*AP96</f>
        <v>#REF!</v>
      </c>
      <c r="AY96" s="56" t="s">
        <v>493</v>
      </c>
      <c r="AZ96" s="56" t="s">
        <v>534</v>
      </c>
      <c r="BA96" s="13" t="s">
        <v>535</v>
      </c>
      <c r="BC96" s="16" t="e">
        <f>AW96+AX96</f>
        <v>#REF!</v>
      </c>
      <c r="BD96" s="16" t="e">
        <f>H96/(100-BE96)*100</f>
        <v>#REF!</v>
      </c>
      <c r="BE96" s="16">
        <v>0</v>
      </c>
      <c r="BF96" s="16" t="e">
        <f>O96</f>
        <v>#REF!</v>
      </c>
      <c r="BH96" s="16" t="e">
        <f>G96*AO96</f>
        <v>#REF!</v>
      </c>
      <c r="BI96" s="16" t="e">
        <f>G96*AP96</f>
        <v>#REF!</v>
      </c>
      <c r="BJ96" s="16" t="e">
        <f>G96*H96</f>
        <v>#REF!</v>
      </c>
      <c r="BK96" s="16"/>
      <c r="BL96" s="16">
        <v>722</v>
      </c>
      <c r="BW96" s="16" t="str">
        <f>I96</f>
        <v>12</v>
      </c>
      <c r="BX96" s="3" t="s">
        <v>165</v>
      </c>
    </row>
    <row r="97" spans="1:76" x14ac:dyDescent="0.25">
      <c r="A97" s="58"/>
      <c r="C97" s="59" t="s">
        <v>475</v>
      </c>
      <c r="D97" s="122" t="s">
        <v>504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4"/>
      <c r="BX97" s="60" t="s">
        <v>504</v>
      </c>
    </row>
    <row r="98" spans="1:76" x14ac:dyDescent="0.25">
      <c r="A98" s="1" t="s">
        <v>544</v>
      </c>
      <c r="B98" s="2" t="s">
        <v>156</v>
      </c>
      <c r="C98" s="2" t="s">
        <v>166</v>
      </c>
      <c r="D98" s="77" t="s">
        <v>167</v>
      </c>
      <c r="E98" s="71"/>
      <c r="F98" s="2" t="s">
        <v>31</v>
      </c>
      <c r="G98" s="16" t="e">
        <f>'Rozpočet - vybrané sloupce'!#REF!</f>
        <v>#REF!</v>
      </c>
      <c r="H98" s="16" t="e">
        <f>'Rozpočet - vybrané sloupce'!#REF!</f>
        <v>#REF!</v>
      </c>
      <c r="I98" s="56" t="s">
        <v>460</v>
      </c>
      <c r="J98" s="16" t="e">
        <f>G98*AO98</f>
        <v>#REF!</v>
      </c>
      <c r="K98" s="16" t="e">
        <f>G98*AP98</f>
        <v>#REF!</v>
      </c>
      <c r="L98" s="16" t="e">
        <f>G98*H98</f>
        <v>#REF!</v>
      </c>
      <c r="M98" s="16" t="e">
        <f>L98*(1+BW98/100)</f>
        <v>#REF!</v>
      </c>
      <c r="N98" s="16">
        <v>6.0000000000000002E-5</v>
      </c>
      <c r="O98" s="16" t="e">
        <f>G98*N98</f>
        <v>#REF!</v>
      </c>
      <c r="P98" s="57" t="s">
        <v>461</v>
      </c>
      <c r="Z98" s="16">
        <f>IF(AQ98="5",BJ98,0)</f>
        <v>0</v>
      </c>
      <c r="AB98" s="16">
        <f>IF(AQ98="1",BH98,0)</f>
        <v>0</v>
      </c>
      <c r="AC98" s="16">
        <f>IF(AQ98="1",BI98,0)</f>
        <v>0</v>
      </c>
      <c r="AD98" s="16" t="e">
        <f>IF(AQ98="7",BH98,0)</f>
        <v>#REF!</v>
      </c>
      <c r="AE98" s="16" t="e">
        <f>IF(AQ98="7",BI98,0)</f>
        <v>#REF!</v>
      </c>
      <c r="AF98" s="16">
        <f>IF(AQ98="2",BH98,0)</f>
        <v>0</v>
      </c>
      <c r="AG98" s="16">
        <f>IF(AQ98="2",BI98,0)</f>
        <v>0</v>
      </c>
      <c r="AH98" s="16">
        <f>IF(AQ98="0",BJ98,0)</f>
        <v>0</v>
      </c>
      <c r="AI98" s="13" t="s">
        <v>156</v>
      </c>
      <c r="AJ98" s="16">
        <f>IF(AN98=0,L98,0)</f>
        <v>0</v>
      </c>
      <c r="AK98" s="16" t="e">
        <f>IF(AN98=12,L98,0)</f>
        <v>#REF!</v>
      </c>
      <c r="AL98" s="16">
        <f>IF(AN98=21,L98,0)</f>
        <v>0</v>
      </c>
      <c r="AN98" s="16">
        <v>12</v>
      </c>
      <c r="AO98" s="16" t="e">
        <f>H98*0.243994253</f>
        <v>#REF!</v>
      </c>
      <c r="AP98" s="16" t="e">
        <f>H98*(1-0.243994253)</f>
        <v>#REF!</v>
      </c>
      <c r="AQ98" s="56" t="s">
        <v>462</v>
      </c>
      <c r="AV98" s="16" t="e">
        <f>AW98+AX98</f>
        <v>#REF!</v>
      </c>
      <c r="AW98" s="16" t="e">
        <f>G98*AO98</f>
        <v>#REF!</v>
      </c>
      <c r="AX98" s="16" t="e">
        <f>G98*AP98</f>
        <v>#REF!</v>
      </c>
      <c r="AY98" s="56" t="s">
        <v>493</v>
      </c>
      <c r="AZ98" s="56" t="s">
        <v>534</v>
      </c>
      <c r="BA98" s="13" t="s">
        <v>535</v>
      </c>
      <c r="BC98" s="16" t="e">
        <f>AW98+AX98</f>
        <v>#REF!</v>
      </c>
      <c r="BD98" s="16" t="e">
        <f>H98/(100-BE98)*100</f>
        <v>#REF!</v>
      </c>
      <c r="BE98" s="16">
        <v>0</v>
      </c>
      <c r="BF98" s="16" t="e">
        <f>O98</f>
        <v>#REF!</v>
      </c>
      <c r="BH98" s="16" t="e">
        <f>G98*AO98</f>
        <v>#REF!</v>
      </c>
      <c r="BI98" s="16" t="e">
        <f>G98*AP98</f>
        <v>#REF!</v>
      </c>
      <c r="BJ98" s="16" t="e">
        <f>G98*H98</f>
        <v>#REF!</v>
      </c>
      <c r="BK98" s="16"/>
      <c r="BL98" s="16">
        <v>722</v>
      </c>
      <c r="BW98" s="16" t="str">
        <f>I98</f>
        <v>12</v>
      </c>
      <c r="BX98" s="3" t="s">
        <v>167</v>
      </c>
    </row>
    <row r="99" spans="1:76" x14ac:dyDescent="0.25">
      <c r="A99" s="58"/>
      <c r="C99" s="59" t="s">
        <v>475</v>
      </c>
      <c r="D99" s="122" t="s">
        <v>504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  <c r="BX99" s="60" t="s">
        <v>504</v>
      </c>
    </row>
    <row r="100" spans="1:76" x14ac:dyDescent="0.25">
      <c r="A100" s="1" t="s">
        <v>545</v>
      </c>
      <c r="B100" s="2" t="s">
        <v>156</v>
      </c>
      <c r="C100" s="2" t="s">
        <v>168</v>
      </c>
      <c r="D100" s="77" t="s">
        <v>169</v>
      </c>
      <c r="E100" s="71"/>
      <c r="F100" s="2" t="s">
        <v>31</v>
      </c>
      <c r="G100" s="16" t="e">
        <f>'Rozpočet - vybrané sloupce'!#REF!</f>
        <v>#REF!</v>
      </c>
      <c r="H100" s="16" t="e">
        <f>'Rozpočet - vybrané sloupce'!#REF!</f>
        <v>#REF!</v>
      </c>
      <c r="I100" s="56" t="s">
        <v>460</v>
      </c>
      <c r="J100" s="16" t="e">
        <f>G100*AO100</f>
        <v>#REF!</v>
      </c>
      <c r="K100" s="16" t="e">
        <f>G100*AP100</f>
        <v>#REF!</v>
      </c>
      <c r="L100" s="16" t="e">
        <f>G100*H100</f>
        <v>#REF!</v>
      </c>
      <c r="M100" s="16" t="e">
        <f>L100*(1+BW100/100)</f>
        <v>#REF!</v>
      </c>
      <c r="N100" s="16">
        <v>5.0000000000000002E-5</v>
      </c>
      <c r="O100" s="16" t="e">
        <f>G100*N100</f>
        <v>#REF!</v>
      </c>
      <c r="P100" s="57" t="s">
        <v>461</v>
      </c>
      <c r="Z100" s="16">
        <f>IF(AQ100="5",BJ100,0)</f>
        <v>0</v>
      </c>
      <c r="AB100" s="16">
        <f>IF(AQ100="1",BH100,0)</f>
        <v>0</v>
      </c>
      <c r="AC100" s="16">
        <f>IF(AQ100="1",BI100,0)</f>
        <v>0</v>
      </c>
      <c r="AD100" s="16" t="e">
        <f>IF(AQ100="7",BH100,0)</f>
        <v>#REF!</v>
      </c>
      <c r="AE100" s="16" t="e">
        <f>IF(AQ100="7",BI100,0)</f>
        <v>#REF!</v>
      </c>
      <c r="AF100" s="16">
        <f>IF(AQ100="2",BH100,0)</f>
        <v>0</v>
      </c>
      <c r="AG100" s="16">
        <f>IF(AQ100="2",BI100,0)</f>
        <v>0</v>
      </c>
      <c r="AH100" s="16">
        <f>IF(AQ100="0",BJ100,0)</f>
        <v>0</v>
      </c>
      <c r="AI100" s="13" t="s">
        <v>156</v>
      </c>
      <c r="AJ100" s="16">
        <f>IF(AN100=0,L100,0)</f>
        <v>0</v>
      </c>
      <c r="AK100" s="16" t="e">
        <f>IF(AN100=12,L100,0)</f>
        <v>#REF!</v>
      </c>
      <c r="AL100" s="16">
        <f>IF(AN100=21,L100,0)</f>
        <v>0</v>
      </c>
      <c r="AN100" s="16">
        <v>12</v>
      </c>
      <c r="AO100" s="16" t="e">
        <f>H100*0.242397018</f>
        <v>#REF!</v>
      </c>
      <c r="AP100" s="16" t="e">
        <f>H100*(1-0.242397018)</f>
        <v>#REF!</v>
      </c>
      <c r="AQ100" s="56" t="s">
        <v>462</v>
      </c>
      <c r="AV100" s="16" t="e">
        <f>AW100+AX100</f>
        <v>#REF!</v>
      </c>
      <c r="AW100" s="16" t="e">
        <f>G100*AO100</f>
        <v>#REF!</v>
      </c>
      <c r="AX100" s="16" t="e">
        <f>G100*AP100</f>
        <v>#REF!</v>
      </c>
      <c r="AY100" s="56" t="s">
        <v>493</v>
      </c>
      <c r="AZ100" s="56" t="s">
        <v>534</v>
      </c>
      <c r="BA100" s="13" t="s">
        <v>535</v>
      </c>
      <c r="BC100" s="16" t="e">
        <f>AW100+AX100</f>
        <v>#REF!</v>
      </c>
      <c r="BD100" s="16" t="e">
        <f>H100/(100-BE100)*100</f>
        <v>#REF!</v>
      </c>
      <c r="BE100" s="16">
        <v>0</v>
      </c>
      <c r="BF100" s="16" t="e">
        <f>O100</f>
        <v>#REF!</v>
      </c>
      <c r="BH100" s="16" t="e">
        <f>G100*AO100</f>
        <v>#REF!</v>
      </c>
      <c r="BI100" s="16" t="e">
        <f>G100*AP100</f>
        <v>#REF!</v>
      </c>
      <c r="BJ100" s="16" t="e">
        <f>G100*H100</f>
        <v>#REF!</v>
      </c>
      <c r="BK100" s="16"/>
      <c r="BL100" s="16">
        <v>722</v>
      </c>
      <c r="BW100" s="16" t="str">
        <f>I100</f>
        <v>12</v>
      </c>
      <c r="BX100" s="3" t="s">
        <v>169</v>
      </c>
    </row>
    <row r="101" spans="1:76" x14ac:dyDescent="0.25">
      <c r="A101" s="58"/>
      <c r="C101" s="59" t="s">
        <v>475</v>
      </c>
      <c r="D101" s="122" t="s">
        <v>504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4"/>
      <c r="BX101" s="60" t="s">
        <v>504</v>
      </c>
    </row>
    <row r="102" spans="1:76" x14ac:dyDescent="0.25">
      <c r="A102" s="1" t="s">
        <v>546</v>
      </c>
      <c r="B102" s="2" t="s">
        <v>156</v>
      </c>
      <c r="C102" s="2" t="s">
        <v>97</v>
      </c>
      <c r="D102" s="77" t="s">
        <v>98</v>
      </c>
      <c r="E102" s="71"/>
      <c r="F102" s="2" t="s">
        <v>31</v>
      </c>
      <c r="G102" s="16" t="e">
        <f>'Rozpočet - vybrané sloupce'!#REF!</f>
        <v>#REF!</v>
      </c>
      <c r="H102" s="16" t="e">
        <f>'Rozpočet - vybrané sloupce'!#REF!</f>
        <v>#REF!</v>
      </c>
      <c r="I102" s="56" t="s">
        <v>460</v>
      </c>
      <c r="J102" s="16" t="e">
        <f>G102*AO102</f>
        <v>#REF!</v>
      </c>
      <c r="K102" s="16" t="e">
        <f>G102*AP102</f>
        <v>#REF!</v>
      </c>
      <c r="L102" s="16" t="e">
        <f>G102*H102</f>
        <v>#REF!</v>
      </c>
      <c r="M102" s="16" t="e">
        <f>L102*(1+BW102/100)</f>
        <v>#REF!</v>
      </c>
      <c r="N102" s="16">
        <v>9.0000000000000006E-5</v>
      </c>
      <c r="O102" s="16" t="e">
        <f>G102*N102</f>
        <v>#REF!</v>
      </c>
      <c r="P102" s="57" t="s">
        <v>461</v>
      </c>
      <c r="Z102" s="16">
        <f>IF(AQ102="5",BJ102,0)</f>
        <v>0</v>
      </c>
      <c r="AB102" s="16">
        <f>IF(AQ102="1",BH102,0)</f>
        <v>0</v>
      </c>
      <c r="AC102" s="16">
        <f>IF(AQ102="1",BI102,0)</f>
        <v>0</v>
      </c>
      <c r="AD102" s="16" t="e">
        <f>IF(AQ102="7",BH102,0)</f>
        <v>#REF!</v>
      </c>
      <c r="AE102" s="16" t="e">
        <f>IF(AQ102="7",BI102,0)</f>
        <v>#REF!</v>
      </c>
      <c r="AF102" s="16">
        <f>IF(AQ102="2",BH102,0)</f>
        <v>0</v>
      </c>
      <c r="AG102" s="16">
        <f>IF(AQ102="2",BI102,0)</f>
        <v>0</v>
      </c>
      <c r="AH102" s="16">
        <f>IF(AQ102="0",BJ102,0)</f>
        <v>0</v>
      </c>
      <c r="AI102" s="13" t="s">
        <v>156</v>
      </c>
      <c r="AJ102" s="16">
        <f>IF(AN102=0,L102,0)</f>
        <v>0</v>
      </c>
      <c r="AK102" s="16" t="e">
        <f>IF(AN102=12,L102,0)</f>
        <v>#REF!</v>
      </c>
      <c r="AL102" s="16">
        <f>IF(AN102=21,L102,0)</f>
        <v>0</v>
      </c>
      <c r="AN102" s="16">
        <v>12</v>
      </c>
      <c r="AO102" s="16" t="e">
        <f>H102*0.255361446</f>
        <v>#REF!</v>
      </c>
      <c r="AP102" s="16" t="e">
        <f>H102*(1-0.255361446)</f>
        <v>#REF!</v>
      </c>
      <c r="AQ102" s="56" t="s">
        <v>462</v>
      </c>
      <c r="AV102" s="16" t="e">
        <f>AW102+AX102</f>
        <v>#REF!</v>
      </c>
      <c r="AW102" s="16" t="e">
        <f>G102*AO102</f>
        <v>#REF!</v>
      </c>
      <c r="AX102" s="16" t="e">
        <f>G102*AP102</f>
        <v>#REF!</v>
      </c>
      <c r="AY102" s="56" t="s">
        <v>493</v>
      </c>
      <c r="AZ102" s="56" t="s">
        <v>534</v>
      </c>
      <c r="BA102" s="13" t="s">
        <v>535</v>
      </c>
      <c r="BC102" s="16" t="e">
        <f>AW102+AX102</f>
        <v>#REF!</v>
      </c>
      <c r="BD102" s="16" t="e">
        <f>H102/(100-BE102)*100</f>
        <v>#REF!</v>
      </c>
      <c r="BE102" s="16">
        <v>0</v>
      </c>
      <c r="BF102" s="16" t="e">
        <f>O102</f>
        <v>#REF!</v>
      </c>
      <c r="BH102" s="16" t="e">
        <f>G102*AO102</f>
        <v>#REF!</v>
      </c>
      <c r="BI102" s="16" t="e">
        <f>G102*AP102</f>
        <v>#REF!</v>
      </c>
      <c r="BJ102" s="16" t="e">
        <f>G102*H102</f>
        <v>#REF!</v>
      </c>
      <c r="BK102" s="16"/>
      <c r="BL102" s="16">
        <v>722</v>
      </c>
      <c r="BW102" s="16" t="str">
        <f>I102</f>
        <v>12</v>
      </c>
      <c r="BX102" s="3" t="s">
        <v>98</v>
      </c>
    </row>
    <row r="103" spans="1:76" x14ac:dyDescent="0.25">
      <c r="A103" s="58"/>
      <c r="C103" s="59" t="s">
        <v>475</v>
      </c>
      <c r="D103" s="122" t="s">
        <v>504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4"/>
      <c r="BX103" s="60" t="s">
        <v>504</v>
      </c>
    </row>
    <row r="104" spans="1:76" x14ac:dyDescent="0.25">
      <c r="A104" s="1" t="s">
        <v>547</v>
      </c>
      <c r="B104" s="2" t="s">
        <v>156</v>
      </c>
      <c r="C104" s="2" t="s">
        <v>101</v>
      </c>
      <c r="D104" s="77" t="s">
        <v>102</v>
      </c>
      <c r="E104" s="71"/>
      <c r="F104" s="2" t="s">
        <v>31</v>
      </c>
      <c r="G104" s="16" t="e">
        <f>'Rozpočet - vybrané sloupce'!#REF!</f>
        <v>#REF!</v>
      </c>
      <c r="H104" s="16" t="e">
        <f>'Rozpočet - vybrané sloupce'!#REF!</f>
        <v>#REF!</v>
      </c>
      <c r="I104" s="56" t="s">
        <v>460</v>
      </c>
      <c r="J104" s="16" t="e">
        <f>G104*AO104</f>
        <v>#REF!</v>
      </c>
      <c r="K104" s="16" t="e">
        <f>G104*AP104</f>
        <v>#REF!</v>
      </c>
      <c r="L104" s="16" t="e">
        <f>G104*H104</f>
        <v>#REF!</v>
      </c>
      <c r="M104" s="16" t="e">
        <f>L104*(1+BW104/100)</f>
        <v>#REF!</v>
      </c>
      <c r="N104" s="16">
        <v>6.9999999999999994E-5</v>
      </c>
      <c r="O104" s="16" t="e">
        <f>G104*N104</f>
        <v>#REF!</v>
      </c>
      <c r="P104" s="57" t="s">
        <v>461</v>
      </c>
      <c r="Z104" s="16">
        <f>IF(AQ104="5",BJ104,0)</f>
        <v>0</v>
      </c>
      <c r="AB104" s="16">
        <f>IF(AQ104="1",BH104,0)</f>
        <v>0</v>
      </c>
      <c r="AC104" s="16">
        <f>IF(AQ104="1",BI104,0)</f>
        <v>0</v>
      </c>
      <c r="AD104" s="16" t="e">
        <f>IF(AQ104="7",BH104,0)</f>
        <v>#REF!</v>
      </c>
      <c r="AE104" s="16" t="e">
        <f>IF(AQ104="7",BI104,0)</f>
        <v>#REF!</v>
      </c>
      <c r="AF104" s="16">
        <f>IF(AQ104="2",BH104,0)</f>
        <v>0</v>
      </c>
      <c r="AG104" s="16">
        <f>IF(AQ104="2",BI104,0)</f>
        <v>0</v>
      </c>
      <c r="AH104" s="16">
        <f>IF(AQ104="0",BJ104,0)</f>
        <v>0</v>
      </c>
      <c r="AI104" s="13" t="s">
        <v>156</v>
      </c>
      <c r="AJ104" s="16">
        <f>IF(AN104=0,L104,0)</f>
        <v>0</v>
      </c>
      <c r="AK104" s="16" t="e">
        <f>IF(AN104=12,L104,0)</f>
        <v>#REF!</v>
      </c>
      <c r="AL104" s="16">
        <f>IF(AN104=21,L104,0)</f>
        <v>0</v>
      </c>
      <c r="AN104" s="16">
        <v>12</v>
      </c>
      <c r="AO104" s="16" t="e">
        <f>H104*0.523257642</f>
        <v>#REF!</v>
      </c>
      <c r="AP104" s="16" t="e">
        <f>H104*(1-0.523257642)</f>
        <v>#REF!</v>
      </c>
      <c r="AQ104" s="56" t="s">
        <v>462</v>
      </c>
      <c r="AV104" s="16" t="e">
        <f>AW104+AX104</f>
        <v>#REF!</v>
      </c>
      <c r="AW104" s="16" t="e">
        <f>G104*AO104</f>
        <v>#REF!</v>
      </c>
      <c r="AX104" s="16" t="e">
        <f>G104*AP104</f>
        <v>#REF!</v>
      </c>
      <c r="AY104" s="56" t="s">
        <v>493</v>
      </c>
      <c r="AZ104" s="56" t="s">
        <v>534</v>
      </c>
      <c r="BA104" s="13" t="s">
        <v>535</v>
      </c>
      <c r="BC104" s="16" t="e">
        <f>AW104+AX104</f>
        <v>#REF!</v>
      </c>
      <c r="BD104" s="16" t="e">
        <f>H104/(100-BE104)*100</f>
        <v>#REF!</v>
      </c>
      <c r="BE104" s="16">
        <v>0</v>
      </c>
      <c r="BF104" s="16" t="e">
        <f>O104</f>
        <v>#REF!</v>
      </c>
      <c r="BH104" s="16" t="e">
        <f>G104*AO104</f>
        <v>#REF!</v>
      </c>
      <c r="BI104" s="16" t="e">
        <f>G104*AP104</f>
        <v>#REF!</v>
      </c>
      <c r="BJ104" s="16" t="e">
        <f>G104*H104</f>
        <v>#REF!</v>
      </c>
      <c r="BK104" s="16"/>
      <c r="BL104" s="16">
        <v>722</v>
      </c>
      <c r="BW104" s="16" t="str">
        <f>I104</f>
        <v>12</v>
      </c>
      <c r="BX104" s="3" t="s">
        <v>102</v>
      </c>
    </row>
    <row r="105" spans="1:76" x14ac:dyDescent="0.25">
      <c r="A105" s="58"/>
      <c r="C105" s="59" t="s">
        <v>475</v>
      </c>
      <c r="D105" s="122" t="s">
        <v>504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4"/>
      <c r="BX105" s="60" t="s">
        <v>504</v>
      </c>
    </row>
    <row r="106" spans="1:76" x14ac:dyDescent="0.25">
      <c r="A106" s="1" t="s">
        <v>548</v>
      </c>
      <c r="B106" s="2" t="s">
        <v>156</v>
      </c>
      <c r="C106" s="2" t="s">
        <v>103</v>
      </c>
      <c r="D106" s="77" t="s">
        <v>104</v>
      </c>
      <c r="E106" s="71"/>
      <c r="F106" s="2" t="s">
        <v>31</v>
      </c>
      <c r="G106" s="16" t="e">
        <f>'Rozpočet - vybrané sloupce'!#REF!</f>
        <v>#REF!</v>
      </c>
      <c r="H106" s="16" t="e">
        <f>'Rozpočet - vybrané sloupce'!#REF!</f>
        <v>#REF!</v>
      </c>
      <c r="I106" s="56" t="s">
        <v>460</v>
      </c>
      <c r="J106" s="16" t="e">
        <f>G106*AO106</f>
        <v>#REF!</v>
      </c>
      <c r="K106" s="16" t="e">
        <f>G106*AP106</f>
        <v>#REF!</v>
      </c>
      <c r="L106" s="16" t="e">
        <f>G106*H106</f>
        <v>#REF!</v>
      </c>
      <c r="M106" s="16" t="e">
        <f>L106*(1+BW106/100)</f>
        <v>#REF!</v>
      </c>
      <c r="N106" s="16">
        <v>8.0000000000000007E-5</v>
      </c>
      <c r="O106" s="16" t="e">
        <f>G106*N106</f>
        <v>#REF!</v>
      </c>
      <c r="P106" s="57" t="s">
        <v>461</v>
      </c>
      <c r="Z106" s="16">
        <f>IF(AQ106="5",BJ106,0)</f>
        <v>0</v>
      </c>
      <c r="AB106" s="16">
        <f>IF(AQ106="1",BH106,0)</f>
        <v>0</v>
      </c>
      <c r="AC106" s="16">
        <f>IF(AQ106="1",BI106,0)</f>
        <v>0</v>
      </c>
      <c r="AD106" s="16" t="e">
        <f>IF(AQ106="7",BH106,0)</f>
        <v>#REF!</v>
      </c>
      <c r="AE106" s="16" t="e">
        <f>IF(AQ106="7",BI106,0)</f>
        <v>#REF!</v>
      </c>
      <c r="AF106" s="16">
        <f>IF(AQ106="2",BH106,0)</f>
        <v>0</v>
      </c>
      <c r="AG106" s="16">
        <f>IF(AQ106="2",BI106,0)</f>
        <v>0</v>
      </c>
      <c r="AH106" s="16">
        <f>IF(AQ106="0",BJ106,0)</f>
        <v>0</v>
      </c>
      <c r="AI106" s="13" t="s">
        <v>156</v>
      </c>
      <c r="AJ106" s="16">
        <f>IF(AN106=0,L106,0)</f>
        <v>0</v>
      </c>
      <c r="AK106" s="16" t="e">
        <f>IF(AN106=12,L106,0)</f>
        <v>#REF!</v>
      </c>
      <c r="AL106" s="16">
        <f>IF(AN106=21,L106,0)</f>
        <v>0</v>
      </c>
      <c r="AN106" s="16">
        <v>12</v>
      </c>
      <c r="AO106" s="16" t="e">
        <f>H106*0.527714286</f>
        <v>#REF!</v>
      </c>
      <c r="AP106" s="16" t="e">
        <f>H106*(1-0.527714286)</f>
        <v>#REF!</v>
      </c>
      <c r="AQ106" s="56" t="s">
        <v>462</v>
      </c>
      <c r="AV106" s="16" t="e">
        <f>AW106+AX106</f>
        <v>#REF!</v>
      </c>
      <c r="AW106" s="16" t="e">
        <f>G106*AO106</f>
        <v>#REF!</v>
      </c>
      <c r="AX106" s="16" t="e">
        <f>G106*AP106</f>
        <v>#REF!</v>
      </c>
      <c r="AY106" s="56" t="s">
        <v>493</v>
      </c>
      <c r="AZ106" s="56" t="s">
        <v>534</v>
      </c>
      <c r="BA106" s="13" t="s">
        <v>535</v>
      </c>
      <c r="BC106" s="16" t="e">
        <f>AW106+AX106</f>
        <v>#REF!</v>
      </c>
      <c r="BD106" s="16" t="e">
        <f>H106/(100-BE106)*100</f>
        <v>#REF!</v>
      </c>
      <c r="BE106" s="16">
        <v>0</v>
      </c>
      <c r="BF106" s="16" t="e">
        <f>O106</f>
        <v>#REF!</v>
      </c>
      <c r="BH106" s="16" t="e">
        <f>G106*AO106</f>
        <v>#REF!</v>
      </c>
      <c r="BI106" s="16" t="e">
        <f>G106*AP106</f>
        <v>#REF!</v>
      </c>
      <c r="BJ106" s="16" t="e">
        <f>G106*H106</f>
        <v>#REF!</v>
      </c>
      <c r="BK106" s="16"/>
      <c r="BL106" s="16">
        <v>722</v>
      </c>
      <c r="BW106" s="16" t="str">
        <f>I106</f>
        <v>12</v>
      </c>
      <c r="BX106" s="3" t="s">
        <v>104</v>
      </c>
    </row>
    <row r="107" spans="1:76" x14ac:dyDescent="0.25">
      <c r="A107" s="58"/>
      <c r="C107" s="59" t="s">
        <v>475</v>
      </c>
      <c r="D107" s="122" t="s">
        <v>504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4"/>
      <c r="BX107" s="60" t="s">
        <v>504</v>
      </c>
    </row>
    <row r="108" spans="1:76" x14ac:dyDescent="0.25">
      <c r="A108" s="1" t="s">
        <v>549</v>
      </c>
      <c r="B108" s="2" t="s">
        <v>156</v>
      </c>
      <c r="C108" s="2" t="s">
        <v>105</v>
      </c>
      <c r="D108" s="77" t="s">
        <v>106</v>
      </c>
      <c r="E108" s="71"/>
      <c r="F108" s="2" t="s">
        <v>31</v>
      </c>
      <c r="G108" s="16" t="e">
        <f>'Rozpočet - vybrané sloupce'!#REF!</f>
        <v>#REF!</v>
      </c>
      <c r="H108" s="16" t="e">
        <f>'Rozpočet - vybrané sloupce'!#REF!</f>
        <v>#REF!</v>
      </c>
      <c r="I108" s="56" t="s">
        <v>460</v>
      </c>
      <c r="J108" s="16" t="e">
        <f>G108*AO108</f>
        <v>#REF!</v>
      </c>
      <c r="K108" s="16" t="e">
        <f>G108*AP108</f>
        <v>#REF!</v>
      </c>
      <c r="L108" s="16" t="e">
        <f>G108*H108</f>
        <v>#REF!</v>
      </c>
      <c r="M108" s="16" t="e">
        <f>L108*(1+BW108/100)</f>
        <v>#REF!</v>
      </c>
      <c r="N108" s="16">
        <v>1.2999999999999999E-4</v>
      </c>
      <c r="O108" s="16" t="e">
        <f>G108*N108</f>
        <v>#REF!</v>
      </c>
      <c r="P108" s="57" t="s">
        <v>461</v>
      </c>
      <c r="Z108" s="16">
        <f>IF(AQ108="5",BJ108,0)</f>
        <v>0</v>
      </c>
      <c r="AB108" s="16">
        <f>IF(AQ108="1",BH108,0)</f>
        <v>0</v>
      </c>
      <c r="AC108" s="16">
        <f>IF(AQ108="1",BI108,0)</f>
        <v>0</v>
      </c>
      <c r="AD108" s="16" t="e">
        <f>IF(AQ108="7",BH108,0)</f>
        <v>#REF!</v>
      </c>
      <c r="AE108" s="16" t="e">
        <f>IF(AQ108="7",BI108,0)</f>
        <v>#REF!</v>
      </c>
      <c r="AF108" s="16">
        <f>IF(AQ108="2",BH108,0)</f>
        <v>0</v>
      </c>
      <c r="AG108" s="16">
        <f>IF(AQ108="2",BI108,0)</f>
        <v>0</v>
      </c>
      <c r="AH108" s="16">
        <f>IF(AQ108="0",BJ108,0)</f>
        <v>0</v>
      </c>
      <c r="AI108" s="13" t="s">
        <v>156</v>
      </c>
      <c r="AJ108" s="16">
        <f>IF(AN108=0,L108,0)</f>
        <v>0</v>
      </c>
      <c r="AK108" s="16" t="e">
        <f>IF(AN108=12,L108,0)</f>
        <v>#REF!</v>
      </c>
      <c r="AL108" s="16">
        <f>IF(AN108=21,L108,0)</f>
        <v>0</v>
      </c>
      <c r="AN108" s="16">
        <v>12</v>
      </c>
      <c r="AO108" s="16" t="e">
        <f>H108*0.526485197</f>
        <v>#REF!</v>
      </c>
      <c r="AP108" s="16" t="e">
        <f>H108*(1-0.526485197)</f>
        <v>#REF!</v>
      </c>
      <c r="AQ108" s="56" t="s">
        <v>462</v>
      </c>
      <c r="AV108" s="16" t="e">
        <f>AW108+AX108</f>
        <v>#REF!</v>
      </c>
      <c r="AW108" s="16" t="e">
        <f>G108*AO108</f>
        <v>#REF!</v>
      </c>
      <c r="AX108" s="16" t="e">
        <f>G108*AP108</f>
        <v>#REF!</v>
      </c>
      <c r="AY108" s="56" t="s">
        <v>493</v>
      </c>
      <c r="AZ108" s="56" t="s">
        <v>534</v>
      </c>
      <c r="BA108" s="13" t="s">
        <v>535</v>
      </c>
      <c r="BC108" s="16" t="e">
        <f>AW108+AX108</f>
        <v>#REF!</v>
      </c>
      <c r="BD108" s="16" t="e">
        <f>H108/(100-BE108)*100</f>
        <v>#REF!</v>
      </c>
      <c r="BE108" s="16">
        <v>0</v>
      </c>
      <c r="BF108" s="16" t="e">
        <f>O108</f>
        <v>#REF!</v>
      </c>
      <c r="BH108" s="16" t="e">
        <f>G108*AO108</f>
        <v>#REF!</v>
      </c>
      <c r="BI108" s="16" t="e">
        <f>G108*AP108</f>
        <v>#REF!</v>
      </c>
      <c r="BJ108" s="16" t="e">
        <f>G108*H108</f>
        <v>#REF!</v>
      </c>
      <c r="BK108" s="16"/>
      <c r="BL108" s="16">
        <v>722</v>
      </c>
      <c r="BW108" s="16" t="str">
        <f>I108</f>
        <v>12</v>
      </c>
      <c r="BX108" s="3" t="s">
        <v>106</v>
      </c>
    </row>
    <row r="109" spans="1:76" x14ac:dyDescent="0.25">
      <c r="A109" s="58"/>
      <c r="C109" s="59" t="s">
        <v>475</v>
      </c>
      <c r="D109" s="122" t="s">
        <v>504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4"/>
      <c r="BX109" s="60" t="s">
        <v>504</v>
      </c>
    </row>
    <row r="110" spans="1:76" x14ac:dyDescent="0.25">
      <c r="A110" s="1" t="s">
        <v>550</v>
      </c>
      <c r="B110" s="2" t="s">
        <v>156</v>
      </c>
      <c r="C110" s="2" t="s">
        <v>170</v>
      </c>
      <c r="D110" s="77" t="s">
        <v>171</v>
      </c>
      <c r="E110" s="71"/>
      <c r="F110" s="2" t="s">
        <v>35</v>
      </c>
      <c r="G110" s="16" t="e">
        <f>'Rozpočet - vybrané sloupce'!#REF!</f>
        <v>#REF!</v>
      </c>
      <c r="H110" s="16" t="e">
        <f>'Rozpočet - vybrané sloupce'!#REF!</f>
        <v>#REF!</v>
      </c>
      <c r="I110" s="56" t="s">
        <v>460</v>
      </c>
      <c r="J110" s="16" t="e">
        <f t="shared" ref="J110:J118" si="78">G110*AO110</f>
        <v>#REF!</v>
      </c>
      <c r="K110" s="16" t="e">
        <f t="shared" ref="K110:K118" si="79">G110*AP110</f>
        <v>#REF!</v>
      </c>
      <c r="L110" s="16" t="e">
        <f t="shared" ref="L110:L118" si="80">G110*H110</f>
        <v>#REF!</v>
      </c>
      <c r="M110" s="16" t="e">
        <f t="shared" ref="M110:M118" si="81">L110*(1+BW110/100)</f>
        <v>#REF!</v>
      </c>
      <c r="N110" s="16">
        <v>0</v>
      </c>
      <c r="O110" s="16" t="e">
        <f t="shared" ref="O110:O118" si="82">G110*N110</f>
        <v>#REF!</v>
      </c>
      <c r="P110" s="57" t="s">
        <v>461</v>
      </c>
      <c r="Z110" s="16">
        <f t="shared" ref="Z110:Z118" si="83">IF(AQ110="5",BJ110,0)</f>
        <v>0</v>
      </c>
      <c r="AB110" s="16">
        <f t="shared" ref="AB110:AB118" si="84">IF(AQ110="1",BH110,0)</f>
        <v>0</v>
      </c>
      <c r="AC110" s="16">
        <f t="shared" ref="AC110:AC118" si="85">IF(AQ110="1",BI110,0)</f>
        <v>0</v>
      </c>
      <c r="AD110" s="16" t="e">
        <f t="shared" ref="AD110:AD118" si="86">IF(AQ110="7",BH110,0)</f>
        <v>#REF!</v>
      </c>
      <c r="AE110" s="16" t="e">
        <f t="shared" ref="AE110:AE118" si="87">IF(AQ110="7",BI110,0)</f>
        <v>#REF!</v>
      </c>
      <c r="AF110" s="16">
        <f t="shared" ref="AF110:AF118" si="88">IF(AQ110="2",BH110,0)</f>
        <v>0</v>
      </c>
      <c r="AG110" s="16">
        <f t="shared" ref="AG110:AG118" si="89">IF(AQ110="2",BI110,0)</f>
        <v>0</v>
      </c>
      <c r="AH110" s="16">
        <f t="shared" ref="AH110:AH118" si="90">IF(AQ110="0",BJ110,0)</f>
        <v>0</v>
      </c>
      <c r="AI110" s="13" t="s">
        <v>156</v>
      </c>
      <c r="AJ110" s="16">
        <f t="shared" ref="AJ110:AJ118" si="91">IF(AN110=0,L110,0)</f>
        <v>0</v>
      </c>
      <c r="AK110" s="16" t="e">
        <f t="shared" ref="AK110:AK118" si="92">IF(AN110=12,L110,0)</f>
        <v>#REF!</v>
      </c>
      <c r="AL110" s="16">
        <f t="shared" ref="AL110:AL118" si="93">IF(AN110=21,L110,0)</f>
        <v>0</v>
      </c>
      <c r="AN110" s="16">
        <v>12</v>
      </c>
      <c r="AO110" s="16" t="e">
        <f>H110*1</f>
        <v>#REF!</v>
      </c>
      <c r="AP110" s="16" t="e">
        <f>H110*(1-1)</f>
        <v>#REF!</v>
      </c>
      <c r="AQ110" s="56" t="s">
        <v>462</v>
      </c>
      <c r="AV110" s="16" t="e">
        <f t="shared" ref="AV110:AV118" si="94">AW110+AX110</f>
        <v>#REF!</v>
      </c>
      <c r="AW110" s="16" t="e">
        <f t="shared" ref="AW110:AW118" si="95">G110*AO110</f>
        <v>#REF!</v>
      </c>
      <c r="AX110" s="16" t="e">
        <f t="shared" ref="AX110:AX118" si="96">G110*AP110</f>
        <v>#REF!</v>
      </c>
      <c r="AY110" s="56" t="s">
        <v>493</v>
      </c>
      <c r="AZ110" s="56" t="s">
        <v>534</v>
      </c>
      <c r="BA110" s="13" t="s">
        <v>535</v>
      </c>
      <c r="BC110" s="16" t="e">
        <f t="shared" ref="BC110:BC118" si="97">AW110+AX110</f>
        <v>#REF!</v>
      </c>
      <c r="BD110" s="16" t="e">
        <f t="shared" ref="BD110:BD118" si="98">H110/(100-BE110)*100</f>
        <v>#REF!</v>
      </c>
      <c r="BE110" s="16">
        <v>0</v>
      </c>
      <c r="BF110" s="16" t="e">
        <f t="shared" ref="BF110:BF118" si="99">O110</f>
        <v>#REF!</v>
      </c>
      <c r="BH110" s="16" t="e">
        <f t="shared" ref="BH110:BH118" si="100">G110*AO110</f>
        <v>#REF!</v>
      </c>
      <c r="BI110" s="16" t="e">
        <f t="shared" ref="BI110:BI118" si="101">G110*AP110</f>
        <v>#REF!</v>
      </c>
      <c r="BJ110" s="16" t="e">
        <f t="shared" ref="BJ110:BJ118" si="102">G110*H110</f>
        <v>#REF!</v>
      </c>
      <c r="BK110" s="16"/>
      <c r="BL110" s="16">
        <v>722</v>
      </c>
      <c r="BW110" s="16" t="str">
        <f t="shared" ref="BW110:BW118" si="103">I110</f>
        <v>12</v>
      </c>
      <c r="BX110" s="3" t="s">
        <v>171</v>
      </c>
    </row>
    <row r="111" spans="1:76" x14ac:dyDescent="0.25">
      <c r="A111" s="1" t="s">
        <v>551</v>
      </c>
      <c r="B111" s="2" t="s">
        <v>156</v>
      </c>
      <c r="C111" s="2" t="s">
        <v>121</v>
      </c>
      <c r="D111" s="77" t="s">
        <v>172</v>
      </c>
      <c r="E111" s="71"/>
      <c r="F111" s="2" t="s">
        <v>35</v>
      </c>
      <c r="G111" s="16" t="e">
        <f>'Rozpočet - vybrané sloupce'!#REF!</f>
        <v>#REF!</v>
      </c>
      <c r="H111" s="16" t="e">
        <f>'Rozpočet - vybrané sloupce'!#REF!</f>
        <v>#REF!</v>
      </c>
      <c r="I111" s="56" t="s">
        <v>460</v>
      </c>
      <c r="J111" s="16" t="e">
        <f t="shared" si="78"/>
        <v>#REF!</v>
      </c>
      <c r="K111" s="16" t="e">
        <f t="shared" si="79"/>
        <v>#REF!</v>
      </c>
      <c r="L111" s="16" t="e">
        <f t="shared" si="80"/>
        <v>#REF!</v>
      </c>
      <c r="M111" s="16" t="e">
        <f t="shared" si="81"/>
        <v>#REF!</v>
      </c>
      <c r="N111" s="16">
        <v>2.4000000000000001E-4</v>
      </c>
      <c r="O111" s="16" t="e">
        <f t="shared" si="82"/>
        <v>#REF!</v>
      </c>
      <c r="P111" s="57" t="s">
        <v>461</v>
      </c>
      <c r="Z111" s="16">
        <f t="shared" si="83"/>
        <v>0</v>
      </c>
      <c r="AB111" s="16">
        <f t="shared" si="84"/>
        <v>0</v>
      </c>
      <c r="AC111" s="16">
        <f t="shared" si="85"/>
        <v>0</v>
      </c>
      <c r="AD111" s="16" t="e">
        <f t="shared" si="86"/>
        <v>#REF!</v>
      </c>
      <c r="AE111" s="16" t="e">
        <f t="shared" si="87"/>
        <v>#REF!</v>
      </c>
      <c r="AF111" s="16">
        <f t="shared" si="88"/>
        <v>0</v>
      </c>
      <c r="AG111" s="16">
        <f t="shared" si="89"/>
        <v>0</v>
      </c>
      <c r="AH111" s="16">
        <f t="shared" si="90"/>
        <v>0</v>
      </c>
      <c r="AI111" s="13" t="s">
        <v>156</v>
      </c>
      <c r="AJ111" s="16">
        <f t="shared" si="91"/>
        <v>0</v>
      </c>
      <c r="AK111" s="16" t="e">
        <f t="shared" si="92"/>
        <v>#REF!</v>
      </c>
      <c r="AL111" s="16">
        <f t="shared" si="93"/>
        <v>0</v>
      </c>
      <c r="AN111" s="16">
        <v>12</v>
      </c>
      <c r="AO111" s="16" t="e">
        <f>H111*0.728238342</f>
        <v>#REF!</v>
      </c>
      <c r="AP111" s="16" t="e">
        <f>H111*(1-0.728238342)</f>
        <v>#REF!</v>
      </c>
      <c r="AQ111" s="56" t="s">
        <v>462</v>
      </c>
      <c r="AV111" s="16" t="e">
        <f t="shared" si="94"/>
        <v>#REF!</v>
      </c>
      <c r="AW111" s="16" t="e">
        <f t="shared" si="95"/>
        <v>#REF!</v>
      </c>
      <c r="AX111" s="16" t="e">
        <f t="shared" si="96"/>
        <v>#REF!</v>
      </c>
      <c r="AY111" s="56" t="s">
        <v>493</v>
      </c>
      <c r="AZ111" s="56" t="s">
        <v>534</v>
      </c>
      <c r="BA111" s="13" t="s">
        <v>535</v>
      </c>
      <c r="BC111" s="16" t="e">
        <f t="shared" si="97"/>
        <v>#REF!</v>
      </c>
      <c r="BD111" s="16" t="e">
        <f t="shared" si="98"/>
        <v>#REF!</v>
      </c>
      <c r="BE111" s="16">
        <v>0</v>
      </c>
      <c r="BF111" s="16" t="e">
        <f t="shared" si="99"/>
        <v>#REF!</v>
      </c>
      <c r="BH111" s="16" t="e">
        <f t="shared" si="100"/>
        <v>#REF!</v>
      </c>
      <c r="BI111" s="16" t="e">
        <f t="shared" si="101"/>
        <v>#REF!</v>
      </c>
      <c r="BJ111" s="16" t="e">
        <f t="shared" si="102"/>
        <v>#REF!</v>
      </c>
      <c r="BK111" s="16"/>
      <c r="BL111" s="16">
        <v>722</v>
      </c>
      <c r="BW111" s="16" t="str">
        <f t="shared" si="103"/>
        <v>12</v>
      </c>
      <c r="BX111" s="3" t="s">
        <v>172</v>
      </c>
    </row>
    <row r="112" spans="1:76" x14ac:dyDescent="0.25">
      <c r="A112" s="1" t="s">
        <v>302</v>
      </c>
      <c r="B112" s="2" t="s">
        <v>156</v>
      </c>
      <c r="C112" s="2" t="s">
        <v>173</v>
      </c>
      <c r="D112" s="77" t="s">
        <v>174</v>
      </c>
      <c r="E112" s="71"/>
      <c r="F112" s="2" t="s">
        <v>35</v>
      </c>
      <c r="G112" s="16" t="e">
        <f>'Rozpočet - vybrané sloupce'!#REF!</f>
        <v>#REF!</v>
      </c>
      <c r="H112" s="16" t="e">
        <f>'Rozpočet - vybrané sloupce'!#REF!</f>
        <v>#REF!</v>
      </c>
      <c r="I112" s="56" t="s">
        <v>460</v>
      </c>
      <c r="J112" s="16" t="e">
        <f t="shared" si="78"/>
        <v>#REF!</v>
      </c>
      <c r="K112" s="16" t="e">
        <f t="shared" si="79"/>
        <v>#REF!</v>
      </c>
      <c r="L112" s="16" t="e">
        <f t="shared" si="80"/>
        <v>#REF!</v>
      </c>
      <c r="M112" s="16" t="e">
        <f t="shared" si="81"/>
        <v>#REF!</v>
      </c>
      <c r="N112" s="16">
        <v>1.1E-4</v>
      </c>
      <c r="O112" s="16" t="e">
        <f t="shared" si="82"/>
        <v>#REF!</v>
      </c>
      <c r="P112" s="57" t="s">
        <v>461</v>
      </c>
      <c r="Z112" s="16">
        <f t="shared" si="83"/>
        <v>0</v>
      </c>
      <c r="AB112" s="16">
        <f t="shared" si="84"/>
        <v>0</v>
      </c>
      <c r="AC112" s="16">
        <f t="shared" si="85"/>
        <v>0</v>
      </c>
      <c r="AD112" s="16" t="e">
        <f t="shared" si="86"/>
        <v>#REF!</v>
      </c>
      <c r="AE112" s="16" t="e">
        <f t="shared" si="87"/>
        <v>#REF!</v>
      </c>
      <c r="AF112" s="16">
        <f t="shared" si="88"/>
        <v>0</v>
      </c>
      <c r="AG112" s="16">
        <f t="shared" si="89"/>
        <v>0</v>
      </c>
      <c r="AH112" s="16">
        <f t="shared" si="90"/>
        <v>0</v>
      </c>
      <c r="AI112" s="13" t="s">
        <v>156</v>
      </c>
      <c r="AJ112" s="16">
        <f t="shared" si="91"/>
        <v>0</v>
      </c>
      <c r="AK112" s="16" t="e">
        <f t="shared" si="92"/>
        <v>#REF!</v>
      </c>
      <c r="AL112" s="16">
        <f t="shared" si="93"/>
        <v>0</v>
      </c>
      <c r="AN112" s="16">
        <v>12</v>
      </c>
      <c r="AO112" s="16" t="e">
        <f>H112*0.699395125</f>
        <v>#REF!</v>
      </c>
      <c r="AP112" s="16" t="e">
        <f>H112*(1-0.699395125)</f>
        <v>#REF!</v>
      </c>
      <c r="AQ112" s="56" t="s">
        <v>462</v>
      </c>
      <c r="AV112" s="16" t="e">
        <f t="shared" si="94"/>
        <v>#REF!</v>
      </c>
      <c r="AW112" s="16" t="e">
        <f t="shared" si="95"/>
        <v>#REF!</v>
      </c>
      <c r="AX112" s="16" t="e">
        <f t="shared" si="96"/>
        <v>#REF!</v>
      </c>
      <c r="AY112" s="56" t="s">
        <v>493</v>
      </c>
      <c r="AZ112" s="56" t="s">
        <v>534</v>
      </c>
      <c r="BA112" s="13" t="s">
        <v>535</v>
      </c>
      <c r="BC112" s="16" t="e">
        <f t="shared" si="97"/>
        <v>#REF!</v>
      </c>
      <c r="BD112" s="16" t="e">
        <f t="shared" si="98"/>
        <v>#REF!</v>
      </c>
      <c r="BE112" s="16">
        <v>0</v>
      </c>
      <c r="BF112" s="16" t="e">
        <f t="shared" si="99"/>
        <v>#REF!</v>
      </c>
      <c r="BH112" s="16" t="e">
        <f t="shared" si="100"/>
        <v>#REF!</v>
      </c>
      <c r="BI112" s="16" t="e">
        <f t="shared" si="101"/>
        <v>#REF!</v>
      </c>
      <c r="BJ112" s="16" t="e">
        <f t="shared" si="102"/>
        <v>#REF!</v>
      </c>
      <c r="BK112" s="16"/>
      <c r="BL112" s="16">
        <v>722</v>
      </c>
      <c r="BW112" s="16" t="str">
        <f t="shared" si="103"/>
        <v>12</v>
      </c>
      <c r="BX112" s="3" t="s">
        <v>174</v>
      </c>
    </row>
    <row r="113" spans="1:76" x14ac:dyDescent="0.25">
      <c r="A113" s="1" t="s">
        <v>552</v>
      </c>
      <c r="B113" s="2" t="s">
        <v>156</v>
      </c>
      <c r="C113" s="2" t="s">
        <v>175</v>
      </c>
      <c r="D113" s="77" t="s">
        <v>176</v>
      </c>
      <c r="E113" s="71"/>
      <c r="F113" s="2" t="s">
        <v>35</v>
      </c>
      <c r="G113" s="16" t="e">
        <f>'Rozpočet - vybrané sloupce'!#REF!</f>
        <v>#REF!</v>
      </c>
      <c r="H113" s="16" t="e">
        <f>'Rozpočet - vybrané sloupce'!#REF!</f>
        <v>#REF!</v>
      </c>
      <c r="I113" s="56" t="s">
        <v>460</v>
      </c>
      <c r="J113" s="16" t="e">
        <f t="shared" si="78"/>
        <v>#REF!</v>
      </c>
      <c r="K113" s="16" t="e">
        <f t="shared" si="79"/>
        <v>#REF!</v>
      </c>
      <c r="L113" s="16" t="e">
        <f t="shared" si="80"/>
        <v>#REF!</v>
      </c>
      <c r="M113" s="16" t="e">
        <f t="shared" si="81"/>
        <v>#REF!</v>
      </c>
      <c r="N113" s="16">
        <v>5.4900000000000001E-3</v>
      </c>
      <c r="O113" s="16" t="e">
        <f t="shared" si="82"/>
        <v>#REF!</v>
      </c>
      <c r="P113" s="57" t="s">
        <v>461</v>
      </c>
      <c r="Z113" s="16">
        <f t="shared" si="83"/>
        <v>0</v>
      </c>
      <c r="AB113" s="16">
        <f t="shared" si="84"/>
        <v>0</v>
      </c>
      <c r="AC113" s="16">
        <f t="shared" si="85"/>
        <v>0</v>
      </c>
      <c r="AD113" s="16" t="e">
        <f t="shared" si="86"/>
        <v>#REF!</v>
      </c>
      <c r="AE113" s="16" t="e">
        <f t="shared" si="87"/>
        <v>#REF!</v>
      </c>
      <c r="AF113" s="16">
        <f t="shared" si="88"/>
        <v>0</v>
      </c>
      <c r="AG113" s="16">
        <f t="shared" si="89"/>
        <v>0</v>
      </c>
      <c r="AH113" s="16">
        <f t="shared" si="90"/>
        <v>0</v>
      </c>
      <c r="AI113" s="13" t="s">
        <v>156</v>
      </c>
      <c r="AJ113" s="16">
        <f t="shared" si="91"/>
        <v>0</v>
      </c>
      <c r="AK113" s="16" t="e">
        <f t="shared" si="92"/>
        <v>#REF!</v>
      </c>
      <c r="AL113" s="16">
        <f t="shared" si="93"/>
        <v>0</v>
      </c>
      <c r="AN113" s="16">
        <v>12</v>
      </c>
      <c r="AO113" s="16" t="e">
        <f>H113*0</f>
        <v>#REF!</v>
      </c>
      <c r="AP113" s="16" t="e">
        <f>H113*(1-0)</f>
        <v>#REF!</v>
      </c>
      <c r="AQ113" s="56" t="s">
        <v>462</v>
      </c>
      <c r="AV113" s="16" t="e">
        <f t="shared" si="94"/>
        <v>#REF!</v>
      </c>
      <c r="AW113" s="16" t="e">
        <f t="shared" si="95"/>
        <v>#REF!</v>
      </c>
      <c r="AX113" s="16" t="e">
        <f t="shared" si="96"/>
        <v>#REF!</v>
      </c>
      <c r="AY113" s="56" t="s">
        <v>493</v>
      </c>
      <c r="AZ113" s="56" t="s">
        <v>534</v>
      </c>
      <c r="BA113" s="13" t="s">
        <v>535</v>
      </c>
      <c r="BC113" s="16" t="e">
        <f t="shared" si="97"/>
        <v>#REF!</v>
      </c>
      <c r="BD113" s="16" t="e">
        <f t="shared" si="98"/>
        <v>#REF!</v>
      </c>
      <c r="BE113" s="16">
        <v>0</v>
      </c>
      <c r="BF113" s="16" t="e">
        <f t="shared" si="99"/>
        <v>#REF!</v>
      </c>
      <c r="BH113" s="16" t="e">
        <f t="shared" si="100"/>
        <v>#REF!</v>
      </c>
      <c r="BI113" s="16" t="e">
        <f t="shared" si="101"/>
        <v>#REF!</v>
      </c>
      <c r="BJ113" s="16" t="e">
        <f t="shared" si="102"/>
        <v>#REF!</v>
      </c>
      <c r="BK113" s="16"/>
      <c r="BL113" s="16">
        <v>722</v>
      </c>
      <c r="BW113" s="16" t="str">
        <f t="shared" si="103"/>
        <v>12</v>
      </c>
      <c r="BX113" s="3" t="s">
        <v>176</v>
      </c>
    </row>
    <row r="114" spans="1:76" x14ac:dyDescent="0.25">
      <c r="A114" s="1" t="s">
        <v>553</v>
      </c>
      <c r="B114" s="2" t="s">
        <v>156</v>
      </c>
      <c r="C114" s="2" t="s">
        <v>177</v>
      </c>
      <c r="D114" s="77" t="s">
        <v>178</v>
      </c>
      <c r="E114" s="71"/>
      <c r="F114" s="2" t="s">
        <v>35</v>
      </c>
      <c r="G114" s="16" t="e">
        <f>'Rozpočet - vybrané sloupce'!#REF!</f>
        <v>#REF!</v>
      </c>
      <c r="H114" s="16" t="e">
        <f>'Rozpočet - vybrané sloupce'!#REF!</f>
        <v>#REF!</v>
      </c>
      <c r="I114" s="56" t="s">
        <v>460</v>
      </c>
      <c r="J114" s="16" t="e">
        <f t="shared" si="78"/>
        <v>#REF!</v>
      </c>
      <c r="K114" s="16" t="e">
        <f t="shared" si="79"/>
        <v>#REF!</v>
      </c>
      <c r="L114" s="16" t="e">
        <f t="shared" si="80"/>
        <v>#REF!</v>
      </c>
      <c r="M114" s="16" t="e">
        <f t="shared" si="81"/>
        <v>#REF!</v>
      </c>
      <c r="N114" s="16">
        <v>2.0000000000000002E-5</v>
      </c>
      <c r="O114" s="16" t="e">
        <f t="shared" si="82"/>
        <v>#REF!</v>
      </c>
      <c r="P114" s="57" t="s">
        <v>461</v>
      </c>
      <c r="Z114" s="16">
        <f t="shared" si="83"/>
        <v>0</v>
      </c>
      <c r="AB114" s="16">
        <f t="shared" si="84"/>
        <v>0</v>
      </c>
      <c r="AC114" s="16">
        <f t="shared" si="85"/>
        <v>0</v>
      </c>
      <c r="AD114" s="16" t="e">
        <f t="shared" si="86"/>
        <v>#REF!</v>
      </c>
      <c r="AE114" s="16" t="e">
        <f t="shared" si="87"/>
        <v>#REF!</v>
      </c>
      <c r="AF114" s="16">
        <f t="shared" si="88"/>
        <v>0</v>
      </c>
      <c r="AG114" s="16">
        <f t="shared" si="89"/>
        <v>0</v>
      </c>
      <c r="AH114" s="16">
        <f t="shared" si="90"/>
        <v>0</v>
      </c>
      <c r="AI114" s="13" t="s">
        <v>156</v>
      </c>
      <c r="AJ114" s="16">
        <f t="shared" si="91"/>
        <v>0</v>
      </c>
      <c r="AK114" s="16" t="e">
        <f t="shared" si="92"/>
        <v>#REF!</v>
      </c>
      <c r="AL114" s="16">
        <f t="shared" si="93"/>
        <v>0</v>
      </c>
      <c r="AN114" s="16">
        <v>12</v>
      </c>
      <c r="AO114" s="16" t="e">
        <f>H114*0.034747014</f>
        <v>#REF!</v>
      </c>
      <c r="AP114" s="16" t="e">
        <f>H114*(1-0.034747014)</f>
        <v>#REF!</v>
      </c>
      <c r="AQ114" s="56" t="s">
        <v>462</v>
      </c>
      <c r="AV114" s="16" t="e">
        <f t="shared" si="94"/>
        <v>#REF!</v>
      </c>
      <c r="AW114" s="16" t="e">
        <f t="shared" si="95"/>
        <v>#REF!</v>
      </c>
      <c r="AX114" s="16" t="e">
        <f t="shared" si="96"/>
        <v>#REF!</v>
      </c>
      <c r="AY114" s="56" t="s">
        <v>493</v>
      </c>
      <c r="AZ114" s="56" t="s">
        <v>534</v>
      </c>
      <c r="BA114" s="13" t="s">
        <v>535</v>
      </c>
      <c r="BC114" s="16" t="e">
        <f t="shared" si="97"/>
        <v>#REF!</v>
      </c>
      <c r="BD114" s="16" t="e">
        <f t="shared" si="98"/>
        <v>#REF!</v>
      </c>
      <c r="BE114" s="16">
        <v>0</v>
      </c>
      <c r="BF114" s="16" t="e">
        <f t="shared" si="99"/>
        <v>#REF!</v>
      </c>
      <c r="BH114" s="16" t="e">
        <f t="shared" si="100"/>
        <v>#REF!</v>
      </c>
      <c r="BI114" s="16" t="e">
        <f t="shared" si="101"/>
        <v>#REF!</v>
      </c>
      <c r="BJ114" s="16" t="e">
        <f t="shared" si="102"/>
        <v>#REF!</v>
      </c>
      <c r="BK114" s="16"/>
      <c r="BL114" s="16">
        <v>722</v>
      </c>
      <c r="BW114" s="16" t="str">
        <f t="shared" si="103"/>
        <v>12</v>
      </c>
      <c r="BX114" s="3" t="s">
        <v>178</v>
      </c>
    </row>
    <row r="115" spans="1:76" x14ac:dyDescent="0.25">
      <c r="A115" s="1" t="s">
        <v>554</v>
      </c>
      <c r="B115" s="2" t="s">
        <v>156</v>
      </c>
      <c r="C115" s="2" t="s">
        <v>179</v>
      </c>
      <c r="D115" s="77" t="s">
        <v>180</v>
      </c>
      <c r="E115" s="71"/>
      <c r="F115" s="2" t="s">
        <v>35</v>
      </c>
      <c r="G115" s="16" t="e">
        <f>'Rozpočet - vybrané sloupce'!#REF!</f>
        <v>#REF!</v>
      </c>
      <c r="H115" s="16" t="e">
        <f>'Rozpočet - vybrané sloupce'!#REF!</f>
        <v>#REF!</v>
      </c>
      <c r="I115" s="56" t="s">
        <v>460</v>
      </c>
      <c r="J115" s="16" t="e">
        <f t="shared" si="78"/>
        <v>#REF!</v>
      </c>
      <c r="K115" s="16" t="e">
        <f t="shared" si="79"/>
        <v>#REF!</v>
      </c>
      <c r="L115" s="16" t="e">
        <f t="shared" si="80"/>
        <v>#REF!</v>
      </c>
      <c r="M115" s="16" t="e">
        <f t="shared" si="81"/>
        <v>#REF!</v>
      </c>
      <c r="N115" s="16">
        <v>0</v>
      </c>
      <c r="O115" s="16" t="e">
        <f t="shared" si="82"/>
        <v>#REF!</v>
      </c>
      <c r="P115" s="57" t="s">
        <v>461</v>
      </c>
      <c r="Z115" s="16">
        <f t="shared" si="83"/>
        <v>0</v>
      </c>
      <c r="AB115" s="16">
        <f t="shared" si="84"/>
        <v>0</v>
      </c>
      <c r="AC115" s="16">
        <f t="shared" si="85"/>
        <v>0</v>
      </c>
      <c r="AD115" s="16" t="e">
        <f t="shared" si="86"/>
        <v>#REF!</v>
      </c>
      <c r="AE115" s="16" t="e">
        <f t="shared" si="87"/>
        <v>#REF!</v>
      </c>
      <c r="AF115" s="16">
        <f t="shared" si="88"/>
        <v>0</v>
      </c>
      <c r="AG115" s="16">
        <f t="shared" si="89"/>
        <v>0</v>
      </c>
      <c r="AH115" s="16">
        <f t="shared" si="90"/>
        <v>0</v>
      </c>
      <c r="AI115" s="13" t="s">
        <v>156</v>
      </c>
      <c r="AJ115" s="16">
        <f t="shared" si="91"/>
        <v>0</v>
      </c>
      <c r="AK115" s="16" t="e">
        <f t="shared" si="92"/>
        <v>#REF!</v>
      </c>
      <c r="AL115" s="16">
        <f t="shared" si="93"/>
        <v>0</v>
      </c>
      <c r="AN115" s="16">
        <v>12</v>
      </c>
      <c r="AO115" s="16" t="e">
        <f>H115*0.166666667</f>
        <v>#REF!</v>
      </c>
      <c r="AP115" s="16" t="e">
        <f>H115*(1-0.166666667)</f>
        <v>#REF!</v>
      </c>
      <c r="AQ115" s="56" t="s">
        <v>462</v>
      </c>
      <c r="AV115" s="16" t="e">
        <f t="shared" si="94"/>
        <v>#REF!</v>
      </c>
      <c r="AW115" s="16" t="e">
        <f t="shared" si="95"/>
        <v>#REF!</v>
      </c>
      <c r="AX115" s="16" t="e">
        <f t="shared" si="96"/>
        <v>#REF!</v>
      </c>
      <c r="AY115" s="56" t="s">
        <v>493</v>
      </c>
      <c r="AZ115" s="56" t="s">
        <v>534</v>
      </c>
      <c r="BA115" s="13" t="s">
        <v>535</v>
      </c>
      <c r="BC115" s="16" t="e">
        <f t="shared" si="97"/>
        <v>#REF!</v>
      </c>
      <c r="BD115" s="16" t="e">
        <f t="shared" si="98"/>
        <v>#REF!</v>
      </c>
      <c r="BE115" s="16">
        <v>0</v>
      </c>
      <c r="BF115" s="16" t="e">
        <f t="shared" si="99"/>
        <v>#REF!</v>
      </c>
      <c r="BH115" s="16" t="e">
        <f t="shared" si="100"/>
        <v>#REF!</v>
      </c>
      <c r="BI115" s="16" t="e">
        <f t="shared" si="101"/>
        <v>#REF!</v>
      </c>
      <c r="BJ115" s="16" t="e">
        <f t="shared" si="102"/>
        <v>#REF!</v>
      </c>
      <c r="BK115" s="16"/>
      <c r="BL115" s="16">
        <v>722</v>
      </c>
      <c r="BW115" s="16" t="str">
        <f t="shared" si="103"/>
        <v>12</v>
      </c>
      <c r="BX115" s="3" t="s">
        <v>180</v>
      </c>
    </row>
    <row r="116" spans="1:76" x14ac:dyDescent="0.25">
      <c r="A116" s="1" t="s">
        <v>555</v>
      </c>
      <c r="B116" s="2" t="s">
        <v>156</v>
      </c>
      <c r="C116" s="2" t="s">
        <v>146</v>
      </c>
      <c r="D116" s="77" t="s">
        <v>147</v>
      </c>
      <c r="E116" s="71"/>
      <c r="F116" s="2" t="s">
        <v>31</v>
      </c>
      <c r="G116" s="16" t="e">
        <f>'Rozpočet - vybrané sloupce'!#REF!</f>
        <v>#REF!</v>
      </c>
      <c r="H116" s="16" t="e">
        <f>'Rozpočet - vybrané sloupce'!#REF!</f>
        <v>#REF!</v>
      </c>
      <c r="I116" s="56" t="s">
        <v>460</v>
      </c>
      <c r="J116" s="16" t="e">
        <f t="shared" si="78"/>
        <v>#REF!</v>
      </c>
      <c r="K116" s="16" t="e">
        <f t="shared" si="79"/>
        <v>#REF!</v>
      </c>
      <c r="L116" s="16" t="e">
        <f t="shared" si="80"/>
        <v>#REF!</v>
      </c>
      <c r="M116" s="16" t="e">
        <f t="shared" si="81"/>
        <v>#REF!</v>
      </c>
      <c r="N116" s="16">
        <v>0</v>
      </c>
      <c r="O116" s="16" t="e">
        <f t="shared" si="82"/>
        <v>#REF!</v>
      </c>
      <c r="P116" s="57" t="s">
        <v>461</v>
      </c>
      <c r="Z116" s="16">
        <f t="shared" si="83"/>
        <v>0</v>
      </c>
      <c r="AB116" s="16">
        <f t="shared" si="84"/>
        <v>0</v>
      </c>
      <c r="AC116" s="16">
        <f t="shared" si="85"/>
        <v>0</v>
      </c>
      <c r="AD116" s="16" t="e">
        <f t="shared" si="86"/>
        <v>#REF!</v>
      </c>
      <c r="AE116" s="16" t="e">
        <f t="shared" si="87"/>
        <v>#REF!</v>
      </c>
      <c r="AF116" s="16">
        <f t="shared" si="88"/>
        <v>0</v>
      </c>
      <c r="AG116" s="16">
        <f t="shared" si="89"/>
        <v>0</v>
      </c>
      <c r="AH116" s="16">
        <f t="shared" si="90"/>
        <v>0</v>
      </c>
      <c r="AI116" s="13" t="s">
        <v>156</v>
      </c>
      <c r="AJ116" s="16">
        <f t="shared" si="91"/>
        <v>0</v>
      </c>
      <c r="AK116" s="16" t="e">
        <f t="shared" si="92"/>
        <v>#REF!</v>
      </c>
      <c r="AL116" s="16">
        <f t="shared" si="93"/>
        <v>0</v>
      </c>
      <c r="AN116" s="16">
        <v>12</v>
      </c>
      <c r="AO116" s="16" t="e">
        <f>H116*0.014894074</f>
        <v>#REF!</v>
      </c>
      <c r="AP116" s="16" t="e">
        <f>H116*(1-0.014894074)</f>
        <v>#REF!</v>
      </c>
      <c r="AQ116" s="56" t="s">
        <v>462</v>
      </c>
      <c r="AV116" s="16" t="e">
        <f t="shared" si="94"/>
        <v>#REF!</v>
      </c>
      <c r="AW116" s="16" t="e">
        <f t="shared" si="95"/>
        <v>#REF!</v>
      </c>
      <c r="AX116" s="16" t="e">
        <f t="shared" si="96"/>
        <v>#REF!</v>
      </c>
      <c r="AY116" s="56" t="s">
        <v>493</v>
      </c>
      <c r="AZ116" s="56" t="s">
        <v>534</v>
      </c>
      <c r="BA116" s="13" t="s">
        <v>535</v>
      </c>
      <c r="BC116" s="16" t="e">
        <f t="shared" si="97"/>
        <v>#REF!</v>
      </c>
      <c r="BD116" s="16" t="e">
        <f t="shared" si="98"/>
        <v>#REF!</v>
      </c>
      <c r="BE116" s="16">
        <v>0</v>
      </c>
      <c r="BF116" s="16" t="e">
        <f t="shared" si="99"/>
        <v>#REF!</v>
      </c>
      <c r="BH116" s="16" t="e">
        <f t="shared" si="100"/>
        <v>#REF!</v>
      </c>
      <c r="BI116" s="16" t="e">
        <f t="shared" si="101"/>
        <v>#REF!</v>
      </c>
      <c r="BJ116" s="16" t="e">
        <f t="shared" si="102"/>
        <v>#REF!</v>
      </c>
      <c r="BK116" s="16"/>
      <c r="BL116" s="16">
        <v>722</v>
      </c>
      <c r="BW116" s="16" t="str">
        <f t="shared" si="103"/>
        <v>12</v>
      </c>
      <c r="BX116" s="3" t="s">
        <v>147</v>
      </c>
    </row>
    <row r="117" spans="1:76" x14ac:dyDescent="0.25">
      <c r="A117" s="1" t="s">
        <v>556</v>
      </c>
      <c r="B117" s="2" t="s">
        <v>156</v>
      </c>
      <c r="C117" s="2" t="s">
        <v>148</v>
      </c>
      <c r="D117" s="77" t="s">
        <v>149</v>
      </c>
      <c r="E117" s="71"/>
      <c r="F117" s="2" t="s">
        <v>31</v>
      </c>
      <c r="G117" s="16" t="e">
        <f>'Rozpočet - vybrané sloupce'!#REF!</f>
        <v>#REF!</v>
      </c>
      <c r="H117" s="16" t="e">
        <f>'Rozpočet - vybrané sloupce'!#REF!</f>
        <v>#REF!</v>
      </c>
      <c r="I117" s="56" t="s">
        <v>460</v>
      </c>
      <c r="J117" s="16" t="e">
        <f t="shared" si="78"/>
        <v>#REF!</v>
      </c>
      <c r="K117" s="16" t="e">
        <f t="shared" si="79"/>
        <v>#REF!</v>
      </c>
      <c r="L117" s="16" t="e">
        <f t="shared" si="80"/>
        <v>#REF!</v>
      </c>
      <c r="M117" s="16" t="e">
        <f t="shared" si="81"/>
        <v>#REF!</v>
      </c>
      <c r="N117" s="16">
        <v>0</v>
      </c>
      <c r="O117" s="16" t="e">
        <f t="shared" si="82"/>
        <v>#REF!</v>
      </c>
      <c r="P117" s="57" t="s">
        <v>461</v>
      </c>
      <c r="Z117" s="16">
        <f t="shared" si="83"/>
        <v>0</v>
      </c>
      <c r="AB117" s="16">
        <f t="shared" si="84"/>
        <v>0</v>
      </c>
      <c r="AC117" s="16">
        <f t="shared" si="85"/>
        <v>0</v>
      </c>
      <c r="AD117" s="16" t="e">
        <f t="shared" si="86"/>
        <v>#REF!</v>
      </c>
      <c r="AE117" s="16" t="e">
        <f t="shared" si="87"/>
        <v>#REF!</v>
      </c>
      <c r="AF117" s="16">
        <f t="shared" si="88"/>
        <v>0</v>
      </c>
      <c r="AG117" s="16">
        <f t="shared" si="89"/>
        <v>0</v>
      </c>
      <c r="AH117" s="16">
        <f t="shared" si="90"/>
        <v>0</v>
      </c>
      <c r="AI117" s="13" t="s">
        <v>156</v>
      </c>
      <c r="AJ117" s="16">
        <f t="shared" si="91"/>
        <v>0</v>
      </c>
      <c r="AK117" s="16" t="e">
        <f t="shared" si="92"/>
        <v>#REF!</v>
      </c>
      <c r="AL117" s="16">
        <f t="shared" si="93"/>
        <v>0</v>
      </c>
      <c r="AN117" s="16">
        <v>12</v>
      </c>
      <c r="AO117" s="16" t="e">
        <f>H117*0.016915212</f>
        <v>#REF!</v>
      </c>
      <c r="AP117" s="16" t="e">
        <f>H117*(1-0.016915212)</f>
        <v>#REF!</v>
      </c>
      <c r="AQ117" s="56" t="s">
        <v>462</v>
      </c>
      <c r="AV117" s="16" t="e">
        <f t="shared" si="94"/>
        <v>#REF!</v>
      </c>
      <c r="AW117" s="16" t="e">
        <f t="shared" si="95"/>
        <v>#REF!</v>
      </c>
      <c r="AX117" s="16" t="e">
        <f t="shared" si="96"/>
        <v>#REF!</v>
      </c>
      <c r="AY117" s="56" t="s">
        <v>493</v>
      </c>
      <c r="AZ117" s="56" t="s">
        <v>534</v>
      </c>
      <c r="BA117" s="13" t="s">
        <v>535</v>
      </c>
      <c r="BC117" s="16" t="e">
        <f t="shared" si="97"/>
        <v>#REF!</v>
      </c>
      <c r="BD117" s="16" t="e">
        <f t="shared" si="98"/>
        <v>#REF!</v>
      </c>
      <c r="BE117" s="16">
        <v>0</v>
      </c>
      <c r="BF117" s="16" t="e">
        <f t="shared" si="99"/>
        <v>#REF!</v>
      </c>
      <c r="BH117" s="16" t="e">
        <f t="shared" si="100"/>
        <v>#REF!</v>
      </c>
      <c r="BI117" s="16" t="e">
        <f t="shared" si="101"/>
        <v>#REF!</v>
      </c>
      <c r="BJ117" s="16" t="e">
        <f t="shared" si="102"/>
        <v>#REF!</v>
      </c>
      <c r="BK117" s="16"/>
      <c r="BL117" s="16">
        <v>722</v>
      </c>
      <c r="BW117" s="16" t="str">
        <f t="shared" si="103"/>
        <v>12</v>
      </c>
      <c r="BX117" s="3" t="s">
        <v>149</v>
      </c>
    </row>
    <row r="118" spans="1:76" x14ac:dyDescent="0.25">
      <c r="A118" s="1" t="s">
        <v>557</v>
      </c>
      <c r="B118" s="2" t="s">
        <v>156</v>
      </c>
      <c r="C118" s="2" t="s">
        <v>181</v>
      </c>
      <c r="D118" s="77" t="s">
        <v>182</v>
      </c>
      <c r="E118" s="71"/>
      <c r="F118" s="2" t="s">
        <v>76</v>
      </c>
      <c r="G118" s="16" t="e">
        <f>'Rozpočet - vybrané sloupce'!#REF!</f>
        <v>#REF!</v>
      </c>
      <c r="H118" s="16" t="e">
        <f>'Rozpočet - vybrané sloupce'!#REF!</f>
        <v>#REF!</v>
      </c>
      <c r="I118" s="56" t="s">
        <v>460</v>
      </c>
      <c r="J118" s="16" t="e">
        <f t="shared" si="78"/>
        <v>#REF!</v>
      </c>
      <c r="K118" s="16" t="e">
        <f t="shared" si="79"/>
        <v>#REF!</v>
      </c>
      <c r="L118" s="16" t="e">
        <f t="shared" si="80"/>
        <v>#REF!</v>
      </c>
      <c r="M118" s="16" t="e">
        <f t="shared" si="81"/>
        <v>#REF!</v>
      </c>
      <c r="N118" s="16">
        <v>0</v>
      </c>
      <c r="O118" s="16" t="e">
        <f t="shared" si="82"/>
        <v>#REF!</v>
      </c>
      <c r="P118" s="57" t="s">
        <v>461</v>
      </c>
      <c r="Z118" s="16">
        <f t="shared" si="83"/>
        <v>0</v>
      </c>
      <c r="AB118" s="16">
        <f t="shared" si="84"/>
        <v>0</v>
      </c>
      <c r="AC118" s="16">
        <f t="shared" si="85"/>
        <v>0</v>
      </c>
      <c r="AD118" s="16" t="e">
        <f t="shared" si="86"/>
        <v>#REF!</v>
      </c>
      <c r="AE118" s="16" t="e">
        <f t="shared" si="87"/>
        <v>#REF!</v>
      </c>
      <c r="AF118" s="16">
        <f t="shared" si="88"/>
        <v>0</v>
      </c>
      <c r="AG118" s="16">
        <f t="shared" si="89"/>
        <v>0</v>
      </c>
      <c r="AH118" s="16">
        <f t="shared" si="90"/>
        <v>0</v>
      </c>
      <c r="AI118" s="13" t="s">
        <v>156</v>
      </c>
      <c r="AJ118" s="16">
        <f t="shared" si="91"/>
        <v>0</v>
      </c>
      <c r="AK118" s="16" t="e">
        <f t="shared" si="92"/>
        <v>#REF!</v>
      </c>
      <c r="AL118" s="16">
        <f t="shared" si="93"/>
        <v>0</v>
      </c>
      <c r="AN118" s="16">
        <v>12</v>
      </c>
      <c r="AO118" s="16" t="e">
        <f>H118*0</f>
        <v>#REF!</v>
      </c>
      <c r="AP118" s="16" t="e">
        <f>H118*(1-0)</f>
        <v>#REF!</v>
      </c>
      <c r="AQ118" s="56" t="s">
        <v>462</v>
      </c>
      <c r="AV118" s="16" t="e">
        <f t="shared" si="94"/>
        <v>#REF!</v>
      </c>
      <c r="AW118" s="16" t="e">
        <f t="shared" si="95"/>
        <v>#REF!</v>
      </c>
      <c r="AX118" s="16" t="e">
        <f t="shared" si="96"/>
        <v>#REF!</v>
      </c>
      <c r="AY118" s="56" t="s">
        <v>493</v>
      </c>
      <c r="AZ118" s="56" t="s">
        <v>534</v>
      </c>
      <c r="BA118" s="13" t="s">
        <v>535</v>
      </c>
      <c r="BC118" s="16" t="e">
        <f t="shared" si="97"/>
        <v>#REF!</v>
      </c>
      <c r="BD118" s="16" t="e">
        <f t="shared" si="98"/>
        <v>#REF!</v>
      </c>
      <c r="BE118" s="16">
        <v>0</v>
      </c>
      <c r="BF118" s="16" t="e">
        <f t="shared" si="99"/>
        <v>#REF!</v>
      </c>
      <c r="BH118" s="16" t="e">
        <f t="shared" si="100"/>
        <v>#REF!</v>
      </c>
      <c r="BI118" s="16" t="e">
        <f t="shared" si="101"/>
        <v>#REF!</v>
      </c>
      <c r="BJ118" s="16" t="e">
        <f t="shared" si="102"/>
        <v>#REF!</v>
      </c>
      <c r="BK118" s="16"/>
      <c r="BL118" s="16">
        <v>722</v>
      </c>
      <c r="BW118" s="16" t="str">
        <f t="shared" si="103"/>
        <v>12</v>
      </c>
      <c r="BX118" s="3" t="s">
        <v>182</v>
      </c>
    </row>
    <row r="119" spans="1:76" x14ac:dyDescent="0.25">
      <c r="A119" s="58"/>
      <c r="C119" s="59" t="s">
        <v>475</v>
      </c>
      <c r="D119" s="122" t="s">
        <v>490</v>
      </c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4"/>
      <c r="BX119" s="60" t="s">
        <v>490</v>
      </c>
    </row>
    <row r="120" spans="1:76" x14ac:dyDescent="0.25">
      <c r="A120" s="1" t="s">
        <v>558</v>
      </c>
      <c r="B120" s="2" t="s">
        <v>156</v>
      </c>
      <c r="C120" s="2" t="s">
        <v>183</v>
      </c>
      <c r="D120" s="77" t="s">
        <v>184</v>
      </c>
      <c r="E120" s="71"/>
      <c r="F120" s="2" t="s">
        <v>43</v>
      </c>
      <c r="G120" s="16" t="e">
        <f>'Rozpočet - vybrané sloupce'!#REF!</f>
        <v>#REF!</v>
      </c>
      <c r="H120" s="16" t="e">
        <f>'Rozpočet - vybrané sloupce'!#REF!</f>
        <v>#REF!</v>
      </c>
      <c r="I120" s="56" t="s">
        <v>460</v>
      </c>
      <c r="J120" s="16" t="e">
        <f>G120*AO120</f>
        <v>#REF!</v>
      </c>
      <c r="K120" s="16" t="e">
        <f>G120*AP120</f>
        <v>#REF!</v>
      </c>
      <c r="L120" s="16" t="e">
        <f>G120*H120</f>
        <v>#REF!</v>
      </c>
      <c r="M120" s="16" t="e">
        <f>L120*(1+BW120/100)</f>
        <v>#REF!</v>
      </c>
      <c r="N120" s="16">
        <v>0</v>
      </c>
      <c r="O120" s="16" t="e">
        <f>G120*N120</f>
        <v>#REF!</v>
      </c>
      <c r="P120" s="57" t="s">
        <v>461</v>
      </c>
      <c r="Z120" s="16" t="e">
        <f>IF(AQ120="5",BJ120,0)</f>
        <v>#REF!</v>
      </c>
      <c r="AB120" s="16">
        <f>IF(AQ120="1",BH120,0)</f>
        <v>0</v>
      </c>
      <c r="AC120" s="16">
        <f>IF(AQ120="1",BI120,0)</f>
        <v>0</v>
      </c>
      <c r="AD120" s="16">
        <f>IF(AQ120="7",BH120,0)</f>
        <v>0</v>
      </c>
      <c r="AE120" s="16">
        <f>IF(AQ120="7",BI120,0)</f>
        <v>0</v>
      </c>
      <c r="AF120" s="16">
        <f>IF(AQ120="2",BH120,0)</f>
        <v>0</v>
      </c>
      <c r="AG120" s="16">
        <f>IF(AQ120="2",BI120,0)</f>
        <v>0</v>
      </c>
      <c r="AH120" s="16">
        <f>IF(AQ120="0",BJ120,0)</f>
        <v>0</v>
      </c>
      <c r="AI120" s="13" t="s">
        <v>156</v>
      </c>
      <c r="AJ120" s="16">
        <f>IF(AN120=0,L120,0)</f>
        <v>0</v>
      </c>
      <c r="AK120" s="16" t="e">
        <f>IF(AN120=12,L120,0)</f>
        <v>#REF!</v>
      </c>
      <c r="AL120" s="16">
        <f>IF(AN120=21,L120,0)</f>
        <v>0</v>
      </c>
      <c r="AN120" s="16">
        <v>12</v>
      </c>
      <c r="AO120" s="16" t="e">
        <f>H120*0</f>
        <v>#REF!</v>
      </c>
      <c r="AP120" s="16" t="e">
        <f>H120*(1-0)</f>
        <v>#REF!</v>
      </c>
      <c r="AQ120" s="56" t="s">
        <v>470</v>
      </c>
      <c r="AV120" s="16" t="e">
        <f>AW120+AX120</f>
        <v>#REF!</v>
      </c>
      <c r="AW120" s="16" t="e">
        <f>G120*AO120</f>
        <v>#REF!</v>
      </c>
      <c r="AX120" s="16" t="e">
        <f>G120*AP120</f>
        <v>#REF!</v>
      </c>
      <c r="AY120" s="56" t="s">
        <v>493</v>
      </c>
      <c r="AZ120" s="56" t="s">
        <v>534</v>
      </c>
      <c r="BA120" s="13" t="s">
        <v>535</v>
      </c>
      <c r="BC120" s="16" t="e">
        <f>AW120+AX120</f>
        <v>#REF!</v>
      </c>
      <c r="BD120" s="16" t="e">
        <f>H120/(100-BE120)*100</f>
        <v>#REF!</v>
      </c>
      <c r="BE120" s="16">
        <v>0</v>
      </c>
      <c r="BF120" s="16" t="e">
        <f>O120</f>
        <v>#REF!</v>
      </c>
      <c r="BH120" s="16" t="e">
        <f>G120*AO120</f>
        <v>#REF!</v>
      </c>
      <c r="BI120" s="16" t="e">
        <f>G120*AP120</f>
        <v>#REF!</v>
      </c>
      <c r="BJ120" s="16" t="e">
        <f>G120*H120</f>
        <v>#REF!</v>
      </c>
      <c r="BK120" s="16"/>
      <c r="BL120" s="16">
        <v>722</v>
      </c>
      <c r="BW120" s="16" t="str">
        <f>I120</f>
        <v>12</v>
      </c>
      <c r="BX120" s="3" t="s">
        <v>184</v>
      </c>
    </row>
    <row r="121" spans="1:76" x14ac:dyDescent="0.25">
      <c r="A121" s="53" t="s">
        <v>25</v>
      </c>
      <c r="B121" s="12" t="s">
        <v>156</v>
      </c>
      <c r="C121" s="12" t="s">
        <v>185</v>
      </c>
      <c r="D121" s="84" t="s">
        <v>186</v>
      </c>
      <c r="E121" s="85"/>
      <c r="F121" s="54" t="s">
        <v>23</v>
      </c>
      <c r="G121" s="54" t="s">
        <v>23</v>
      </c>
      <c r="H121" s="54" t="s">
        <v>23</v>
      </c>
      <c r="I121" s="54" t="s">
        <v>23</v>
      </c>
      <c r="J121" s="29" t="e">
        <f>SUM(J122:J124)</f>
        <v>#REF!</v>
      </c>
      <c r="K121" s="29" t="e">
        <f>SUM(K122:K124)</f>
        <v>#REF!</v>
      </c>
      <c r="L121" s="29" t="e">
        <f>SUM(L122:L124)</f>
        <v>#REF!</v>
      </c>
      <c r="M121" s="29" t="e">
        <f>SUM(M122:M124)</f>
        <v>#REF!</v>
      </c>
      <c r="N121" s="13" t="s">
        <v>25</v>
      </c>
      <c r="O121" s="29" t="e">
        <f>SUM(O122:O124)</f>
        <v>#REF!</v>
      </c>
      <c r="P121" s="55" t="s">
        <v>25</v>
      </c>
      <c r="AI121" s="13" t="s">
        <v>156</v>
      </c>
      <c r="AS121" s="29">
        <f>SUM(AJ122:AJ124)</f>
        <v>0</v>
      </c>
      <c r="AT121" s="29" t="e">
        <f>SUM(AK122:AK124)</f>
        <v>#REF!</v>
      </c>
      <c r="AU121" s="29">
        <f>SUM(AL122:AL124)</f>
        <v>0</v>
      </c>
    </row>
    <row r="122" spans="1:76" x14ac:dyDescent="0.25">
      <c r="A122" s="1" t="s">
        <v>559</v>
      </c>
      <c r="B122" s="2" t="s">
        <v>156</v>
      </c>
      <c r="C122" s="2" t="s">
        <v>187</v>
      </c>
      <c r="D122" s="77" t="s">
        <v>188</v>
      </c>
      <c r="E122" s="71"/>
      <c r="F122" s="2" t="s">
        <v>40</v>
      </c>
      <c r="G122" s="16" t="e">
        <f>'Rozpočet - vybrané sloupce'!#REF!</f>
        <v>#REF!</v>
      </c>
      <c r="H122" s="16" t="e">
        <f>'Rozpočet - vybrané sloupce'!#REF!</f>
        <v>#REF!</v>
      </c>
      <c r="I122" s="56" t="s">
        <v>460</v>
      </c>
      <c r="J122" s="16" t="e">
        <f>G122*AO122</f>
        <v>#REF!</v>
      </c>
      <c r="K122" s="16" t="e">
        <f>G122*AP122</f>
        <v>#REF!</v>
      </c>
      <c r="L122" s="16" t="e">
        <f>G122*H122</f>
        <v>#REF!</v>
      </c>
      <c r="M122" s="16" t="e">
        <f>L122*(1+BW122/100)</f>
        <v>#REF!</v>
      </c>
      <c r="N122" s="16">
        <v>1.933E-2</v>
      </c>
      <c r="O122" s="16" t="e">
        <f>G122*N122</f>
        <v>#REF!</v>
      </c>
      <c r="P122" s="57" t="s">
        <v>461</v>
      </c>
      <c r="Z122" s="16">
        <f>IF(AQ122="5",BJ122,0)</f>
        <v>0</v>
      </c>
      <c r="AB122" s="16">
        <f>IF(AQ122="1",BH122,0)</f>
        <v>0</v>
      </c>
      <c r="AC122" s="16">
        <f>IF(AQ122="1",BI122,0)</f>
        <v>0</v>
      </c>
      <c r="AD122" s="16" t="e">
        <f>IF(AQ122="7",BH122,0)</f>
        <v>#REF!</v>
      </c>
      <c r="AE122" s="16" t="e">
        <f>IF(AQ122="7",BI122,0)</f>
        <v>#REF!</v>
      </c>
      <c r="AF122" s="16">
        <f>IF(AQ122="2",BH122,0)</f>
        <v>0</v>
      </c>
      <c r="AG122" s="16">
        <f>IF(AQ122="2",BI122,0)</f>
        <v>0</v>
      </c>
      <c r="AH122" s="16">
        <f>IF(AQ122="0",BJ122,0)</f>
        <v>0</v>
      </c>
      <c r="AI122" s="13" t="s">
        <v>156</v>
      </c>
      <c r="AJ122" s="16">
        <f>IF(AN122=0,L122,0)</f>
        <v>0</v>
      </c>
      <c r="AK122" s="16" t="e">
        <f>IF(AN122=12,L122,0)</f>
        <v>#REF!</v>
      </c>
      <c r="AL122" s="16">
        <f>IF(AN122=21,L122,0)</f>
        <v>0</v>
      </c>
      <c r="AN122" s="16">
        <v>12</v>
      </c>
      <c r="AO122" s="16" t="e">
        <f>H122*0</f>
        <v>#REF!</v>
      </c>
      <c r="AP122" s="16" t="e">
        <f>H122*(1-0)</f>
        <v>#REF!</v>
      </c>
      <c r="AQ122" s="56" t="s">
        <v>462</v>
      </c>
      <c r="AV122" s="16" t="e">
        <f>AW122+AX122</f>
        <v>#REF!</v>
      </c>
      <c r="AW122" s="16" t="e">
        <f>G122*AO122</f>
        <v>#REF!</v>
      </c>
      <c r="AX122" s="16" t="e">
        <f>G122*AP122</f>
        <v>#REF!</v>
      </c>
      <c r="AY122" s="56" t="s">
        <v>560</v>
      </c>
      <c r="AZ122" s="56" t="s">
        <v>534</v>
      </c>
      <c r="BA122" s="13" t="s">
        <v>535</v>
      </c>
      <c r="BC122" s="16" t="e">
        <f>AW122+AX122</f>
        <v>#REF!</v>
      </c>
      <c r="BD122" s="16" t="e">
        <f>H122/(100-BE122)*100</f>
        <v>#REF!</v>
      </c>
      <c r="BE122" s="16">
        <v>0</v>
      </c>
      <c r="BF122" s="16" t="e">
        <f>O122</f>
        <v>#REF!</v>
      </c>
      <c r="BH122" s="16" t="e">
        <f>G122*AO122</f>
        <v>#REF!</v>
      </c>
      <c r="BI122" s="16" t="e">
        <f>G122*AP122</f>
        <v>#REF!</v>
      </c>
      <c r="BJ122" s="16" t="e">
        <f>G122*H122</f>
        <v>#REF!</v>
      </c>
      <c r="BK122" s="16"/>
      <c r="BL122" s="16">
        <v>725</v>
      </c>
      <c r="BW122" s="16" t="str">
        <f>I122</f>
        <v>12</v>
      </c>
      <c r="BX122" s="3" t="s">
        <v>188</v>
      </c>
    </row>
    <row r="123" spans="1:76" x14ac:dyDescent="0.25">
      <c r="A123" s="1" t="s">
        <v>561</v>
      </c>
      <c r="B123" s="2" t="s">
        <v>156</v>
      </c>
      <c r="C123" s="2" t="s">
        <v>189</v>
      </c>
      <c r="D123" s="77" t="s">
        <v>190</v>
      </c>
      <c r="E123" s="71"/>
      <c r="F123" s="2" t="s">
        <v>40</v>
      </c>
      <c r="G123" s="16" t="e">
        <f>'Rozpočet - vybrané sloupce'!#REF!</f>
        <v>#REF!</v>
      </c>
      <c r="H123" s="16" t="e">
        <f>'Rozpočet - vybrané sloupce'!#REF!</f>
        <v>#REF!</v>
      </c>
      <c r="I123" s="56" t="s">
        <v>460</v>
      </c>
      <c r="J123" s="16" t="e">
        <f>G123*AO123</f>
        <v>#REF!</v>
      </c>
      <c r="K123" s="16" t="e">
        <f>G123*AP123</f>
        <v>#REF!</v>
      </c>
      <c r="L123" s="16" t="e">
        <f>G123*H123</f>
        <v>#REF!</v>
      </c>
      <c r="M123" s="16" t="e">
        <f>L123*(1+BW123/100)</f>
        <v>#REF!</v>
      </c>
      <c r="N123" s="16">
        <v>1.8600000000000001E-3</v>
      </c>
      <c r="O123" s="16" t="e">
        <f>G123*N123</f>
        <v>#REF!</v>
      </c>
      <c r="P123" s="57" t="s">
        <v>461</v>
      </c>
      <c r="Z123" s="16">
        <f>IF(AQ123="5",BJ123,0)</f>
        <v>0</v>
      </c>
      <c r="AB123" s="16">
        <f>IF(AQ123="1",BH123,0)</f>
        <v>0</v>
      </c>
      <c r="AC123" s="16">
        <f>IF(AQ123="1",BI123,0)</f>
        <v>0</v>
      </c>
      <c r="AD123" s="16" t="e">
        <f>IF(AQ123="7",BH123,0)</f>
        <v>#REF!</v>
      </c>
      <c r="AE123" s="16" t="e">
        <f>IF(AQ123="7",BI123,0)</f>
        <v>#REF!</v>
      </c>
      <c r="AF123" s="16">
        <f>IF(AQ123="2",BH123,0)</f>
        <v>0</v>
      </c>
      <c r="AG123" s="16">
        <f>IF(AQ123="2",BI123,0)</f>
        <v>0</v>
      </c>
      <c r="AH123" s="16">
        <f>IF(AQ123="0",BJ123,0)</f>
        <v>0</v>
      </c>
      <c r="AI123" s="13" t="s">
        <v>156</v>
      </c>
      <c r="AJ123" s="16">
        <f>IF(AN123=0,L123,0)</f>
        <v>0</v>
      </c>
      <c r="AK123" s="16" t="e">
        <f>IF(AN123=12,L123,0)</f>
        <v>#REF!</v>
      </c>
      <c r="AL123" s="16">
        <f>IF(AN123=21,L123,0)</f>
        <v>0</v>
      </c>
      <c r="AN123" s="16">
        <v>12</v>
      </c>
      <c r="AO123" s="16" t="e">
        <f>H123*0.443490814</f>
        <v>#REF!</v>
      </c>
      <c r="AP123" s="16" t="e">
        <f>H123*(1-0.443490814)</f>
        <v>#REF!</v>
      </c>
      <c r="AQ123" s="56" t="s">
        <v>462</v>
      </c>
      <c r="AV123" s="16" t="e">
        <f>AW123+AX123</f>
        <v>#REF!</v>
      </c>
      <c r="AW123" s="16" t="e">
        <f>G123*AO123</f>
        <v>#REF!</v>
      </c>
      <c r="AX123" s="16" t="e">
        <f>G123*AP123</f>
        <v>#REF!</v>
      </c>
      <c r="AY123" s="56" t="s">
        <v>560</v>
      </c>
      <c r="AZ123" s="56" t="s">
        <v>534</v>
      </c>
      <c r="BA123" s="13" t="s">
        <v>535</v>
      </c>
      <c r="BC123" s="16" t="e">
        <f>AW123+AX123</f>
        <v>#REF!</v>
      </c>
      <c r="BD123" s="16" t="e">
        <f>H123/(100-BE123)*100</f>
        <v>#REF!</v>
      </c>
      <c r="BE123" s="16">
        <v>0</v>
      </c>
      <c r="BF123" s="16" t="e">
        <f>O123</f>
        <v>#REF!</v>
      </c>
      <c r="BH123" s="16" t="e">
        <f>G123*AO123</f>
        <v>#REF!</v>
      </c>
      <c r="BI123" s="16" t="e">
        <f>G123*AP123</f>
        <v>#REF!</v>
      </c>
      <c r="BJ123" s="16" t="e">
        <f>G123*H123</f>
        <v>#REF!</v>
      </c>
      <c r="BK123" s="16"/>
      <c r="BL123" s="16">
        <v>725</v>
      </c>
      <c r="BW123" s="16" t="str">
        <f>I123</f>
        <v>12</v>
      </c>
      <c r="BX123" s="3" t="s">
        <v>190</v>
      </c>
    </row>
    <row r="124" spans="1:76" x14ac:dyDescent="0.25">
      <c r="A124" s="1" t="s">
        <v>562</v>
      </c>
      <c r="B124" s="2" t="s">
        <v>156</v>
      </c>
      <c r="C124" s="2" t="s">
        <v>191</v>
      </c>
      <c r="D124" s="77" t="s">
        <v>192</v>
      </c>
      <c r="E124" s="71"/>
      <c r="F124" s="2" t="s">
        <v>43</v>
      </c>
      <c r="G124" s="16" t="e">
        <f>'Rozpočet - vybrané sloupce'!#REF!</f>
        <v>#REF!</v>
      </c>
      <c r="H124" s="16" t="e">
        <f>'Rozpočet - vybrané sloupce'!#REF!</f>
        <v>#REF!</v>
      </c>
      <c r="I124" s="56" t="s">
        <v>460</v>
      </c>
      <c r="J124" s="16" t="e">
        <f>G124*AO124</f>
        <v>#REF!</v>
      </c>
      <c r="K124" s="16" t="e">
        <f>G124*AP124</f>
        <v>#REF!</v>
      </c>
      <c r="L124" s="16" t="e">
        <f>G124*H124</f>
        <v>#REF!</v>
      </c>
      <c r="M124" s="16" t="e">
        <f>L124*(1+BW124/100)</f>
        <v>#REF!</v>
      </c>
      <c r="N124" s="16">
        <v>0</v>
      </c>
      <c r="O124" s="16" t="e">
        <f>G124*N124</f>
        <v>#REF!</v>
      </c>
      <c r="P124" s="57" t="s">
        <v>461</v>
      </c>
      <c r="Z124" s="16" t="e">
        <f>IF(AQ124="5",BJ124,0)</f>
        <v>#REF!</v>
      </c>
      <c r="AB124" s="16">
        <f>IF(AQ124="1",BH124,0)</f>
        <v>0</v>
      </c>
      <c r="AC124" s="16">
        <f>IF(AQ124="1",BI124,0)</f>
        <v>0</v>
      </c>
      <c r="AD124" s="16">
        <f>IF(AQ124="7",BH124,0)</f>
        <v>0</v>
      </c>
      <c r="AE124" s="16">
        <f>IF(AQ124="7",BI124,0)</f>
        <v>0</v>
      </c>
      <c r="AF124" s="16">
        <f>IF(AQ124="2",BH124,0)</f>
        <v>0</v>
      </c>
      <c r="AG124" s="16">
        <f>IF(AQ124="2",BI124,0)</f>
        <v>0</v>
      </c>
      <c r="AH124" s="16">
        <f>IF(AQ124="0",BJ124,0)</f>
        <v>0</v>
      </c>
      <c r="AI124" s="13" t="s">
        <v>156</v>
      </c>
      <c r="AJ124" s="16">
        <f>IF(AN124=0,L124,0)</f>
        <v>0</v>
      </c>
      <c r="AK124" s="16" t="e">
        <f>IF(AN124=12,L124,0)</f>
        <v>#REF!</v>
      </c>
      <c r="AL124" s="16">
        <f>IF(AN124=21,L124,0)</f>
        <v>0</v>
      </c>
      <c r="AN124" s="16">
        <v>12</v>
      </c>
      <c r="AO124" s="16" t="e">
        <f>H124*0</f>
        <v>#REF!</v>
      </c>
      <c r="AP124" s="16" t="e">
        <f>H124*(1-0)</f>
        <v>#REF!</v>
      </c>
      <c r="AQ124" s="56" t="s">
        <v>470</v>
      </c>
      <c r="AV124" s="16" t="e">
        <f>AW124+AX124</f>
        <v>#REF!</v>
      </c>
      <c r="AW124" s="16" t="e">
        <f>G124*AO124</f>
        <v>#REF!</v>
      </c>
      <c r="AX124" s="16" t="e">
        <f>G124*AP124</f>
        <v>#REF!</v>
      </c>
      <c r="AY124" s="56" t="s">
        <v>560</v>
      </c>
      <c r="AZ124" s="56" t="s">
        <v>534</v>
      </c>
      <c r="BA124" s="13" t="s">
        <v>535</v>
      </c>
      <c r="BC124" s="16" t="e">
        <f>AW124+AX124</f>
        <v>#REF!</v>
      </c>
      <c r="BD124" s="16" t="e">
        <f>H124/(100-BE124)*100</f>
        <v>#REF!</v>
      </c>
      <c r="BE124" s="16">
        <v>0</v>
      </c>
      <c r="BF124" s="16" t="e">
        <f>O124</f>
        <v>#REF!</v>
      </c>
      <c r="BH124" s="16" t="e">
        <f>G124*AO124</f>
        <v>#REF!</v>
      </c>
      <c r="BI124" s="16" t="e">
        <f>G124*AP124</f>
        <v>#REF!</v>
      </c>
      <c r="BJ124" s="16" t="e">
        <f>G124*H124</f>
        <v>#REF!</v>
      </c>
      <c r="BK124" s="16"/>
      <c r="BL124" s="16">
        <v>725</v>
      </c>
      <c r="BW124" s="16" t="str">
        <f>I124</f>
        <v>12</v>
      </c>
      <c r="BX124" s="3" t="s">
        <v>192</v>
      </c>
    </row>
    <row r="125" spans="1:76" x14ac:dyDescent="0.25">
      <c r="A125" s="53" t="s">
        <v>25</v>
      </c>
      <c r="B125" s="12" t="s">
        <v>193</v>
      </c>
      <c r="C125" s="12" t="s">
        <v>25</v>
      </c>
      <c r="D125" s="84" t="s">
        <v>194</v>
      </c>
      <c r="E125" s="85"/>
      <c r="F125" s="54" t="s">
        <v>23</v>
      </c>
      <c r="G125" s="54" t="s">
        <v>23</v>
      </c>
      <c r="H125" s="54" t="s">
        <v>23</v>
      </c>
      <c r="I125" s="54" t="s">
        <v>23</v>
      </c>
      <c r="J125" s="29">
        <f>J126</f>
        <v>0</v>
      </c>
      <c r="K125" s="29">
        <f>K126</f>
        <v>0</v>
      </c>
      <c r="L125" s="29">
        <f>L126</f>
        <v>0</v>
      </c>
      <c r="M125" s="29">
        <f>M126</f>
        <v>0</v>
      </c>
      <c r="N125" s="13" t="s">
        <v>25</v>
      </c>
      <c r="O125" s="29">
        <f>O126</f>
        <v>0.6027499999999999</v>
      </c>
      <c r="P125" s="55" t="s">
        <v>25</v>
      </c>
    </row>
    <row r="126" spans="1:76" x14ac:dyDescent="0.25">
      <c r="A126" s="53" t="s">
        <v>25</v>
      </c>
      <c r="B126" s="12" t="s">
        <v>193</v>
      </c>
      <c r="C126" s="12" t="s">
        <v>195</v>
      </c>
      <c r="D126" s="84" t="s">
        <v>196</v>
      </c>
      <c r="E126" s="85"/>
      <c r="F126" s="54" t="s">
        <v>23</v>
      </c>
      <c r="G126" s="54" t="s">
        <v>23</v>
      </c>
      <c r="H126" s="54" t="s">
        <v>23</v>
      </c>
      <c r="I126" s="54" t="s">
        <v>23</v>
      </c>
      <c r="J126" s="29">
        <f>SUM(J127:J151)</f>
        <v>0</v>
      </c>
      <c r="K126" s="29">
        <f>SUM(K127:K151)</f>
        <v>0</v>
      </c>
      <c r="L126" s="29">
        <f>SUM(L127:L151)</f>
        <v>0</v>
      </c>
      <c r="M126" s="29">
        <f>SUM(M127:M151)</f>
        <v>0</v>
      </c>
      <c r="N126" s="13" t="s">
        <v>25</v>
      </c>
      <c r="O126" s="29">
        <f>SUM(O127:O151)</f>
        <v>0.6027499999999999</v>
      </c>
      <c r="P126" s="55" t="s">
        <v>25</v>
      </c>
      <c r="AI126" s="13" t="s">
        <v>193</v>
      </c>
      <c r="AS126" s="29">
        <f>SUM(AJ127:AJ151)</f>
        <v>0</v>
      </c>
      <c r="AT126" s="29">
        <f>SUM(AK127:AK151)</f>
        <v>0</v>
      </c>
      <c r="AU126" s="29">
        <f>SUM(AL127:AL151)</f>
        <v>0</v>
      </c>
    </row>
    <row r="127" spans="1:76" x14ac:dyDescent="0.25">
      <c r="A127" s="1" t="s">
        <v>563</v>
      </c>
      <c r="B127" s="2" t="s">
        <v>193</v>
      </c>
      <c r="C127" s="2" t="s">
        <v>197</v>
      </c>
      <c r="D127" s="77" t="s">
        <v>198</v>
      </c>
      <c r="E127" s="71"/>
      <c r="F127" s="2" t="s">
        <v>31</v>
      </c>
      <c r="G127" s="16">
        <f>'Rozpočet - vybrané sloupce'!J13</f>
        <v>66</v>
      </c>
      <c r="H127" s="16">
        <f>'Rozpočet - vybrané sloupce'!K13</f>
        <v>0</v>
      </c>
      <c r="I127" s="56" t="s">
        <v>460</v>
      </c>
      <c r="J127" s="16">
        <f>G127*AO127</f>
        <v>0</v>
      </c>
      <c r="K127" s="16">
        <f>G127*AP127</f>
        <v>0</v>
      </c>
      <c r="L127" s="16">
        <f>G127*H127</f>
        <v>0</v>
      </c>
      <c r="M127" s="16">
        <f>L127*(1+BW127/100)</f>
        <v>0</v>
      </c>
      <c r="N127" s="16">
        <v>3.81E-3</v>
      </c>
      <c r="O127" s="16">
        <f>G127*N127</f>
        <v>0.25146000000000002</v>
      </c>
      <c r="P127" s="57" t="s">
        <v>461</v>
      </c>
      <c r="Z127" s="16">
        <f>IF(AQ127="5",BJ127,0)</f>
        <v>0</v>
      </c>
      <c r="AB127" s="16">
        <f>IF(AQ127="1",BH127,0)</f>
        <v>0</v>
      </c>
      <c r="AC127" s="16">
        <f>IF(AQ127="1",BI127,0)</f>
        <v>0</v>
      </c>
      <c r="AD127" s="16">
        <f>IF(AQ127="7",BH127,0)</f>
        <v>0</v>
      </c>
      <c r="AE127" s="16">
        <f>IF(AQ127="7",BI127,0)</f>
        <v>0</v>
      </c>
      <c r="AF127" s="16">
        <f>IF(AQ127="2",BH127,0)</f>
        <v>0</v>
      </c>
      <c r="AG127" s="16">
        <f>IF(AQ127="2",BI127,0)</f>
        <v>0</v>
      </c>
      <c r="AH127" s="16">
        <f>IF(AQ127="0",BJ127,0)</f>
        <v>0</v>
      </c>
      <c r="AI127" s="13" t="s">
        <v>193</v>
      </c>
      <c r="AJ127" s="16">
        <f>IF(AN127=0,L127,0)</f>
        <v>0</v>
      </c>
      <c r="AK127" s="16">
        <f>IF(AN127=12,L127,0)</f>
        <v>0</v>
      </c>
      <c r="AL127" s="16">
        <f>IF(AN127=21,L127,0)</f>
        <v>0</v>
      </c>
      <c r="AN127" s="16">
        <v>12</v>
      </c>
      <c r="AO127" s="16">
        <f>H127*0.884470308</f>
        <v>0</v>
      </c>
      <c r="AP127" s="16">
        <f>H127*(1-0.884470308)</f>
        <v>0</v>
      </c>
      <c r="AQ127" s="56" t="s">
        <v>462</v>
      </c>
      <c r="AV127" s="16">
        <f>AW127+AX127</f>
        <v>0</v>
      </c>
      <c r="AW127" s="16">
        <f>G127*AO127</f>
        <v>0</v>
      </c>
      <c r="AX127" s="16">
        <f>G127*AP127</f>
        <v>0</v>
      </c>
      <c r="AY127" s="56" t="s">
        <v>564</v>
      </c>
      <c r="AZ127" s="56" t="s">
        <v>565</v>
      </c>
      <c r="BA127" s="13" t="s">
        <v>566</v>
      </c>
      <c r="BC127" s="16">
        <f>AW127+AX127</f>
        <v>0</v>
      </c>
      <c r="BD127" s="16">
        <f>H127/(100-BE127)*100</f>
        <v>0</v>
      </c>
      <c r="BE127" s="16">
        <v>0</v>
      </c>
      <c r="BF127" s="16">
        <f>O127</f>
        <v>0.25146000000000002</v>
      </c>
      <c r="BH127" s="16">
        <f>G127*AO127</f>
        <v>0</v>
      </c>
      <c r="BI127" s="16">
        <f>G127*AP127</f>
        <v>0</v>
      </c>
      <c r="BJ127" s="16">
        <f>G127*H127</f>
        <v>0</v>
      </c>
      <c r="BK127" s="16"/>
      <c r="BL127" s="16">
        <v>723</v>
      </c>
      <c r="BW127" s="16" t="str">
        <f>I127</f>
        <v>12</v>
      </c>
      <c r="BX127" s="3" t="s">
        <v>198</v>
      </c>
    </row>
    <row r="128" spans="1:76" x14ac:dyDescent="0.25">
      <c r="A128" s="1" t="s">
        <v>567</v>
      </c>
      <c r="B128" s="2" t="s">
        <v>193</v>
      </c>
      <c r="C128" s="2" t="s">
        <v>199</v>
      </c>
      <c r="D128" s="77" t="s">
        <v>200</v>
      </c>
      <c r="E128" s="71"/>
      <c r="F128" s="2" t="s">
        <v>31</v>
      </c>
      <c r="G128" s="16">
        <f>'Rozpočet - vybrané sloupce'!J14</f>
        <v>66</v>
      </c>
      <c r="H128" s="16">
        <f>'Rozpočet - vybrané sloupce'!K14</f>
        <v>0</v>
      </c>
      <c r="I128" s="56" t="s">
        <v>460</v>
      </c>
      <c r="J128" s="16">
        <f>G128*AO128</f>
        <v>0</v>
      </c>
      <c r="K128" s="16">
        <f>G128*AP128</f>
        <v>0</v>
      </c>
      <c r="L128" s="16">
        <f>G128*H128</f>
        <v>0</v>
      </c>
      <c r="M128" s="16">
        <f>L128*(1+BW128/100)</f>
        <v>0</v>
      </c>
      <c r="N128" s="16">
        <v>1.66E-3</v>
      </c>
      <c r="O128" s="16">
        <f>G128*N128</f>
        <v>0.10956</v>
      </c>
      <c r="P128" s="57" t="s">
        <v>461</v>
      </c>
      <c r="Z128" s="16">
        <f>IF(AQ128="5",BJ128,0)</f>
        <v>0</v>
      </c>
      <c r="AB128" s="16">
        <f>IF(AQ128="1",BH128,0)</f>
        <v>0</v>
      </c>
      <c r="AC128" s="16">
        <f>IF(AQ128="1",BI128,0)</f>
        <v>0</v>
      </c>
      <c r="AD128" s="16">
        <f>IF(AQ128="7",BH128,0)</f>
        <v>0</v>
      </c>
      <c r="AE128" s="16">
        <f>IF(AQ128="7",BI128,0)</f>
        <v>0</v>
      </c>
      <c r="AF128" s="16">
        <f>IF(AQ128="2",BH128,0)</f>
        <v>0</v>
      </c>
      <c r="AG128" s="16">
        <f>IF(AQ128="2",BI128,0)</f>
        <v>0</v>
      </c>
      <c r="AH128" s="16">
        <f>IF(AQ128="0",BJ128,0)</f>
        <v>0</v>
      </c>
      <c r="AI128" s="13" t="s">
        <v>193</v>
      </c>
      <c r="AJ128" s="16">
        <f>IF(AN128=0,L128,0)</f>
        <v>0</v>
      </c>
      <c r="AK128" s="16">
        <f>IF(AN128=12,L128,0)</f>
        <v>0</v>
      </c>
      <c r="AL128" s="16">
        <f>IF(AN128=21,L128,0)</f>
        <v>0</v>
      </c>
      <c r="AN128" s="16">
        <v>12</v>
      </c>
      <c r="AO128" s="16">
        <f>H128*0.758220818</f>
        <v>0</v>
      </c>
      <c r="AP128" s="16">
        <f>H128*(1-0.758220818)</f>
        <v>0</v>
      </c>
      <c r="AQ128" s="56" t="s">
        <v>462</v>
      </c>
      <c r="AV128" s="16">
        <f>AW128+AX128</f>
        <v>0</v>
      </c>
      <c r="AW128" s="16">
        <f>G128*AO128</f>
        <v>0</v>
      </c>
      <c r="AX128" s="16">
        <f>G128*AP128</f>
        <v>0</v>
      </c>
      <c r="AY128" s="56" t="s">
        <v>564</v>
      </c>
      <c r="AZ128" s="56" t="s">
        <v>565</v>
      </c>
      <c r="BA128" s="13" t="s">
        <v>566</v>
      </c>
      <c r="BC128" s="16">
        <f>AW128+AX128</f>
        <v>0</v>
      </c>
      <c r="BD128" s="16">
        <f>H128/(100-BE128)*100</f>
        <v>0</v>
      </c>
      <c r="BE128" s="16">
        <v>0</v>
      </c>
      <c r="BF128" s="16">
        <f>O128</f>
        <v>0.10956</v>
      </c>
      <c r="BH128" s="16">
        <f>G128*AO128</f>
        <v>0</v>
      </c>
      <c r="BI128" s="16">
        <f>G128*AP128</f>
        <v>0</v>
      </c>
      <c r="BJ128" s="16">
        <f>G128*H128</f>
        <v>0</v>
      </c>
      <c r="BK128" s="16"/>
      <c r="BL128" s="16">
        <v>723</v>
      </c>
      <c r="BW128" s="16" t="str">
        <f>I128</f>
        <v>12</v>
      </c>
      <c r="BX128" s="3" t="s">
        <v>200</v>
      </c>
    </row>
    <row r="129" spans="1:76" ht="25.5" x14ac:dyDescent="0.25">
      <c r="A129" s="58"/>
      <c r="C129" s="59" t="s">
        <v>475</v>
      </c>
      <c r="D129" s="122" t="s">
        <v>568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4"/>
      <c r="BX129" s="60" t="s">
        <v>568</v>
      </c>
    </row>
    <row r="130" spans="1:76" x14ac:dyDescent="0.25">
      <c r="A130" s="1" t="s">
        <v>569</v>
      </c>
      <c r="B130" s="2" t="s">
        <v>193</v>
      </c>
      <c r="C130" s="2" t="s">
        <v>201</v>
      </c>
      <c r="D130" s="77" t="s">
        <v>202</v>
      </c>
      <c r="E130" s="71"/>
      <c r="F130" s="2" t="s">
        <v>31</v>
      </c>
      <c r="G130" s="16">
        <f>'Rozpočet - vybrané sloupce'!J15</f>
        <v>8.1999999999999993</v>
      </c>
      <c r="H130" s="16">
        <f>'Rozpočet - vybrané sloupce'!K15</f>
        <v>0</v>
      </c>
      <c r="I130" s="56" t="s">
        <v>460</v>
      </c>
      <c r="J130" s="16">
        <f>G130*AO130</f>
        <v>0</v>
      </c>
      <c r="K130" s="16">
        <f>G130*AP130</f>
        <v>0</v>
      </c>
      <c r="L130" s="16">
        <f>G130*H130</f>
        <v>0</v>
      </c>
      <c r="M130" s="16">
        <f>L130*(1+BW130/100)</f>
        <v>0</v>
      </c>
      <c r="N130" s="16">
        <v>2E-3</v>
      </c>
      <c r="O130" s="16">
        <f>G130*N130</f>
        <v>1.6399999999999998E-2</v>
      </c>
      <c r="P130" s="57" t="s">
        <v>461</v>
      </c>
      <c r="Z130" s="16">
        <f>IF(AQ130="5",BJ130,0)</f>
        <v>0</v>
      </c>
      <c r="AB130" s="16">
        <f>IF(AQ130="1",BH130,0)</f>
        <v>0</v>
      </c>
      <c r="AC130" s="16">
        <f>IF(AQ130="1",BI130,0)</f>
        <v>0</v>
      </c>
      <c r="AD130" s="16">
        <f>IF(AQ130="7",BH130,0)</f>
        <v>0</v>
      </c>
      <c r="AE130" s="16">
        <f>IF(AQ130="7",BI130,0)</f>
        <v>0</v>
      </c>
      <c r="AF130" s="16">
        <f>IF(AQ130="2",BH130,0)</f>
        <v>0</v>
      </c>
      <c r="AG130" s="16">
        <f>IF(AQ130="2",BI130,0)</f>
        <v>0</v>
      </c>
      <c r="AH130" s="16">
        <f>IF(AQ130="0",BJ130,0)</f>
        <v>0</v>
      </c>
      <c r="AI130" s="13" t="s">
        <v>193</v>
      </c>
      <c r="AJ130" s="16">
        <f>IF(AN130=0,L130,0)</f>
        <v>0</v>
      </c>
      <c r="AK130" s="16">
        <f>IF(AN130=12,L130,0)</f>
        <v>0</v>
      </c>
      <c r="AL130" s="16">
        <f>IF(AN130=21,L130,0)</f>
        <v>0</v>
      </c>
      <c r="AN130" s="16">
        <v>12</v>
      </c>
      <c r="AO130" s="16">
        <f>H130*0.801779603</f>
        <v>0</v>
      </c>
      <c r="AP130" s="16">
        <f>H130*(1-0.801779603)</f>
        <v>0</v>
      </c>
      <c r="AQ130" s="56" t="s">
        <v>462</v>
      </c>
      <c r="AV130" s="16">
        <f>AW130+AX130</f>
        <v>0</v>
      </c>
      <c r="AW130" s="16">
        <f>G130*AO130</f>
        <v>0</v>
      </c>
      <c r="AX130" s="16">
        <f>G130*AP130</f>
        <v>0</v>
      </c>
      <c r="AY130" s="56" t="s">
        <v>564</v>
      </c>
      <c r="AZ130" s="56" t="s">
        <v>565</v>
      </c>
      <c r="BA130" s="13" t="s">
        <v>566</v>
      </c>
      <c r="BC130" s="16">
        <f>AW130+AX130</f>
        <v>0</v>
      </c>
      <c r="BD130" s="16">
        <f>H130/(100-BE130)*100</f>
        <v>0</v>
      </c>
      <c r="BE130" s="16">
        <v>0</v>
      </c>
      <c r="BF130" s="16">
        <f>O130</f>
        <v>1.6399999999999998E-2</v>
      </c>
      <c r="BH130" s="16">
        <f>G130*AO130</f>
        <v>0</v>
      </c>
      <c r="BI130" s="16">
        <f>G130*AP130</f>
        <v>0</v>
      </c>
      <c r="BJ130" s="16">
        <f>G130*H130</f>
        <v>0</v>
      </c>
      <c r="BK130" s="16"/>
      <c r="BL130" s="16">
        <v>723</v>
      </c>
      <c r="BW130" s="16" t="str">
        <f>I130</f>
        <v>12</v>
      </c>
      <c r="BX130" s="3" t="s">
        <v>202</v>
      </c>
    </row>
    <row r="131" spans="1:76" ht="25.5" x14ac:dyDescent="0.25">
      <c r="A131" s="58"/>
      <c r="C131" s="59" t="s">
        <v>475</v>
      </c>
      <c r="D131" s="122" t="s">
        <v>538</v>
      </c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4"/>
      <c r="BX131" s="60" t="s">
        <v>538</v>
      </c>
    </row>
    <row r="132" spans="1:76" x14ac:dyDescent="0.25">
      <c r="A132" s="1" t="s">
        <v>570</v>
      </c>
      <c r="B132" s="2" t="s">
        <v>193</v>
      </c>
      <c r="C132" s="2" t="s">
        <v>203</v>
      </c>
      <c r="D132" s="77" t="s">
        <v>204</v>
      </c>
      <c r="E132" s="71"/>
      <c r="F132" s="2" t="s">
        <v>35</v>
      </c>
      <c r="G132" s="16">
        <f>'Rozpočet - vybrané sloupce'!J16</f>
        <v>18</v>
      </c>
      <c r="H132" s="16">
        <f>'Rozpočet - vybrané sloupce'!K16</f>
        <v>0</v>
      </c>
      <c r="I132" s="56" t="s">
        <v>460</v>
      </c>
      <c r="J132" s="16">
        <f t="shared" ref="J132:J149" si="104">G132*AO132</f>
        <v>0</v>
      </c>
      <c r="K132" s="16">
        <f t="shared" ref="K132:K149" si="105">G132*AP132</f>
        <v>0</v>
      </c>
      <c r="L132" s="16">
        <f t="shared" ref="L132:L149" si="106">G132*H132</f>
        <v>0</v>
      </c>
      <c r="M132" s="16">
        <f t="shared" ref="M132:M149" si="107">L132*(1+BW132/100)</f>
        <v>0</v>
      </c>
      <c r="N132" s="16">
        <v>6.6E-4</v>
      </c>
      <c r="O132" s="16">
        <f t="shared" ref="O132:O149" si="108">G132*N132</f>
        <v>1.188E-2</v>
      </c>
      <c r="P132" s="57" t="s">
        <v>461</v>
      </c>
      <c r="Z132" s="16">
        <f t="shared" ref="Z132:Z149" si="109">IF(AQ132="5",BJ132,0)</f>
        <v>0</v>
      </c>
      <c r="AB132" s="16">
        <f t="shared" ref="AB132:AB149" si="110">IF(AQ132="1",BH132,0)</f>
        <v>0</v>
      </c>
      <c r="AC132" s="16">
        <f t="shared" ref="AC132:AC149" si="111">IF(AQ132="1",BI132,0)</f>
        <v>0</v>
      </c>
      <c r="AD132" s="16">
        <f t="shared" ref="AD132:AD149" si="112">IF(AQ132="7",BH132,0)</f>
        <v>0</v>
      </c>
      <c r="AE132" s="16">
        <f t="shared" ref="AE132:AE149" si="113">IF(AQ132="7",BI132,0)</f>
        <v>0</v>
      </c>
      <c r="AF132" s="16">
        <f t="shared" ref="AF132:AF149" si="114">IF(AQ132="2",BH132,0)</f>
        <v>0</v>
      </c>
      <c r="AG132" s="16">
        <f t="shared" ref="AG132:AG149" si="115">IF(AQ132="2",BI132,0)</f>
        <v>0</v>
      </c>
      <c r="AH132" s="16">
        <f t="shared" ref="AH132:AH149" si="116">IF(AQ132="0",BJ132,0)</f>
        <v>0</v>
      </c>
      <c r="AI132" s="13" t="s">
        <v>193</v>
      </c>
      <c r="AJ132" s="16">
        <f t="shared" ref="AJ132:AJ149" si="117">IF(AN132=0,L132,0)</f>
        <v>0</v>
      </c>
      <c r="AK132" s="16">
        <f t="shared" ref="AK132:AK149" si="118">IF(AN132=12,L132,0)</f>
        <v>0</v>
      </c>
      <c r="AL132" s="16">
        <f t="shared" ref="AL132:AL149" si="119">IF(AN132=21,L132,0)</f>
        <v>0</v>
      </c>
      <c r="AN132" s="16">
        <v>12</v>
      </c>
      <c r="AO132" s="16">
        <f>H132*0.843099758</f>
        <v>0</v>
      </c>
      <c r="AP132" s="16">
        <f>H132*(1-0.843099758)</f>
        <v>0</v>
      </c>
      <c r="AQ132" s="56" t="s">
        <v>462</v>
      </c>
      <c r="AV132" s="16">
        <f t="shared" ref="AV132:AV149" si="120">AW132+AX132</f>
        <v>0</v>
      </c>
      <c r="AW132" s="16">
        <f t="shared" ref="AW132:AW149" si="121">G132*AO132</f>
        <v>0</v>
      </c>
      <c r="AX132" s="16">
        <f t="shared" ref="AX132:AX149" si="122">G132*AP132</f>
        <v>0</v>
      </c>
      <c r="AY132" s="56" t="s">
        <v>564</v>
      </c>
      <c r="AZ132" s="56" t="s">
        <v>565</v>
      </c>
      <c r="BA132" s="13" t="s">
        <v>566</v>
      </c>
      <c r="BC132" s="16">
        <f t="shared" ref="BC132:BC149" si="123">AW132+AX132</f>
        <v>0</v>
      </c>
      <c r="BD132" s="16">
        <f t="shared" ref="BD132:BD149" si="124">H132/(100-BE132)*100</f>
        <v>0</v>
      </c>
      <c r="BE132" s="16">
        <v>0</v>
      </c>
      <c r="BF132" s="16">
        <f t="shared" ref="BF132:BF149" si="125">O132</f>
        <v>1.188E-2</v>
      </c>
      <c r="BH132" s="16">
        <f t="shared" ref="BH132:BH149" si="126">G132*AO132</f>
        <v>0</v>
      </c>
      <c r="BI132" s="16">
        <f t="shared" ref="BI132:BI149" si="127">G132*AP132</f>
        <v>0</v>
      </c>
      <c r="BJ132" s="16">
        <f t="shared" ref="BJ132:BJ149" si="128">G132*H132</f>
        <v>0</v>
      </c>
      <c r="BK132" s="16"/>
      <c r="BL132" s="16">
        <v>723</v>
      </c>
      <c r="BW132" s="16" t="str">
        <f t="shared" ref="BW132:BW149" si="129">I132</f>
        <v>12</v>
      </c>
      <c r="BX132" s="3" t="s">
        <v>204</v>
      </c>
    </row>
    <row r="133" spans="1:76" x14ac:dyDescent="0.25">
      <c r="A133" s="1" t="s">
        <v>571</v>
      </c>
      <c r="B133" s="2" t="s">
        <v>193</v>
      </c>
      <c r="C133" s="2" t="s">
        <v>205</v>
      </c>
      <c r="D133" s="77" t="s">
        <v>206</v>
      </c>
      <c r="E133" s="71"/>
      <c r="F133" s="2" t="s">
        <v>31</v>
      </c>
      <c r="G133" s="16">
        <f>'Rozpočet - vybrané sloupce'!J17</f>
        <v>87</v>
      </c>
      <c r="H133" s="16">
        <f>'Rozpočet - vybrané sloupce'!K17</f>
        <v>0</v>
      </c>
      <c r="I133" s="56" t="s">
        <v>460</v>
      </c>
      <c r="J133" s="16">
        <f t="shared" si="104"/>
        <v>0</v>
      </c>
      <c r="K133" s="16">
        <f t="shared" si="105"/>
        <v>0</v>
      </c>
      <c r="L133" s="16">
        <f t="shared" si="106"/>
        <v>0</v>
      </c>
      <c r="M133" s="16">
        <f t="shared" si="107"/>
        <v>0</v>
      </c>
      <c r="N133" s="16">
        <v>0</v>
      </c>
      <c r="O133" s="16">
        <f t="shared" si="108"/>
        <v>0</v>
      </c>
      <c r="P133" s="57" t="s">
        <v>461</v>
      </c>
      <c r="Z133" s="16">
        <f t="shared" si="109"/>
        <v>0</v>
      </c>
      <c r="AB133" s="16">
        <f t="shared" si="110"/>
        <v>0</v>
      </c>
      <c r="AC133" s="16">
        <f t="shared" si="111"/>
        <v>0</v>
      </c>
      <c r="AD133" s="16">
        <f t="shared" si="112"/>
        <v>0</v>
      </c>
      <c r="AE133" s="16">
        <f t="shared" si="113"/>
        <v>0</v>
      </c>
      <c r="AF133" s="16">
        <f t="shared" si="114"/>
        <v>0</v>
      </c>
      <c r="AG133" s="16">
        <f t="shared" si="115"/>
        <v>0</v>
      </c>
      <c r="AH133" s="16">
        <f t="shared" si="116"/>
        <v>0</v>
      </c>
      <c r="AI133" s="13" t="s">
        <v>193</v>
      </c>
      <c r="AJ133" s="16">
        <f t="shared" si="117"/>
        <v>0</v>
      </c>
      <c r="AK133" s="16">
        <f t="shared" si="118"/>
        <v>0</v>
      </c>
      <c r="AL133" s="16">
        <f t="shared" si="119"/>
        <v>0</v>
      </c>
      <c r="AN133" s="16">
        <v>12</v>
      </c>
      <c r="AO133" s="16">
        <f>H133*0</f>
        <v>0</v>
      </c>
      <c r="AP133" s="16">
        <f>H133*(1-0)</f>
        <v>0</v>
      </c>
      <c r="AQ133" s="56" t="s">
        <v>462</v>
      </c>
      <c r="AV133" s="16">
        <f t="shared" si="120"/>
        <v>0</v>
      </c>
      <c r="AW133" s="16">
        <f t="shared" si="121"/>
        <v>0</v>
      </c>
      <c r="AX133" s="16">
        <f t="shared" si="122"/>
        <v>0</v>
      </c>
      <c r="AY133" s="56" t="s">
        <v>564</v>
      </c>
      <c r="AZ133" s="56" t="s">
        <v>565</v>
      </c>
      <c r="BA133" s="13" t="s">
        <v>566</v>
      </c>
      <c r="BC133" s="16">
        <f t="shared" si="123"/>
        <v>0</v>
      </c>
      <c r="BD133" s="16">
        <f t="shared" si="124"/>
        <v>0</v>
      </c>
      <c r="BE133" s="16">
        <v>0</v>
      </c>
      <c r="BF133" s="16">
        <f t="shared" si="125"/>
        <v>0</v>
      </c>
      <c r="BH133" s="16">
        <f t="shared" si="126"/>
        <v>0</v>
      </c>
      <c r="BI133" s="16">
        <f t="shared" si="127"/>
        <v>0</v>
      </c>
      <c r="BJ133" s="16">
        <f t="shared" si="128"/>
        <v>0</v>
      </c>
      <c r="BK133" s="16"/>
      <c r="BL133" s="16">
        <v>723</v>
      </c>
      <c r="BW133" s="16" t="str">
        <f t="shared" si="129"/>
        <v>12</v>
      </c>
      <c r="BX133" s="3" t="s">
        <v>206</v>
      </c>
    </row>
    <row r="134" spans="1:76" x14ac:dyDescent="0.25">
      <c r="A134" s="1" t="s">
        <v>572</v>
      </c>
      <c r="B134" s="2" t="s">
        <v>193</v>
      </c>
      <c r="C134" s="2" t="s">
        <v>207</v>
      </c>
      <c r="D134" s="77" t="s">
        <v>208</v>
      </c>
      <c r="E134" s="71"/>
      <c r="F134" s="2" t="s">
        <v>35</v>
      </c>
      <c r="G134" s="16">
        <f>'Rozpočet - vybrané sloupce'!J18</f>
        <v>4</v>
      </c>
      <c r="H134" s="16">
        <f>'Rozpočet - vybrané sloupce'!K18</f>
        <v>0</v>
      </c>
      <c r="I134" s="56" t="s">
        <v>460</v>
      </c>
      <c r="J134" s="16">
        <f t="shared" si="104"/>
        <v>0</v>
      </c>
      <c r="K134" s="16">
        <f t="shared" si="105"/>
        <v>0</v>
      </c>
      <c r="L134" s="16">
        <f t="shared" si="106"/>
        <v>0</v>
      </c>
      <c r="M134" s="16">
        <f t="shared" si="107"/>
        <v>0</v>
      </c>
      <c r="N134" s="16">
        <v>0</v>
      </c>
      <c r="O134" s="16">
        <f t="shared" si="108"/>
        <v>0</v>
      </c>
      <c r="P134" s="57" t="s">
        <v>461</v>
      </c>
      <c r="Z134" s="16">
        <f t="shared" si="109"/>
        <v>0</v>
      </c>
      <c r="AB134" s="16">
        <f t="shared" si="110"/>
        <v>0</v>
      </c>
      <c r="AC134" s="16">
        <f t="shared" si="111"/>
        <v>0</v>
      </c>
      <c r="AD134" s="16">
        <f t="shared" si="112"/>
        <v>0</v>
      </c>
      <c r="AE134" s="16">
        <f t="shared" si="113"/>
        <v>0</v>
      </c>
      <c r="AF134" s="16">
        <f t="shared" si="114"/>
        <v>0</v>
      </c>
      <c r="AG134" s="16">
        <f t="shared" si="115"/>
        <v>0</v>
      </c>
      <c r="AH134" s="16">
        <f t="shared" si="116"/>
        <v>0</v>
      </c>
      <c r="AI134" s="13" t="s">
        <v>193</v>
      </c>
      <c r="AJ134" s="16">
        <f t="shared" si="117"/>
        <v>0</v>
      </c>
      <c r="AK134" s="16">
        <f t="shared" si="118"/>
        <v>0</v>
      </c>
      <c r="AL134" s="16">
        <f t="shared" si="119"/>
        <v>0</v>
      </c>
      <c r="AN134" s="16">
        <v>12</v>
      </c>
      <c r="AO134" s="16">
        <f>H134*0</f>
        <v>0</v>
      </c>
      <c r="AP134" s="16">
        <f>H134*(1-0)</f>
        <v>0</v>
      </c>
      <c r="AQ134" s="56" t="s">
        <v>462</v>
      </c>
      <c r="AV134" s="16">
        <f t="shared" si="120"/>
        <v>0</v>
      </c>
      <c r="AW134" s="16">
        <f t="shared" si="121"/>
        <v>0</v>
      </c>
      <c r="AX134" s="16">
        <f t="shared" si="122"/>
        <v>0</v>
      </c>
      <c r="AY134" s="56" t="s">
        <v>564</v>
      </c>
      <c r="AZ134" s="56" t="s">
        <v>565</v>
      </c>
      <c r="BA134" s="13" t="s">
        <v>566</v>
      </c>
      <c r="BC134" s="16">
        <f t="shared" si="123"/>
        <v>0</v>
      </c>
      <c r="BD134" s="16">
        <f t="shared" si="124"/>
        <v>0</v>
      </c>
      <c r="BE134" s="16">
        <v>0</v>
      </c>
      <c r="BF134" s="16">
        <f t="shared" si="125"/>
        <v>0</v>
      </c>
      <c r="BH134" s="16">
        <f t="shared" si="126"/>
        <v>0</v>
      </c>
      <c r="BI134" s="16">
        <f t="shared" si="127"/>
        <v>0</v>
      </c>
      <c r="BJ134" s="16">
        <f t="shared" si="128"/>
        <v>0</v>
      </c>
      <c r="BK134" s="16"/>
      <c r="BL134" s="16">
        <v>723</v>
      </c>
      <c r="BW134" s="16" t="str">
        <f t="shared" si="129"/>
        <v>12</v>
      </c>
      <c r="BX134" s="3" t="s">
        <v>208</v>
      </c>
    </row>
    <row r="135" spans="1:76" x14ac:dyDescent="0.25">
      <c r="A135" s="1" t="s">
        <v>573</v>
      </c>
      <c r="B135" s="2" t="s">
        <v>193</v>
      </c>
      <c r="C135" s="2" t="s">
        <v>209</v>
      </c>
      <c r="D135" s="77" t="s">
        <v>210</v>
      </c>
      <c r="E135" s="71"/>
      <c r="F135" s="2" t="s">
        <v>35</v>
      </c>
      <c r="G135" s="16">
        <f>'Rozpočet - vybrané sloupce'!J19</f>
        <v>4</v>
      </c>
      <c r="H135" s="16">
        <f>'Rozpočet - vybrané sloupce'!K19</f>
        <v>0</v>
      </c>
      <c r="I135" s="56" t="s">
        <v>460</v>
      </c>
      <c r="J135" s="16">
        <f t="shared" si="104"/>
        <v>0</v>
      </c>
      <c r="K135" s="16">
        <f t="shared" si="105"/>
        <v>0</v>
      </c>
      <c r="L135" s="16">
        <f t="shared" si="106"/>
        <v>0</v>
      </c>
      <c r="M135" s="16">
        <f t="shared" si="107"/>
        <v>0</v>
      </c>
      <c r="N135" s="16">
        <v>0</v>
      </c>
      <c r="O135" s="16">
        <f t="shared" si="108"/>
        <v>0</v>
      </c>
      <c r="P135" s="57" t="s">
        <v>461</v>
      </c>
      <c r="Z135" s="16">
        <f t="shared" si="109"/>
        <v>0</v>
      </c>
      <c r="AB135" s="16">
        <f t="shared" si="110"/>
        <v>0</v>
      </c>
      <c r="AC135" s="16">
        <f t="shared" si="111"/>
        <v>0</v>
      </c>
      <c r="AD135" s="16">
        <f t="shared" si="112"/>
        <v>0</v>
      </c>
      <c r="AE135" s="16">
        <f t="shared" si="113"/>
        <v>0</v>
      </c>
      <c r="AF135" s="16">
        <f t="shared" si="114"/>
        <v>0</v>
      </c>
      <c r="AG135" s="16">
        <f t="shared" si="115"/>
        <v>0</v>
      </c>
      <c r="AH135" s="16">
        <f t="shared" si="116"/>
        <v>0</v>
      </c>
      <c r="AI135" s="13" t="s">
        <v>193</v>
      </c>
      <c r="AJ135" s="16">
        <f t="shared" si="117"/>
        <v>0</v>
      </c>
      <c r="AK135" s="16">
        <f t="shared" si="118"/>
        <v>0</v>
      </c>
      <c r="AL135" s="16">
        <f t="shared" si="119"/>
        <v>0</v>
      </c>
      <c r="AN135" s="16">
        <v>12</v>
      </c>
      <c r="AO135" s="16">
        <f>H135*0</f>
        <v>0</v>
      </c>
      <c r="AP135" s="16">
        <f>H135*(1-0)</f>
        <v>0</v>
      </c>
      <c r="AQ135" s="56" t="s">
        <v>462</v>
      </c>
      <c r="AV135" s="16">
        <f t="shared" si="120"/>
        <v>0</v>
      </c>
      <c r="AW135" s="16">
        <f t="shared" si="121"/>
        <v>0</v>
      </c>
      <c r="AX135" s="16">
        <f t="shared" si="122"/>
        <v>0</v>
      </c>
      <c r="AY135" s="56" t="s">
        <v>564</v>
      </c>
      <c r="AZ135" s="56" t="s">
        <v>565</v>
      </c>
      <c r="BA135" s="13" t="s">
        <v>566</v>
      </c>
      <c r="BC135" s="16">
        <f t="shared" si="123"/>
        <v>0</v>
      </c>
      <c r="BD135" s="16">
        <f t="shared" si="124"/>
        <v>0</v>
      </c>
      <c r="BE135" s="16">
        <v>0</v>
      </c>
      <c r="BF135" s="16">
        <f t="shared" si="125"/>
        <v>0</v>
      </c>
      <c r="BH135" s="16">
        <f t="shared" si="126"/>
        <v>0</v>
      </c>
      <c r="BI135" s="16">
        <f t="shared" si="127"/>
        <v>0</v>
      </c>
      <c r="BJ135" s="16">
        <f t="shared" si="128"/>
        <v>0</v>
      </c>
      <c r="BK135" s="16"/>
      <c r="BL135" s="16">
        <v>723</v>
      </c>
      <c r="BW135" s="16" t="str">
        <f t="shared" si="129"/>
        <v>12</v>
      </c>
      <c r="BX135" s="3" t="s">
        <v>210</v>
      </c>
    </row>
    <row r="136" spans="1:76" x14ac:dyDescent="0.25">
      <c r="A136" s="1" t="s">
        <v>574</v>
      </c>
      <c r="B136" s="2" t="s">
        <v>193</v>
      </c>
      <c r="C136" s="2" t="s">
        <v>211</v>
      </c>
      <c r="D136" s="77" t="s">
        <v>212</v>
      </c>
      <c r="E136" s="71"/>
      <c r="F136" s="2" t="s">
        <v>40</v>
      </c>
      <c r="G136" s="16">
        <f>'Rozpočet - vybrané sloupce'!J20</f>
        <v>4</v>
      </c>
      <c r="H136" s="16">
        <f>'Rozpočet - vybrané sloupce'!K20</f>
        <v>0</v>
      </c>
      <c r="I136" s="56" t="s">
        <v>460</v>
      </c>
      <c r="J136" s="16">
        <f t="shared" si="104"/>
        <v>0</v>
      </c>
      <c r="K136" s="16">
        <f t="shared" si="105"/>
        <v>0</v>
      </c>
      <c r="L136" s="16">
        <f t="shared" si="106"/>
        <v>0</v>
      </c>
      <c r="M136" s="16">
        <f t="shared" si="107"/>
        <v>0</v>
      </c>
      <c r="N136" s="16">
        <v>0</v>
      </c>
      <c r="O136" s="16">
        <f t="shared" si="108"/>
        <v>0</v>
      </c>
      <c r="P136" s="57" t="s">
        <v>461</v>
      </c>
      <c r="Z136" s="16">
        <f t="shared" si="109"/>
        <v>0</v>
      </c>
      <c r="AB136" s="16">
        <f t="shared" si="110"/>
        <v>0</v>
      </c>
      <c r="AC136" s="16">
        <f t="shared" si="111"/>
        <v>0</v>
      </c>
      <c r="AD136" s="16">
        <f t="shared" si="112"/>
        <v>0</v>
      </c>
      <c r="AE136" s="16">
        <f t="shared" si="113"/>
        <v>0</v>
      </c>
      <c r="AF136" s="16">
        <f t="shared" si="114"/>
        <v>0</v>
      </c>
      <c r="AG136" s="16">
        <f t="shared" si="115"/>
        <v>0</v>
      </c>
      <c r="AH136" s="16">
        <f t="shared" si="116"/>
        <v>0</v>
      </c>
      <c r="AI136" s="13" t="s">
        <v>193</v>
      </c>
      <c r="AJ136" s="16">
        <f t="shared" si="117"/>
        <v>0</v>
      </c>
      <c r="AK136" s="16">
        <f t="shared" si="118"/>
        <v>0</v>
      </c>
      <c r="AL136" s="16">
        <f t="shared" si="119"/>
        <v>0</v>
      </c>
      <c r="AN136" s="16">
        <v>12</v>
      </c>
      <c r="AO136" s="16">
        <f>H136*0</f>
        <v>0</v>
      </c>
      <c r="AP136" s="16">
        <f>H136*(1-0)</f>
        <v>0</v>
      </c>
      <c r="AQ136" s="56" t="s">
        <v>462</v>
      </c>
      <c r="AV136" s="16">
        <f t="shared" si="120"/>
        <v>0</v>
      </c>
      <c r="AW136" s="16">
        <f t="shared" si="121"/>
        <v>0</v>
      </c>
      <c r="AX136" s="16">
        <f t="shared" si="122"/>
        <v>0</v>
      </c>
      <c r="AY136" s="56" t="s">
        <v>564</v>
      </c>
      <c r="AZ136" s="56" t="s">
        <v>565</v>
      </c>
      <c r="BA136" s="13" t="s">
        <v>566</v>
      </c>
      <c r="BC136" s="16">
        <f t="shared" si="123"/>
        <v>0</v>
      </c>
      <c r="BD136" s="16">
        <f t="shared" si="124"/>
        <v>0</v>
      </c>
      <c r="BE136" s="16">
        <v>0</v>
      </c>
      <c r="BF136" s="16">
        <f t="shared" si="125"/>
        <v>0</v>
      </c>
      <c r="BH136" s="16">
        <f t="shared" si="126"/>
        <v>0</v>
      </c>
      <c r="BI136" s="16">
        <f t="shared" si="127"/>
        <v>0</v>
      </c>
      <c r="BJ136" s="16">
        <f t="shared" si="128"/>
        <v>0</v>
      </c>
      <c r="BK136" s="16"/>
      <c r="BL136" s="16">
        <v>723</v>
      </c>
      <c r="BW136" s="16" t="str">
        <f t="shared" si="129"/>
        <v>12</v>
      </c>
      <c r="BX136" s="3" t="s">
        <v>212</v>
      </c>
    </row>
    <row r="137" spans="1:76" x14ac:dyDescent="0.25">
      <c r="A137" s="1" t="s">
        <v>575</v>
      </c>
      <c r="B137" s="2" t="s">
        <v>193</v>
      </c>
      <c r="C137" s="2" t="s">
        <v>213</v>
      </c>
      <c r="D137" s="77" t="s">
        <v>214</v>
      </c>
      <c r="E137" s="71"/>
      <c r="F137" s="2" t="s">
        <v>35</v>
      </c>
      <c r="G137" s="16">
        <f>'Rozpočet - vybrané sloupce'!J21</f>
        <v>3</v>
      </c>
      <c r="H137" s="16">
        <f>'Rozpočet - vybrané sloupce'!K21</f>
        <v>0</v>
      </c>
      <c r="I137" s="56" t="s">
        <v>460</v>
      </c>
      <c r="J137" s="16">
        <f t="shared" si="104"/>
        <v>0</v>
      </c>
      <c r="K137" s="16">
        <f t="shared" si="105"/>
        <v>0</v>
      </c>
      <c r="L137" s="16">
        <f t="shared" si="106"/>
        <v>0</v>
      </c>
      <c r="M137" s="16">
        <f t="shared" si="107"/>
        <v>0</v>
      </c>
      <c r="N137" s="16">
        <v>0</v>
      </c>
      <c r="O137" s="16">
        <f t="shared" si="108"/>
        <v>0</v>
      </c>
      <c r="P137" s="57" t="s">
        <v>461</v>
      </c>
      <c r="Z137" s="16">
        <f t="shared" si="109"/>
        <v>0</v>
      </c>
      <c r="AB137" s="16">
        <f t="shared" si="110"/>
        <v>0</v>
      </c>
      <c r="AC137" s="16">
        <f t="shared" si="111"/>
        <v>0</v>
      </c>
      <c r="AD137" s="16">
        <f t="shared" si="112"/>
        <v>0</v>
      </c>
      <c r="AE137" s="16">
        <f t="shared" si="113"/>
        <v>0</v>
      </c>
      <c r="AF137" s="16">
        <f t="shared" si="114"/>
        <v>0</v>
      </c>
      <c r="AG137" s="16">
        <f t="shared" si="115"/>
        <v>0</v>
      </c>
      <c r="AH137" s="16">
        <f t="shared" si="116"/>
        <v>0</v>
      </c>
      <c r="AI137" s="13" t="s">
        <v>193</v>
      </c>
      <c r="AJ137" s="16">
        <f t="shared" si="117"/>
        <v>0</v>
      </c>
      <c r="AK137" s="16">
        <f t="shared" si="118"/>
        <v>0</v>
      </c>
      <c r="AL137" s="16">
        <f t="shared" si="119"/>
        <v>0</v>
      </c>
      <c r="AN137" s="16">
        <v>12</v>
      </c>
      <c r="AO137" s="16">
        <f>H137*0.133192389</f>
        <v>0</v>
      </c>
      <c r="AP137" s="16">
        <f>H137*(1-0.133192389)</f>
        <v>0</v>
      </c>
      <c r="AQ137" s="56" t="s">
        <v>462</v>
      </c>
      <c r="AV137" s="16">
        <f t="shared" si="120"/>
        <v>0</v>
      </c>
      <c r="AW137" s="16">
        <f t="shared" si="121"/>
        <v>0</v>
      </c>
      <c r="AX137" s="16">
        <f t="shared" si="122"/>
        <v>0</v>
      </c>
      <c r="AY137" s="56" t="s">
        <v>564</v>
      </c>
      <c r="AZ137" s="56" t="s">
        <v>565</v>
      </c>
      <c r="BA137" s="13" t="s">
        <v>566</v>
      </c>
      <c r="BC137" s="16">
        <f t="shared" si="123"/>
        <v>0</v>
      </c>
      <c r="BD137" s="16">
        <f t="shared" si="124"/>
        <v>0</v>
      </c>
      <c r="BE137" s="16">
        <v>0</v>
      </c>
      <c r="BF137" s="16">
        <f t="shared" si="125"/>
        <v>0</v>
      </c>
      <c r="BH137" s="16">
        <f t="shared" si="126"/>
        <v>0</v>
      </c>
      <c r="BI137" s="16">
        <f t="shared" si="127"/>
        <v>0</v>
      </c>
      <c r="BJ137" s="16">
        <f t="shared" si="128"/>
        <v>0</v>
      </c>
      <c r="BK137" s="16"/>
      <c r="BL137" s="16">
        <v>723</v>
      </c>
      <c r="BW137" s="16" t="str">
        <f t="shared" si="129"/>
        <v>12</v>
      </c>
      <c r="BX137" s="3" t="s">
        <v>214</v>
      </c>
    </row>
    <row r="138" spans="1:76" x14ac:dyDescent="0.25">
      <c r="A138" s="1" t="s">
        <v>576</v>
      </c>
      <c r="B138" s="2" t="s">
        <v>193</v>
      </c>
      <c r="C138" s="2" t="s">
        <v>215</v>
      </c>
      <c r="D138" s="77" t="s">
        <v>216</v>
      </c>
      <c r="E138" s="71"/>
      <c r="F138" s="2" t="s">
        <v>31</v>
      </c>
      <c r="G138" s="16">
        <f>'Rozpočet - vybrané sloupce'!J22</f>
        <v>66</v>
      </c>
      <c r="H138" s="16">
        <f>'Rozpočet - vybrané sloupce'!K22</f>
        <v>0</v>
      </c>
      <c r="I138" s="56" t="s">
        <v>460</v>
      </c>
      <c r="J138" s="16">
        <f t="shared" si="104"/>
        <v>0</v>
      </c>
      <c r="K138" s="16">
        <f t="shared" si="105"/>
        <v>0</v>
      </c>
      <c r="L138" s="16">
        <f t="shared" si="106"/>
        <v>0</v>
      </c>
      <c r="M138" s="16">
        <f t="shared" si="107"/>
        <v>0</v>
      </c>
      <c r="N138" s="16">
        <v>0</v>
      </c>
      <c r="O138" s="16">
        <f t="shared" si="108"/>
        <v>0</v>
      </c>
      <c r="P138" s="57" t="s">
        <v>461</v>
      </c>
      <c r="Z138" s="16">
        <f t="shared" si="109"/>
        <v>0</v>
      </c>
      <c r="AB138" s="16">
        <f t="shared" si="110"/>
        <v>0</v>
      </c>
      <c r="AC138" s="16">
        <f t="shared" si="111"/>
        <v>0</v>
      </c>
      <c r="AD138" s="16">
        <f t="shared" si="112"/>
        <v>0</v>
      </c>
      <c r="AE138" s="16">
        <f t="shared" si="113"/>
        <v>0</v>
      </c>
      <c r="AF138" s="16">
        <f t="shared" si="114"/>
        <v>0</v>
      </c>
      <c r="AG138" s="16">
        <f t="shared" si="115"/>
        <v>0</v>
      </c>
      <c r="AH138" s="16">
        <f t="shared" si="116"/>
        <v>0</v>
      </c>
      <c r="AI138" s="13" t="s">
        <v>193</v>
      </c>
      <c r="AJ138" s="16">
        <f t="shared" si="117"/>
        <v>0</v>
      </c>
      <c r="AK138" s="16">
        <f t="shared" si="118"/>
        <v>0</v>
      </c>
      <c r="AL138" s="16">
        <f t="shared" si="119"/>
        <v>0</v>
      </c>
      <c r="AN138" s="16">
        <v>12</v>
      </c>
      <c r="AO138" s="16">
        <f>H138*0.5</f>
        <v>0</v>
      </c>
      <c r="AP138" s="16">
        <f>H138*(1-0.5)</f>
        <v>0</v>
      </c>
      <c r="AQ138" s="56" t="s">
        <v>462</v>
      </c>
      <c r="AV138" s="16">
        <f t="shared" si="120"/>
        <v>0</v>
      </c>
      <c r="AW138" s="16">
        <f t="shared" si="121"/>
        <v>0</v>
      </c>
      <c r="AX138" s="16">
        <f t="shared" si="122"/>
        <v>0</v>
      </c>
      <c r="AY138" s="56" t="s">
        <v>564</v>
      </c>
      <c r="AZ138" s="56" t="s">
        <v>565</v>
      </c>
      <c r="BA138" s="13" t="s">
        <v>566</v>
      </c>
      <c r="BC138" s="16">
        <f t="shared" si="123"/>
        <v>0</v>
      </c>
      <c r="BD138" s="16">
        <f t="shared" si="124"/>
        <v>0</v>
      </c>
      <c r="BE138" s="16">
        <v>0</v>
      </c>
      <c r="BF138" s="16">
        <f t="shared" si="125"/>
        <v>0</v>
      </c>
      <c r="BH138" s="16">
        <f t="shared" si="126"/>
        <v>0</v>
      </c>
      <c r="BI138" s="16">
        <f t="shared" si="127"/>
        <v>0</v>
      </c>
      <c r="BJ138" s="16">
        <f t="shared" si="128"/>
        <v>0</v>
      </c>
      <c r="BK138" s="16"/>
      <c r="BL138" s="16">
        <v>723</v>
      </c>
      <c r="BW138" s="16" t="str">
        <f t="shared" si="129"/>
        <v>12</v>
      </c>
      <c r="BX138" s="3" t="s">
        <v>216</v>
      </c>
    </row>
    <row r="139" spans="1:76" x14ac:dyDescent="0.25">
      <c r="A139" s="1" t="s">
        <v>340</v>
      </c>
      <c r="B139" s="2" t="s">
        <v>193</v>
      </c>
      <c r="C139" s="2" t="s">
        <v>217</v>
      </c>
      <c r="D139" s="77" t="s">
        <v>218</v>
      </c>
      <c r="E139" s="71"/>
      <c r="F139" s="2" t="s">
        <v>35</v>
      </c>
      <c r="G139" s="16">
        <f>'Rozpočet - vybrané sloupce'!J23</f>
        <v>15</v>
      </c>
      <c r="H139" s="16">
        <f>'Rozpočet - vybrané sloupce'!K23</f>
        <v>0</v>
      </c>
      <c r="I139" s="56" t="s">
        <v>460</v>
      </c>
      <c r="J139" s="16">
        <f t="shared" si="104"/>
        <v>0</v>
      </c>
      <c r="K139" s="16">
        <f t="shared" si="105"/>
        <v>0</v>
      </c>
      <c r="L139" s="16">
        <f t="shared" si="106"/>
        <v>0</v>
      </c>
      <c r="M139" s="16">
        <f t="shared" si="107"/>
        <v>0</v>
      </c>
      <c r="N139" s="16">
        <v>4.3800000000000002E-3</v>
      </c>
      <c r="O139" s="16">
        <f t="shared" si="108"/>
        <v>6.5700000000000008E-2</v>
      </c>
      <c r="P139" s="57" t="s">
        <v>461</v>
      </c>
      <c r="Z139" s="16">
        <f t="shared" si="109"/>
        <v>0</v>
      </c>
      <c r="AB139" s="16">
        <f t="shared" si="110"/>
        <v>0</v>
      </c>
      <c r="AC139" s="16">
        <f t="shared" si="111"/>
        <v>0</v>
      </c>
      <c r="AD139" s="16">
        <f t="shared" si="112"/>
        <v>0</v>
      </c>
      <c r="AE139" s="16">
        <f t="shared" si="113"/>
        <v>0</v>
      </c>
      <c r="AF139" s="16">
        <f t="shared" si="114"/>
        <v>0</v>
      </c>
      <c r="AG139" s="16">
        <f t="shared" si="115"/>
        <v>0</v>
      </c>
      <c r="AH139" s="16">
        <f t="shared" si="116"/>
        <v>0</v>
      </c>
      <c r="AI139" s="13" t="s">
        <v>193</v>
      </c>
      <c r="AJ139" s="16">
        <f t="shared" si="117"/>
        <v>0</v>
      </c>
      <c r="AK139" s="16">
        <f t="shared" si="118"/>
        <v>0</v>
      </c>
      <c r="AL139" s="16">
        <f t="shared" si="119"/>
        <v>0</v>
      </c>
      <c r="AN139" s="16">
        <v>12</v>
      </c>
      <c r="AO139" s="16">
        <f>H139*0.219761905</f>
        <v>0</v>
      </c>
      <c r="AP139" s="16">
        <f>H139*(1-0.219761905)</f>
        <v>0</v>
      </c>
      <c r="AQ139" s="56" t="s">
        <v>462</v>
      </c>
      <c r="AV139" s="16">
        <f t="shared" si="120"/>
        <v>0</v>
      </c>
      <c r="AW139" s="16">
        <f t="shared" si="121"/>
        <v>0</v>
      </c>
      <c r="AX139" s="16">
        <f t="shared" si="122"/>
        <v>0</v>
      </c>
      <c r="AY139" s="56" t="s">
        <v>564</v>
      </c>
      <c r="AZ139" s="56" t="s">
        <v>565</v>
      </c>
      <c r="BA139" s="13" t="s">
        <v>566</v>
      </c>
      <c r="BC139" s="16">
        <f t="shared" si="123"/>
        <v>0</v>
      </c>
      <c r="BD139" s="16">
        <f t="shared" si="124"/>
        <v>0</v>
      </c>
      <c r="BE139" s="16">
        <v>0</v>
      </c>
      <c r="BF139" s="16">
        <f t="shared" si="125"/>
        <v>6.5700000000000008E-2</v>
      </c>
      <c r="BH139" s="16">
        <f t="shared" si="126"/>
        <v>0</v>
      </c>
      <c r="BI139" s="16">
        <f t="shared" si="127"/>
        <v>0</v>
      </c>
      <c r="BJ139" s="16">
        <f t="shared" si="128"/>
        <v>0</v>
      </c>
      <c r="BK139" s="16"/>
      <c r="BL139" s="16">
        <v>723</v>
      </c>
      <c r="BW139" s="16" t="str">
        <f t="shared" si="129"/>
        <v>12</v>
      </c>
      <c r="BX139" s="3" t="s">
        <v>218</v>
      </c>
    </row>
    <row r="140" spans="1:76" x14ac:dyDescent="0.25">
      <c r="A140" s="1" t="s">
        <v>344</v>
      </c>
      <c r="B140" s="2" t="s">
        <v>193</v>
      </c>
      <c r="C140" s="2" t="s">
        <v>219</v>
      </c>
      <c r="D140" s="77" t="s">
        <v>220</v>
      </c>
      <c r="E140" s="71"/>
      <c r="F140" s="2" t="s">
        <v>35</v>
      </c>
      <c r="G140" s="16">
        <f>'Rozpočet - vybrané sloupce'!J24</f>
        <v>15</v>
      </c>
      <c r="H140" s="16">
        <f>'Rozpočet - vybrané sloupce'!K24</f>
        <v>0</v>
      </c>
      <c r="I140" s="56" t="s">
        <v>460</v>
      </c>
      <c r="J140" s="16">
        <f t="shared" si="104"/>
        <v>0</v>
      </c>
      <c r="K140" s="16">
        <f t="shared" si="105"/>
        <v>0</v>
      </c>
      <c r="L140" s="16">
        <f t="shared" si="106"/>
        <v>0</v>
      </c>
      <c r="M140" s="16">
        <f t="shared" si="107"/>
        <v>0</v>
      </c>
      <c r="N140" s="16">
        <v>8.8999999999999995E-4</v>
      </c>
      <c r="O140" s="16">
        <f t="shared" si="108"/>
        <v>1.3349999999999999E-2</v>
      </c>
      <c r="P140" s="57" t="s">
        <v>461</v>
      </c>
      <c r="Z140" s="16">
        <f t="shared" si="109"/>
        <v>0</v>
      </c>
      <c r="AB140" s="16">
        <f t="shared" si="110"/>
        <v>0</v>
      </c>
      <c r="AC140" s="16">
        <f t="shared" si="111"/>
        <v>0</v>
      </c>
      <c r="AD140" s="16">
        <f t="shared" si="112"/>
        <v>0</v>
      </c>
      <c r="AE140" s="16">
        <f t="shared" si="113"/>
        <v>0</v>
      </c>
      <c r="AF140" s="16">
        <f t="shared" si="114"/>
        <v>0</v>
      </c>
      <c r="AG140" s="16">
        <f t="shared" si="115"/>
        <v>0</v>
      </c>
      <c r="AH140" s="16">
        <f t="shared" si="116"/>
        <v>0</v>
      </c>
      <c r="AI140" s="13" t="s">
        <v>193</v>
      </c>
      <c r="AJ140" s="16">
        <f t="shared" si="117"/>
        <v>0</v>
      </c>
      <c r="AK140" s="16">
        <f t="shared" si="118"/>
        <v>0</v>
      </c>
      <c r="AL140" s="16">
        <f t="shared" si="119"/>
        <v>0</v>
      </c>
      <c r="AN140" s="16">
        <v>12</v>
      </c>
      <c r="AO140" s="16">
        <f>H140*0</f>
        <v>0</v>
      </c>
      <c r="AP140" s="16">
        <f>H140*(1-0)</f>
        <v>0</v>
      </c>
      <c r="AQ140" s="56" t="s">
        <v>462</v>
      </c>
      <c r="AV140" s="16">
        <f t="shared" si="120"/>
        <v>0</v>
      </c>
      <c r="AW140" s="16">
        <f t="shared" si="121"/>
        <v>0</v>
      </c>
      <c r="AX140" s="16">
        <f t="shared" si="122"/>
        <v>0</v>
      </c>
      <c r="AY140" s="56" t="s">
        <v>564</v>
      </c>
      <c r="AZ140" s="56" t="s">
        <v>565</v>
      </c>
      <c r="BA140" s="13" t="s">
        <v>566</v>
      </c>
      <c r="BC140" s="16">
        <f t="shared" si="123"/>
        <v>0</v>
      </c>
      <c r="BD140" s="16">
        <f t="shared" si="124"/>
        <v>0</v>
      </c>
      <c r="BE140" s="16">
        <v>0</v>
      </c>
      <c r="BF140" s="16">
        <f t="shared" si="125"/>
        <v>1.3349999999999999E-2</v>
      </c>
      <c r="BH140" s="16">
        <f t="shared" si="126"/>
        <v>0</v>
      </c>
      <c r="BI140" s="16">
        <f t="shared" si="127"/>
        <v>0</v>
      </c>
      <c r="BJ140" s="16">
        <f t="shared" si="128"/>
        <v>0</v>
      </c>
      <c r="BK140" s="16"/>
      <c r="BL140" s="16">
        <v>723</v>
      </c>
      <c r="BW140" s="16" t="str">
        <f t="shared" si="129"/>
        <v>12</v>
      </c>
      <c r="BX140" s="3" t="s">
        <v>220</v>
      </c>
    </row>
    <row r="141" spans="1:76" x14ac:dyDescent="0.25">
      <c r="A141" s="1" t="s">
        <v>348</v>
      </c>
      <c r="B141" s="2" t="s">
        <v>193</v>
      </c>
      <c r="C141" s="2" t="s">
        <v>221</v>
      </c>
      <c r="D141" s="77" t="s">
        <v>222</v>
      </c>
      <c r="E141" s="71"/>
      <c r="F141" s="2" t="s">
        <v>223</v>
      </c>
      <c r="G141" s="16">
        <f>'Rozpočet - vybrané sloupce'!J25</f>
        <v>15</v>
      </c>
      <c r="H141" s="16">
        <f>'Rozpočet - vybrané sloupce'!K25</f>
        <v>0</v>
      </c>
      <c r="I141" s="56" t="s">
        <v>460</v>
      </c>
      <c r="J141" s="16">
        <f t="shared" si="104"/>
        <v>0</v>
      </c>
      <c r="K141" s="16">
        <f t="shared" si="105"/>
        <v>0</v>
      </c>
      <c r="L141" s="16">
        <f t="shared" si="106"/>
        <v>0</v>
      </c>
      <c r="M141" s="16">
        <f t="shared" si="107"/>
        <v>0</v>
      </c>
      <c r="N141" s="16">
        <v>5.13E-3</v>
      </c>
      <c r="O141" s="16">
        <f t="shared" si="108"/>
        <v>7.6950000000000005E-2</v>
      </c>
      <c r="P141" s="57" t="s">
        <v>461</v>
      </c>
      <c r="Z141" s="16">
        <f t="shared" si="109"/>
        <v>0</v>
      </c>
      <c r="AB141" s="16">
        <f t="shared" si="110"/>
        <v>0</v>
      </c>
      <c r="AC141" s="16">
        <f t="shared" si="111"/>
        <v>0</v>
      </c>
      <c r="AD141" s="16">
        <f t="shared" si="112"/>
        <v>0</v>
      </c>
      <c r="AE141" s="16">
        <f t="shared" si="113"/>
        <v>0</v>
      </c>
      <c r="AF141" s="16">
        <f t="shared" si="114"/>
        <v>0</v>
      </c>
      <c r="AG141" s="16">
        <f t="shared" si="115"/>
        <v>0</v>
      </c>
      <c r="AH141" s="16">
        <f t="shared" si="116"/>
        <v>0</v>
      </c>
      <c r="AI141" s="13" t="s">
        <v>193</v>
      </c>
      <c r="AJ141" s="16">
        <f t="shared" si="117"/>
        <v>0</v>
      </c>
      <c r="AK141" s="16">
        <f t="shared" si="118"/>
        <v>0</v>
      </c>
      <c r="AL141" s="16">
        <f t="shared" si="119"/>
        <v>0</v>
      </c>
      <c r="AN141" s="16">
        <v>12</v>
      </c>
      <c r="AO141" s="16">
        <f>H141*0</f>
        <v>0</v>
      </c>
      <c r="AP141" s="16">
        <f>H141*(1-0)</f>
        <v>0</v>
      </c>
      <c r="AQ141" s="56" t="s">
        <v>462</v>
      </c>
      <c r="AV141" s="16">
        <f t="shared" si="120"/>
        <v>0</v>
      </c>
      <c r="AW141" s="16">
        <f t="shared" si="121"/>
        <v>0</v>
      </c>
      <c r="AX141" s="16">
        <f t="shared" si="122"/>
        <v>0</v>
      </c>
      <c r="AY141" s="56" t="s">
        <v>564</v>
      </c>
      <c r="AZ141" s="56" t="s">
        <v>565</v>
      </c>
      <c r="BA141" s="13" t="s">
        <v>566</v>
      </c>
      <c r="BC141" s="16">
        <f t="shared" si="123"/>
        <v>0</v>
      </c>
      <c r="BD141" s="16">
        <f t="shared" si="124"/>
        <v>0</v>
      </c>
      <c r="BE141" s="16">
        <v>0</v>
      </c>
      <c r="BF141" s="16">
        <f t="shared" si="125"/>
        <v>7.6950000000000005E-2</v>
      </c>
      <c r="BH141" s="16">
        <f t="shared" si="126"/>
        <v>0</v>
      </c>
      <c r="BI141" s="16">
        <f t="shared" si="127"/>
        <v>0</v>
      </c>
      <c r="BJ141" s="16">
        <f t="shared" si="128"/>
        <v>0</v>
      </c>
      <c r="BK141" s="16"/>
      <c r="BL141" s="16">
        <v>723</v>
      </c>
      <c r="BW141" s="16" t="str">
        <f t="shared" si="129"/>
        <v>12</v>
      </c>
      <c r="BX141" s="3" t="s">
        <v>222</v>
      </c>
    </row>
    <row r="142" spans="1:76" x14ac:dyDescent="0.25">
      <c r="A142" s="1" t="s">
        <v>577</v>
      </c>
      <c r="B142" s="2" t="s">
        <v>193</v>
      </c>
      <c r="C142" s="2" t="s">
        <v>224</v>
      </c>
      <c r="D142" s="77" t="s">
        <v>225</v>
      </c>
      <c r="E142" s="71"/>
      <c r="F142" s="2" t="s">
        <v>40</v>
      </c>
      <c r="G142" s="16">
        <f>'Rozpočet - vybrané sloupce'!J26</f>
        <v>15</v>
      </c>
      <c r="H142" s="16">
        <f>'Rozpočet - vybrané sloupce'!K26</f>
        <v>0</v>
      </c>
      <c r="I142" s="56" t="s">
        <v>460</v>
      </c>
      <c r="J142" s="16">
        <f t="shared" si="104"/>
        <v>0</v>
      </c>
      <c r="K142" s="16">
        <f t="shared" si="105"/>
        <v>0</v>
      </c>
      <c r="L142" s="16">
        <f t="shared" si="106"/>
        <v>0</v>
      </c>
      <c r="M142" s="16">
        <f t="shared" si="107"/>
        <v>0</v>
      </c>
      <c r="N142" s="16">
        <v>3.2499999999999999E-3</v>
      </c>
      <c r="O142" s="16">
        <f t="shared" si="108"/>
        <v>4.8749999999999995E-2</v>
      </c>
      <c r="P142" s="57" t="s">
        <v>461</v>
      </c>
      <c r="Z142" s="16">
        <f t="shared" si="109"/>
        <v>0</v>
      </c>
      <c r="AB142" s="16">
        <f t="shared" si="110"/>
        <v>0</v>
      </c>
      <c r="AC142" s="16">
        <f t="shared" si="111"/>
        <v>0</v>
      </c>
      <c r="AD142" s="16">
        <f t="shared" si="112"/>
        <v>0</v>
      </c>
      <c r="AE142" s="16">
        <f t="shared" si="113"/>
        <v>0</v>
      </c>
      <c r="AF142" s="16">
        <f t="shared" si="114"/>
        <v>0</v>
      </c>
      <c r="AG142" s="16">
        <f t="shared" si="115"/>
        <v>0</v>
      </c>
      <c r="AH142" s="16">
        <f t="shared" si="116"/>
        <v>0</v>
      </c>
      <c r="AI142" s="13" t="s">
        <v>193</v>
      </c>
      <c r="AJ142" s="16">
        <f t="shared" si="117"/>
        <v>0</v>
      </c>
      <c r="AK142" s="16">
        <f t="shared" si="118"/>
        <v>0</v>
      </c>
      <c r="AL142" s="16">
        <f t="shared" si="119"/>
        <v>0</v>
      </c>
      <c r="AN142" s="16">
        <v>12</v>
      </c>
      <c r="AO142" s="16">
        <f>H142*0.474438596</f>
        <v>0</v>
      </c>
      <c r="AP142" s="16">
        <f>H142*(1-0.474438596)</f>
        <v>0</v>
      </c>
      <c r="AQ142" s="56" t="s">
        <v>462</v>
      </c>
      <c r="AV142" s="16">
        <f t="shared" si="120"/>
        <v>0</v>
      </c>
      <c r="AW142" s="16">
        <f t="shared" si="121"/>
        <v>0</v>
      </c>
      <c r="AX142" s="16">
        <f t="shared" si="122"/>
        <v>0</v>
      </c>
      <c r="AY142" s="56" t="s">
        <v>564</v>
      </c>
      <c r="AZ142" s="56" t="s">
        <v>565</v>
      </c>
      <c r="BA142" s="13" t="s">
        <v>566</v>
      </c>
      <c r="BC142" s="16">
        <f t="shared" si="123"/>
        <v>0</v>
      </c>
      <c r="BD142" s="16">
        <f t="shared" si="124"/>
        <v>0</v>
      </c>
      <c r="BE142" s="16">
        <v>0</v>
      </c>
      <c r="BF142" s="16">
        <f t="shared" si="125"/>
        <v>4.8749999999999995E-2</v>
      </c>
      <c r="BH142" s="16">
        <f t="shared" si="126"/>
        <v>0</v>
      </c>
      <c r="BI142" s="16">
        <f t="shared" si="127"/>
        <v>0</v>
      </c>
      <c r="BJ142" s="16">
        <f t="shared" si="128"/>
        <v>0</v>
      </c>
      <c r="BK142" s="16"/>
      <c r="BL142" s="16">
        <v>723</v>
      </c>
      <c r="BW142" s="16" t="str">
        <f t="shared" si="129"/>
        <v>12</v>
      </c>
      <c r="BX142" s="3" t="s">
        <v>225</v>
      </c>
    </row>
    <row r="143" spans="1:76" x14ac:dyDescent="0.25">
      <c r="A143" s="1" t="s">
        <v>578</v>
      </c>
      <c r="B143" s="2" t="s">
        <v>193</v>
      </c>
      <c r="C143" s="2" t="s">
        <v>226</v>
      </c>
      <c r="D143" s="77" t="s">
        <v>227</v>
      </c>
      <c r="E143" s="71"/>
      <c r="F143" s="2" t="s">
        <v>40</v>
      </c>
      <c r="G143" s="16">
        <f>'Rozpočet - vybrané sloupce'!J27</f>
        <v>15</v>
      </c>
      <c r="H143" s="16">
        <f>'Rozpočet - vybrané sloupce'!K27</f>
        <v>0</v>
      </c>
      <c r="I143" s="56" t="s">
        <v>460</v>
      </c>
      <c r="J143" s="16">
        <f t="shared" si="104"/>
        <v>0</v>
      </c>
      <c r="K143" s="16">
        <f t="shared" si="105"/>
        <v>0</v>
      </c>
      <c r="L143" s="16">
        <f t="shared" si="106"/>
        <v>0</v>
      </c>
      <c r="M143" s="16">
        <f t="shared" si="107"/>
        <v>0</v>
      </c>
      <c r="N143" s="16">
        <v>1.8000000000000001E-4</v>
      </c>
      <c r="O143" s="16">
        <f t="shared" si="108"/>
        <v>2.7000000000000001E-3</v>
      </c>
      <c r="P143" s="57" t="s">
        <v>461</v>
      </c>
      <c r="Z143" s="16">
        <f t="shared" si="109"/>
        <v>0</v>
      </c>
      <c r="AB143" s="16">
        <f t="shared" si="110"/>
        <v>0</v>
      </c>
      <c r="AC143" s="16">
        <f t="shared" si="111"/>
        <v>0</v>
      </c>
      <c r="AD143" s="16">
        <f t="shared" si="112"/>
        <v>0</v>
      </c>
      <c r="AE143" s="16">
        <f t="shared" si="113"/>
        <v>0</v>
      </c>
      <c r="AF143" s="16">
        <f t="shared" si="114"/>
        <v>0</v>
      </c>
      <c r="AG143" s="16">
        <f t="shared" si="115"/>
        <v>0</v>
      </c>
      <c r="AH143" s="16">
        <f t="shared" si="116"/>
        <v>0</v>
      </c>
      <c r="AI143" s="13" t="s">
        <v>193</v>
      </c>
      <c r="AJ143" s="16">
        <f t="shared" si="117"/>
        <v>0</v>
      </c>
      <c r="AK143" s="16">
        <f t="shared" si="118"/>
        <v>0</v>
      </c>
      <c r="AL143" s="16">
        <f t="shared" si="119"/>
        <v>0</v>
      </c>
      <c r="AN143" s="16">
        <v>12</v>
      </c>
      <c r="AO143" s="16">
        <f>H143*0.062206897</f>
        <v>0</v>
      </c>
      <c r="AP143" s="16">
        <f>H143*(1-0.062206897)</f>
        <v>0</v>
      </c>
      <c r="AQ143" s="56" t="s">
        <v>462</v>
      </c>
      <c r="AV143" s="16">
        <f t="shared" si="120"/>
        <v>0</v>
      </c>
      <c r="AW143" s="16">
        <f t="shared" si="121"/>
        <v>0</v>
      </c>
      <c r="AX143" s="16">
        <f t="shared" si="122"/>
        <v>0</v>
      </c>
      <c r="AY143" s="56" t="s">
        <v>564</v>
      </c>
      <c r="AZ143" s="56" t="s">
        <v>565</v>
      </c>
      <c r="BA143" s="13" t="s">
        <v>566</v>
      </c>
      <c r="BC143" s="16">
        <f t="shared" si="123"/>
        <v>0</v>
      </c>
      <c r="BD143" s="16">
        <f t="shared" si="124"/>
        <v>0</v>
      </c>
      <c r="BE143" s="16">
        <v>0</v>
      </c>
      <c r="BF143" s="16">
        <f t="shared" si="125"/>
        <v>2.7000000000000001E-3</v>
      </c>
      <c r="BH143" s="16">
        <f t="shared" si="126"/>
        <v>0</v>
      </c>
      <c r="BI143" s="16">
        <f t="shared" si="127"/>
        <v>0</v>
      </c>
      <c r="BJ143" s="16">
        <f t="shared" si="128"/>
        <v>0</v>
      </c>
      <c r="BK143" s="16"/>
      <c r="BL143" s="16">
        <v>723</v>
      </c>
      <c r="BW143" s="16" t="str">
        <f t="shared" si="129"/>
        <v>12</v>
      </c>
      <c r="BX143" s="3" t="s">
        <v>227</v>
      </c>
    </row>
    <row r="144" spans="1:76" x14ac:dyDescent="0.25">
      <c r="A144" s="1" t="s">
        <v>579</v>
      </c>
      <c r="B144" s="2" t="s">
        <v>193</v>
      </c>
      <c r="C144" s="2" t="s">
        <v>228</v>
      </c>
      <c r="D144" s="77" t="s">
        <v>229</v>
      </c>
      <c r="E144" s="71"/>
      <c r="F144" s="2" t="s">
        <v>35</v>
      </c>
      <c r="G144" s="16">
        <f>'Rozpočet - vybrané sloupce'!J28</f>
        <v>15</v>
      </c>
      <c r="H144" s="16">
        <f>'Rozpočet - vybrané sloupce'!K28</f>
        <v>0</v>
      </c>
      <c r="I144" s="56" t="s">
        <v>460</v>
      </c>
      <c r="J144" s="16">
        <f t="shared" si="104"/>
        <v>0</v>
      </c>
      <c r="K144" s="16">
        <f t="shared" si="105"/>
        <v>0</v>
      </c>
      <c r="L144" s="16">
        <f t="shared" si="106"/>
        <v>0</v>
      </c>
      <c r="M144" s="16">
        <f t="shared" si="107"/>
        <v>0</v>
      </c>
      <c r="N144" s="16">
        <v>1.7000000000000001E-4</v>
      </c>
      <c r="O144" s="16">
        <f t="shared" si="108"/>
        <v>2.5500000000000002E-3</v>
      </c>
      <c r="P144" s="57" t="s">
        <v>461</v>
      </c>
      <c r="Z144" s="16">
        <f t="shared" si="109"/>
        <v>0</v>
      </c>
      <c r="AB144" s="16">
        <f t="shared" si="110"/>
        <v>0</v>
      </c>
      <c r="AC144" s="16">
        <f t="shared" si="111"/>
        <v>0</v>
      </c>
      <c r="AD144" s="16">
        <f t="shared" si="112"/>
        <v>0</v>
      </c>
      <c r="AE144" s="16">
        <f t="shared" si="113"/>
        <v>0</v>
      </c>
      <c r="AF144" s="16">
        <f t="shared" si="114"/>
        <v>0</v>
      </c>
      <c r="AG144" s="16">
        <f t="shared" si="115"/>
        <v>0</v>
      </c>
      <c r="AH144" s="16">
        <f t="shared" si="116"/>
        <v>0</v>
      </c>
      <c r="AI144" s="13" t="s">
        <v>193</v>
      </c>
      <c r="AJ144" s="16">
        <f t="shared" si="117"/>
        <v>0</v>
      </c>
      <c r="AK144" s="16">
        <f t="shared" si="118"/>
        <v>0</v>
      </c>
      <c r="AL144" s="16">
        <f t="shared" si="119"/>
        <v>0</v>
      </c>
      <c r="AN144" s="16">
        <v>12</v>
      </c>
      <c r="AO144" s="16">
        <f>H144*0.250081092</f>
        <v>0</v>
      </c>
      <c r="AP144" s="16">
        <f>H144*(1-0.250081092)</f>
        <v>0</v>
      </c>
      <c r="AQ144" s="56" t="s">
        <v>462</v>
      </c>
      <c r="AV144" s="16">
        <f t="shared" si="120"/>
        <v>0</v>
      </c>
      <c r="AW144" s="16">
        <f t="shared" si="121"/>
        <v>0</v>
      </c>
      <c r="AX144" s="16">
        <f t="shared" si="122"/>
        <v>0</v>
      </c>
      <c r="AY144" s="56" t="s">
        <v>564</v>
      </c>
      <c r="AZ144" s="56" t="s">
        <v>565</v>
      </c>
      <c r="BA144" s="13" t="s">
        <v>566</v>
      </c>
      <c r="BC144" s="16">
        <f t="shared" si="123"/>
        <v>0</v>
      </c>
      <c r="BD144" s="16">
        <f t="shared" si="124"/>
        <v>0</v>
      </c>
      <c r="BE144" s="16">
        <v>0</v>
      </c>
      <c r="BF144" s="16">
        <f t="shared" si="125"/>
        <v>2.5500000000000002E-3</v>
      </c>
      <c r="BH144" s="16">
        <f t="shared" si="126"/>
        <v>0</v>
      </c>
      <c r="BI144" s="16">
        <f t="shared" si="127"/>
        <v>0</v>
      </c>
      <c r="BJ144" s="16">
        <f t="shared" si="128"/>
        <v>0</v>
      </c>
      <c r="BK144" s="16"/>
      <c r="BL144" s="16">
        <v>723</v>
      </c>
      <c r="BW144" s="16" t="str">
        <f t="shared" si="129"/>
        <v>12</v>
      </c>
      <c r="BX144" s="3" t="s">
        <v>229</v>
      </c>
    </row>
    <row r="145" spans="1:76" x14ac:dyDescent="0.25">
      <c r="A145" s="1" t="s">
        <v>580</v>
      </c>
      <c r="B145" s="2" t="s">
        <v>193</v>
      </c>
      <c r="C145" s="2" t="s">
        <v>230</v>
      </c>
      <c r="D145" s="77" t="s">
        <v>231</v>
      </c>
      <c r="E145" s="71"/>
      <c r="F145" s="2" t="s">
        <v>35</v>
      </c>
      <c r="G145" s="16">
        <f>'Rozpočet - vybrané sloupce'!J29</f>
        <v>15</v>
      </c>
      <c r="H145" s="16">
        <f>'Rozpočet - vybrané sloupce'!K29</f>
        <v>0</v>
      </c>
      <c r="I145" s="56" t="s">
        <v>460</v>
      </c>
      <c r="J145" s="16">
        <f t="shared" si="104"/>
        <v>0</v>
      </c>
      <c r="K145" s="16">
        <f t="shared" si="105"/>
        <v>0</v>
      </c>
      <c r="L145" s="16">
        <f t="shared" si="106"/>
        <v>0</v>
      </c>
      <c r="M145" s="16">
        <f t="shared" si="107"/>
        <v>0</v>
      </c>
      <c r="N145" s="16">
        <v>0</v>
      </c>
      <c r="O145" s="16">
        <f t="shared" si="108"/>
        <v>0</v>
      </c>
      <c r="P145" s="57" t="s">
        <v>461</v>
      </c>
      <c r="Z145" s="16">
        <f t="shared" si="109"/>
        <v>0</v>
      </c>
      <c r="AB145" s="16">
        <f t="shared" si="110"/>
        <v>0</v>
      </c>
      <c r="AC145" s="16">
        <f t="shared" si="111"/>
        <v>0</v>
      </c>
      <c r="AD145" s="16">
        <f t="shared" si="112"/>
        <v>0</v>
      </c>
      <c r="AE145" s="16">
        <f t="shared" si="113"/>
        <v>0</v>
      </c>
      <c r="AF145" s="16">
        <f t="shared" si="114"/>
        <v>0</v>
      </c>
      <c r="AG145" s="16">
        <f t="shared" si="115"/>
        <v>0</v>
      </c>
      <c r="AH145" s="16">
        <f t="shared" si="116"/>
        <v>0</v>
      </c>
      <c r="AI145" s="13" t="s">
        <v>193</v>
      </c>
      <c r="AJ145" s="16">
        <f t="shared" si="117"/>
        <v>0</v>
      </c>
      <c r="AK145" s="16">
        <f t="shared" si="118"/>
        <v>0</v>
      </c>
      <c r="AL145" s="16">
        <f t="shared" si="119"/>
        <v>0</v>
      </c>
      <c r="AN145" s="16">
        <v>12</v>
      </c>
      <c r="AO145" s="16">
        <f>H145*0.125</f>
        <v>0</v>
      </c>
      <c r="AP145" s="16">
        <f>H145*(1-0.125)</f>
        <v>0</v>
      </c>
      <c r="AQ145" s="56" t="s">
        <v>462</v>
      </c>
      <c r="AV145" s="16">
        <f t="shared" si="120"/>
        <v>0</v>
      </c>
      <c r="AW145" s="16">
        <f t="shared" si="121"/>
        <v>0</v>
      </c>
      <c r="AX145" s="16">
        <f t="shared" si="122"/>
        <v>0</v>
      </c>
      <c r="AY145" s="56" t="s">
        <v>564</v>
      </c>
      <c r="AZ145" s="56" t="s">
        <v>565</v>
      </c>
      <c r="BA145" s="13" t="s">
        <v>566</v>
      </c>
      <c r="BC145" s="16">
        <f t="shared" si="123"/>
        <v>0</v>
      </c>
      <c r="BD145" s="16">
        <f t="shared" si="124"/>
        <v>0</v>
      </c>
      <c r="BE145" s="16">
        <v>0</v>
      </c>
      <c r="BF145" s="16">
        <f t="shared" si="125"/>
        <v>0</v>
      </c>
      <c r="BH145" s="16">
        <f t="shared" si="126"/>
        <v>0</v>
      </c>
      <c r="BI145" s="16">
        <f t="shared" si="127"/>
        <v>0</v>
      </c>
      <c r="BJ145" s="16">
        <f t="shared" si="128"/>
        <v>0</v>
      </c>
      <c r="BK145" s="16"/>
      <c r="BL145" s="16">
        <v>723</v>
      </c>
      <c r="BW145" s="16" t="str">
        <f t="shared" si="129"/>
        <v>12</v>
      </c>
      <c r="BX145" s="3" t="s">
        <v>231</v>
      </c>
    </row>
    <row r="146" spans="1:76" x14ac:dyDescent="0.25">
      <c r="A146" s="1" t="s">
        <v>581</v>
      </c>
      <c r="B146" s="2" t="s">
        <v>193</v>
      </c>
      <c r="C146" s="2" t="s">
        <v>232</v>
      </c>
      <c r="D146" s="77" t="s">
        <v>233</v>
      </c>
      <c r="E146" s="71"/>
      <c r="F146" s="2" t="s">
        <v>40</v>
      </c>
      <c r="G146" s="16">
        <f>'Rozpočet - vybrané sloupce'!J30</f>
        <v>15</v>
      </c>
      <c r="H146" s="16">
        <f>'Rozpočet - vybrané sloupce'!K30</f>
        <v>0</v>
      </c>
      <c r="I146" s="56" t="s">
        <v>460</v>
      </c>
      <c r="J146" s="16">
        <f t="shared" si="104"/>
        <v>0</v>
      </c>
      <c r="K146" s="16">
        <f t="shared" si="105"/>
        <v>0</v>
      </c>
      <c r="L146" s="16">
        <f t="shared" si="106"/>
        <v>0</v>
      </c>
      <c r="M146" s="16">
        <f t="shared" si="107"/>
        <v>0</v>
      </c>
      <c r="N146" s="16">
        <v>0</v>
      </c>
      <c r="O146" s="16">
        <f t="shared" si="108"/>
        <v>0</v>
      </c>
      <c r="P146" s="57" t="s">
        <v>461</v>
      </c>
      <c r="Z146" s="16">
        <f t="shared" si="109"/>
        <v>0</v>
      </c>
      <c r="AB146" s="16">
        <f t="shared" si="110"/>
        <v>0</v>
      </c>
      <c r="AC146" s="16">
        <f t="shared" si="111"/>
        <v>0</v>
      </c>
      <c r="AD146" s="16">
        <f t="shared" si="112"/>
        <v>0</v>
      </c>
      <c r="AE146" s="16">
        <f t="shared" si="113"/>
        <v>0</v>
      </c>
      <c r="AF146" s="16">
        <f t="shared" si="114"/>
        <v>0</v>
      </c>
      <c r="AG146" s="16">
        <f t="shared" si="115"/>
        <v>0</v>
      </c>
      <c r="AH146" s="16">
        <f t="shared" si="116"/>
        <v>0</v>
      </c>
      <c r="AI146" s="13" t="s">
        <v>193</v>
      </c>
      <c r="AJ146" s="16">
        <f t="shared" si="117"/>
        <v>0</v>
      </c>
      <c r="AK146" s="16">
        <f t="shared" si="118"/>
        <v>0</v>
      </c>
      <c r="AL146" s="16">
        <f t="shared" si="119"/>
        <v>0</v>
      </c>
      <c r="AN146" s="16">
        <v>12</v>
      </c>
      <c r="AO146" s="16">
        <f>H146*0.692273882</f>
        <v>0</v>
      </c>
      <c r="AP146" s="16">
        <f>H146*(1-0.692273882)</f>
        <v>0</v>
      </c>
      <c r="AQ146" s="56" t="s">
        <v>462</v>
      </c>
      <c r="AV146" s="16">
        <f t="shared" si="120"/>
        <v>0</v>
      </c>
      <c r="AW146" s="16">
        <f t="shared" si="121"/>
        <v>0</v>
      </c>
      <c r="AX146" s="16">
        <f t="shared" si="122"/>
        <v>0</v>
      </c>
      <c r="AY146" s="56" t="s">
        <v>564</v>
      </c>
      <c r="AZ146" s="56" t="s">
        <v>565</v>
      </c>
      <c r="BA146" s="13" t="s">
        <v>566</v>
      </c>
      <c r="BC146" s="16">
        <f t="shared" si="123"/>
        <v>0</v>
      </c>
      <c r="BD146" s="16">
        <f t="shared" si="124"/>
        <v>0</v>
      </c>
      <c r="BE146" s="16">
        <v>0</v>
      </c>
      <c r="BF146" s="16">
        <f t="shared" si="125"/>
        <v>0</v>
      </c>
      <c r="BH146" s="16">
        <f t="shared" si="126"/>
        <v>0</v>
      </c>
      <c r="BI146" s="16">
        <f t="shared" si="127"/>
        <v>0</v>
      </c>
      <c r="BJ146" s="16">
        <f t="shared" si="128"/>
        <v>0</v>
      </c>
      <c r="BK146" s="16"/>
      <c r="BL146" s="16">
        <v>723</v>
      </c>
      <c r="BW146" s="16" t="str">
        <f t="shared" si="129"/>
        <v>12</v>
      </c>
      <c r="BX146" s="3" t="s">
        <v>233</v>
      </c>
    </row>
    <row r="147" spans="1:76" x14ac:dyDescent="0.25">
      <c r="A147" s="1" t="s">
        <v>582</v>
      </c>
      <c r="B147" s="2" t="s">
        <v>193</v>
      </c>
      <c r="C147" s="2" t="s">
        <v>234</v>
      </c>
      <c r="D147" s="77" t="s">
        <v>235</v>
      </c>
      <c r="E147" s="71"/>
      <c r="F147" s="2" t="s">
        <v>40</v>
      </c>
      <c r="G147" s="16">
        <f>'Rozpočet - vybrané sloupce'!J31</f>
        <v>3</v>
      </c>
      <c r="H147" s="16">
        <f>'Rozpočet - vybrané sloupce'!K31</f>
        <v>0</v>
      </c>
      <c r="I147" s="56" t="s">
        <v>460</v>
      </c>
      <c r="J147" s="16">
        <f t="shared" si="104"/>
        <v>0</v>
      </c>
      <c r="K147" s="16">
        <f t="shared" si="105"/>
        <v>0</v>
      </c>
      <c r="L147" s="16">
        <f t="shared" si="106"/>
        <v>0</v>
      </c>
      <c r="M147" s="16">
        <f t="shared" si="107"/>
        <v>0</v>
      </c>
      <c r="N147" s="16">
        <v>0</v>
      </c>
      <c r="O147" s="16">
        <f t="shared" si="108"/>
        <v>0</v>
      </c>
      <c r="P147" s="57" t="s">
        <v>461</v>
      </c>
      <c r="Z147" s="16">
        <f t="shared" si="109"/>
        <v>0</v>
      </c>
      <c r="AB147" s="16">
        <f t="shared" si="110"/>
        <v>0</v>
      </c>
      <c r="AC147" s="16">
        <f t="shared" si="111"/>
        <v>0</v>
      </c>
      <c r="AD147" s="16">
        <f t="shared" si="112"/>
        <v>0</v>
      </c>
      <c r="AE147" s="16">
        <f t="shared" si="113"/>
        <v>0</v>
      </c>
      <c r="AF147" s="16">
        <f t="shared" si="114"/>
        <v>0</v>
      </c>
      <c r="AG147" s="16">
        <f t="shared" si="115"/>
        <v>0</v>
      </c>
      <c r="AH147" s="16">
        <f t="shared" si="116"/>
        <v>0</v>
      </c>
      <c r="AI147" s="13" t="s">
        <v>193</v>
      </c>
      <c r="AJ147" s="16">
        <f t="shared" si="117"/>
        <v>0</v>
      </c>
      <c r="AK147" s="16">
        <f t="shared" si="118"/>
        <v>0</v>
      </c>
      <c r="AL147" s="16">
        <f t="shared" si="119"/>
        <v>0</v>
      </c>
      <c r="AN147" s="16">
        <v>12</v>
      </c>
      <c r="AO147" s="16">
        <f>H147*0.391304348</f>
        <v>0</v>
      </c>
      <c r="AP147" s="16">
        <f>H147*(1-0.391304348)</f>
        <v>0</v>
      </c>
      <c r="AQ147" s="56" t="s">
        <v>462</v>
      </c>
      <c r="AV147" s="16">
        <f t="shared" si="120"/>
        <v>0</v>
      </c>
      <c r="AW147" s="16">
        <f t="shared" si="121"/>
        <v>0</v>
      </c>
      <c r="AX147" s="16">
        <f t="shared" si="122"/>
        <v>0</v>
      </c>
      <c r="AY147" s="56" t="s">
        <v>564</v>
      </c>
      <c r="AZ147" s="56" t="s">
        <v>565</v>
      </c>
      <c r="BA147" s="13" t="s">
        <v>566</v>
      </c>
      <c r="BC147" s="16">
        <f t="shared" si="123"/>
        <v>0</v>
      </c>
      <c r="BD147" s="16">
        <f t="shared" si="124"/>
        <v>0</v>
      </c>
      <c r="BE147" s="16">
        <v>0</v>
      </c>
      <c r="BF147" s="16">
        <f t="shared" si="125"/>
        <v>0</v>
      </c>
      <c r="BH147" s="16">
        <f t="shared" si="126"/>
        <v>0</v>
      </c>
      <c r="BI147" s="16">
        <f t="shared" si="127"/>
        <v>0</v>
      </c>
      <c r="BJ147" s="16">
        <f t="shared" si="128"/>
        <v>0</v>
      </c>
      <c r="BK147" s="16"/>
      <c r="BL147" s="16">
        <v>723</v>
      </c>
      <c r="BW147" s="16" t="str">
        <f t="shared" si="129"/>
        <v>12</v>
      </c>
      <c r="BX147" s="3" t="s">
        <v>235</v>
      </c>
    </row>
    <row r="148" spans="1:76" x14ac:dyDescent="0.25">
      <c r="A148" s="1" t="s">
        <v>583</v>
      </c>
      <c r="B148" s="2" t="s">
        <v>193</v>
      </c>
      <c r="C148" s="2" t="s">
        <v>236</v>
      </c>
      <c r="D148" s="77" t="s">
        <v>237</v>
      </c>
      <c r="E148" s="71"/>
      <c r="F148" s="2" t="s">
        <v>35</v>
      </c>
      <c r="G148" s="16">
        <f>'Rozpočet - vybrané sloupce'!J32</f>
        <v>15</v>
      </c>
      <c r="H148" s="16">
        <f>'Rozpočet - vybrané sloupce'!K32</f>
        <v>0</v>
      </c>
      <c r="I148" s="56" t="s">
        <v>460</v>
      </c>
      <c r="J148" s="16">
        <f t="shared" si="104"/>
        <v>0</v>
      </c>
      <c r="K148" s="16">
        <f t="shared" si="105"/>
        <v>0</v>
      </c>
      <c r="L148" s="16">
        <f t="shared" si="106"/>
        <v>0</v>
      </c>
      <c r="M148" s="16">
        <f t="shared" si="107"/>
        <v>0</v>
      </c>
      <c r="N148" s="16">
        <v>2.3000000000000001E-4</v>
      </c>
      <c r="O148" s="16">
        <f t="shared" si="108"/>
        <v>3.4499999999999999E-3</v>
      </c>
      <c r="P148" s="57" t="s">
        <v>461</v>
      </c>
      <c r="Z148" s="16">
        <f t="shared" si="109"/>
        <v>0</v>
      </c>
      <c r="AB148" s="16">
        <f t="shared" si="110"/>
        <v>0</v>
      </c>
      <c r="AC148" s="16">
        <f t="shared" si="111"/>
        <v>0</v>
      </c>
      <c r="AD148" s="16">
        <f t="shared" si="112"/>
        <v>0</v>
      </c>
      <c r="AE148" s="16">
        <f t="shared" si="113"/>
        <v>0</v>
      </c>
      <c r="AF148" s="16">
        <f t="shared" si="114"/>
        <v>0</v>
      </c>
      <c r="AG148" s="16">
        <f t="shared" si="115"/>
        <v>0</v>
      </c>
      <c r="AH148" s="16">
        <f t="shared" si="116"/>
        <v>0</v>
      </c>
      <c r="AI148" s="13" t="s">
        <v>193</v>
      </c>
      <c r="AJ148" s="16">
        <f t="shared" si="117"/>
        <v>0</v>
      </c>
      <c r="AK148" s="16">
        <f t="shared" si="118"/>
        <v>0</v>
      </c>
      <c r="AL148" s="16">
        <f t="shared" si="119"/>
        <v>0</v>
      </c>
      <c r="AN148" s="16">
        <v>12</v>
      </c>
      <c r="AO148" s="16">
        <f>H148*0.75956588</f>
        <v>0</v>
      </c>
      <c r="AP148" s="16">
        <f>H148*(1-0.75956588)</f>
        <v>0</v>
      </c>
      <c r="AQ148" s="56" t="s">
        <v>462</v>
      </c>
      <c r="AV148" s="16">
        <f t="shared" si="120"/>
        <v>0</v>
      </c>
      <c r="AW148" s="16">
        <f t="shared" si="121"/>
        <v>0</v>
      </c>
      <c r="AX148" s="16">
        <f t="shared" si="122"/>
        <v>0</v>
      </c>
      <c r="AY148" s="56" t="s">
        <v>564</v>
      </c>
      <c r="AZ148" s="56" t="s">
        <v>565</v>
      </c>
      <c r="BA148" s="13" t="s">
        <v>566</v>
      </c>
      <c r="BC148" s="16">
        <f t="shared" si="123"/>
        <v>0</v>
      </c>
      <c r="BD148" s="16">
        <f t="shared" si="124"/>
        <v>0</v>
      </c>
      <c r="BE148" s="16">
        <v>0</v>
      </c>
      <c r="BF148" s="16">
        <f t="shared" si="125"/>
        <v>3.4499999999999999E-3</v>
      </c>
      <c r="BH148" s="16">
        <f t="shared" si="126"/>
        <v>0</v>
      </c>
      <c r="BI148" s="16">
        <f t="shared" si="127"/>
        <v>0</v>
      </c>
      <c r="BJ148" s="16">
        <f t="shared" si="128"/>
        <v>0</v>
      </c>
      <c r="BK148" s="16"/>
      <c r="BL148" s="16">
        <v>723</v>
      </c>
      <c r="BW148" s="16" t="str">
        <f t="shared" si="129"/>
        <v>12</v>
      </c>
      <c r="BX148" s="3" t="s">
        <v>237</v>
      </c>
    </row>
    <row r="149" spans="1:76" x14ac:dyDescent="0.25">
      <c r="A149" s="1" t="s">
        <v>584</v>
      </c>
      <c r="B149" s="2" t="s">
        <v>193</v>
      </c>
      <c r="C149" s="2" t="s">
        <v>238</v>
      </c>
      <c r="D149" s="77" t="s">
        <v>239</v>
      </c>
      <c r="E149" s="71"/>
      <c r="F149" s="2" t="s">
        <v>76</v>
      </c>
      <c r="G149" s="16">
        <f>'Rozpočet - vybrané sloupce'!J33</f>
        <v>0.3</v>
      </c>
      <c r="H149" s="16">
        <f>'Rozpočet - vybrané sloupce'!K33</f>
        <v>0</v>
      </c>
      <c r="I149" s="56" t="s">
        <v>460</v>
      </c>
      <c r="J149" s="16">
        <f t="shared" si="104"/>
        <v>0</v>
      </c>
      <c r="K149" s="16">
        <f t="shared" si="105"/>
        <v>0</v>
      </c>
      <c r="L149" s="16">
        <f t="shared" si="106"/>
        <v>0</v>
      </c>
      <c r="M149" s="16">
        <f t="shared" si="107"/>
        <v>0</v>
      </c>
      <c r="N149" s="16">
        <v>0</v>
      </c>
      <c r="O149" s="16">
        <f t="shared" si="108"/>
        <v>0</v>
      </c>
      <c r="P149" s="57" t="s">
        <v>461</v>
      </c>
      <c r="Z149" s="16">
        <f t="shared" si="109"/>
        <v>0</v>
      </c>
      <c r="AB149" s="16">
        <f t="shared" si="110"/>
        <v>0</v>
      </c>
      <c r="AC149" s="16">
        <f t="shared" si="111"/>
        <v>0</v>
      </c>
      <c r="AD149" s="16">
        <f t="shared" si="112"/>
        <v>0</v>
      </c>
      <c r="AE149" s="16">
        <f t="shared" si="113"/>
        <v>0</v>
      </c>
      <c r="AF149" s="16">
        <f t="shared" si="114"/>
        <v>0</v>
      </c>
      <c r="AG149" s="16">
        <f t="shared" si="115"/>
        <v>0</v>
      </c>
      <c r="AH149" s="16">
        <f t="shared" si="116"/>
        <v>0</v>
      </c>
      <c r="AI149" s="13" t="s">
        <v>193</v>
      </c>
      <c r="AJ149" s="16">
        <f t="shared" si="117"/>
        <v>0</v>
      </c>
      <c r="AK149" s="16">
        <f t="shared" si="118"/>
        <v>0</v>
      </c>
      <c r="AL149" s="16">
        <f t="shared" si="119"/>
        <v>0</v>
      </c>
      <c r="AN149" s="16">
        <v>12</v>
      </c>
      <c r="AO149" s="16">
        <f>H149*0</f>
        <v>0</v>
      </c>
      <c r="AP149" s="16">
        <f>H149*(1-0)</f>
        <v>0</v>
      </c>
      <c r="AQ149" s="56" t="s">
        <v>462</v>
      </c>
      <c r="AV149" s="16">
        <f t="shared" si="120"/>
        <v>0</v>
      </c>
      <c r="AW149" s="16">
        <f t="shared" si="121"/>
        <v>0</v>
      </c>
      <c r="AX149" s="16">
        <f t="shared" si="122"/>
        <v>0</v>
      </c>
      <c r="AY149" s="56" t="s">
        <v>564</v>
      </c>
      <c r="AZ149" s="56" t="s">
        <v>565</v>
      </c>
      <c r="BA149" s="13" t="s">
        <v>566</v>
      </c>
      <c r="BC149" s="16">
        <f t="shared" si="123"/>
        <v>0</v>
      </c>
      <c r="BD149" s="16">
        <f t="shared" si="124"/>
        <v>0</v>
      </c>
      <c r="BE149" s="16">
        <v>0</v>
      </c>
      <c r="BF149" s="16">
        <f t="shared" si="125"/>
        <v>0</v>
      </c>
      <c r="BH149" s="16">
        <f t="shared" si="126"/>
        <v>0</v>
      </c>
      <c r="BI149" s="16">
        <f t="shared" si="127"/>
        <v>0</v>
      </c>
      <c r="BJ149" s="16">
        <f t="shared" si="128"/>
        <v>0</v>
      </c>
      <c r="BK149" s="16"/>
      <c r="BL149" s="16">
        <v>723</v>
      </c>
      <c r="BW149" s="16" t="str">
        <f t="shared" si="129"/>
        <v>12</v>
      </c>
      <c r="BX149" s="3" t="s">
        <v>239</v>
      </c>
    </row>
    <row r="150" spans="1:76" x14ac:dyDescent="0.25">
      <c r="A150" s="58"/>
      <c r="C150" s="59" t="s">
        <v>475</v>
      </c>
      <c r="D150" s="122" t="s">
        <v>490</v>
      </c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4"/>
      <c r="BX150" s="60" t="s">
        <v>490</v>
      </c>
    </row>
    <row r="151" spans="1:76" x14ac:dyDescent="0.25">
      <c r="A151" s="1" t="s">
        <v>585</v>
      </c>
      <c r="B151" s="2" t="s">
        <v>193</v>
      </c>
      <c r="C151" s="2" t="s">
        <v>240</v>
      </c>
      <c r="D151" s="77" t="s">
        <v>241</v>
      </c>
      <c r="E151" s="71"/>
      <c r="F151" s="2" t="s">
        <v>43</v>
      </c>
      <c r="G151" s="16">
        <f>'Rozpočet - vybrané sloupce'!J34</f>
        <v>1961</v>
      </c>
      <c r="H151" s="16">
        <f>'Rozpočet - vybrané sloupce'!K34</f>
        <v>0</v>
      </c>
      <c r="I151" s="56" t="s">
        <v>460</v>
      </c>
      <c r="J151" s="16">
        <f>G151*AO151</f>
        <v>0</v>
      </c>
      <c r="K151" s="16">
        <f>G151*AP151</f>
        <v>0</v>
      </c>
      <c r="L151" s="16">
        <f>G151*H151</f>
        <v>0</v>
      </c>
      <c r="M151" s="16">
        <f>L151*(1+BW151/100)</f>
        <v>0</v>
      </c>
      <c r="N151" s="16">
        <v>0</v>
      </c>
      <c r="O151" s="16">
        <f>G151*N151</f>
        <v>0</v>
      </c>
      <c r="P151" s="57" t="s">
        <v>461</v>
      </c>
      <c r="Z151" s="16">
        <f>IF(AQ151="5",BJ151,0)</f>
        <v>0</v>
      </c>
      <c r="AB151" s="16">
        <f>IF(AQ151="1",BH151,0)</f>
        <v>0</v>
      </c>
      <c r="AC151" s="16">
        <f>IF(AQ151="1",BI151,0)</f>
        <v>0</v>
      </c>
      <c r="AD151" s="16">
        <f>IF(AQ151="7",BH151,0)</f>
        <v>0</v>
      </c>
      <c r="AE151" s="16">
        <f>IF(AQ151="7",BI151,0)</f>
        <v>0</v>
      </c>
      <c r="AF151" s="16">
        <f>IF(AQ151="2",BH151,0)</f>
        <v>0</v>
      </c>
      <c r="AG151" s="16">
        <f>IF(AQ151="2",BI151,0)</f>
        <v>0</v>
      </c>
      <c r="AH151" s="16">
        <f>IF(AQ151="0",BJ151,0)</f>
        <v>0</v>
      </c>
      <c r="AI151" s="13" t="s">
        <v>193</v>
      </c>
      <c r="AJ151" s="16">
        <f>IF(AN151=0,L151,0)</f>
        <v>0</v>
      </c>
      <c r="AK151" s="16">
        <f>IF(AN151=12,L151,0)</f>
        <v>0</v>
      </c>
      <c r="AL151" s="16">
        <f>IF(AN151=21,L151,0)</f>
        <v>0</v>
      </c>
      <c r="AN151" s="16">
        <v>12</v>
      </c>
      <c r="AO151" s="16">
        <f>H151*0</f>
        <v>0</v>
      </c>
      <c r="AP151" s="16">
        <f>H151*(1-0)</f>
        <v>0</v>
      </c>
      <c r="AQ151" s="56" t="s">
        <v>470</v>
      </c>
      <c r="AV151" s="16">
        <f>AW151+AX151</f>
        <v>0</v>
      </c>
      <c r="AW151" s="16">
        <f>G151*AO151</f>
        <v>0</v>
      </c>
      <c r="AX151" s="16">
        <f>G151*AP151</f>
        <v>0</v>
      </c>
      <c r="AY151" s="56" t="s">
        <v>564</v>
      </c>
      <c r="AZ151" s="56" t="s">
        <v>565</v>
      </c>
      <c r="BA151" s="13" t="s">
        <v>566</v>
      </c>
      <c r="BC151" s="16">
        <f>AW151+AX151</f>
        <v>0</v>
      </c>
      <c r="BD151" s="16">
        <f>H151/(100-BE151)*100</f>
        <v>0</v>
      </c>
      <c r="BE151" s="16">
        <v>0</v>
      </c>
      <c r="BF151" s="16">
        <f>O151</f>
        <v>0</v>
      </c>
      <c r="BH151" s="16">
        <f>G151*AO151</f>
        <v>0</v>
      </c>
      <c r="BI151" s="16">
        <f>G151*AP151</f>
        <v>0</v>
      </c>
      <c r="BJ151" s="16">
        <f>G151*H151</f>
        <v>0</v>
      </c>
      <c r="BK151" s="16"/>
      <c r="BL151" s="16">
        <v>723</v>
      </c>
      <c r="BW151" s="16" t="str">
        <f>I151</f>
        <v>12</v>
      </c>
      <c r="BX151" s="3" t="s">
        <v>241</v>
      </c>
    </row>
    <row r="152" spans="1:76" x14ac:dyDescent="0.25">
      <c r="A152" s="53" t="s">
        <v>25</v>
      </c>
      <c r="B152" s="12" t="s">
        <v>242</v>
      </c>
      <c r="C152" s="12" t="s">
        <v>25</v>
      </c>
      <c r="D152" s="84" t="s">
        <v>243</v>
      </c>
      <c r="E152" s="85"/>
      <c r="F152" s="54" t="s">
        <v>23</v>
      </c>
      <c r="G152" s="54" t="s">
        <v>23</v>
      </c>
      <c r="H152" s="54" t="s">
        <v>23</v>
      </c>
      <c r="I152" s="54" t="s">
        <v>23</v>
      </c>
      <c r="J152" s="29">
        <f>J153</f>
        <v>0</v>
      </c>
      <c r="K152" s="29">
        <f>K153</f>
        <v>0</v>
      </c>
      <c r="L152" s="29">
        <f>L153</f>
        <v>0</v>
      </c>
      <c r="M152" s="29">
        <f>M153</f>
        <v>0</v>
      </c>
      <c r="N152" s="13" t="s">
        <v>25</v>
      </c>
      <c r="O152" s="29">
        <f>O153</f>
        <v>1.2119180000000001</v>
      </c>
      <c r="P152" s="55" t="s">
        <v>25</v>
      </c>
    </row>
    <row r="153" spans="1:76" x14ac:dyDescent="0.25">
      <c r="A153" s="53" t="s">
        <v>25</v>
      </c>
      <c r="B153" s="12" t="s">
        <v>242</v>
      </c>
      <c r="C153" s="12" t="s">
        <v>195</v>
      </c>
      <c r="D153" s="84" t="s">
        <v>196</v>
      </c>
      <c r="E153" s="85"/>
      <c r="F153" s="54" t="s">
        <v>23</v>
      </c>
      <c r="G153" s="54" t="s">
        <v>23</v>
      </c>
      <c r="H153" s="54" t="s">
        <v>23</v>
      </c>
      <c r="I153" s="54" t="s">
        <v>23</v>
      </c>
      <c r="J153" s="29">
        <f>SUM(J154:J169)</f>
        <v>0</v>
      </c>
      <c r="K153" s="29">
        <f>SUM(K154:K169)</f>
        <v>0</v>
      </c>
      <c r="L153" s="29">
        <f>SUM(L154:L169)</f>
        <v>0</v>
      </c>
      <c r="M153" s="29">
        <f>SUM(M154:M169)</f>
        <v>0</v>
      </c>
      <c r="N153" s="13" t="s">
        <v>25</v>
      </c>
      <c r="O153" s="29">
        <f>SUM(O154:O169)</f>
        <v>1.2119180000000001</v>
      </c>
      <c r="P153" s="55" t="s">
        <v>25</v>
      </c>
      <c r="AI153" s="13" t="s">
        <v>242</v>
      </c>
      <c r="AS153" s="29">
        <f>SUM(AJ154:AJ169)</f>
        <v>0</v>
      </c>
      <c r="AT153" s="29">
        <f>SUM(AK154:AK169)</f>
        <v>0</v>
      </c>
      <c r="AU153" s="29">
        <f>SUM(AL154:AL169)</f>
        <v>0</v>
      </c>
    </row>
    <row r="154" spans="1:76" x14ac:dyDescent="0.25">
      <c r="A154" s="1" t="s">
        <v>586</v>
      </c>
      <c r="B154" s="2" t="s">
        <v>242</v>
      </c>
      <c r="C154" s="2" t="s">
        <v>244</v>
      </c>
      <c r="D154" s="77" t="s">
        <v>245</v>
      </c>
      <c r="E154" s="71"/>
      <c r="F154" s="2" t="s">
        <v>31</v>
      </c>
      <c r="G154" s="16">
        <f>'Rozpočet - vybrané sloupce'!J37</f>
        <v>52.5</v>
      </c>
      <c r="H154" s="16">
        <f>'Rozpočet - vybrané sloupce'!K37</f>
        <v>0</v>
      </c>
      <c r="I154" s="56" t="s">
        <v>460</v>
      </c>
      <c r="J154" s="16">
        <f>G154*AO154</f>
        <v>0</v>
      </c>
      <c r="K154" s="16">
        <f>G154*AP154</f>
        <v>0</v>
      </c>
      <c r="L154" s="16">
        <f>G154*H154</f>
        <v>0</v>
      </c>
      <c r="M154" s="16">
        <f>L154*(1+BW154/100)</f>
        <v>0</v>
      </c>
      <c r="N154" s="16">
        <v>2.2599999999999999E-3</v>
      </c>
      <c r="O154" s="16">
        <f>G154*N154</f>
        <v>0.11864999999999999</v>
      </c>
      <c r="P154" s="57" t="s">
        <v>461</v>
      </c>
      <c r="Z154" s="16">
        <f>IF(AQ154="5",BJ154,0)</f>
        <v>0</v>
      </c>
      <c r="AB154" s="16">
        <f>IF(AQ154="1",BH154,0)</f>
        <v>0</v>
      </c>
      <c r="AC154" s="16">
        <f>IF(AQ154="1",BI154,0)</f>
        <v>0</v>
      </c>
      <c r="AD154" s="16">
        <f>IF(AQ154="7",BH154,0)</f>
        <v>0</v>
      </c>
      <c r="AE154" s="16">
        <f>IF(AQ154="7",BI154,0)</f>
        <v>0</v>
      </c>
      <c r="AF154" s="16">
        <f>IF(AQ154="2",BH154,0)</f>
        <v>0</v>
      </c>
      <c r="AG154" s="16">
        <f>IF(AQ154="2",BI154,0)</f>
        <v>0</v>
      </c>
      <c r="AH154" s="16">
        <f>IF(AQ154="0",BJ154,0)</f>
        <v>0</v>
      </c>
      <c r="AI154" s="13" t="s">
        <v>242</v>
      </c>
      <c r="AJ154" s="16">
        <f>IF(AN154=0,L154,0)</f>
        <v>0</v>
      </c>
      <c r="AK154" s="16">
        <f>IF(AN154=12,L154,0)</f>
        <v>0</v>
      </c>
      <c r="AL154" s="16">
        <f>IF(AN154=21,L154,0)</f>
        <v>0</v>
      </c>
      <c r="AN154" s="16">
        <v>12</v>
      </c>
      <c r="AO154" s="16">
        <f>H154*0.767198821</f>
        <v>0</v>
      </c>
      <c r="AP154" s="16">
        <f>H154*(1-0.767198821)</f>
        <v>0</v>
      </c>
      <c r="AQ154" s="56" t="s">
        <v>462</v>
      </c>
      <c r="AV154" s="16">
        <f>AW154+AX154</f>
        <v>0</v>
      </c>
      <c r="AW154" s="16">
        <f>G154*AO154</f>
        <v>0</v>
      </c>
      <c r="AX154" s="16">
        <f>G154*AP154</f>
        <v>0</v>
      </c>
      <c r="AY154" s="56" t="s">
        <v>564</v>
      </c>
      <c r="AZ154" s="56" t="s">
        <v>587</v>
      </c>
      <c r="BA154" s="13" t="s">
        <v>588</v>
      </c>
      <c r="BC154" s="16">
        <f>AW154+AX154</f>
        <v>0</v>
      </c>
      <c r="BD154" s="16">
        <f>H154/(100-BE154)*100</f>
        <v>0</v>
      </c>
      <c r="BE154" s="16">
        <v>0</v>
      </c>
      <c r="BF154" s="16">
        <f>O154</f>
        <v>0.11864999999999999</v>
      </c>
      <c r="BH154" s="16">
        <f>G154*AO154</f>
        <v>0</v>
      </c>
      <c r="BI154" s="16">
        <f>G154*AP154</f>
        <v>0</v>
      </c>
      <c r="BJ154" s="16">
        <f>G154*H154</f>
        <v>0</v>
      </c>
      <c r="BK154" s="16"/>
      <c r="BL154" s="16">
        <v>723</v>
      </c>
      <c r="BW154" s="16" t="str">
        <f>I154</f>
        <v>12</v>
      </c>
      <c r="BX154" s="3" t="s">
        <v>245</v>
      </c>
    </row>
    <row r="155" spans="1:76" x14ac:dyDescent="0.25">
      <c r="A155" s="1" t="s">
        <v>589</v>
      </c>
      <c r="B155" s="2" t="s">
        <v>242</v>
      </c>
      <c r="C155" s="2" t="s">
        <v>246</v>
      </c>
      <c r="D155" s="77" t="s">
        <v>247</v>
      </c>
      <c r="E155" s="71"/>
      <c r="F155" s="2" t="s">
        <v>31</v>
      </c>
      <c r="G155" s="16">
        <f>'Rozpočet - vybrané sloupce'!J38</f>
        <v>52.5</v>
      </c>
      <c r="H155" s="16">
        <f>'Rozpočet - vybrané sloupce'!K38</f>
        <v>0</v>
      </c>
      <c r="I155" s="56" t="s">
        <v>460</v>
      </c>
      <c r="J155" s="16">
        <f>G155*AO155</f>
        <v>0</v>
      </c>
      <c r="K155" s="16">
        <f>G155*AP155</f>
        <v>0</v>
      </c>
      <c r="L155" s="16">
        <f>G155*H155</f>
        <v>0</v>
      </c>
      <c r="M155" s="16">
        <f>L155*(1+BW155/100)</f>
        <v>0</v>
      </c>
      <c r="N155" s="16">
        <v>7.9000000000000001E-4</v>
      </c>
      <c r="O155" s="16">
        <f>G155*N155</f>
        <v>4.1474999999999998E-2</v>
      </c>
      <c r="P155" s="57" t="s">
        <v>461</v>
      </c>
      <c r="Z155" s="16">
        <f>IF(AQ155="5",BJ155,0)</f>
        <v>0</v>
      </c>
      <c r="AB155" s="16">
        <f>IF(AQ155="1",BH155,0)</f>
        <v>0</v>
      </c>
      <c r="AC155" s="16">
        <f>IF(AQ155="1",BI155,0)</f>
        <v>0</v>
      </c>
      <c r="AD155" s="16">
        <f>IF(AQ155="7",BH155,0)</f>
        <v>0</v>
      </c>
      <c r="AE155" s="16">
        <f>IF(AQ155="7",BI155,0)</f>
        <v>0</v>
      </c>
      <c r="AF155" s="16">
        <f>IF(AQ155="2",BH155,0)</f>
        <v>0</v>
      </c>
      <c r="AG155" s="16">
        <f>IF(AQ155="2",BI155,0)</f>
        <v>0</v>
      </c>
      <c r="AH155" s="16">
        <f>IF(AQ155="0",BJ155,0)</f>
        <v>0</v>
      </c>
      <c r="AI155" s="13" t="s">
        <v>242</v>
      </c>
      <c r="AJ155" s="16">
        <f>IF(AN155=0,L155,0)</f>
        <v>0</v>
      </c>
      <c r="AK155" s="16">
        <f>IF(AN155=12,L155,0)</f>
        <v>0</v>
      </c>
      <c r="AL155" s="16">
        <f>IF(AN155=21,L155,0)</f>
        <v>0</v>
      </c>
      <c r="AN155" s="16">
        <v>12</v>
      </c>
      <c r="AO155" s="16">
        <f>H155*0.600582694</f>
        <v>0</v>
      </c>
      <c r="AP155" s="16">
        <f>H155*(1-0.600582694)</f>
        <v>0</v>
      </c>
      <c r="AQ155" s="56" t="s">
        <v>462</v>
      </c>
      <c r="AV155" s="16">
        <f>AW155+AX155</f>
        <v>0</v>
      </c>
      <c r="AW155" s="16">
        <f>G155*AO155</f>
        <v>0</v>
      </c>
      <c r="AX155" s="16">
        <f>G155*AP155</f>
        <v>0</v>
      </c>
      <c r="AY155" s="56" t="s">
        <v>564</v>
      </c>
      <c r="AZ155" s="56" t="s">
        <v>587</v>
      </c>
      <c r="BA155" s="13" t="s">
        <v>588</v>
      </c>
      <c r="BC155" s="16">
        <f>AW155+AX155</f>
        <v>0</v>
      </c>
      <c r="BD155" s="16">
        <f>H155/(100-BE155)*100</f>
        <v>0</v>
      </c>
      <c r="BE155" s="16">
        <v>0</v>
      </c>
      <c r="BF155" s="16">
        <f>O155</f>
        <v>4.1474999999999998E-2</v>
      </c>
      <c r="BH155" s="16">
        <f>G155*AO155</f>
        <v>0</v>
      </c>
      <c r="BI155" s="16">
        <f>G155*AP155</f>
        <v>0</v>
      </c>
      <c r="BJ155" s="16">
        <f>G155*H155</f>
        <v>0</v>
      </c>
      <c r="BK155" s="16"/>
      <c r="BL155" s="16">
        <v>723</v>
      </c>
      <c r="BW155" s="16" t="str">
        <f>I155</f>
        <v>12</v>
      </c>
      <c r="BX155" s="3" t="s">
        <v>247</v>
      </c>
    </row>
    <row r="156" spans="1:76" ht="25.5" x14ac:dyDescent="0.25">
      <c r="A156" s="58"/>
      <c r="C156" s="59" t="s">
        <v>475</v>
      </c>
      <c r="D156" s="122" t="s">
        <v>538</v>
      </c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4"/>
      <c r="BX156" s="60" t="s">
        <v>538</v>
      </c>
    </row>
    <row r="157" spans="1:76" x14ac:dyDescent="0.25">
      <c r="A157" s="1" t="s">
        <v>590</v>
      </c>
      <c r="B157" s="2" t="s">
        <v>242</v>
      </c>
      <c r="C157" s="2" t="s">
        <v>248</v>
      </c>
      <c r="D157" s="77" t="s">
        <v>249</v>
      </c>
      <c r="E157" s="71"/>
      <c r="F157" s="2" t="s">
        <v>31</v>
      </c>
      <c r="G157" s="16">
        <f>'Rozpočet - vybrané sloupce'!J39</f>
        <v>2.2999999999999998</v>
      </c>
      <c r="H157" s="16">
        <f>'Rozpočet - vybrané sloupce'!K39</f>
        <v>0</v>
      </c>
      <c r="I157" s="56" t="s">
        <v>460</v>
      </c>
      <c r="J157" s="16">
        <f>G157*AO157</f>
        <v>0</v>
      </c>
      <c r="K157" s="16">
        <f>G157*AP157</f>
        <v>0</v>
      </c>
      <c r="L157" s="16">
        <f>G157*H157</f>
        <v>0</v>
      </c>
      <c r="M157" s="16">
        <f>L157*(1+BW157/100)</f>
        <v>0</v>
      </c>
      <c r="N157" s="16">
        <v>9.1E-4</v>
      </c>
      <c r="O157" s="16">
        <f>G157*N157</f>
        <v>2.0929999999999998E-3</v>
      </c>
      <c r="P157" s="57" t="s">
        <v>461</v>
      </c>
      <c r="Z157" s="16">
        <f>IF(AQ157="5",BJ157,0)</f>
        <v>0</v>
      </c>
      <c r="AB157" s="16">
        <f>IF(AQ157="1",BH157,0)</f>
        <v>0</v>
      </c>
      <c r="AC157" s="16">
        <f>IF(AQ157="1",BI157,0)</f>
        <v>0</v>
      </c>
      <c r="AD157" s="16">
        <f>IF(AQ157="7",BH157,0)</f>
        <v>0</v>
      </c>
      <c r="AE157" s="16">
        <f>IF(AQ157="7",BI157,0)</f>
        <v>0</v>
      </c>
      <c r="AF157" s="16">
        <f>IF(AQ157="2",BH157,0)</f>
        <v>0</v>
      </c>
      <c r="AG157" s="16">
        <f>IF(AQ157="2",BI157,0)</f>
        <v>0</v>
      </c>
      <c r="AH157" s="16">
        <f>IF(AQ157="0",BJ157,0)</f>
        <v>0</v>
      </c>
      <c r="AI157" s="13" t="s">
        <v>242</v>
      </c>
      <c r="AJ157" s="16">
        <f>IF(AN157=0,L157,0)</f>
        <v>0</v>
      </c>
      <c r="AK157" s="16">
        <f>IF(AN157=12,L157,0)</f>
        <v>0</v>
      </c>
      <c r="AL157" s="16">
        <f>IF(AN157=21,L157,0)</f>
        <v>0</v>
      </c>
      <c r="AN157" s="16">
        <v>12</v>
      </c>
      <c r="AO157" s="16">
        <f>H157*0.647184321</f>
        <v>0</v>
      </c>
      <c r="AP157" s="16">
        <f>H157*(1-0.647184321)</f>
        <v>0</v>
      </c>
      <c r="AQ157" s="56" t="s">
        <v>462</v>
      </c>
      <c r="AV157" s="16">
        <f>AW157+AX157</f>
        <v>0</v>
      </c>
      <c r="AW157" s="16">
        <f>G157*AO157</f>
        <v>0</v>
      </c>
      <c r="AX157" s="16">
        <f>G157*AP157</f>
        <v>0</v>
      </c>
      <c r="AY157" s="56" t="s">
        <v>564</v>
      </c>
      <c r="AZ157" s="56" t="s">
        <v>587</v>
      </c>
      <c r="BA157" s="13" t="s">
        <v>588</v>
      </c>
      <c r="BC157" s="16">
        <f>AW157+AX157</f>
        <v>0</v>
      </c>
      <c r="BD157" s="16">
        <f>H157/(100-BE157)*100</f>
        <v>0</v>
      </c>
      <c r="BE157" s="16">
        <v>0</v>
      </c>
      <c r="BF157" s="16">
        <f>O157</f>
        <v>2.0929999999999998E-3</v>
      </c>
      <c r="BH157" s="16">
        <f>G157*AO157</f>
        <v>0</v>
      </c>
      <c r="BI157" s="16">
        <f>G157*AP157</f>
        <v>0</v>
      </c>
      <c r="BJ157" s="16">
        <f>G157*H157</f>
        <v>0</v>
      </c>
      <c r="BK157" s="16"/>
      <c r="BL157" s="16">
        <v>723</v>
      </c>
      <c r="BW157" s="16" t="str">
        <f>I157</f>
        <v>12</v>
      </c>
      <c r="BX157" s="3" t="s">
        <v>249</v>
      </c>
    </row>
    <row r="158" spans="1:76" ht="25.5" x14ac:dyDescent="0.25">
      <c r="A158" s="58"/>
      <c r="C158" s="59" t="s">
        <v>475</v>
      </c>
      <c r="D158" s="122" t="s">
        <v>538</v>
      </c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4"/>
      <c r="BX158" s="60" t="s">
        <v>538</v>
      </c>
    </row>
    <row r="159" spans="1:76" x14ac:dyDescent="0.25">
      <c r="A159" s="1" t="s">
        <v>591</v>
      </c>
      <c r="B159" s="2" t="s">
        <v>242</v>
      </c>
      <c r="C159" s="2" t="s">
        <v>250</v>
      </c>
      <c r="D159" s="77" t="s">
        <v>251</v>
      </c>
      <c r="E159" s="71"/>
      <c r="F159" s="2" t="s">
        <v>35</v>
      </c>
      <c r="G159" s="16">
        <f>'Rozpočet - vybrané sloupce'!J40</f>
        <v>15</v>
      </c>
      <c r="H159" s="16">
        <f>'Rozpočet - vybrané sloupce'!K40</f>
        <v>0</v>
      </c>
      <c r="I159" s="56" t="s">
        <v>460</v>
      </c>
      <c r="J159" s="16">
        <f t="shared" ref="J159:J167" si="130">G159*AO159</f>
        <v>0</v>
      </c>
      <c r="K159" s="16">
        <f t="shared" ref="K159:K167" si="131">G159*AP159</f>
        <v>0</v>
      </c>
      <c r="L159" s="16">
        <f t="shared" ref="L159:L167" si="132">G159*H159</f>
        <v>0</v>
      </c>
      <c r="M159" s="16">
        <f t="shared" ref="M159:M167" si="133">L159*(1+BW159/100)</f>
        <v>0</v>
      </c>
      <c r="N159" s="16">
        <v>9.3000000000000005E-4</v>
      </c>
      <c r="O159" s="16">
        <f t="shared" ref="O159:O167" si="134">G159*N159</f>
        <v>1.3950000000000001E-2</v>
      </c>
      <c r="P159" s="57" t="s">
        <v>461</v>
      </c>
      <c r="Z159" s="16">
        <f t="shared" ref="Z159:Z167" si="135">IF(AQ159="5",BJ159,0)</f>
        <v>0</v>
      </c>
      <c r="AB159" s="16">
        <f t="shared" ref="AB159:AB167" si="136">IF(AQ159="1",BH159,0)</f>
        <v>0</v>
      </c>
      <c r="AC159" s="16">
        <f t="shared" ref="AC159:AC167" si="137">IF(AQ159="1",BI159,0)</f>
        <v>0</v>
      </c>
      <c r="AD159" s="16">
        <f t="shared" ref="AD159:AD167" si="138">IF(AQ159="7",BH159,0)</f>
        <v>0</v>
      </c>
      <c r="AE159" s="16">
        <f t="shared" ref="AE159:AE167" si="139">IF(AQ159="7",BI159,0)</f>
        <v>0</v>
      </c>
      <c r="AF159" s="16">
        <f t="shared" ref="AF159:AF167" si="140">IF(AQ159="2",BH159,0)</f>
        <v>0</v>
      </c>
      <c r="AG159" s="16">
        <f t="shared" ref="AG159:AG167" si="141">IF(AQ159="2",BI159,0)</f>
        <v>0</v>
      </c>
      <c r="AH159" s="16">
        <f t="shared" ref="AH159:AH167" si="142">IF(AQ159="0",BJ159,0)</f>
        <v>0</v>
      </c>
      <c r="AI159" s="13" t="s">
        <v>242</v>
      </c>
      <c r="AJ159" s="16">
        <f t="shared" ref="AJ159:AJ167" si="143">IF(AN159=0,L159,0)</f>
        <v>0</v>
      </c>
      <c r="AK159" s="16">
        <f t="shared" ref="AK159:AK167" si="144">IF(AN159=12,L159,0)</f>
        <v>0</v>
      </c>
      <c r="AL159" s="16">
        <f t="shared" ref="AL159:AL167" si="145">IF(AN159=21,L159,0)</f>
        <v>0</v>
      </c>
      <c r="AN159" s="16">
        <v>12</v>
      </c>
      <c r="AO159" s="16">
        <f>H159*0.373548682</f>
        <v>0</v>
      </c>
      <c r="AP159" s="16">
        <f>H159*(1-0.373548682)</f>
        <v>0</v>
      </c>
      <c r="AQ159" s="56" t="s">
        <v>462</v>
      </c>
      <c r="AV159" s="16">
        <f t="shared" ref="AV159:AV167" si="146">AW159+AX159</f>
        <v>0</v>
      </c>
      <c r="AW159" s="16">
        <f t="shared" ref="AW159:AW167" si="147">G159*AO159</f>
        <v>0</v>
      </c>
      <c r="AX159" s="16">
        <f t="shared" ref="AX159:AX167" si="148">G159*AP159</f>
        <v>0</v>
      </c>
      <c r="AY159" s="56" t="s">
        <v>564</v>
      </c>
      <c r="AZ159" s="56" t="s">
        <v>587</v>
      </c>
      <c r="BA159" s="13" t="s">
        <v>588</v>
      </c>
      <c r="BC159" s="16">
        <f t="shared" ref="BC159:BC167" si="149">AW159+AX159</f>
        <v>0</v>
      </c>
      <c r="BD159" s="16">
        <f t="shared" ref="BD159:BD167" si="150">H159/(100-BE159)*100</f>
        <v>0</v>
      </c>
      <c r="BE159" s="16">
        <v>0</v>
      </c>
      <c r="BF159" s="16">
        <f t="shared" ref="BF159:BF167" si="151">O159</f>
        <v>1.3950000000000001E-2</v>
      </c>
      <c r="BH159" s="16">
        <f t="shared" ref="BH159:BH167" si="152">G159*AO159</f>
        <v>0</v>
      </c>
      <c r="BI159" s="16">
        <f t="shared" ref="BI159:BI167" si="153">G159*AP159</f>
        <v>0</v>
      </c>
      <c r="BJ159" s="16">
        <f t="shared" ref="BJ159:BJ167" si="154">G159*H159</f>
        <v>0</v>
      </c>
      <c r="BK159" s="16"/>
      <c r="BL159" s="16">
        <v>723</v>
      </c>
      <c r="BW159" s="16" t="str">
        <f t="shared" ref="BW159:BW167" si="155">I159</f>
        <v>12</v>
      </c>
      <c r="BX159" s="3" t="s">
        <v>251</v>
      </c>
    </row>
    <row r="160" spans="1:76" x14ac:dyDescent="0.25">
      <c r="A160" s="1" t="s">
        <v>592</v>
      </c>
      <c r="B160" s="2" t="s">
        <v>242</v>
      </c>
      <c r="C160" s="2" t="s">
        <v>207</v>
      </c>
      <c r="D160" s="77" t="s">
        <v>208</v>
      </c>
      <c r="E160" s="71"/>
      <c r="F160" s="2" t="s">
        <v>35</v>
      </c>
      <c r="G160" s="16">
        <f>'Rozpočet - vybrané sloupce'!J41</f>
        <v>15</v>
      </c>
      <c r="H160" s="16">
        <f>'Rozpočet - vybrané sloupce'!K41</f>
        <v>0</v>
      </c>
      <c r="I160" s="56" t="s">
        <v>460</v>
      </c>
      <c r="J160" s="16">
        <f t="shared" si="130"/>
        <v>0</v>
      </c>
      <c r="K160" s="16">
        <f t="shared" si="131"/>
        <v>0</v>
      </c>
      <c r="L160" s="16">
        <f t="shared" si="132"/>
        <v>0</v>
      </c>
      <c r="M160" s="16">
        <f t="shared" si="133"/>
        <v>0</v>
      </c>
      <c r="N160" s="16">
        <v>0</v>
      </c>
      <c r="O160" s="16">
        <f t="shared" si="134"/>
        <v>0</v>
      </c>
      <c r="P160" s="57" t="s">
        <v>461</v>
      </c>
      <c r="Z160" s="16">
        <f t="shared" si="135"/>
        <v>0</v>
      </c>
      <c r="AB160" s="16">
        <f t="shared" si="136"/>
        <v>0</v>
      </c>
      <c r="AC160" s="16">
        <f t="shared" si="137"/>
        <v>0</v>
      </c>
      <c r="AD160" s="16">
        <f t="shared" si="138"/>
        <v>0</v>
      </c>
      <c r="AE160" s="16">
        <f t="shared" si="139"/>
        <v>0</v>
      </c>
      <c r="AF160" s="16">
        <f t="shared" si="140"/>
        <v>0</v>
      </c>
      <c r="AG160" s="16">
        <f t="shared" si="141"/>
        <v>0</v>
      </c>
      <c r="AH160" s="16">
        <f t="shared" si="142"/>
        <v>0</v>
      </c>
      <c r="AI160" s="13" t="s">
        <v>242</v>
      </c>
      <c r="AJ160" s="16">
        <f t="shared" si="143"/>
        <v>0</v>
      </c>
      <c r="AK160" s="16">
        <f t="shared" si="144"/>
        <v>0</v>
      </c>
      <c r="AL160" s="16">
        <f t="shared" si="145"/>
        <v>0</v>
      </c>
      <c r="AN160" s="16">
        <v>12</v>
      </c>
      <c r="AO160" s="16">
        <f>H160*0</f>
        <v>0</v>
      </c>
      <c r="AP160" s="16">
        <f>H160*(1-0)</f>
        <v>0</v>
      </c>
      <c r="AQ160" s="56" t="s">
        <v>462</v>
      </c>
      <c r="AV160" s="16">
        <f t="shared" si="146"/>
        <v>0</v>
      </c>
      <c r="AW160" s="16">
        <f t="shared" si="147"/>
        <v>0</v>
      </c>
      <c r="AX160" s="16">
        <f t="shared" si="148"/>
        <v>0</v>
      </c>
      <c r="AY160" s="56" t="s">
        <v>564</v>
      </c>
      <c r="AZ160" s="56" t="s">
        <v>587</v>
      </c>
      <c r="BA160" s="13" t="s">
        <v>588</v>
      </c>
      <c r="BC160" s="16">
        <f t="shared" si="149"/>
        <v>0</v>
      </c>
      <c r="BD160" s="16">
        <f t="shared" si="150"/>
        <v>0</v>
      </c>
      <c r="BE160" s="16">
        <v>0</v>
      </c>
      <c r="BF160" s="16">
        <f t="shared" si="151"/>
        <v>0</v>
      </c>
      <c r="BH160" s="16">
        <f t="shared" si="152"/>
        <v>0</v>
      </c>
      <c r="BI160" s="16">
        <f t="shared" si="153"/>
        <v>0</v>
      </c>
      <c r="BJ160" s="16">
        <f t="shared" si="154"/>
        <v>0</v>
      </c>
      <c r="BK160" s="16"/>
      <c r="BL160" s="16">
        <v>723</v>
      </c>
      <c r="BW160" s="16" t="str">
        <f t="shared" si="155"/>
        <v>12</v>
      </c>
      <c r="BX160" s="3" t="s">
        <v>208</v>
      </c>
    </row>
    <row r="161" spans="1:76" x14ac:dyDescent="0.25">
      <c r="A161" s="1" t="s">
        <v>593</v>
      </c>
      <c r="B161" s="2" t="s">
        <v>242</v>
      </c>
      <c r="C161" s="2" t="s">
        <v>205</v>
      </c>
      <c r="D161" s="77" t="s">
        <v>206</v>
      </c>
      <c r="E161" s="71"/>
      <c r="F161" s="2" t="s">
        <v>31</v>
      </c>
      <c r="G161" s="16">
        <f>'Rozpočet - vybrané sloupce'!J42</f>
        <v>52.5</v>
      </c>
      <c r="H161" s="16">
        <f>'Rozpočet - vybrané sloupce'!K42</f>
        <v>0</v>
      </c>
      <c r="I161" s="56" t="s">
        <v>460</v>
      </c>
      <c r="J161" s="16">
        <f t="shared" si="130"/>
        <v>0</v>
      </c>
      <c r="K161" s="16">
        <f t="shared" si="131"/>
        <v>0</v>
      </c>
      <c r="L161" s="16">
        <f t="shared" si="132"/>
        <v>0</v>
      </c>
      <c r="M161" s="16">
        <f t="shared" si="133"/>
        <v>0</v>
      </c>
      <c r="N161" s="16">
        <v>0</v>
      </c>
      <c r="O161" s="16">
        <f t="shared" si="134"/>
        <v>0</v>
      </c>
      <c r="P161" s="57" t="s">
        <v>461</v>
      </c>
      <c r="Z161" s="16">
        <f t="shared" si="135"/>
        <v>0</v>
      </c>
      <c r="AB161" s="16">
        <f t="shared" si="136"/>
        <v>0</v>
      </c>
      <c r="AC161" s="16">
        <f t="shared" si="137"/>
        <v>0</v>
      </c>
      <c r="AD161" s="16">
        <f t="shared" si="138"/>
        <v>0</v>
      </c>
      <c r="AE161" s="16">
        <f t="shared" si="139"/>
        <v>0</v>
      </c>
      <c r="AF161" s="16">
        <f t="shared" si="140"/>
        <v>0</v>
      </c>
      <c r="AG161" s="16">
        <f t="shared" si="141"/>
        <v>0</v>
      </c>
      <c r="AH161" s="16">
        <f t="shared" si="142"/>
        <v>0</v>
      </c>
      <c r="AI161" s="13" t="s">
        <v>242</v>
      </c>
      <c r="AJ161" s="16">
        <f t="shared" si="143"/>
        <v>0</v>
      </c>
      <c r="AK161" s="16">
        <f t="shared" si="144"/>
        <v>0</v>
      </c>
      <c r="AL161" s="16">
        <f t="shared" si="145"/>
        <v>0</v>
      </c>
      <c r="AN161" s="16">
        <v>12</v>
      </c>
      <c r="AO161" s="16">
        <f>H161*0</f>
        <v>0</v>
      </c>
      <c r="AP161" s="16">
        <f>H161*(1-0)</f>
        <v>0</v>
      </c>
      <c r="AQ161" s="56" t="s">
        <v>462</v>
      </c>
      <c r="AV161" s="16">
        <f t="shared" si="146"/>
        <v>0</v>
      </c>
      <c r="AW161" s="16">
        <f t="shared" si="147"/>
        <v>0</v>
      </c>
      <c r="AX161" s="16">
        <f t="shared" si="148"/>
        <v>0</v>
      </c>
      <c r="AY161" s="56" t="s">
        <v>564</v>
      </c>
      <c r="AZ161" s="56" t="s">
        <v>587</v>
      </c>
      <c r="BA161" s="13" t="s">
        <v>588</v>
      </c>
      <c r="BC161" s="16">
        <f t="shared" si="149"/>
        <v>0</v>
      </c>
      <c r="BD161" s="16">
        <f t="shared" si="150"/>
        <v>0</v>
      </c>
      <c r="BE161" s="16">
        <v>0</v>
      </c>
      <c r="BF161" s="16">
        <f t="shared" si="151"/>
        <v>0</v>
      </c>
      <c r="BH161" s="16">
        <f t="shared" si="152"/>
        <v>0</v>
      </c>
      <c r="BI161" s="16">
        <f t="shared" si="153"/>
        <v>0</v>
      </c>
      <c r="BJ161" s="16">
        <f t="shared" si="154"/>
        <v>0</v>
      </c>
      <c r="BK161" s="16"/>
      <c r="BL161" s="16">
        <v>723</v>
      </c>
      <c r="BW161" s="16" t="str">
        <f t="shared" si="155"/>
        <v>12</v>
      </c>
      <c r="BX161" s="3" t="s">
        <v>206</v>
      </c>
    </row>
    <row r="162" spans="1:76" x14ac:dyDescent="0.25">
      <c r="A162" s="1" t="s">
        <v>594</v>
      </c>
      <c r="B162" s="2" t="s">
        <v>242</v>
      </c>
      <c r="C162" s="2" t="s">
        <v>209</v>
      </c>
      <c r="D162" s="77" t="s">
        <v>210</v>
      </c>
      <c r="E162" s="71"/>
      <c r="F162" s="2" t="s">
        <v>35</v>
      </c>
      <c r="G162" s="16">
        <f>'Rozpočet - vybrané sloupce'!J43</f>
        <v>15</v>
      </c>
      <c r="H162" s="16">
        <f>'Rozpočet - vybrané sloupce'!K43</f>
        <v>0</v>
      </c>
      <c r="I162" s="56" t="s">
        <v>460</v>
      </c>
      <c r="J162" s="16">
        <f t="shared" si="130"/>
        <v>0</v>
      </c>
      <c r="K162" s="16">
        <f t="shared" si="131"/>
        <v>0</v>
      </c>
      <c r="L162" s="16">
        <f t="shared" si="132"/>
        <v>0</v>
      </c>
      <c r="M162" s="16">
        <f t="shared" si="133"/>
        <v>0</v>
      </c>
      <c r="N162" s="16">
        <v>0</v>
      </c>
      <c r="O162" s="16">
        <f t="shared" si="134"/>
        <v>0</v>
      </c>
      <c r="P162" s="57" t="s">
        <v>461</v>
      </c>
      <c r="Z162" s="16">
        <f t="shared" si="135"/>
        <v>0</v>
      </c>
      <c r="AB162" s="16">
        <f t="shared" si="136"/>
        <v>0</v>
      </c>
      <c r="AC162" s="16">
        <f t="shared" si="137"/>
        <v>0</v>
      </c>
      <c r="AD162" s="16">
        <f t="shared" si="138"/>
        <v>0</v>
      </c>
      <c r="AE162" s="16">
        <f t="shared" si="139"/>
        <v>0</v>
      </c>
      <c r="AF162" s="16">
        <f t="shared" si="140"/>
        <v>0</v>
      </c>
      <c r="AG162" s="16">
        <f t="shared" si="141"/>
        <v>0</v>
      </c>
      <c r="AH162" s="16">
        <f t="shared" si="142"/>
        <v>0</v>
      </c>
      <c r="AI162" s="13" t="s">
        <v>242</v>
      </c>
      <c r="AJ162" s="16">
        <f t="shared" si="143"/>
        <v>0</v>
      </c>
      <c r="AK162" s="16">
        <f t="shared" si="144"/>
        <v>0</v>
      </c>
      <c r="AL162" s="16">
        <f t="shared" si="145"/>
        <v>0</v>
      </c>
      <c r="AN162" s="16">
        <v>12</v>
      </c>
      <c r="AO162" s="16">
        <f>H162*0</f>
        <v>0</v>
      </c>
      <c r="AP162" s="16">
        <f>H162*(1-0)</f>
        <v>0</v>
      </c>
      <c r="AQ162" s="56" t="s">
        <v>462</v>
      </c>
      <c r="AV162" s="16">
        <f t="shared" si="146"/>
        <v>0</v>
      </c>
      <c r="AW162" s="16">
        <f t="shared" si="147"/>
        <v>0</v>
      </c>
      <c r="AX162" s="16">
        <f t="shared" si="148"/>
        <v>0</v>
      </c>
      <c r="AY162" s="56" t="s">
        <v>564</v>
      </c>
      <c r="AZ162" s="56" t="s">
        <v>587</v>
      </c>
      <c r="BA162" s="13" t="s">
        <v>588</v>
      </c>
      <c r="BC162" s="16">
        <f t="shared" si="149"/>
        <v>0</v>
      </c>
      <c r="BD162" s="16">
        <f t="shared" si="150"/>
        <v>0</v>
      </c>
      <c r="BE162" s="16">
        <v>0</v>
      </c>
      <c r="BF162" s="16">
        <f t="shared" si="151"/>
        <v>0</v>
      </c>
      <c r="BH162" s="16">
        <f t="shared" si="152"/>
        <v>0</v>
      </c>
      <c r="BI162" s="16">
        <f t="shared" si="153"/>
        <v>0</v>
      </c>
      <c r="BJ162" s="16">
        <f t="shared" si="154"/>
        <v>0</v>
      </c>
      <c r="BK162" s="16"/>
      <c r="BL162" s="16">
        <v>723</v>
      </c>
      <c r="BW162" s="16" t="str">
        <f t="shared" si="155"/>
        <v>12</v>
      </c>
      <c r="BX162" s="3" t="s">
        <v>210</v>
      </c>
    </row>
    <row r="163" spans="1:76" x14ac:dyDescent="0.25">
      <c r="A163" s="1" t="s">
        <v>595</v>
      </c>
      <c r="B163" s="2" t="s">
        <v>242</v>
      </c>
      <c r="C163" s="2" t="s">
        <v>252</v>
      </c>
      <c r="D163" s="77" t="s">
        <v>253</v>
      </c>
      <c r="E163" s="71"/>
      <c r="F163" s="2" t="s">
        <v>40</v>
      </c>
      <c r="G163" s="16">
        <f>'Rozpočet - vybrané sloupce'!J44</f>
        <v>15</v>
      </c>
      <c r="H163" s="16">
        <f>'Rozpočet - vybrané sloupce'!K44</f>
        <v>0</v>
      </c>
      <c r="I163" s="56" t="s">
        <v>460</v>
      </c>
      <c r="J163" s="16">
        <f t="shared" si="130"/>
        <v>0</v>
      </c>
      <c r="K163" s="16">
        <f t="shared" si="131"/>
        <v>0</v>
      </c>
      <c r="L163" s="16">
        <f t="shared" si="132"/>
        <v>0</v>
      </c>
      <c r="M163" s="16">
        <f t="shared" si="133"/>
        <v>0</v>
      </c>
      <c r="N163" s="16">
        <v>6.7000000000000004E-2</v>
      </c>
      <c r="O163" s="16">
        <f t="shared" si="134"/>
        <v>1.0050000000000001</v>
      </c>
      <c r="P163" s="57" t="s">
        <v>461</v>
      </c>
      <c r="Z163" s="16">
        <f t="shared" si="135"/>
        <v>0</v>
      </c>
      <c r="AB163" s="16">
        <f t="shared" si="136"/>
        <v>0</v>
      </c>
      <c r="AC163" s="16">
        <f t="shared" si="137"/>
        <v>0</v>
      </c>
      <c r="AD163" s="16">
        <f t="shared" si="138"/>
        <v>0</v>
      </c>
      <c r="AE163" s="16">
        <f t="shared" si="139"/>
        <v>0</v>
      </c>
      <c r="AF163" s="16">
        <f t="shared" si="140"/>
        <v>0</v>
      </c>
      <c r="AG163" s="16">
        <f t="shared" si="141"/>
        <v>0</v>
      </c>
      <c r="AH163" s="16">
        <f t="shared" si="142"/>
        <v>0</v>
      </c>
      <c r="AI163" s="13" t="s">
        <v>242</v>
      </c>
      <c r="AJ163" s="16">
        <f t="shared" si="143"/>
        <v>0</v>
      </c>
      <c r="AK163" s="16">
        <f t="shared" si="144"/>
        <v>0</v>
      </c>
      <c r="AL163" s="16">
        <f t="shared" si="145"/>
        <v>0</v>
      </c>
      <c r="AN163" s="16">
        <v>12</v>
      </c>
      <c r="AO163" s="16">
        <f>H163*0</f>
        <v>0</v>
      </c>
      <c r="AP163" s="16">
        <f>H163*(1-0)</f>
        <v>0</v>
      </c>
      <c r="AQ163" s="56" t="s">
        <v>462</v>
      </c>
      <c r="AV163" s="16">
        <f t="shared" si="146"/>
        <v>0</v>
      </c>
      <c r="AW163" s="16">
        <f t="shared" si="147"/>
        <v>0</v>
      </c>
      <c r="AX163" s="16">
        <f t="shared" si="148"/>
        <v>0</v>
      </c>
      <c r="AY163" s="56" t="s">
        <v>564</v>
      </c>
      <c r="AZ163" s="56" t="s">
        <v>587</v>
      </c>
      <c r="BA163" s="13" t="s">
        <v>588</v>
      </c>
      <c r="BC163" s="16">
        <f t="shared" si="149"/>
        <v>0</v>
      </c>
      <c r="BD163" s="16">
        <f t="shared" si="150"/>
        <v>0</v>
      </c>
      <c r="BE163" s="16">
        <v>0</v>
      </c>
      <c r="BF163" s="16">
        <f t="shared" si="151"/>
        <v>1.0050000000000001</v>
      </c>
      <c r="BH163" s="16">
        <f t="shared" si="152"/>
        <v>0</v>
      </c>
      <c r="BI163" s="16">
        <f t="shared" si="153"/>
        <v>0</v>
      </c>
      <c r="BJ163" s="16">
        <f t="shared" si="154"/>
        <v>0</v>
      </c>
      <c r="BK163" s="16"/>
      <c r="BL163" s="16">
        <v>723</v>
      </c>
      <c r="BW163" s="16" t="str">
        <f t="shared" si="155"/>
        <v>12</v>
      </c>
      <c r="BX163" s="3" t="s">
        <v>253</v>
      </c>
    </row>
    <row r="164" spans="1:76" x14ac:dyDescent="0.25">
      <c r="A164" s="1" t="s">
        <v>596</v>
      </c>
      <c r="B164" s="2" t="s">
        <v>242</v>
      </c>
      <c r="C164" s="2" t="s">
        <v>254</v>
      </c>
      <c r="D164" s="77" t="s">
        <v>255</v>
      </c>
      <c r="E164" s="71"/>
      <c r="F164" s="2" t="s">
        <v>35</v>
      </c>
      <c r="G164" s="16">
        <f>'Rozpočet - vybrané sloupce'!J45</f>
        <v>15</v>
      </c>
      <c r="H164" s="16">
        <f>'Rozpočet - vybrané sloupce'!K45</f>
        <v>0</v>
      </c>
      <c r="I164" s="56" t="s">
        <v>460</v>
      </c>
      <c r="J164" s="16">
        <f t="shared" si="130"/>
        <v>0</v>
      </c>
      <c r="K164" s="16">
        <f t="shared" si="131"/>
        <v>0</v>
      </c>
      <c r="L164" s="16">
        <f t="shared" si="132"/>
        <v>0</v>
      </c>
      <c r="M164" s="16">
        <f t="shared" si="133"/>
        <v>0</v>
      </c>
      <c r="N164" s="16">
        <v>5.0000000000000002E-5</v>
      </c>
      <c r="O164" s="16">
        <f t="shared" si="134"/>
        <v>7.5000000000000002E-4</v>
      </c>
      <c r="P164" s="57" t="s">
        <v>461</v>
      </c>
      <c r="Z164" s="16">
        <f t="shared" si="135"/>
        <v>0</v>
      </c>
      <c r="AB164" s="16">
        <f t="shared" si="136"/>
        <v>0</v>
      </c>
      <c r="AC164" s="16">
        <f t="shared" si="137"/>
        <v>0</v>
      </c>
      <c r="AD164" s="16">
        <f t="shared" si="138"/>
        <v>0</v>
      </c>
      <c r="AE164" s="16">
        <f t="shared" si="139"/>
        <v>0</v>
      </c>
      <c r="AF164" s="16">
        <f t="shared" si="140"/>
        <v>0</v>
      </c>
      <c r="AG164" s="16">
        <f t="shared" si="141"/>
        <v>0</v>
      </c>
      <c r="AH164" s="16">
        <f t="shared" si="142"/>
        <v>0</v>
      </c>
      <c r="AI164" s="13" t="s">
        <v>242</v>
      </c>
      <c r="AJ164" s="16">
        <f t="shared" si="143"/>
        <v>0</v>
      </c>
      <c r="AK164" s="16">
        <f t="shared" si="144"/>
        <v>0</v>
      </c>
      <c r="AL164" s="16">
        <f t="shared" si="145"/>
        <v>0</v>
      </c>
      <c r="AN164" s="16">
        <v>12</v>
      </c>
      <c r="AO164" s="16">
        <f>H164*0.039516129</f>
        <v>0</v>
      </c>
      <c r="AP164" s="16">
        <f>H164*(1-0.039516129)</f>
        <v>0</v>
      </c>
      <c r="AQ164" s="56" t="s">
        <v>462</v>
      </c>
      <c r="AV164" s="16">
        <f t="shared" si="146"/>
        <v>0</v>
      </c>
      <c r="AW164" s="16">
        <f t="shared" si="147"/>
        <v>0</v>
      </c>
      <c r="AX164" s="16">
        <f t="shared" si="148"/>
        <v>0</v>
      </c>
      <c r="AY164" s="56" t="s">
        <v>564</v>
      </c>
      <c r="AZ164" s="56" t="s">
        <v>587</v>
      </c>
      <c r="BA164" s="13" t="s">
        <v>588</v>
      </c>
      <c r="BC164" s="16">
        <f t="shared" si="149"/>
        <v>0</v>
      </c>
      <c r="BD164" s="16">
        <f t="shared" si="150"/>
        <v>0</v>
      </c>
      <c r="BE164" s="16">
        <v>0</v>
      </c>
      <c r="BF164" s="16">
        <f t="shared" si="151"/>
        <v>7.5000000000000002E-4</v>
      </c>
      <c r="BH164" s="16">
        <f t="shared" si="152"/>
        <v>0</v>
      </c>
      <c r="BI164" s="16">
        <f t="shared" si="153"/>
        <v>0</v>
      </c>
      <c r="BJ164" s="16">
        <f t="shared" si="154"/>
        <v>0</v>
      </c>
      <c r="BK164" s="16"/>
      <c r="BL164" s="16">
        <v>723</v>
      </c>
      <c r="BW164" s="16" t="str">
        <f t="shared" si="155"/>
        <v>12</v>
      </c>
      <c r="BX164" s="3" t="s">
        <v>255</v>
      </c>
    </row>
    <row r="165" spans="1:76" ht="25.5" x14ac:dyDescent="0.25">
      <c r="A165" s="1" t="s">
        <v>597</v>
      </c>
      <c r="B165" s="2" t="s">
        <v>242</v>
      </c>
      <c r="C165" s="2" t="s">
        <v>256</v>
      </c>
      <c r="D165" s="77" t="s">
        <v>257</v>
      </c>
      <c r="E165" s="71"/>
      <c r="F165" s="2" t="s">
        <v>40</v>
      </c>
      <c r="G165" s="16">
        <f>'Rozpočet - vybrané sloupce'!J46</f>
        <v>15</v>
      </c>
      <c r="H165" s="16">
        <f>'Rozpočet - vybrané sloupce'!K46</f>
        <v>0</v>
      </c>
      <c r="I165" s="56" t="s">
        <v>460</v>
      </c>
      <c r="J165" s="16">
        <f t="shared" si="130"/>
        <v>0</v>
      </c>
      <c r="K165" s="16">
        <f t="shared" si="131"/>
        <v>0</v>
      </c>
      <c r="L165" s="16">
        <f t="shared" si="132"/>
        <v>0</v>
      </c>
      <c r="M165" s="16">
        <f t="shared" si="133"/>
        <v>0</v>
      </c>
      <c r="N165" s="16">
        <v>2E-3</v>
      </c>
      <c r="O165" s="16">
        <f t="shared" si="134"/>
        <v>0.03</v>
      </c>
      <c r="P165" s="57" t="s">
        <v>461</v>
      </c>
      <c r="Z165" s="16">
        <f t="shared" si="135"/>
        <v>0</v>
      </c>
      <c r="AB165" s="16">
        <f t="shared" si="136"/>
        <v>0</v>
      </c>
      <c r="AC165" s="16">
        <f t="shared" si="137"/>
        <v>0</v>
      </c>
      <c r="AD165" s="16">
        <f t="shared" si="138"/>
        <v>0</v>
      </c>
      <c r="AE165" s="16">
        <f t="shared" si="139"/>
        <v>0</v>
      </c>
      <c r="AF165" s="16">
        <f t="shared" si="140"/>
        <v>0</v>
      </c>
      <c r="AG165" s="16">
        <f t="shared" si="141"/>
        <v>0</v>
      </c>
      <c r="AH165" s="16">
        <f t="shared" si="142"/>
        <v>0</v>
      </c>
      <c r="AI165" s="13" t="s">
        <v>242</v>
      </c>
      <c r="AJ165" s="16">
        <f t="shared" si="143"/>
        <v>0</v>
      </c>
      <c r="AK165" s="16">
        <f t="shared" si="144"/>
        <v>0</v>
      </c>
      <c r="AL165" s="16">
        <f t="shared" si="145"/>
        <v>0</v>
      </c>
      <c r="AN165" s="16">
        <v>12</v>
      </c>
      <c r="AO165" s="16">
        <f>H165*1</f>
        <v>0</v>
      </c>
      <c r="AP165" s="16">
        <f>H165*(1-1)</f>
        <v>0</v>
      </c>
      <c r="AQ165" s="56" t="s">
        <v>462</v>
      </c>
      <c r="AV165" s="16">
        <f t="shared" si="146"/>
        <v>0</v>
      </c>
      <c r="AW165" s="16">
        <f t="shared" si="147"/>
        <v>0</v>
      </c>
      <c r="AX165" s="16">
        <f t="shared" si="148"/>
        <v>0</v>
      </c>
      <c r="AY165" s="56" t="s">
        <v>564</v>
      </c>
      <c r="AZ165" s="56" t="s">
        <v>587</v>
      </c>
      <c r="BA165" s="13" t="s">
        <v>588</v>
      </c>
      <c r="BC165" s="16">
        <f t="shared" si="149"/>
        <v>0</v>
      </c>
      <c r="BD165" s="16">
        <f t="shared" si="150"/>
        <v>0</v>
      </c>
      <c r="BE165" s="16">
        <v>0</v>
      </c>
      <c r="BF165" s="16">
        <f t="shared" si="151"/>
        <v>0.03</v>
      </c>
      <c r="BH165" s="16">
        <f t="shared" si="152"/>
        <v>0</v>
      </c>
      <c r="BI165" s="16">
        <f t="shared" si="153"/>
        <v>0</v>
      </c>
      <c r="BJ165" s="16">
        <f t="shared" si="154"/>
        <v>0</v>
      </c>
      <c r="BK165" s="16"/>
      <c r="BL165" s="16">
        <v>723</v>
      </c>
      <c r="BW165" s="16" t="str">
        <f t="shared" si="155"/>
        <v>12</v>
      </c>
      <c r="BX165" s="3" t="s">
        <v>257</v>
      </c>
    </row>
    <row r="166" spans="1:76" x14ac:dyDescent="0.25">
      <c r="A166" s="1" t="s">
        <v>598</v>
      </c>
      <c r="B166" s="2" t="s">
        <v>242</v>
      </c>
      <c r="C166" s="2" t="s">
        <v>258</v>
      </c>
      <c r="D166" s="77" t="s">
        <v>259</v>
      </c>
      <c r="E166" s="71"/>
      <c r="F166" s="2" t="s">
        <v>40</v>
      </c>
      <c r="G166" s="16">
        <f>'Rozpočet - vybrané sloupce'!J47</f>
        <v>15</v>
      </c>
      <c r="H166" s="16">
        <f>'Rozpočet - vybrané sloupce'!K47</f>
        <v>0</v>
      </c>
      <c r="I166" s="56" t="s">
        <v>460</v>
      </c>
      <c r="J166" s="16">
        <f t="shared" si="130"/>
        <v>0</v>
      </c>
      <c r="K166" s="16">
        <f t="shared" si="131"/>
        <v>0</v>
      </c>
      <c r="L166" s="16">
        <f t="shared" si="132"/>
        <v>0</v>
      </c>
      <c r="M166" s="16">
        <f t="shared" si="133"/>
        <v>0</v>
      </c>
      <c r="N166" s="16">
        <v>0</v>
      </c>
      <c r="O166" s="16">
        <f t="shared" si="134"/>
        <v>0</v>
      </c>
      <c r="P166" s="57" t="s">
        <v>461</v>
      </c>
      <c r="Z166" s="16">
        <f t="shared" si="135"/>
        <v>0</v>
      </c>
      <c r="AB166" s="16">
        <f t="shared" si="136"/>
        <v>0</v>
      </c>
      <c r="AC166" s="16">
        <f t="shared" si="137"/>
        <v>0</v>
      </c>
      <c r="AD166" s="16">
        <f t="shared" si="138"/>
        <v>0</v>
      </c>
      <c r="AE166" s="16">
        <f t="shared" si="139"/>
        <v>0</v>
      </c>
      <c r="AF166" s="16">
        <f t="shared" si="140"/>
        <v>0</v>
      </c>
      <c r="AG166" s="16">
        <f t="shared" si="141"/>
        <v>0</v>
      </c>
      <c r="AH166" s="16">
        <f t="shared" si="142"/>
        <v>0</v>
      </c>
      <c r="AI166" s="13" t="s">
        <v>242</v>
      </c>
      <c r="AJ166" s="16">
        <f t="shared" si="143"/>
        <v>0</v>
      </c>
      <c r="AK166" s="16">
        <f t="shared" si="144"/>
        <v>0</v>
      </c>
      <c r="AL166" s="16">
        <f t="shared" si="145"/>
        <v>0</v>
      </c>
      <c r="AN166" s="16">
        <v>12</v>
      </c>
      <c r="AO166" s="16">
        <f>H166*0</f>
        <v>0</v>
      </c>
      <c r="AP166" s="16">
        <f>H166*(1-0)</f>
        <v>0</v>
      </c>
      <c r="AQ166" s="56" t="s">
        <v>462</v>
      </c>
      <c r="AV166" s="16">
        <f t="shared" si="146"/>
        <v>0</v>
      </c>
      <c r="AW166" s="16">
        <f t="shared" si="147"/>
        <v>0</v>
      </c>
      <c r="AX166" s="16">
        <f t="shared" si="148"/>
        <v>0</v>
      </c>
      <c r="AY166" s="56" t="s">
        <v>564</v>
      </c>
      <c r="AZ166" s="56" t="s">
        <v>587</v>
      </c>
      <c r="BA166" s="13" t="s">
        <v>588</v>
      </c>
      <c r="BC166" s="16">
        <f t="shared" si="149"/>
        <v>0</v>
      </c>
      <c r="BD166" s="16">
        <f t="shared" si="150"/>
        <v>0</v>
      </c>
      <c r="BE166" s="16">
        <v>0</v>
      </c>
      <c r="BF166" s="16">
        <f t="shared" si="151"/>
        <v>0</v>
      </c>
      <c r="BH166" s="16">
        <f t="shared" si="152"/>
        <v>0</v>
      </c>
      <c r="BI166" s="16">
        <f t="shared" si="153"/>
        <v>0</v>
      </c>
      <c r="BJ166" s="16">
        <f t="shared" si="154"/>
        <v>0</v>
      </c>
      <c r="BK166" s="16"/>
      <c r="BL166" s="16">
        <v>723</v>
      </c>
      <c r="BW166" s="16" t="str">
        <f t="shared" si="155"/>
        <v>12</v>
      </c>
      <c r="BX166" s="3" t="s">
        <v>259</v>
      </c>
    </row>
    <row r="167" spans="1:76" x14ac:dyDescent="0.25">
      <c r="A167" s="1" t="s">
        <v>599</v>
      </c>
      <c r="B167" s="2" t="s">
        <v>242</v>
      </c>
      <c r="C167" s="2" t="s">
        <v>238</v>
      </c>
      <c r="D167" s="77" t="s">
        <v>239</v>
      </c>
      <c r="E167" s="71"/>
      <c r="F167" s="2" t="s">
        <v>76</v>
      </c>
      <c r="G167" s="16">
        <f>'Rozpočet - vybrané sloupce'!J48</f>
        <v>0.1</v>
      </c>
      <c r="H167" s="16">
        <f>'Rozpočet - vybrané sloupce'!K48</f>
        <v>0</v>
      </c>
      <c r="I167" s="56" t="s">
        <v>460</v>
      </c>
      <c r="J167" s="16">
        <f t="shared" si="130"/>
        <v>0</v>
      </c>
      <c r="K167" s="16">
        <f t="shared" si="131"/>
        <v>0</v>
      </c>
      <c r="L167" s="16">
        <f t="shared" si="132"/>
        <v>0</v>
      </c>
      <c r="M167" s="16">
        <f t="shared" si="133"/>
        <v>0</v>
      </c>
      <c r="N167" s="16">
        <v>0</v>
      </c>
      <c r="O167" s="16">
        <f t="shared" si="134"/>
        <v>0</v>
      </c>
      <c r="P167" s="57" t="s">
        <v>461</v>
      </c>
      <c r="Z167" s="16">
        <f t="shared" si="135"/>
        <v>0</v>
      </c>
      <c r="AB167" s="16">
        <f t="shared" si="136"/>
        <v>0</v>
      </c>
      <c r="AC167" s="16">
        <f t="shared" si="137"/>
        <v>0</v>
      </c>
      <c r="AD167" s="16">
        <f t="shared" si="138"/>
        <v>0</v>
      </c>
      <c r="AE167" s="16">
        <f t="shared" si="139"/>
        <v>0</v>
      </c>
      <c r="AF167" s="16">
        <f t="shared" si="140"/>
        <v>0</v>
      </c>
      <c r="AG167" s="16">
        <f t="shared" si="141"/>
        <v>0</v>
      </c>
      <c r="AH167" s="16">
        <f t="shared" si="142"/>
        <v>0</v>
      </c>
      <c r="AI167" s="13" t="s">
        <v>242</v>
      </c>
      <c r="AJ167" s="16">
        <f t="shared" si="143"/>
        <v>0</v>
      </c>
      <c r="AK167" s="16">
        <f t="shared" si="144"/>
        <v>0</v>
      </c>
      <c r="AL167" s="16">
        <f t="shared" si="145"/>
        <v>0</v>
      </c>
      <c r="AN167" s="16">
        <v>12</v>
      </c>
      <c r="AO167" s="16">
        <f>H167*0</f>
        <v>0</v>
      </c>
      <c r="AP167" s="16">
        <f>H167*(1-0)</f>
        <v>0</v>
      </c>
      <c r="AQ167" s="56" t="s">
        <v>462</v>
      </c>
      <c r="AV167" s="16">
        <f t="shared" si="146"/>
        <v>0</v>
      </c>
      <c r="AW167" s="16">
        <f t="shared" si="147"/>
        <v>0</v>
      </c>
      <c r="AX167" s="16">
        <f t="shared" si="148"/>
        <v>0</v>
      </c>
      <c r="AY167" s="56" t="s">
        <v>564</v>
      </c>
      <c r="AZ167" s="56" t="s">
        <v>587</v>
      </c>
      <c r="BA167" s="13" t="s">
        <v>588</v>
      </c>
      <c r="BC167" s="16">
        <f t="shared" si="149"/>
        <v>0</v>
      </c>
      <c r="BD167" s="16">
        <f t="shared" si="150"/>
        <v>0</v>
      </c>
      <c r="BE167" s="16">
        <v>0</v>
      </c>
      <c r="BF167" s="16">
        <f t="shared" si="151"/>
        <v>0</v>
      </c>
      <c r="BH167" s="16">
        <f t="shared" si="152"/>
        <v>0</v>
      </c>
      <c r="BI167" s="16">
        <f t="shared" si="153"/>
        <v>0</v>
      </c>
      <c r="BJ167" s="16">
        <f t="shared" si="154"/>
        <v>0</v>
      </c>
      <c r="BK167" s="16"/>
      <c r="BL167" s="16">
        <v>723</v>
      </c>
      <c r="BW167" s="16" t="str">
        <f t="shared" si="155"/>
        <v>12</v>
      </c>
      <c r="BX167" s="3" t="s">
        <v>239</v>
      </c>
    </row>
    <row r="168" spans="1:76" x14ac:dyDescent="0.25">
      <c r="A168" s="58"/>
      <c r="C168" s="59" t="s">
        <v>475</v>
      </c>
      <c r="D168" s="122" t="s">
        <v>490</v>
      </c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4"/>
      <c r="BX168" s="60" t="s">
        <v>490</v>
      </c>
    </row>
    <row r="169" spans="1:76" x14ac:dyDescent="0.25">
      <c r="A169" s="1" t="s">
        <v>600</v>
      </c>
      <c r="B169" s="2" t="s">
        <v>242</v>
      </c>
      <c r="C169" s="2" t="s">
        <v>240</v>
      </c>
      <c r="D169" s="77" t="s">
        <v>241</v>
      </c>
      <c r="E169" s="71"/>
      <c r="F169" s="2" t="s">
        <v>43</v>
      </c>
      <c r="G169" s="16">
        <f>'Rozpočet - vybrané sloupce'!J49</f>
        <v>796</v>
      </c>
      <c r="H169" s="16">
        <f>'Rozpočet - vybrané sloupce'!K49</f>
        <v>0</v>
      </c>
      <c r="I169" s="56" t="s">
        <v>460</v>
      </c>
      <c r="J169" s="16">
        <f>G169*AO169</f>
        <v>0</v>
      </c>
      <c r="K169" s="16">
        <f>G169*AP169</f>
        <v>0</v>
      </c>
      <c r="L169" s="16">
        <f>G169*H169</f>
        <v>0</v>
      </c>
      <c r="M169" s="16">
        <f>L169*(1+BW169/100)</f>
        <v>0</v>
      </c>
      <c r="N169" s="16">
        <v>0</v>
      </c>
      <c r="O169" s="16">
        <f>G169*N169</f>
        <v>0</v>
      </c>
      <c r="P169" s="57" t="s">
        <v>461</v>
      </c>
      <c r="Z169" s="16">
        <f>IF(AQ169="5",BJ169,0)</f>
        <v>0</v>
      </c>
      <c r="AB169" s="16">
        <f>IF(AQ169="1",BH169,0)</f>
        <v>0</v>
      </c>
      <c r="AC169" s="16">
        <f>IF(AQ169="1",BI169,0)</f>
        <v>0</v>
      </c>
      <c r="AD169" s="16">
        <f>IF(AQ169="7",BH169,0)</f>
        <v>0</v>
      </c>
      <c r="AE169" s="16">
        <f>IF(AQ169="7",BI169,0)</f>
        <v>0</v>
      </c>
      <c r="AF169" s="16">
        <f>IF(AQ169="2",BH169,0)</f>
        <v>0</v>
      </c>
      <c r="AG169" s="16">
        <f>IF(AQ169="2",BI169,0)</f>
        <v>0</v>
      </c>
      <c r="AH169" s="16">
        <f>IF(AQ169="0",BJ169,0)</f>
        <v>0</v>
      </c>
      <c r="AI169" s="13" t="s">
        <v>242</v>
      </c>
      <c r="AJ169" s="16">
        <f>IF(AN169=0,L169,0)</f>
        <v>0</v>
      </c>
      <c r="AK169" s="16">
        <f>IF(AN169=12,L169,0)</f>
        <v>0</v>
      </c>
      <c r="AL169" s="16">
        <f>IF(AN169=21,L169,0)</f>
        <v>0</v>
      </c>
      <c r="AN169" s="16">
        <v>12</v>
      </c>
      <c r="AO169" s="16">
        <f>H169*0</f>
        <v>0</v>
      </c>
      <c r="AP169" s="16">
        <f>H169*(1-0)</f>
        <v>0</v>
      </c>
      <c r="AQ169" s="56" t="s">
        <v>470</v>
      </c>
      <c r="AV169" s="16">
        <f>AW169+AX169</f>
        <v>0</v>
      </c>
      <c r="AW169" s="16">
        <f>G169*AO169</f>
        <v>0</v>
      </c>
      <c r="AX169" s="16">
        <f>G169*AP169</f>
        <v>0</v>
      </c>
      <c r="AY169" s="56" t="s">
        <v>564</v>
      </c>
      <c r="AZ169" s="56" t="s">
        <v>587</v>
      </c>
      <c r="BA169" s="13" t="s">
        <v>588</v>
      </c>
      <c r="BC169" s="16">
        <f>AW169+AX169</f>
        <v>0</v>
      </c>
      <c r="BD169" s="16">
        <f>H169/(100-BE169)*100</f>
        <v>0</v>
      </c>
      <c r="BE169" s="16">
        <v>0</v>
      </c>
      <c r="BF169" s="16">
        <f>O169</f>
        <v>0</v>
      </c>
      <c r="BH169" s="16">
        <f>G169*AO169</f>
        <v>0</v>
      </c>
      <c r="BI169" s="16">
        <f>G169*AP169</f>
        <v>0</v>
      </c>
      <c r="BJ169" s="16">
        <f>G169*H169</f>
        <v>0</v>
      </c>
      <c r="BK169" s="16"/>
      <c r="BL169" s="16">
        <v>723</v>
      </c>
      <c r="BW169" s="16" t="str">
        <f>I169</f>
        <v>12</v>
      </c>
      <c r="BX169" s="3" t="s">
        <v>241</v>
      </c>
    </row>
    <row r="170" spans="1:76" x14ac:dyDescent="0.25">
      <c r="A170" s="53" t="s">
        <v>25</v>
      </c>
      <c r="B170" s="12" t="s">
        <v>260</v>
      </c>
      <c r="C170" s="12" t="s">
        <v>25</v>
      </c>
      <c r="D170" s="84" t="s">
        <v>261</v>
      </c>
      <c r="E170" s="85"/>
      <c r="F170" s="54" t="s">
        <v>23</v>
      </c>
      <c r="G170" s="54" t="s">
        <v>23</v>
      </c>
      <c r="H170" s="54" t="s">
        <v>23</v>
      </c>
      <c r="I170" s="54" t="s">
        <v>23</v>
      </c>
      <c r="J170" s="29">
        <f>J171</f>
        <v>0</v>
      </c>
      <c r="K170" s="29">
        <f>K171</f>
        <v>0</v>
      </c>
      <c r="L170" s="29">
        <f>L171</f>
        <v>0</v>
      </c>
      <c r="M170" s="29">
        <f>M171</f>
        <v>0</v>
      </c>
      <c r="N170" s="13" t="s">
        <v>25</v>
      </c>
      <c r="O170" s="29">
        <f>O171</f>
        <v>2.0910000000000005E-2</v>
      </c>
      <c r="P170" s="55" t="s">
        <v>25</v>
      </c>
    </row>
    <row r="171" spans="1:76" x14ac:dyDescent="0.25">
      <c r="A171" s="53" t="s">
        <v>25</v>
      </c>
      <c r="B171" s="12" t="s">
        <v>260</v>
      </c>
      <c r="C171" s="12" t="s">
        <v>195</v>
      </c>
      <c r="D171" s="84" t="s">
        <v>196</v>
      </c>
      <c r="E171" s="85"/>
      <c r="F171" s="54" t="s">
        <v>23</v>
      </c>
      <c r="G171" s="54" t="s">
        <v>23</v>
      </c>
      <c r="H171" s="54" t="s">
        <v>23</v>
      </c>
      <c r="I171" s="54" t="s">
        <v>23</v>
      </c>
      <c r="J171" s="29">
        <f>SUM(J172:J182)</f>
        <v>0</v>
      </c>
      <c r="K171" s="29">
        <f>SUM(K172:K182)</f>
        <v>0</v>
      </c>
      <c r="L171" s="29">
        <f>SUM(L172:L182)</f>
        <v>0</v>
      </c>
      <c r="M171" s="29">
        <f>SUM(M172:M182)</f>
        <v>0</v>
      </c>
      <c r="N171" s="13" t="s">
        <v>25</v>
      </c>
      <c r="O171" s="29">
        <f>SUM(O172:O182)</f>
        <v>2.0910000000000005E-2</v>
      </c>
      <c r="P171" s="55" t="s">
        <v>25</v>
      </c>
      <c r="AI171" s="13" t="s">
        <v>260</v>
      </c>
      <c r="AS171" s="29">
        <f>SUM(AJ172:AJ182)</f>
        <v>0</v>
      </c>
      <c r="AT171" s="29">
        <f>SUM(AK172:AK182)</f>
        <v>0</v>
      </c>
      <c r="AU171" s="29">
        <f>SUM(AL172:AL182)</f>
        <v>0</v>
      </c>
    </row>
    <row r="172" spans="1:76" x14ac:dyDescent="0.25">
      <c r="A172" s="1" t="s">
        <v>601</v>
      </c>
      <c r="B172" s="2" t="s">
        <v>260</v>
      </c>
      <c r="C172" s="2" t="s">
        <v>197</v>
      </c>
      <c r="D172" s="77" t="s">
        <v>262</v>
      </c>
      <c r="E172" s="71"/>
      <c r="F172" s="2" t="s">
        <v>31</v>
      </c>
      <c r="G172" s="16">
        <f>'Rozpočet - vybrané sloupce'!J52</f>
        <v>2</v>
      </c>
      <c r="H172" s="16">
        <f>'Rozpočet - vybrané sloupce'!K52</f>
        <v>0</v>
      </c>
      <c r="I172" s="56" t="s">
        <v>460</v>
      </c>
      <c r="J172" s="16">
        <f t="shared" ref="J172:J182" si="156">G172*AO172</f>
        <v>0</v>
      </c>
      <c r="K172" s="16">
        <f t="shared" ref="K172:K182" si="157">G172*AP172</f>
        <v>0</v>
      </c>
      <c r="L172" s="16">
        <f t="shared" ref="L172:L182" si="158">G172*H172</f>
        <v>0</v>
      </c>
      <c r="M172" s="16">
        <f t="shared" ref="M172:M182" si="159">L172*(1+BW172/100)</f>
        <v>0</v>
      </c>
      <c r="N172" s="16">
        <v>3.81E-3</v>
      </c>
      <c r="O172" s="16">
        <f t="shared" ref="O172:O182" si="160">G172*N172</f>
        <v>7.62E-3</v>
      </c>
      <c r="P172" s="57" t="s">
        <v>461</v>
      </c>
      <c r="Z172" s="16">
        <f t="shared" ref="Z172:Z182" si="161">IF(AQ172="5",BJ172,0)</f>
        <v>0</v>
      </c>
      <c r="AB172" s="16">
        <f t="shared" ref="AB172:AB182" si="162">IF(AQ172="1",BH172,0)</f>
        <v>0</v>
      </c>
      <c r="AC172" s="16">
        <f t="shared" ref="AC172:AC182" si="163">IF(AQ172="1",BI172,0)</f>
        <v>0</v>
      </c>
      <c r="AD172" s="16">
        <f t="shared" ref="AD172:AD182" si="164">IF(AQ172="7",BH172,0)</f>
        <v>0</v>
      </c>
      <c r="AE172" s="16">
        <f t="shared" ref="AE172:AE182" si="165">IF(AQ172="7",BI172,0)</f>
        <v>0</v>
      </c>
      <c r="AF172" s="16">
        <f t="shared" ref="AF172:AF182" si="166">IF(AQ172="2",BH172,0)</f>
        <v>0</v>
      </c>
      <c r="AG172" s="16">
        <f t="shared" ref="AG172:AG182" si="167">IF(AQ172="2",BI172,0)</f>
        <v>0</v>
      </c>
      <c r="AH172" s="16">
        <f t="shared" ref="AH172:AH182" si="168">IF(AQ172="0",BJ172,0)</f>
        <v>0</v>
      </c>
      <c r="AI172" s="13" t="s">
        <v>260</v>
      </c>
      <c r="AJ172" s="16">
        <f t="shared" ref="AJ172:AJ182" si="169">IF(AN172=0,L172,0)</f>
        <v>0</v>
      </c>
      <c r="AK172" s="16">
        <f t="shared" ref="AK172:AK182" si="170">IF(AN172=12,L172,0)</f>
        <v>0</v>
      </c>
      <c r="AL172" s="16">
        <f t="shared" ref="AL172:AL182" si="171">IF(AN172=21,L172,0)</f>
        <v>0</v>
      </c>
      <c r="AN172" s="16">
        <v>12</v>
      </c>
      <c r="AO172" s="16">
        <f>H172*0.884670823</f>
        <v>0</v>
      </c>
      <c r="AP172" s="16">
        <f>H172*(1-0.884670823)</f>
        <v>0</v>
      </c>
      <c r="AQ172" s="56" t="s">
        <v>462</v>
      </c>
      <c r="AV172" s="16">
        <f t="shared" ref="AV172:AV182" si="172">AW172+AX172</f>
        <v>0</v>
      </c>
      <c r="AW172" s="16">
        <f t="shared" ref="AW172:AW182" si="173">G172*AO172</f>
        <v>0</v>
      </c>
      <c r="AX172" s="16">
        <f t="shared" ref="AX172:AX182" si="174">G172*AP172</f>
        <v>0</v>
      </c>
      <c r="AY172" s="56" t="s">
        <v>564</v>
      </c>
      <c r="AZ172" s="56" t="s">
        <v>602</v>
      </c>
      <c r="BA172" s="13" t="s">
        <v>603</v>
      </c>
      <c r="BC172" s="16">
        <f t="shared" ref="BC172:BC182" si="175">AW172+AX172</f>
        <v>0</v>
      </c>
      <c r="BD172" s="16">
        <f t="shared" ref="BD172:BD182" si="176">H172/(100-BE172)*100</f>
        <v>0</v>
      </c>
      <c r="BE172" s="16">
        <v>0</v>
      </c>
      <c r="BF172" s="16">
        <f t="shared" ref="BF172:BF182" si="177">O172</f>
        <v>7.62E-3</v>
      </c>
      <c r="BH172" s="16">
        <f t="shared" ref="BH172:BH182" si="178">G172*AO172</f>
        <v>0</v>
      </c>
      <c r="BI172" s="16">
        <f t="shared" ref="BI172:BI182" si="179">G172*AP172</f>
        <v>0</v>
      </c>
      <c r="BJ172" s="16">
        <f t="shared" ref="BJ172:BJ182" si="180">G172*H172</f>
        <v>0</v>
      </c>
      <c r="BK172" s="16"/>
      <c r="BL172" s="16">
        <v>723</v>
      </c>
      <c r="BW172" s="16" t="str">
        <f t="shared" ref="BW172:BW182" si="181">I172</f>
        <v>12</v>
      </c>
      <c r="BX172" s="3" t="s">
        <v>262</v>
      </c>
    </row>
    <row r="173" spans="1:76" x14ac:dyDescent="0.25">
      <c r="A173" s="1" t="s">
        <v>604</v>
      </c>
      <c r="B173" s="2" t="s">
        <v>260</v>
      </c>
      <c r="C173" s="2" t="s">
        <v>263</v>
      </c>
      <c r="D173" s="77" t="s">
        <v>264</v>
      </c>
      <c r="E173" s="71"/>
      <c r="F173" s="2" t="s">
        <v>35</v>
      </c>
      <c r="G173" s="16">
        <f>'Rozpočet - vybrané sloupce'!J53</f>
        <v>2</v>
      </c>
      <c r="H173" s="16">
        <f>'Rozpočet - vybrané sloupce'!K53</f>
        <v>0</v>
      </c>
      <c r="I173" s="56" t="s">
        <v>460</v>
      </c>
      <c r="J173" s="16">
        <f t="shared" si="156"/>
        <v>0</v>
      </c>
      <c r="K173" s="16">
        <f t="shared" si="157"/>
        <v>0</v>
      </c>
      <c r="L173" s="16">
        <f t="shared" si="158"/>
        <v>0</v>
      </c>
      <c r="M173" s="16">
        <f t="shared" si="159"/>
        <v>0</v>
      </c>
      <c r="N173" s="16">
        <v>1.5E-3</v>
      </c>
      <c r="O173" s="16">
        <f t="shared" si="160"/>
        <v>3.0000000000000001E-3</v>
      </c>
      <c r="P173" s="57" t="s">
        <v>461</v>
      </c>
      <c r="Z173" s="16">
        <f t="shared" si="161"/>
        <v>0</v>
      </c>
      <c r="AB173" s="16">
        <f t="shared" si="162"/>
        <v>0</v>
      </c>
      <c r="AC173" s="16">
        <f t="shared" si="163"/>
        <v>0</v>
      </c>
      <c r="AD173" s="16">
        <f t="shared" si="164"/>
        <v>0</v>
      </c>
      <c r="AE173" s="16">
        <f t="shared" si="165"/>
        <v>0</v>
      </c>
      <c r="AF173" s="16">
        <f t="shared" si="166"/>
        <v>0</v>
      </c>
      <c r="AG173" s="16">
        <f t="shared" si="167"/>
        <v>0</v>
      </c>
      <c r="AH173" s="16">
        <f t="shared" si="168"/>
        <v>0</v>
      </c>
      <c r="AI173" s="13" t="s">
        <v>260</v>
      </c>
      <c r="AJ173" s="16">
        <f t="shared" si="169"/>
        <v>0</v>
      </c>
      <c r="AK173" s="16">
        <f t="shared" si="170"/>
        <v>0</v>
      </c>
      <c r="AL173" s="16">
        <f t="shared" si="171"/>
        <v>0</v>
      </c>
      <c r="AN173" s="16">
        <v>12</v>
      </c>
      <c r="AO173" s="16">
        <f>H173*0.496803371</f>
        <v>0</v>
      </c>
      <c r="AP173" s="16">
        <f>H173*(1-0.496803371)</f>
        <v>0</v>
      </c>
      <c r="AQ173" s="56" t="s">
        <v>462</v>
      </c>
      <c r="AV173" s="16">
        <f t="shared" si="172"/>
        <v>0</v>
      </c>
      <c r="AW173" s="16">
        <f t="shared" si="173"/>
        <v>0</v>
      </c>
      <c r="AX173" s="16">
        <f t="shared" si="174"/>
        <v>0</v>
      </c>
      <c r="AY173" s="56" t="s">
        <v>564</v>
      </c>
      <c r="AZ173" s="56" t="s">
        <v>602</v>
      </c>
      <c r="BA173" s="13" t="s">
        <v>603</v>
      </c>
      <c r="BC173" s="16">
        <f t="shared" si="175"/>
        <v>0</v>
      </c>
      <c r="BD173" s="16">
        <f t="shared" si="176"/>
        <v>0</v>
      </c>
      <c r="BE173" s="16">
        <v>0</v>
      </c>
      <c r="BF173" s="16">
        <f t="shared" si="177"/>
        <v>3.0000000000000001E-3</v>
      </c>
      <c r="BH173" s="16">
        <f t="shared" si="178"/>
        <v>0</v>
      </c>
      <c r="BI173" s="16">
        <f t="shared" si="179"/>
        <v>0</v>
      </c>
      <c r="BJ173" s="16">
        <f t="shared" si="180"/>
        <v>0</v>
      </c>
      <c r="BK173" s="16"/>
      <c r="BL173" s="16">
        <v>723</v>
      </c>
      <c r="BW173" s="16" t="str">
        <f t="shared" si="181"/>
        <v>12</v>
      </c>
      <c r="BX173" s="3" t="s">
        <v>264</v>
      </c>
    </row>
    <row r="174" spans="1:76" x14ac:dyDescent="0.25">
      <c r="A174" s="1" t="s">
        <v>605</v>
      </c>
      <c r="B174" s="2" t="s">
        <v>260</v>
      </c>
      <c r="C174" s="2" t="s">
        <v>265</v>
      </c>
      <c r="D174" s="77" t="s">
        <v>266</v>
      </c>
      <c r="E174" s="71"/>
      <c r="F174" s="2" t="s">
        <v>31</v>
      </c>
      <c r="G174" s="16">
        <f>'Rozpočet - vybrané sloupce'!J54</f>
        <v>3</v>
      </c>
      <c r="H174" s="16">
        <f>'Rozpočet - vybrané sloupce'!K54</f>
        <v>0</v>
      </c>
      <c r="I174" s="56" t="s">
        <v>460</v>
      </c>
      <c r="J174" s="16">
        <f t="shared" si="156"/>
        <v>0</v>
      </c>
      <c r="K174" s="16">
        <f t="shared" si="157"/>
        <v>0</v>
      </c>
      <c r="L174" s="16">
        <f t="shared" si="158"/>
        <v>0</v>
      </c>
      <c r="M174" s="16">
        <f t="shared" si="159"/>
        <v>0</v>
      </c>
      <c r="N174" s="16">
        <v>2E-3</v>
      </c>
      <c r="O174" s="16">
        <f t="shared" si="160"/>
        <v>6.0000000000000001E-3</v>
      </c>
      <c r="P174" s="57" t="s">
        <v>461</v>
      </c>
      <c r="Z174" s="16">
        <f t="shared" si="161"/>
        <v>0</v>
      </c>
      <c r="AB174" s="16">
        <f t="shared" si="162"/>
        <v>0</v>
      </c>
      <c r="AC174" s="16">
        <f t="shared" si="163"/>
        <v>0</v>
      </c>
      <c r="AD174" s="16">
        <f t="shared" si="164"/>
        <v>0</v>
      </c>
      <c r="AE174" s="16">
        <f t="shared" si="165"/>
        <v>0</v>
      </c>
      <c r="AF174" s="16">
        <f t="shared" si="166"/>
        <v>0</v>
      </c>
      <c r="AG174" s="16">
        <f t="shared" si="167"/>
        <v>0</v>
      </c>
      <c r="AH174" s="16">
        <f t="shared" si="168"/>
        <v>0</v>
      </c>
      <c r="AI174" s="13" t="s">
        <v>260</v>
      </c>
      <c r="AJ174" s="16">
        <f t="shared" si="169"/>
        <v>0</v>
      </c>
      <c r="AK174" s="16">
        <f t="shared" si="170"/>
        <v>0</v>
      </c>
      <c r="AL174" s="16">
        <f t="shared" si="171"/>
        <v>0</v>
      </c>
      <c r="AN174" s="16">
        <v>12</v>
      </c>
      <c r="AO174" s="16">
        <f>H174*0.801705429</f>
        <v>0</v>
      </c>
      <c r="AP174" s="16">
        <f>H174*(1-0.801705429)</f>
        <v>0</v>
      </c>
      <c r="AQ174" s="56" t="s">
        <v>462</v>
      </c>
      <c r="AV174" s="16">
        <f t="shared" si="172"/>
        <v>0</v>
      </c>
      <c r="AW174" s="16">
        <f t="shared" si="173"/>
        <v>0</v>
      </c>
      <c r="AX174" s="16">
        <f t="shared" si="174"/>
        <v>0</v>
      </c>
      <c r="AY174" s="56" t="s">
        <v>564</v>
      </c>
      <c r="AZ174" s="56" t="s">
        <v>602</v>
      </c>
      <c r="BA174" s="13" t="s">
        <v>603</v>
      </c>
      <c r="BC174" s="16">
        <f t="shared" si="175"/>
        <v>0</v>
      </c>
      <c r="BD174" s="16">
        <f t="shared" si="176"/>
        <v>0</v>
      </c>
      <c r="BE174" s="16">
        <v>0</v>
      </c>
      <c r="BF174" s="16">
        <f t="shared" si="177"/>
        <v>6.0000000000000001E-3</v>
      </c>
      <c r="BH174" s="16">
        <f t="shared" si="178"/>
        <v>0</v>
      </c>
      <c r="BI174" s="16">
        <f t="shared" si="179"/>
        <v>0</v>
      </c>
      <c r="BJ174" s="16">
        <f t="shared" si="180"/>
        <v>0</v>
      </c>
      <c r="BK174" s="16"/>
      <c r="BL174" s="16">
        <v>723</v>
      </c>
      <c r="BW174" s="16" t="str">
        <f t="shared" si="181"/>
        <v>12</v>
      </c>
      <c r="BX174" s="3" t="s">
        <v>266</v>
      </c>
    </row>
    <row r="175" spans="1:76" x14ac:dyDescent="0.25">
      <c r="A175" s="1" t="s">
        <v>606</v>
      </c>
      <c r="B175" s="2" t="s">
        <v>260</v>
      </c>
      <c r="C175" s="2" t="s">
        <v>267</v>
      </c>
      <c r="D175" s="77" t="s">
        <v>268</v>
      </c>
      <c r="E175" s="71"/>
      <c r="F175" s="2" t="s">
        <v>31</v>
      </c>
      <c r="G175" s="16">
        <f>'Rozpočet - vybrané sloupce'!J55</f>
        <v>1</v>
      </c>
      <c r="H175" s="16">
        <f>'Rozpočet - vybrané sloupce'!K55</f>
        <v>0</v>
      </c>
      <c r="I175" s="56" t="s">
        <v>460</v>
      </c>
      <c r="J175" s="16">
        <f t="shared" si="156"/>
        <v>0</v>
      </c>
      <c r="K175" s="16">
        <f t="shared" si="157"/>
        <v>0</v>
      </c>
      <c r="L175" s="16">
        <f t="shared" si="158"/>
        <v>0</v>
      </c>
      <c r="M175" s="16">
        <f t="shared" si="159"/>
        <v>0</v>
      </c>
      <c r="N175" s="16">
        <v>2.3500000000000001E-3</v>
      </c>
      <c r="O175" s="16">
        <f t="shared" si="160"/>
        <v>2.3500000000000001E-3</v>
      </c>
      <c r="P175" s="57" t="s">
        <v>461</v>
      </c>
      <c r="Z175" s="16">
        <f t="shared" si="161"/>
        <v>0</v>
      </c>
      <c r="AB175" s="16">
        <f t="shared" si="162"/>
        <v>0</v>
      </c>
      <c r="AC175" s="16">
        <f t="shared" si="163"/>
        <v>0</v>
      </c>
      <c r="AD175" s="16">
        <f t="shared" si="164"/>
        <v>0</v>
      </c>
      <c r="AE175" s="16">
        <f t="shared" si="165"/>
        <v>0</v>
      </c>
      <c r="AF175" s="16">
        <f t="shared" si="166"/>
        <v>0</v>
      </c>
      <c r="AG175" s="16">
        <f t="shared" si="167"/>
        <v>0</v>
      </c>
      <c r="AH175" s="16">
        <f t="shared" si="168"/>
        <v>0</v>
      </c>
      <c r="AI175" s="13" t="s">
        <v>260</v>
      </c>
      <c r="AJ175" s="16">
        <f t="shared" si="169"/>
        <v>0</v>
      </c>
      <c r="AK175" s="16">
        <f t="shared" si="170"/>
        <v>0</v>
      </c>
      <c r="AL175" s="16">
        <f t="shared" si="171"/>
        <v>0</v>
      </c>
      <c r="AN175" s="16">
        <v>12</v>
      </c>
      <c r="AO175" s="16">
        <f>H175*0.819781339</f>
        <v>0</v>
      </c>
      <c r="AP175" s="16">
        <f>H175*(1-0.819781339)</f>
        <v>0</v>
      </c>
      <c r="AQ175" s="56" t="s">
        <v>462</v>
      </c>
      <c r="AV175" s="16">
        <f t="shared" si="172"/>
        <v>0</v>
      </c>
      <c r="AW175" s="16">
        <f t="shared" si="173"/>
        <v>0</v>
      </c>
      <c r="AX175" s="16">
        <f t="shared" si="174"/>
        <v>0</v>
      </c>
      <c r="AY175" s="56" t="s">
        <v>564</v>
      </c>
      <c r="AZ175" s="56" t="s">
        <v>602</v>
      </c>
      <c r="BA175" s="13" t="s">
        <v>603</v>
      </c>
      <c r="BC175" s="16">
        <f t="shared" si="175"/>
        <v>0</v>
      </c>
      <c r="BD175" s="16">
        <f t="shared" si="176"/>
        <v>0</v>
      </c>
      <c r="BE175" s="16">
        <v>0</v>
      </c>
      <c r="BF175" s="16">
        <f t="shared" si="177"/>
        <v>2.3500000000000001E-3</v>
      </c>
      <c r="BH175" s="16">
        <f t="shared" si="178"/>
        <v>0</v>
      </c>
      <c r="BI175" s="16">
        <f t="shared" si="179"/>
        <v>0</v>
      </c>
      <c r="BJ175" s="16">
        <f t="shared" si="180"/>
        <v>0</v>
      </c>
      <c r="BK175" s="16"/>
      <c r="BL175" s="16">
        <v>723</v>
      </c>
      <c r="BW175" s="16" t="str">
        <f t="shared" si="181"/>
        <v>12</v>
      </c>
      <c r="BX175" s="3" t="s">
        <v>268</v>
      </c>
    </row>
    <row r="176" spans="1:76" x14ac:dyDescent="0.25">
      <c r="A176" s="1" t="s">
        <v>607</v>
      </c>
      <c r="B176" s="2" t="s">
        <v>260</v>
      </c>
      <c r="C176" s="2" t="s">
        <v>207</v>
      </c>
      <c r="D176" s="77" t="s">
        <v>208</v>
      </c>
      <c r="E176" s="71"/>
      <c r="F176" s="2" t="s">
        <v>35</v>
      </c>
      <c r="G176" s="16">
        <f>'Rozpočet - vybrané sloupce'!J56</f>
        <v>2</v>
      </c>
      <c r="H176" s="16">
        <f>'Rozpočet - vybrané sloupce'!K56</f>
        <v>0</v>
      </c>
      <c r="I176" s="56" t="s">
        <v>460</v>
      </c>
      <c r="J176" s="16">
        <f t="shared" si="156"/>
        <v>0</v>
      </c>
      <c r="K176" s="16">
        <f t="shared" si="157"/>
        <v>0</v>
      </c>
      <c r="L176" s="16">
        <f t="shared" si="158"/>
        <v>0</v>
      </c>
      <c r="M176" s="16">
        <f t="shared" si="159"/>
        <v>0</v>
      </c>
      <c r="N176" s="16">
        <v>0</v>
      </c>
      <c r="O176" s="16">
        <f t="shared" si="160"/>
        <v>0</v>
      </c>
      <c r="P176" s="57" t="s">
        <v>461</v>
      </c>
      <c r="Z176" s="16">
        <f t="shared" si="161"/>
        <v>0</v>
      </c>
      <c r="AB176" s="16">
        <f t="shared" si="162"/>
        <v>0</v>
      </c>
      <c r="AC176" s="16">
        <f t="shared" si="163"/>
        <v>0</v>
      </c>
      <c r="AD176" s="16">
        <f t="shared" si="164"/>
        <v>0</v>
      </c>
      <c r="AE176" s="16">
        <f t="shared" si="165"/>
        <v>0</v>
      </c>
      <c r="AF176" s="16">
        <f t="shared" si="166"/>
        <v>0</v>
      </c>
      <c r="AG176" s="16">
        <f t="shared" si="167"/>
        <v>0</v>
      </c>
      <c r="AH176" s="16">
        <f t="shared" si="168"/>
        <v>0</v>
      </c>
      <c r="AI176" s="13" t="s">
        <v>260</v>
      </c>
      <c r="AJ176" s="16">
        <f t="shared" si="169"/>
        <v>0</v>
      </c>
      <c r="AK176" s="16">
        <f t="shared" si="170"/>
        <v>0</v>
      </c>
      <c r="AL176" s="16">
        <f t="shared" si="171"/>
        <v>0</v>
      </c>
      <c r="AN176" s="16">
        <v>12</v>
      </c>
      <c r="AO176" s="16">
        <f>H176*0</f>
        <v>0</v>
      </c>
      <c r="AP176" s="16">
        <f>H176*(1-0)</f>
        <v>0</v>
      </c>
      <c r="AQ176" s="56" t="s">
        <v>462</v>
      </c>
      <c r="AV176" s="16">
        <f t="shared" si="172"/>
        <v>0</v>
      </c>
      <c r="AW176" s="16">
        <f t="shared" si="173"/>
        <v>0</v>
      </c>
      <c r="AX176" s="16">
        <f t="shared" si="174"/>
        <v>0</v>
      </c>
      <c r="AY176" s="56" t="s">
        <v>564</v>
      </c>
      <c r="AZ176" s="56" t="s">
        <v>602</v>
      </c>
      <c r="BA176" s="13" t="s">
        <v>603</v>
      </c>
      <c r="BC176" s="16">
        <f t="shared" si="175"/>
        <v>0</v>
      </c>
      <c r="BD176" s="16">
        <f t="shared" si="176"/>
        <v>0</v>
      </c>
      <c r="BE176" s="16">
        <v>0</v>
      </c>
      <c r="BF176" s="16">
        <f t="shared" si="177"/>
        <v>0</v>
      </c>
      <c r="BH176" s="16">
        <f t="shared" si="178"/>
        <v>0</v>
      </c>
      <c r="BI176" s="16">
        <f t="shared" si="179"/>
        <v>0</v>
      </c>
      <c r="BJ176" s="16">
        <f t="shared" si="180"/>
        <v>0</v>
      </c>
      <c r="BK176" s="16"/>
      <c r="BL176" s="16">
        <v>723</v>
      </c>
      <c r="BW176" s="16" t="str">
        <f t="shared" si="181"/>
        <v>12</v>
      </c>
      <c r="BX176" s="3" t="s">
        <v>208</v>
      </c>
    </row>
    <row r="177" spans="1:76" x14ac:dyDescent="0.25">
      <c r="A177" s="1" t="s">
        <v>608</v>
      </c>
      <c r="B177" s="2" t="s">
        <v>260</v>
      </c>
      <c r="C177" s="2" t="s">
        <v>205</v>
      </c>
      <c r="D177" s="77" t="s">
        <v>206</v>
      </c>
      <c r="E177" s="71"/>
      <c r="F177" s="2" t="s">
        <v>31</v>
      </c>
      <c r="G177" s="16">
        <f>'Rozpočet - vybrané sloupce'!J57</f>
        <v>22</v>
      </c>
      <c r="H177" s="16">
        <f>'Rozpočet - vybrané sloupce'!K57</f>
        <v>0</v>
      </c>
      <c r="I177" s="56" t="s">
        <v>460</v>
      </c>
      <c r="J177" s="16">
        <f t="shared" si="156"/>
        <v>0</v>
      </c>
      <c r="K177" s="16">
        <f t="shared" si="157"/>
        <v>0</v>
      </c>
      <c r="L177" s="16">
        <f t="shared" si="158"/>
        <v>0</v>
      </c>
      <c r="M177" s="16">
        <f t="shared" si="159"/>
        <v>0</v>
      </c>
      <c r="N177" s="16">
        <v>0</v>
      </c>
      <c r="O177" s="16">
        <f t="shared" si="160"/>
        <v>0</v>
      </c>
      <c r="P177" s="57" t="s">
        <v>461</v>
      </c>
      <c r="Z177" s="16">
        <f t="shared" si="161"/>
        <v>0</v>
      </c>
      <c r="AB177" s="16">
        <f t="shared" si="162"/>
        <v>0</v>
      </c>
      <c r="AC177" s="16">
        <f t="shared" si="163"/>
        <v>0</v>
      </c>
      <c r="AD177" s="16">
        <f t="shared" si="164"/>
        <v>0</v>
      </c>
      <c r="AE177" s="16">
        <f t="shared" si="165"/>
        <v>0</v>
      </c>
      <c r="AF177" s="16">
        <f t="shared" si="166"/>
        <v>0</v>
      </c>
      <c r="AG177" s="16">
        <f t="shared" si="167"/>
        <v>0</v>
      </c>
      <c r="AH177" s="16">
        <f t="shared" si="168"/>
        <v>0</v>
      </c>
      <c r="AI177" s="13" t="s">
        <v>260</v>
      </c>
      <c r="AJ177" s="16">
        <f t="shared" si="169"/>
        <v>0</v>
      </c>
      <c r="AK177" s="16">
        <f t="shared" si="170"/>
        <v>0</v>
      </c>
      <c r="AL177" s="16">
        <f t="shared" si="171"/>
        <v>0</v>
      </c>
      <c r="AN177" s="16">
        <v>12</v>
      </c>
      <c r="AO177" s="16">
        <f>H177*0</f>
        <v>0</v>
      </c>
      <c r="AP177" s="16">
        <f>H177*(1-0)</f>
        <v>0</v>
      </c>
      <c r="AQ177" s="56" t="s">
        <v>462</v>
      </c>
      <c r="AV177" s="16">
        <f t="shared" si="172"/>
        <v>0</v>
      </c>
      <c r="AW177" s="16">
        <f t="shared" si="173"/>
        <v>0</v>
      </c>
      <c r="AX177" s="16">
        <f t="shared" si="174"/>
        <v>0</v>
      </c>
      <c r="AY177" s="56" t="s">
        <v>564</v>
      </c>
      <c r="AZ177" s="56" t="s">
        <v>602</v>
      </c>
      <c r="BA177" s="13" t="s">
        <v>603</v>
      </c>
      <c r="BC177" s="16">
        <f t="shared" si="175"/>
        <v>0</v>
      </c>
      <c r="BD177" s="16">
        <f t="shared" si="176"/>
        <v>0</v>
      </c>
      <c r="BE177" s="16">
        <v>0</v>
      </c>
      <c r="BF177" s="16">
        <f t="shared" si="177"/>
        <v>0</v>
      </c>
      <c r="BH177" s="16">
        <f t="shared" si="178"/>
        <v>0</v>
      </c>
      <c r="BI177" s="16">
        <f t="shared" si="179"/>
        <v>0</v>
      </c>
      <c r="BJ177" s="16">
        <f t="shared" si="180"/>
        <v>0</v>
      </c>
      <c r="BK177" s="16"/>
      <c r="BL177" s="16">
        <v>723</v>
      </c>
      <c r="BW177" s="16" t="str">
        <f t="shared" si="181"/>
        <v>12</v>
      </c>
      <c r="BX177" s="3" t="s">
        <v>206</v>
      </c>
    </row>
    <row r="178" spans="1:76" x14ac:dyDescent="0.25">
      <c r="A178" s="1" t="s">
        <v>609</v>
      </c>
      <c r="B178" s="2" t="s">
        <v>260</v>
      </c>
      <c r="C178" s="2" t="s">
        <v>209</v>
      </c>
      <c r="D178" s="77" t="s">
        <v>210</v>
      </c>
      <c r="E178" s="71"/>
      <c r="F178" s="2" t="s">
        <v>35</v>
      </c>
      <c r="G178" s="16">
        <f>'Rozpočet - vybrané sloupce'!J58</f>
        <v>1</v>
      </c>
      <c r="H178" s="16">
        <f>'Rozpočet - vybrané sloupce'!K58</f>
        <v>0</v>
      </c>
      <c r="I178" s="56" t="s">
        <v>460</v>
      </c>
      <c r="J178" s="16">
        <f t="shared" si="156"/>
        <v>0</v>
      </c>
      <c r="K178" s="16">
        <f t="shared" si="157"/>
        <v>0</v>
      </c>
      <c r="L178" s="16">
        <f t="shared" si="158"/>
        <v>0</v>
      </c>
      <c r="M178" s="16">
        <f t="shared" si="159"/>
        <v>0</v>
      </c>
      <c r="N178" s="16">
        <v>0</v>
      </c>
      <c r="O178" s="16">
        <f t="shared" si="160"/>
        <v>0</v>
      </c>
      <c r="P178" s="57" t="s">
        <v>461</v>
      </c>
      <c r="Z178" s="16">
        <f t="shared" si="161"/>
        <v>0</v>
      </c>
      <c r="AB178" s="16">
        <f t="shared" si="162"/>
        <v>0</v>
      </c>
      <c r="AC178" s="16">
        <f t="shared" si="163"/>
        <v>0</v>
      </c>
      <c r="AD178" s="16">
        <f t="shared" si="164"/>
        <v>0</v>
      </c>
      <c r="AE178" s="16">
        <f t="shared" si="165"/>
        <v>0</v>
      </c>
      <c r="AF178" s="16">
        <f t="shared" si="166"/>
        <v>0</v>
      </c>
      <c r="AG178" s="16">
        <f t="shared" si="167"/>
        <v>0</v>
      </c>
      <c r="AH178" s="16">
        <f t="shared" si="168"/>
        <v>0</v>
      </c>
      <c r="AI178" s="13" t="s">
        <v>260</v>
      </c>
      <c r="AJ178" s="16">
        <f t="shared" si="169"/>
        <v>0</v>
      </c>
      <c r="AK178" s="16">
        <f t="shared" si="170"/>
        <v>0</v>
      </c>
      <c r="AL178" s="16">
        <f t="shared" si="171"/>
        <v>0</v>
      </c>
      <c r="AN178" s="16">
        <v>12</v>
      </c>
      <c r="AO178" s="16">
        <f>H178*0</f>
        <v>0</v>
      </c>
      <c r="AP178" s="16">
        <f>H178*(1-0)</f>
        <v>0</v>
      </c>
      <c r="AQ178" s="56" t="s">
        <v>462</v>
      </c>
      <c r="AV178" s="16">
        <f t="shared" si="172"/>
        <v>0</v>
      </c>
      <c r="AW178" s="16">
        <f t="shared" si="173"/>
        <v>0</v>
      </c>
      <c r="AX178" s="16">
        <f t="shared" si="174"/>
        <v>0</v>
      </c>
      <c r="AY178" s="56" t="s">
        <v>564</v>
      </c>
      <c r="AZ178" s="56" t="s">
        <v>602</v>
      </c>
      <c r="BA178" s="13" t="s">
        <v>603</v>
      </c>
      <c r="BC178" s="16">
        <f t="shared" si="175"/>
        <v>0</v>
      </c>
      <c r="BD178" s="16">
        <f t="shared" si="176"/>
        <v>0</v>
      </c>
      <c r="BE178" s="16">
        <v>0</v>
      </c>
      <c r="BF178" s="16">
        <f t="shared" si="177"/>
        <v>0</v>
      </c>
      <c r="BH178" s="16">
        <f t="shared" si="178"/>
        <v>0</v>
      </c>
      <c r="BI178" s="16">
        <f t="shared" si="179"/>
        <v>0</v>
      </c>
      <c r="BJ178" s="16">
        <f t="shared" si="180"/>
        <v>0</v>
      </c>
      <c r="BK178" s="16"/>
      <c r="BL178" s="16">
        <v>723</v>
      </c>
      <c r="BW178" s="16" t="str">
        <f t="shared" si="181"/>
        <v>12</v>
      </c>
      <c r="BX178" s="3" t="s">
        <v>210</v>
      </c>
    </row>
    <row r="179" spans="1:76" x14ac:dyDescent="0.25">
      <c r="A179" s="1" t="s">
        <v>610</v>
      </c>
      <c r="B179" s="2" t="s">
        <v>260</v>
      </c>
      <c r="C179" s="2" t="s">
        <v>269</v>
      </c>
      <c r="D179" s="77" t="s">
        <v>270</v>
      </c>
      <c r="E179" s="71"/>
      <c r="F179" s="2" t="s">
        <v>35</v>
      </c>
      <c r="G179" s="16">
        <f>'Rozpočet - vybrané sloupce'!J59</f>
        <v>2</v>
      </c>
      <c r="H179" s="16">
        <f>'Rozpočet - vybrané sloupce'!K59</f>
        <v>0</v>
      </c>
      <c r="I179" s="56" t="s">
        <v>460</v>
      </c>
      <c r="J179" s="16">
        <f t="shared" si="156"/>
        <v>0</v>
      </c>
      <c r="K179" s="16">
        <f t="shared" si="157"/>
        <v>0</v>
      </c>
      <c r="L179" s="16">
        <f t="shared" si="158"/>
        <v>0</v>
      </c>
      <c r="M179" s="16">
        <f t="shared" si="159"/>
        <v>0</v>
      </c>
      <c r="N179" s="16">
        <v>9.7000000000000005E-4</v>
      </c>
      <c r="O179" s="16">
        <f t="shared" si="160"/>
        <v>1.9400000000000001E-3</v>
      </c>
      <c r="P179" s="57" t="s">
        <v>461</v>
      </c>
      <c r="Z179" s="16">
        <f t="shared" si="161"/>
        <v>0</v>
      </c>
      <c r="AB179" s="16">
        <f t="shared" si="162"/>
        <v>0</v>
      </c>
      <c r="AC179" s="16">
        <f t="shared" si="163"/>
        <v>0</v>
      </c>
      <c r="AD179" s="16">
        <f t="shared" si="164"/>
        <v>0</v>
      </c>
      <c r="AE179" s="16">
        <f t="shared" si="165"/>
        <v>0</v>
      </c>
      <c r="AF179" s="16">
        <f t="shared" si="166"/>
        <v>0</v>
      </c>
      <c r="AG179" s="16">
        <f t="shared" si="167"/>
        <v>0</v>
      </c>
      <c r="AH179" s="16">
        <f t="shared" si="168"/>
        <v>0</v>
      </c>
      <c r="AI179" s="13" t="s">
        <v>260</v>
      </c>
      <c r="AJ179" s="16">
        <f t="shared" si="169"/>
        <v>0</v>
      </c>
      <c r="AK179" s="16">
        <f t="shared" si="170"/>
        <v>0</v>
      </c>
      <c r="AL179" s="16">
        <f t="shared" si="171"/>
        <v>0</v>
      </c>
      <c r="AN179" s="16">
        <v>12</v>
      </c>
      <c r="AO179" s="16">
        <f>H179*0.875801205</f>
        <v>0</v>
      </c>
      <c r="AP179" s="16">
        <f>H179*(1-0.875801205)</f>
        <v>0</v>
      </c>
      <c r="AQ179" s="56" t="s">
        <v>462</v>
      </c>
      <c r="AV179" s="16">
        <f t="shared" si="172"/>
        <v>0</v>
      </c>
      <c r="AW179" s="16">
        <f t="shared" si="173"/>
        <v>0</v>
      </c>
      <c r="AX179" s="16">
        <f t="shared" si="174"/>
        <v>0</v>
      </c>
      <c r="AY179" s="56" t="s">
        <v>564</v>
      </c>
      <c r="AZ179" s="56" t="s">
        <v>602</v>
      </c>
      <c r="BA179" s="13" t="s">
        <v>603</v>
      </c>
      <c r="BC179" s="16">
        <f t="shared" si="175"/>
        <v>0</v>
      </c>
      <c r="BD179" s="16">
        <f t="shared" si="176"/>
        <v>0</v>
      </c>
      <c r="BE179" s="16">
        <v>0</v>
      </c>
      <c r="BF179" s="16">
        <f t="shared" si="177"/>
        <v>1.9400000000000001E-3</v>
      </c>
      <c r="BH179" s="16">
        <f t="shared" si="178"/>
        <v>0</v>
      </c>
      <c r="BI179" s="16">
        <f t="shared" si="179"/>
        <v>0</v>
      </c>
      <c r="BJ179" s="16">
        <f t="shared" si="180"/>
        <v>0</v>
      </c>
      <c r="BK179" s="16"/>
      <c r="BL179" s="16">
        <v>723</v>
      </c>
      <c r="BW179" s="16" t="str">
        <f t="shared" si="181"/>
        <v>12</v>
      </c>
      <c r="BX179" s="3" t="s">
        <v>270</v>
      </c>
    </row>
    <row r="180" spans="1:76" x14ac:dyDescent="0.25">
      <c r="A180" s="1" t="s">
        <v>611</v>
      </c>
      <c r="B180" s="2" t="s">
        <v>260</v>
      </c>
      <c r="C180" s="2" t="s">
        <v>271</v>
      </c>
      <c r="D180" s="77" t="s">
        <v>272</v>
      </c>
      <c r="E180" s="71"/>
      <c r="F180" s="2" t="s">
        <v>35</v>
      </c>
      <c r="G180" s="16">
        <f>'Rozpočet - vybrané sloupce'!J60</f>
        <v>1</v>
      </c>
      <c r="H180" s="16">
        <f>'Rozpočet - vybrané sloupce'!K60</f>
        <v>0</v>
      </c>
      <c r="I180" s="56" t="s">
        <v>460</v>
      </c>
      <c r="J180" s="16">
        <f t="shared" si="156"/>
        <v>0</v>
      </c>
      <c r="K180" s="16">
        <f t="shared" si="157"/>
        <v>0</v>
      </c>
      <c r="L180" s="16">
        <f t="shared" si="158"/>
        <v>0</v>
      </c>
      <c r="M180" s="16">
        <f t="shared" si="159"/>
        <v>0</v>
      </c>
      <c r="N180" s="16">
        <v>0</v>
      </c>
      <c r="O180" s="16">
        <f t="shared" si="160"/>
        <v>0</v>
      </c>
      <c r="P180" s="57" t="s">
        <v>461</v>
      </c>
      <c r="Z180" s="16">
        <f t="shared" si="161"/>
        <v>0</v>
      </c>
      <c r="AB180" s="16">
        <f t="shared" si="162"/>
        <v>0</v>
      </c>
      <c r="AC180" s="16">
        <f t="shared" si="163"/>
        <v>0</v>
      </c>
      <c r="AD180" s="16">
        <f t="shared" si="164"/>
        <v>0</v>
      </c>
      <c r="AE180" s="16">
        <f t="shared" si="165"/>
        <v>0</v>
      </c>
      <c r="AF180" s="16">
        <f t="shared" si="166"/>
        <v>0</v>
      </c>
      <c r="AG180" s="16">
        <f t="shared" si="167"/>
        <v>0</v>
      </c>
      <c r="AH180" s="16">
        <f t="shared" si="168"/>
        <v>0</v>
      </c>
      <c r="AI180" s="13" t="s">
        <v>260</v>
      </c>
      <c r="AJ180" s="16">
        <f t="shared" si="169"/>
        <v>0</v>
      </c>
      <c r="AK180" s="16">
        <f t="shared" si="170"/>
        <v>0</v>
      </c>
      <c r="AL180" s="16">
        <f t="shared" si="171"/>
        <v>0</v>
      </c>
      <c r="AN180" s="16">
        <v>12</v>
      </c>
      <c r="AO180" s="16">
        <f>H180*0.333333333</f>
        <v>0</v>
      </c>
      <c r="AP180" s="16">
        <f>H180*(1-0.333333333)</f>
        <v>0</v>
      </c>
      <c r="AQ180" s="56" t="s">
        <v>462</v>
      </c>
      <c r="AV180" s="16">
        <f t="shared" si="172"/>
        <v>0</v>
      </c>
      <c r="AW180" s="16">
        <f t="shared" si="173"/>
        <v>0</v>
      </c>
      <c r="AX180" s="16">
        <f t="shared" si="174"/>
        <v>0</v>
      </c>
      <c r="AY180" s="56" t="s">
        <v>564</v>
      </c>
      <c r="AZ180" s="56" t="s">
        <v>602</v>
      </c>
      <c r="BA180" s="13" t="s">
        <v>603</v>
      </c>
      <c r="BC180" s="16">
        <f t="shared" si="175"/>
        <v>0</v>
      </c>
      <c r="BD180" s="16">
        <f t="shared" si="176"/>
        <v>0</v>
      </c>
      <c r="BE180" s="16">
        <v>0</v>
      </c>
      <c r="BF180" s="16">
        <f t="shared" si="177"/>
        <v>0</v>
      </c>
      <c r="BH180" s="16">
        <f t="shared" si="178"/>
        <v>0</v>
      </c>
      <c r="BI180" s="16">
        <f t="shared" si="179"/>
        <v>0</v>
      </c>
      <c r="BJ180" s="16">
        <f t="shared" si="180"/>
        <v>0</v>
      </c>
      <c r="BK180" s="16"/>
      <c r="BL180" s="16">
        <v>723</v>
      </c>
      <c r="BW180" s="16" t="str">
        <f t="shared" si="181"/>
        <v>12</v>
      </c>
      <c r="BX180" s="3" t="s">
        <v>272</v>
      </c>
    </row>
    <row r="181" spans="1:76" x14ac:dyDescent="0.25">
      <c r="A181" s="1" t="s">
        <v>612</v>
      </c>
      <c r="B181" s="2" t="s">
        <v>260</v>
      </c>
      <c r="C181" s="2" t="s">
        <v>273</v>
      </c>
      <c r="D181" s="77" t="s">
        <v>274</v>
      </c>
      <c r="E181" s="71"/>
      <c r="F181" s="2" t="s">
        <v>35</v>
      </c>
      <c r="G181" s="16">
        <f>'Rozpočet - vybrané sloupce'!J61</f>
        <v>1</v>
      </c>
      <c r="H181" s="16">
        <f>'Rozpočet - vybrané sloupce'!K61</f>
        <v>0</v>
      </c>
      <c r="I181" s="56" t="s">
        <v>460</v>
      </c>
      <c r="J181" s="16">
        <f t="shared" si="156"/>
        <v>0</v>
      </c>
      <c r="K181" s="16">
        <f t="shared" si="157"/>
        <v>0</v>
      </c>
      <c r="L181" s="16">
        <f t="shared" si="158"/>
        <v>0</v>
      </c>
      <c r="M181" s="16">
        <f t="shared" si="159"/>
        <v>0</v>
      </c>
      <c r="N181" s="16">
        <v>0</v>
      </c>
      <c r="O181" s="16">
        <f t="shared" si="160"/>
        <v>0</v>
      </c>
      <c r="P181" s="57" t="s">
        <v>461</v>
      </c>
      <c r="Z181" s="16">
        <f t="shared" si="161"/>
        <v>0</v>
      </c>
      <c r="AB181" s="16">
        <f t="shared" si="162"/>
        <v>0</v>
      </c>
      <c r="AC181" s="16">
        <f t="shared" si="163"/>
        <v>0</v>
      </c>
      <c r="AD181" s="16">
        <f t="shared" si="164"/>
        <v>0</v>
      </c>
      <c r="AE181" s="16">
        <f t="shared" si="165"/>
        <v>0</v>
      </c>
      <c r="AF181" s="16">
        <f t="shared" si="166"/>
        <v>0</v>
      </c>
      <c r="AG181" s="16">
        <f t="shared" si="167"/>
        <v>0</v>
      </c>
      <c r="AH181" s="16">
        <f t="shared" si="168"/>
        <v>0</v>
      </c>
      <c r="AI181" s="13" t="s">
        <v>260</v>
      </c>
      <c r="AJ181" s="16">
        <f t="shared" si="169"/>
        <v>0</v>
      </c>
      <c r="AK181" s="16">
        <f t="shared" si="170"/>
        <v>0</v>
      </c>
      <c r="AL181" s="16">
        <f t="shared" si="171"/>
        <v>0</v>
      </c>
      <c r="AN181" s="16">
        <v>12</v>
      </c>
      <c r="AO181" s="16">
        <f>H181*1</f>
        <v>0</v>
      </c>
      <c r="AP181" s="16">
        <f>H181*(1-1)</f>
        <v>0</v>
      </c>
      <c r="AQ181" s="56" t="s">
        <v>462</v>
      </c>
      <c r="AV181" s="16">
        <f t="shared" si="172"/>
        <v>0</v>
      </c>
      <c r="AW181" s="16">
        <f t="shared" si="173"/>
        <v>0</v>
      </c>
      <c r="AX181" s="16">
        <f t="shared" si="174"/>
        <v>0</v>
      </c>
      <c r="AY181" s="56" t="s">
        <v>564</v>
      </c>
      <c r="AZ181" s="56" t="s">
        <v>602</v>
      </c>
      <c r="BA181" s="13" t="s">
        <v>603</v>
      </c>
      <c r="BC181" s="16">
        <f t="shared" si="175"/>
        <v>0</v>
      </c>
      <c r="BD181" s="16">
        <f t="shared" si="176"/>
        <v>0</v>
      </c>
      <c r="BE181" s="16">
        <v>0</v>
      </c>
      <c r="BF181" s="16">
        <f t="shared" si="177"/>
        <v>0</v>
      </c>
      <c r="BH181" s="16">
        <f t="shared" si="178"/>
        <v>0</v>
      </c>
      <c r="BI181" s="16">
        <f t="shared" si="179"/>
        <v>0</v>
      </c>
      <c r="BJ181" s="16">
        <f t="shared" si="180"/>
        <v>0</v>
      </c>
      <c r="BK181" s="16"/>
      <c r="BL181" s="16">
        <v>723</v>
      </c>
      <c r="BW181" s="16" t="str">
        <f t="shared" si="181"/>
        <v>12</v>
      </c>
      <c r="BX181" s="3" t="s">
        <v>274</v>
      </c>
    </row>
    <row r="182" spans="1:76" x14ac:dyDescent="0.25">
      <c r="A182" s="1" t="s">
        <v>613</v>
      </c>
      <c r="B182" s="2" t="s">
        <v>260</v>
      </c>
      <c r="C182" s="2" t="s">
        <v>275</v>
      </c>
      <c r="D182" s="77" t="s">
        <v>276</v>
      </c>
      <c r="E182" s="71"/>
      <c r="F182" s="2" t="s">
        <v>43</v>
      </c>
      <c r="G182" s="16">
        <f>'Rozpočet - vybrané sloupce'!J62</f>
        <v>240</v>
      </c>
      <c r="H182" s="16">
        <f>'Rozpočet - vybrané sloupce'!K62</f>
        <v>0</v>
      </c>
      <c r="I182" s="56" t="s">
        <v>460</v>
      </c>
      <c r="J182" s="16">
        <f t="shared" si="156"/>
        <v>0</v>
      </c>
      <c r="K182" s="16">
        <f t="shared" si="157"/>
        <v>0</v>
      </c>
      <c r="L182" s="16">
        <f t="shared" si="158"/>
        <v>0</v>
      </c>
      <c r="M182" s="16">
        <f t="shared" si="159"/>
        <v>0</v>
      </c>
      <c r="N182" s="16">
        <v>0</v>
      </c>
      <c r="O182" s="16">
        <f t="shared" si="160"/>
        <v>0</v>
      </c>
      <c r="P182" s="57" t="s">
        <v>461</v>
      </c>
      <c r="Z182" s="16">
        <f t="shared" si="161"/>
        <v>0</v>
      </c>
      <c r="AB182" s="16">
        <f t="shared" si="162"/>
        <v>0</v>
      </c>
      <c r="AC182" s="16">
        <f t="shared" si="163"/>
        <v>0</v>
      </c>
      <c r="AD182" s="16">
        <f t="shared" si="164"/>
        <v>0</v>
      </c>
      <c r="AE182" s="16">
        <f t="shared" si="165"/>
        <v>0</v>
      </c>
      <c r="AF182" s="16">
        <f t="shared" si="166"/>
        <v>0</v>
      </c>
      <c r="AG182" s="16">
        <f t="shared" si="167"/>
        <v>0</v>
      </c>
      <c r="AH182" s="16">
        <f t="shared" si="168"/>
        <v>0</v>
      </c>
      <c r="AI182" s="13" t="s">
        <v>260</v>
      </c>
      <c r="AJ182" s="16">
        <f t="shared" si="169"/>
        <v>0</v>
      </c>
      <c r="AK182" s="16">
        <f t="shared" si="170"/>
        <v>0</v>
      </c>
      <c r="AL182" s="16">
        <f t="shared" si="171"/>
        <v>0</v>
      </c>
      <c r="AN182" s="16">
        <v>12</v>
      </c>
      <c r="AO182" s="16">
        <f>H182*0</f>
        <v>0</v>
      </c>
      <c r="AP182" s="16">
        <f>H182*(1-0)</f>
        <v>0</v>
      </c>
      <c r="AQ182" s="56" t="s">
        <v>470</v>
      </c>
      <c r="AV182" s="16">
        <f t="shared" si="172"/>
        <v>0</v>
      </c>
      <c r="AW182" s="16">
        <f t="shared" si="173"/>
        <v>0</v>
      </c>
      <c r="AX182" s="16">
        <f t="shared" si="174"/>
        <v>0</v>
      </c>
      <c r="AY182" s="56" t="s">
        <v>564</v>
      </c>
      <c r="AZ182" s="56" t="s">
        <v>602</v>
      </c>
      <c r="BA182" s="13" t="s">
        <v>603</v>
      </c>
      <c r="BC182" s="16">
        <f t="shared" si="175"/>
        <v>0</v>
      </c>
      <c r="BD182" s="16">
        <f t="shared" si="176"/>
        <v>0</v>
      </c>
      <c r="BE182" s="16">
        <v>0</v>
      </c>
      <c r="BF182" s="16">
        <f t="shared" si="177"/>
        <v>0</v>
      </c>
      <c r="BH182" s="16">
        <f t="shared" si="178"/>
        <v>0</v>
      </c>
      <c r="BI182" s="16">
        <f t="shared" si="179"/>
        <v>0</v>
      </c>
      <c r="BJ182" s="16">
        <f t="shared" si="180"/>
        <v>0</v>
      </c>
      <c r="BK182" s="16"/>
      <c r="BL182" s="16">
        <v>723</v>
      </c>
      <c r="BW182" s="16" t="str">
        <f t="shared" si="181"/>
        <v>12</v>
      </c>
      <c r="BX182" s="3" t="s">
        <v>276</v>
      </c>
    </row>
    <row r="183" spans="1:76" x14ac:dyDescent="0.25">
      <c r="A183" s="53" t="s">
        <v>25</v>
      </c>
      <c r="B183" s="12" t="s">
        <v>277</v>
      </c>
      <c r="C183" s="12" t="s">
        <v>25</v>
      </c>
      <c r="D183" s="84" t="s">
        <v>278</v>
      </c>
      <c r="E183" s="85"/>
      <c r="F183" s="54" t="s">
        <v>23</v>
      </c>
      <c r="G183" s="54" t="s">
        <v>23</v>
      </c>
      <c r="H183" s="54" t="s">
        <v>23</v>
      </c>
      <c r="I183" s="54" t="s">
        <v>23</v>
      </c>
      <c r="J183" s="29" t="e">
        <f>J184+J194+J199+J201+J206+J215+J218+J220+J222+J224+J234</f>
        <v>#REF!</v>
      </c>
      <c r="K183" s="29" t="e">
        <f>K184+K194+K199+K201+K206+K215+K218+K220+K222+K224+K234</f>
        <v>#REF!</v>
      </c>
      <c r="L183" s="29" t="e">
        <f>L184+L194+L199+L201+L206+L215+L218+L220+L222+L224+L234</f>
        <v>#REF!</v>
      </c>
      <c r="M183" s="29" t="e">
        <f>M184+M194+M199+M201+M206+M215+M218+M220+M222+M224+M234</f>
        <v>#REF!</v>
      </c>
      <c r="N183" s="13" t="s">
        <v>25</v>
      </c>
      <c r="O183" s="29" t="e">
        <f>O184+O194+O199+O201+O206+O215+O218+O220+O222+O224+O234</f>
        <v>#REF!</v>
      </c>
      <c r="P183" s="55" t="s">
        <v>25</v>
      </c>
    </row>
    <row r="184" spans="1:76" x14ac:dyDescent="0.25">
      <c r="A184" s="53" t="s">
        <v>25</v>
      </c>
      <c r="B184" s="12" t="s">
        <v>277</v>
      </c>
      <c r="C184" s="12" t="s">
        <v>279</v>
      </c>
      <c r="D184" s="84" t="s">
        <v>280</v>
      </c>
      <c r="E184" s="85"/>
      <c r="F184" s="54" t="s">
        <v>23</v>
      </c>
      <c r="G184" s="54" t="s">
        <v>23</v>
      </c>
      <c r="H184" s="54" t="s">
        <v>23</v>
      </c>
      <c r="I184" s="54" t="s">
        <v>23</v>
      </c>
      <c r="J184" s="29" t="e">
        <f>SUM(J185:J193)</f>
        <v>#REF!</v>
      </c>
      <c r="K184" s="29" t="e">
        <f>SUM(K185:K193)</f>
        <v>#REF!</v>
      </c>
      <c r="L184" s="29" t="e">
        <f>SUM(L185:L193)</f>
        <v>#REF!</v>
      </c>
      <c r="M184" s="29" t="e">
        <f>SUM(M185:M193)</f>
        <v>#REF!</v>
      </c>
      <c r="N184" s="13" t="s">
        <v>25</v>
      </c>
      <c r="O184" s="29" t="e">
        <f>SUM(O185:O193)</f>
        <v>#REF!</v>
      </c>
      <c r="P184" s="55" t="s">
        <v>25</v>
      </c>
      <c r="AI184" s="13" t="s">
        <v>277</v>
      </c>
      <c r="AS184" s="29">
        <f>SUM(AJ185:AJ193)</f>
        <v>0</v>
      </c>
      <c r="AT184" s="29" t="e">
        <f>SUM(AK185:AK193)</f>
        <v>#REF!</v>
      </c>
      <c r="AU184" s="29">
        <f>SUM(AL185:AL193)</f>
        <v>0</v>
      </c>
    </row>
    <row r="185" spans="1:76" x14ac:dyDescent="0.25">
      <c r="A185" s="1" t="s">
        <v>614</v>
      </c>
      <c r="B185" s="2" t="s">
        <v>277</v>
      </c>
      <c r="C185" s="2" t="s">
        <v>281</v>
      </c>
      <c r="D185" s="77" t="s">
        <v>282</v>
      </c>
      <c r="E185" s="71"/>
      <c r="F185" s="2" t="s">
        <v>40</v>
      </c>
      <c r="G185" s="16" t="e">
        <f>'Rozpočet - vybrané sloupce'!#REF!</f>
        <v>#REF!</v>
      </c>
      <c r="H185" s="16" t="e">
        <f>'Rozpočet - vybrané sloupce'!#REF!</f>
        <v>#REF!</v>
      </c>
      <c r="I185" s="56" t="s">
        <v>460</v>
      </c>
      <c r="J185" s="16" t="e">
        <f>G185*AO185</f>
        <v>#REF!</v>
      </c>
      <c r="K185" s="16" t="e">
        <f>G185*AP185</f>
        <v>#REF!</v>
      </c>
      <c r="L185" s="16" t="e">
        <f>G185*H185</f>
        <v>#REF!</v>
      </c>
      <c r="M185" s="16" t="e">
        <f>L185*(1+BW185/100)</f>
        <v>#REF!</v>
      </c>
      <c r="N185" s="16">
        <v>0</v>
      </c>
      <c r="O185" s="16" t="e">
        <f>G185*N185</f>
        <v>#REF!</v>
      </c>
      <c r="P185" s="57" t="s">
        <v>615</v>
      </c>
      <c r="Z185" s="16">
        <f>IF(AQ185="5",BJ185,0)</f>
        <v>0</v>
      </c>
      <c r="AB185" s="16" t="e">
        <f>IF(AQ185="1",BH185,0)</f>
        <v>#REF!</v>
      </c>
      <c r="AC185" s="16" t="e">
        <f>IF(AQ185="1",BI185,0)</f>
        <v>#REF!</v>
      </c>
      <c r="AD185" s="16">
        <f>IF(AQ185="7",BH185,0)</f>
        <v>0</v>
      </c>
      <c r="AE185" s="16">
        <f>IF(AQ185="7",BI185,0)</f>
        <v>0</v>
      </c>
      <c r="AF185" s="16">
        <f>IF(AQ185="2",BH185,0)</f>
        <v>0</v>
      </c>
      <c r="AG185" s="16">
        <f>IF(AQ185="2",BI185,0)</f>
        <v>0</v>
      </c>
      <c r="AH185" s="16">
        <f>IF(AQ185="0",BJ185,0)</f>
        <v>0</v>
      </c>
      <c r="AI185" s="13" t="s">
        <v>277</v>
      </c>
      <c r="AJ185" s="16">
        <f>IF(AN185=0,L185,0)</f>
        <v>0</v>
      </c>
      <c r="AK185" s="16" t="e">
        <f>IF(AN185=12,L185,0)</f>
        <v>#REF!</v>
      </c>
      <c r="AL185" s="16">
        <f>IF(AN185=21,L185,0)</f>
        <v>0</v>
      </c>
      <c r="AN185" s="16">
        <v>12</v>
      </c>
      <c r="AO185" s="16" t="e">
        <f>H185*0</f>
        <v>#REF!</v>
      </c>
      <c r="AP185" s="16" t="e">
        <f>H185*(1-0)</f>
        <v>#REF!</v>
      </c>
      <c r="AQ185" s="56" t="s">
        <v>459</v>
      </c>
      <c r="AV185" s="16" t="e">
        <f>AW185+AX185</f>
        <v>#REF!</v>
      </c>
      <c r="AW185" s="16" t="e">
        <f>G185*AO185</f>
        <v>#REF!</v>
      </c>
      <c r="AX185" s="16" t="e">
        <f>G185*AP185</f>
        <v>#REF!</v>
      </c>
      <c r="AY185" s="56" t="s">
        <v>616</v>
      </c>
      <c r="AZ185" s="56" t="s">
        <v>617</v>
      </c>
      <c r="BA185" s="13" t="s">
        <v>618</v>
      </c>
      <c r="BC185" s="16" t="e">
        <f>AW185+AX185</f>
        <v>#REF!</v>
      </c>
      <c r="BD185" s="16" t="e">
        <f>H185/(100-BE185)*100</f>
        <v>#REF!</v>
      </c>
      <c r="BE185" s="16">
        <v>0</v>
      </c>
      <c r="BF185" s="16" t="e">
        <f>O185</f>
        <v>#REF!</v>
      </c>
      <c r="BH185" s="16" t="e">
        <f>G185*AO185</f>
        <v>#REF!</v>
      </c>
      <c r="BI185" s="16" t="e">
        <f>G185*AP185</f>
        <v>#REF!</v>
      </c>
      <c r="BJ185" s="16" t="e">
        <f>G185*H185</f>
        <v>#REF!</v>
      </c>
      <c r="BK185" s="16"/>
      <c r="BL185" s="16">
        <v>34</v>
      </c>
      <c r="BW185" s="16" t="str">
        <f>I185</f>
        <v>12</v>
      </c>
      <c r="BX185" s="3" t="s">
        <v>282</v>
      </c>
    </row>
    <row r="186" spans="1:76" x14ac:dyDescent="0.25">
      <c r="A186" s="1" t="s">
        <v>619</v>
      </c>
      <c r="B186" s="2" t="s">
        <v>277</v>
      </c>
      <c r="C186" s="2" t="s">
        <v>283</v>
      </c>
      <c r="D186" s="77" t="s">
        <v>284</v>
      </c>
      <c r="E186" s="71"/>
      <c r="F186" s="2" t="s">
        <v>40</v>
      </c>
      <c r="G186" s="16" t="e">
        <f>'Rozpočet - vybrané sloupce'!#REF!</f>
        <v>#REF!</v>
      </c>
      <c r="H186" s="16" t="e">
        <f>'Rozpočet - vybrané sloupce'!#REF!</f>
        <v>#REF!</v>
      </c>
      <c r="I186" s="56" t="s">
        <v>460</v>
      </c>
      <c r="J186" s="16" t="e">
        <f>G186*AO186</f>
        <v>#REF!</v>
      </c>
      <c r="K186" s="16" t="e">
        <f>G186*AP186</f>
        <v>#REF!</v>
      </c>
      <c r="L186" s="16" t="e">
        <f>G186*H186</f>
        <v>#REF!</v>
      </c>
      <c r="M186" s="16" t="e">
        <f>L186*(1+BW186/100)</f>
        <v>#REF!</v>
      </c>
      <c r="N186" s="16">
        <v>0</v>
      </c>
      <c r="O186" s="16" t="e">
        <f>G186*N186</f>
        <v>#REF!</v>
      </c>
      <c r="P186" s="57" t="s">
        <v>461</v>
      </c>
      <c r="Z186" s="16">
        <f>IF(AQ186="5",BJ186,0)</f>
        <v>0</v>
      </c>
      <c r="AB186" s="16" t="e">
        <f>IF(AQ186="1",BH186,0)</f>
        <v>#REF!</v>
      </c>
      <c r="AC186" s="16" t="e">
        <f>IF(AQ186="1",BI186,0)</f>
        <v>#REF!</v>
      </c>
      <c r="AD186" s="16">
        <f>IF(AQ186="7",BH186,0)</f>
        <v>0</v>
      </c>
      <c r="AE186" s="16">
        <f>IF(AQ186="7",BI186,0)</f>
        <v>0</v>
      </c>
      <c r="AF186" s="16">
        <f>IF(AQ186="2",BH186,0)</f>
        <v>0</v>
      </c>
      <c r="AG186" s="16">
        <f>IF(AQ186="2",BI186,0)</f>
        <v>0</v>
      </c>
      <c r="AH186" s="16">
        <f>IF(AQ186="0",BJ186,0)</f>
        <v>0</v>
      </c>
      <c r="AI186" s="13" t="s">
        <v>277</v>
      </c>
      <c r="AJ186" s="16">
        <f>IF(AN186=0,L186,0)</f>
        <v>0</v>
      </c>
      <c r="AK186" s="16" t="e">
        <f>IF(AN186=12,L186,0)</f>
        <v>#REF!</v>
      </c>
      <c r="AL186" s="16">
        <f>IF(AN186=21,L186,0)</f>
        <v>0</v>
      </c>
      <c r="AN186" s="16">
        <v>12</v>
      </c>
      <c r="AO186" s="16" t="e">
        <f>H186*0</f>
        <v>#REF!</v>
      </c>
      <c r="AP186" s="16" t="e">
        <f>H186*(1-0)</f>
        <v>#REF!</v>
      </c>
      <c r="AQ186" s="56" t="s">
        <v>459</v>
      </c>
      <c r="AV186" s="16" t="e">
        <f>AW186+AX186</f>
        <v>#REF!</v>
      </c>
      <c r="AW186" s="16" t="e">
        <f>G186*AO186</f>
        <v>#REF!</v>
      </c>
      <c r="AX186" s="16" t="e">
        <f>G186*AP186</f>
        <v>#REF!</v>
      </c>
      <c r="AY186" s="56" t="s">
        <v>616</v>
      </c>
      <c r="AZ186" s="56" t="s">
        <v>617</v>
      </c>
      <c r="BA186" s="13" t="s">
        <v>618</v>
      </c>
      <c r="BC186" s="16" t="e">
        <f>AW186+AX186</f>
        <v>#REF!</v>
      </c>
      <c r="BD186" s="16" t="e">
        <f>H186/(100-BE186)*100</f>
        <v>#REF!</v>
      </c>
      <c r="BE186" s="16">
        <v>0</v>
      </c>
      <c r="BF186" s="16" t="e">
        <f>O186</f>
        <v>#REF!</v>
      </c>
      <c r="BH186" s="16" t="e">
        <f>G186*AO186</f>
        <v>#REF!</v>
      </c>
      <c r="BI186" s="16" t="e">
        <f>G186*AP186</f>
        <v>#REF!</v>
      </c>
      <c r="BJ186" s="16" t="e">
        <f>G186*H186</f>
        <v>#REF!</v>
      </c>
      <c r="BK186" s="16"/>
      <c r="BL186" s="16">
        <v>34</v>
      </c>
      <c r="BW186" s="16" t="str">
        <f>I186</f>
        <v>12</v>
      </c>
      <c r="BX186" s="3" t="s">
        <v>284</v>
      </c>
    </row>
    <row r="187" spans="1:76" x14ac:dyDescent="0.25">
      <c r="A187" s="1" t="s">
        <v>620</v>
      </c>
      <c r="B187" s="2" t="s">
        <v>277</v>
      </c>
      <c r="C187" s="2" t="s">
        <v>285</v>
      </c>
      <c r="D187" s="77" t="s">
        <v>286</v>
      </c>
      <c r="E187" s="71"/>
      <c r="F187" s="2" t="s">
        <v>35</v>
      </c>
      <c r="G187" s="16" t="e">
        <f>'Rozpočet - vybrané sloupce'!#REF!</f>
        <v>#REF!</v>
      </c>
      <c r="H187" s="16" t="e">
        <f>'Rozpočet - vybrané sloupce'!#REF!</f>
        <v>#REF!</v>
      </c>
      <c r="I187" s="56" t="s">
        <v>460</v>
      </c>
      <c r="J187" s="16" t="e">
        <f>G187*AO187</f>
        <v>#REF!</v>
      </c>
      <c r="K187" s="16" t="e">
        <f>G187*AP187</f>
        <v>#REF!</v>
      </c>
      <c r="L187" s="16" t="e">
        <f>G187*H187</f>
        <v>#REF!</v>
      </c>
      <c r="M187" s="16" t="e">
        <f>L187*(1+BW187/100)</f>
        <v>#REF!</v>
      </c>
      <c r="N187" s="16">
        <v>0</v>
      </c>
      <c r="O187" s="16" t="e">
        <f>G187*N187</f>
        <v>#REF!</v>
      </c>
      <c r="P187" s="57" t="s">
        <v>461</v>
      </c>
      <c r="Z187" s="16">
        <f>IF(AQ187="5",BJ187,0)</f>
        <v>0</v>
      </c>
      <c r="AB187" s="16" t="e">
        <f>IF(AQ187="1",BH187,0)</f>
        <v>#REF!</v>
      </c>
      <c r="AC187" s="16" t="e">
        <f>IF(AQ187="1",BI187,0)</f>
        <v>#REF!</v>
      </c>
      <c r="AD187" s="16">
        <f>IF(AQ187="7",BH187,0)</f>
        <v>0</v>
      </c>
      <c r="AE187" s="16">
        <f>IF(AQ187="7",BI187,0)</f>
        <v>0</v>
      </c>
      <c r="AF187" s="16">
        <f>IF(AQ187="2",BH187,0)</f>
        <v>0</v>
      </c>
      <c r="AG187" s="16">
        <f>IF(AQ187="2",BI187,0)</f>
        <v>0</v>
      </c>
      <c r="AH187" s="16">
        <f>IF(AQ187="0",BJ187,0)</f>
        <v>0</v>
      </c>
      <c r="AI187" s="13" t="s">
        <v>277</v>
      </c>
      <c r="AJ187" s="16">
        <f>IF(AN187=0,L187,0)</f>
        <v>0</v>
      </c>
      <c r="AK187" s="16" t="e">
        <f>IF(AN187=12,L187,0)</f>
        <v>#REF!</v>
      </c>
      <c r="AL187" s="16">
        <f>IF(AN187=21,L187,0)</f>
        <v>0</v>
      </c>
      <c r="AN187" s="16">
        <v>12</v>
      </c>
      <c r="AO187" s="16" t="e">
        <f>H187*1</f>
        <v>#REF!</v>
      </c>
      <c r="AP187" s="16" t="e">
        <f>H187*(1-1)</f>
        <v>#REF!</v>
      </c>
      <c r="AQ187" s="56" t="s">
        <v>459</v>
      </c>
      <c r="AV187" s="16" t="e">
        <f>AW187+AX187</f>
        <v>#REF!</v>
      </c>
      <c r="AW187" s="16" t="e">
        <f>G187*AO187</f>
        <v>#REF!</v>
      </c>
      <c r="AX187" s="16" t="e">
        <f>G187*AP187</f>
        <v>#REF!</v>
      </c>
      <c r="AY187" s="56" t="s">
        <v>616</v>
      </c>
      <c r="AZ187" s="56" t="s">
        <v>617</v>
      </c>
      <c r="BA187" s="13" t="s">
        <v>618</v>
      </c>
      <c r="BC187" s="16" t="e">
        <f>AW187+AX187</f>
        <v>#REF!</v>
      </c>
      <c r="BD187" s="16" t="e">
        <f>H187/(100-BE187)*100</f>
        <v>#REF!</v>
      </c>
      <c r="BE187" s="16">
        <v>0</v>
      </c>
      <c r="BF187" s="16" t="e">
        <f>O187</f>
        <v>#REF!</v>
      </c>
      <c r="BH187" s="16" t="e">
        <f>G187*AO187</f>
        <v>#REF!</v>
      </c>
      <c r="BI187" s="16" t="e">
        <f>G187*AP187</f>
        <v>#REF!</v>
      </c>
      <c r="BJ187" s="16" t="e">
        <f>G187*H187</f>
        <v>#REF!</v>
      </c>
      <c r="BK187" s="16"/>
      <c r="BL187" s="16">
        <v>34</v>
      </c>
      <c r="BW187" s="16" t="str">
        <f>I187</f>
        <v>12</v>
      </c>
      <c r="BX187" s="3" t="s">
        <v>286</v>
      </c>
    </row>
    <row r="188" spans="1:76" x14ac:dyDescent="0.25">
      <c r="A188" s="1" t="s">
        <v>621</v>
      </c>
      <c r="B188" s="2" t="s">
        <v>277</v>
      </c>
      <c r="C188" s="2" t="s">
        <v>287</v>
      </c>
      <c r="D188" s="77" t="s">
        <v>288</v>
      </c>
      <c r="E188" s="71"/>
      <c r="F188" s="2" t="s">
        <v>35</v>
      </c>
      <c r="G188" s="16" t="e">
        <f>'Rozpočet - vybrané sloupce'!#REF!</f>
        <v>#REF!</v>
      </c>
      <c r="H188" s="16" t="e">
        <f>'Rozpočet - vybrané sloupce'!#REF!</f>
        <v>#REF!</v>
      </c>
      <c r="I188" s="56" t="s">
        <v>460</v>
      </c>
      <c r="J188" s="16" t="e">
        <f>G188*AO188</f>
        <v>#REF!</v>
      </c>
      <c r="K188" s="16" t="e">
        <f>G188*AP188</f>
        <v>#REF!</v>
      </c>
      <c r="L188" s="16" t="e">
        <f>G188*H188</f>
        <v>#REF!</v>
      </c>
      <c r="M188" s="16" t="e">
        <f>L188*(1+BW188/100)</f>
        <v>#REF!</v>
      </c>
      <c r="N188" s="16">
        <v>2.4000000000000001E-4</v>
      </c>
      <c r="O188" s="16" t="e">
        <f>G188*N188</f>
        <v>#REF!</v>
      </c>
      <c r="P188" s="57" t="s">
        <v>461</v>
      </c>
      <c r="Z188" s="16">
        <f>IF(AQ188="5",BJ188,0)</f>
        <v>0</v>
      </c>
      <c r="AB188" s="16" t="e">
        <f>IF(AQ188="1",BH188,0)</f>
        <v>#REF!</v>
      </c>
      <c r="AC188" s="16" t="e">
        <f>IF(AQ188="1",BI188,0)</f>
        <v>#REF!</v>
      </c>
      <c r="AD188" s="16">
        <f>IF(AQ188="7",BH188,0)</f>
        <v>0</v>
      </c>
      <c r="AE188" s="16">
        <f>IF(AQ188="7",BI188,0)</f>
        <v>0</v>
      </c>
      <c r="AF188" s="16">
        <f>IF(AQ188="2",BH188,0)</f>
        <v>0</v>
      </c>
      <c r="AG188" s="16">
        <f>IF(AQ188="2",BI188,0)</f>
        <v>0</v>
      </c>
      <c r="AH188" s="16">
        <f>IF(AQ188="0",BJ188,0)</f>
        <v>0</v>
      </c>
      <c r="AI188" s="13" t="s">
        <v>277</v>
      </c>
      <c r="AJ188" s="16">
        <f>IF(AN188=0,L188,0)</f>
        <v>0</v>
      </c>
      <c r="AK188" s="16" t="e">
        <f>IF(AN188=12,L188,0)</f>
        <v>#REF!</v>
      </c>
      <c r="AL188" s="16">
        <f>IF(AN188=21,L188,0)</f>
        <v>0</v>
      </c>
      <c r="AN188" s="16">
        <v>12</v>
      </c>
      <c r="AO188" s="16" t="e">
        <f>H188*0.022540092</f>
        <v>#REF!</v>
      </c>
      <c r="AP188" s="16" t="e">
        <f>H188*(1-0.022540092)</f>
        <v>#REF!</v>
      </c>
      <c r="AQ188" s="56" t="s">
        <v>459</v>
      </c>
      <c r="AV188" s="16" t="e">
        <f>AW188+AX188</f>
        <v>#REF!</v>
      </c>
      <c r="AW188" s="16" t="e">
        <f>G188*AO188</f>
        <v>#REF!</v>
      </c>
      <c r="AX188" s="16" t="e">
        <f>G188*AP188</f>
        <v>#REF!</v>
      </c>
      <c r="AY188" s="56" t="s">
        <v>616</v>
      </c>
      <c r="AZ188" s="56" t="s">
        <v>617</v>
      </c>
      <c r="BA188" s="13" t="s">
        <v>618</v>
      </c>
      <c r="BC188" s="16" t="e">
        <f>AW188+AX188</f>
        <v>#REF!</v>
      </c>
      <c r="BD188" s="16" t="e">
        <f>H188/(100-BE188)*100</f>
        <v>#REF!</v>
      </c>
      <c r="BE188" s="16">
        <v>0</v>
      </c>
      <c r="BF188" s="16" t="e">
        <f>O188</f>
        <v>#REF!</v>
      </c>
      <c r="BH188" s="16" t="e">
        <f>G188*AO188</f>
        <v>#REF!</v>
      </c>
      <c r="BI188" s="16" t="e">
        <f>G188*AP188</f>
        <v>#REF!</v>
      </c>
      <c r="BJ188" s="16" t="e">
        <f>G188*H188</f>
        <v>#REF!</v>
      </c>
      <c r="BK188" s="16"/>
      <c r="BL188" s="16">
        <v>34</v>
      </c>
      <c r="BW188" s="16" t="str">
        <f>I188</f>
        <v>12</v>
      </c>
      <c r="BX188" s="3" t="s">
        <v>288</v>
      </c>
    </row>
    <row r="189" spans="1:76" ht="38.25" x14ac:dyDescent="0.25">
      <c r="A189" s="58"/>
      <c r="C189" s="59" t="s">
        <v>475</v>
      </c>
      <c r="D189" s="122" t="s">
        <v>622</v>
      </c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4"/>
      <c r="BX189" s="60" t="s">
        <v>622</v>
      </c>
    </row>
    <row r="190" spans="1:76" x14ac:dyDescent="0.25">
      <c r="A190" s="1" t="s">
        <v>623</v>
      </c>
      <c r="B190" s="2" t="s">
        <v>277</v>
      </c>
      <c r="C190" s="2" t="s">
        <v>289</v>
      </c>
      <c r="D190" s="77" t="s">
        <v>290</v>
      </c>
      <c r="E190" s="71"/>
      <c r="F190" s="2" t="s">
        <v>35</v>
      </c>
      <c r="G190" s="16" t="e">
        <f>'Rozpočet - vybrané sloupce'!#REF!</f>
        <v>#REF!</v>
      </c>
      <c r="H190" s="16" t="e">
        <f>'Rozpočet - vybrané sloupce'!#REF!</f>
        <v>#REF!</v>
      </c>
      <c r="I190" s="56" t="s">
        <v>460</v>
      </c>
      <c r="J190" s="16" t="e">
        <f>G190*AO190</f>
        <v>#REF!</v>
      </c>
      <c r="K190" s="16" t="e">
        <f>G190*AP190</f>
        <v>#REF!</v>
      </c>
      <c r="L190" s="16" t="e">
        <f>G190*H190</f>
        <v>#REF!</v>
      </c>
      <c r="M190" s="16" t="e">
        <f>L190*(1+BW190/100)</f>
        <v>#REF!</v>
      </c>
      <c r="N190" s="16">
        <v>0</v>
      </c>
      <c r="O190" s="16" t="e">
        <f>G190*N190</f>
        <v>#REF!</v>
      </c>
      <c r="P190" s="57" t="s">
        <v>461</v>
      </c>
      <c r="Z190" s="16">
        <f>IF(AQ190="5",BJ190,0)</f>
        <v>0</v>
      </c>
      <c r="AB190" s="16" t="e">
        <f>IF(AQ190="1",BH190,0)</f>
        <v>#REF!</v>
      </c>
      <c r="AC190" s="16" t="e">
        <f>IF(AQ190="1",BI190,0)</f>
        <v>#REF!</v>
      </c>
      <c r="AD190" s="16">
        <f>IF(AQ190="7",BH190,0)</f>
        <v>0</v>
      </c>
      <c r="AE190" s="16">
        <f>IF(AQ190="7",BI190,0)</f>
        <v>0</v>
      </c>
      <c r="AF190" s="16">
        <f>IF(AQ190="2",BH190,0)</f>
        <v>0</v>
      </c>
      <c r="AG190" s="16">
        <f>IF(AQ190="2",BI190,0)</f>
        <v>0</v>
      </c>
      <c r="AH190" s="16">
        <f>IF(AQ190="0",BJ190,0)</f>
        <v>0</v>
      </c>
      <c r="AI190" s="13" t="s">
        <v>277</v>
      </c>
      <c r="AJ190" s="16">
        <f>IF(AN190=0,L190,0)</f>
        <v>0</v>
      </c>
      <c r="AK190" s="16" t="e">
        <f>IF(AN190=12,L190,0)</f>
        <v>#REF!</v>
      </c>
      <c r="AL190" s="16">
        <f>IF(AN190=21,L190,0)</f>
        <v>0</v>
      </c>
      <c r="AN190" s="16">
        <v>12</v>
      </c>
      <c r="AO190" s="16" t="e">
        <f>H190*1</f>
        <v>#REF!</v>
      </c>
      <c r="AP190" s="16" t="e">
        <f>H190*(1-1)</f>
        <v>#REF!</v>
      </c>
      <c r="AQ190" s="56" t="s">
        <v>459</v>
      </c>
      <c r="AV190" s="16" t="e">
        <f>AW190+AX190</f>
        <v>#REF!</v>
      </c>
      <c r="AW190" s="16" t="e">
        <f>G190*AO190</f>
        <v>#REF!</v>
      </c>
      <c r="AX190" s="16" t="e">
        <f>G190*AP190</f>
        <v>#REF!</v>
      </c>
      <c r="AY190" s="56" t="s">
        <v>616</v>
      </c>
      <c r="AZ190" s="56" t="s">
        <v>617</v>
      </c>
      <c r="BA190" s="13" t="s">
        <v>618</v>
      </c>
      <c r="BC190" s="16" t="e">
        <f>AW190+AX190</f>
        <v>#REF!</v>
      </c>
      <c r="BD190" s="16" t="e">
        <f>H190/(100-BE190)*100</f>
        <v>#REF!</v>
      </c>
      <c r="BE190" s="16">
        <v>0</v>
      </c>
      <c r="BF190" s="16" t="e">
        <f>O190</f>
        <v>#REF!</v>
      </c>
      <c r="BH190" s="16" t="e">
        <f>G190*AO190</f>
        <v>#REF!</v>
      </c>
      <c r="BI190" s="16" t="e">
        <f>G190*AP190</f>
        <v>#REF!</v>
      </c>
      <c r="BJ190" s="16" t="e">
        <f>G190*H190</f>
        <v>#REF!</v>
      </c>
      <c r="BK190" s="16"/>
      <c r="BL190" s="16">
        <v>34</v>
      </c>
      <c r="BW190" s="16" t="str">
        <f>I190</f>
        <v>12</v>
      </c>
      <c r="BX190" s="3" t="s">
        <v>290</v>
      </c>
    </row>
    <row r="191" spans="1:76" x14ac:dyDescent="0.25">
      <c r="A191" s="1" t="s">
        <v>624</v>
      </c>
      <c r="B191" s="2" t="s">
        <v>277</v>
      </c>
      <c r="C191" s="2" t="s">
        <v>291</v>
      </c>
      <c r="D191" s="77" t="s">
        <v>292</v>
      </c>
      <c r="E191" s="71"/>
      <c r="F191" s="2" t="s">
        <v>293</v>
      </c>
      <c r="G191" s="16" t="e">
        <f>'Rozpočet - vybrané sloupce'!#REF!</f>
        <v>#REF!</v>
      </c>
      <c r="H191" s="16" t="e">
        <f>'Rozpočet - vybrané sloupce'!#REF!</f>
        <v>#REF!</v>
      </c>
      <c r="I191" s="56" t="s">
        <v>460</v>
      </c>
      <c r="J191" s="16" t="e">
        <f>G191*AO191</f>
        <v>#REF!</v>
      </c>
      <c r="K191" s="16" t="e">
        <f>G191*AP191</f>
        <v>#REF!</v>
      </c>
      <c r="L191" s="16" t="e">
        <f>G191*H191</f>
        <v>#REF!</v>
      </c>
      <c r="M191" s="16" t="e">
        <f>L191*(1+BW191/100)</f>
        <v>#REF!</v>
      </c>
      <c r="N191" s="16">
        <v>0.25395000000000001</v>
      </c>
      <c r="O191" s="16" t="e">
        <f>G191*N191</f>
        <v>#REF!</v>
      </c>
      <c r="P191" s="57" t="s">
        <v>461</v>
      </c>
      <c r="Z191" s="16">
        <f>IF(AQ191="5",BJ191,0)</f>
        <v>0</v>
      </c>
      <c r="AB191" s="16" t="e">
        <f>IF(AQ191="1",BH191,0)</f>
        <v>#REF!</v>
      </c>
      <c r="AC191" s="16" t="e">
        <f>IF(AQ191="1",BI191,0)</f>
        <v>#REF!</v>
      </c>
      <c r="AD191" s="16">
        <f>IF(AQ191="7",BH191,0)</f>
        <v>0</v>
      </c>
      <c r="AE191" s="16">
        <f>IF(AQ191="7",BI191,0)</f>
        <v>0</v>
      </c>
      <c r="AF191" s="16">
        <f>IF(AQ191="2",BH191,0)</f>
        <v>0</v>
      </c>
      <c r="AG191" s="16">
        <f>IF(AQ191="2",BI191,0)</f>
        <v>0</v>
      </c>
      <c r="AH191" s="16">
        <f>IF(AQ191="0",BJ191,0)</f>
        <v>0</v>
      </c>
      <c r="AI191" s="13" t="s">
        <v>277</v>
      </c>
      <c r="AJ191" s="16">
        <f>IF(AN191=0,L191,0)</f>
        <v>0</v>
      </c>
      <c r="AK191" s="16" t="e">
        <f>IF(AN191=12,L191,0)</f>
        <v>#REF!</v>
      </c>
      <c r="AL191" s="16">
        <f>IF(AN191=21,L191,0)</f>
        <v>0</v>
      </c>
      <c r="AN191" s="16">
        <v>12</v>
      </c>
      <c r="AO191" s="16" t="e">
        <f>H191*0.574716422</f>
        <v>#REF!</v>
      </c>
      <c r="AP191" s="16" t="e">
        <f>H191*(1-0.574716422)</f>
        <v>#REF!</v>
      </c>
      <c r="AQ191" s="56" t="s">
        <v>459</v>
      </c>
      <c r="AV191" s="16" t="e">
        <f>AW191+AX191</f>
        <v>#REF!</v>
      </c>
      <c r="AW191" s="16" t="e">
        <f>G191*AO191</f>
        <v>#REF!</v>
      </c>
      <c r="AX191" s="16" t="e">
        <f>G191*AP191</f>
        <v>#REF!</v>
      </c>
      <c r="AY191" s="56" t="s">
        <v>616</v>
      </c>
      <c r="AZ191" s="56" t="s">
        <v>617</v>
      </c>
      <c r="BA191" s="13" t="s">
        <v>618</v>
      </c>
      <c r="BC191" s="16" t="e">
        <f>AW191+AX191</f>
        <v>#REF!</v>
      </c>
      <c r="BD191" s="16" t="e">
        <f>H191/(100-BE191)*100</f>
        <v>#REF!</v>
      </c>
      <c r="BE191" s="16">
        <v>0</v>
      </c>
      <c r="BF191" s="16" t="e">
        <f>O191</f>
        <v>#REF!</v>
      </c>
      <c r="BH191" s="16" t="e">
        <f>G191*AO191</f>
        <v>#REF!</v>
      </c>
      <c r="BI191" s="16" t="e">
        <f>G191*AP191</f>
        <v>#REF!</v>
      </c>
      <c r="BJ191" s="16" t="e">
        <f>G191*H191</f>
        <v>#REF!</v>
      </c>
      <c r="BK191" s="16"/>
      <c r="BL191" s="16">
        <v>34</v>
      </c>
      <c r="BW191" s="16" t="str">
        <f>I191</f>
        <v>12</v>
      </c>
      <c r="BX191" s="3" t="s">
        <v>292</v>
      </c>
    </row>
    <row r="192" spans="1:76" ht="25.5" x14ac:dyDescent="0.25">
      <c r="A192" s="58"/>
      <c r="C192" s="59" t="s">
        <v>475</v>
      </c>
      <c r="D192" s="122" t="s">
        <v>625</v>
      </c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4"/>
      <c r="BX192" s="60" t="s">
        <v>625</v>
      </c>
    </row>
    <row r="193" spans="1:76" x14ac:dyDescent="0.25">
      <c r="A193" s="1" t="s">
        <v>626</v>
      </c>
      <c r="B193" s="2" t="s">
        <v>277</v>
      </c>
      <c r="C193" s="2" t="s">
        <v>294</v>
      </c>
      <c r="D193" s="77" t="s">
        <v>295</v>
      </c>
      <c r="E193" s="71"/>
      <c r="F193" s="2" t="s">
        <v>76</v>
      </c>
      <c r="G193" s="16" t="e">
        <f>'Rozpočet - vybrané sloupce'!#REF!</f>
        <v>#REF!</v>
      </c>
      <c r="H193" s="16" t="e">
        <f>'Rozpočet - vybrané sloupce'!#REF!</f>
        <v>#REF!</v>
      </c>
      <c r="I193" s="56" t="s">
        <v>460</v>
      </c>
      <c r="J193" s="16" t="e">
        <f>G193*AO193</f>
        <v>#REF!</v>
      </c>
      <c r="K193" s="16" t="e">
        <f>G193*AP193</f>
        <v>#REF!</v>
      </c>
      <c r="L193" s="16" t="e">
        <f>G193*H193</f>
        <v>#REF!</v>
      </c>
      <c r="M193" s="16" t="e">
        <f>L193*(1+BW193/100)</f>
        <v>#REF!</v>
      </c>
      <c r="N193" s="16">
        <v>0</v>
      </c>
      <c r="O193" s="16" t="e">
        <f>G193*N193</f>
        <v>#REF!</v>
      </c>
      <c r="P193" s="57" t="s">
        <v>461</v>
      </c>
      <c r="Z193" s="16" t="e">
        <f>IF(AQ193="5",BJ193,0)</f>
        <v>#REF!</v>
      </c>
      <c r="AB193" s="16">
        <f>IF(AQ193="1",BH193,0)</f>
        <v>0</v>
      </c>
      <c r="AC193" s="16">
        <f>IF(AQ193="1",BI193,0)</f>
        <v>0</v>
      </c>
      <c r="AD193" s="16">
        <f>IF(AQ193="7",BH193,0)</f>
        <v>0</v>
      </c>
      <c r="AE193" s="16">
        <f>IF(AQ193="7",BI193,0)</f>
        <v>0</v>
      </c>
      <c r="AF193" s="16">
        <f>IF(AQ193="2",BH193,0)</f>
        <v>0</v>
      </c>
      <c r="AG193" s="16">
        <f>IF(AQ193="2",BI193,0)</f>
        <v>0</v>
      </c>
      <c r="AH193" s="16">
        <f>IF(AQ193="0",BJ193,0)</f>
        <v>0</v>
      </c>
      <c r="AI193" s="13" t="s">
        <v>277</v>
      </c>
      <c r="AJ193" s="16">
        <f>IF(AN193=0,L193,0)</f>
        <v>0</v>
      </c>
      <c r="AK193" s="16" t="e">
        <f>IF(AN193=12,L193,0)</f>
        <v>#REF!</v>
      </c>
      <c r="AL193" s="16">
        <f>IF(AN193=21,L193,0)</f>
        <v>0</v>
      </c>
      <c r="AN193" s="16">
        <v>12</v>
      </c>
      <c r="AO193" s="16" t="e">
        <f>H193*0</f>
        <v>#REF!</v>
      </c>
      <c r="AP193" s="16" t="e">
        <f>H193*(1-0)</f>
        <v>#REF!</v>
      </c>
      <c r="AQ193" s="56" t="s">
        <v>470</v>
      </c>
      <c r="AV193" s="16" t="e">
        <f>AW193+AX193</f>
        <v>#REF!</v>
      </c>
      <c r="AW193" s="16" t="e">
        <f>G193*AO193</f>
        <v>#REF!</v>
      </c>
      <c r="AX193" s="16" t="e">
        <f>G193*AP193</f>
        <v>#REF!</v>
      </c>
      <c r="AY193" s="56" t="s">
        <v>616</v>
      </c>
      <c r="AZ193" s="56" t="s">
        <v>617</v>
      </c>
      <c r="BA193" s="13" t="s">
        <v>618</v>
      </c>
      <c r="BC193" s="16" t="e">
        <f>AW193+AX193</f>
        <v>#REF!</v>
      </c>
      <c r="BD193" s="16" t="e">
        <f>H193/(100-BE193)*100</f>
        <v>#REF!</v>
      </c>
      <c r="BE193" s="16">
        <v>0</v>
      </c>
      <c r="BF193" s="16" t="e">
        <f>O193</f>
        <v>#REF!</v>
      </c>
      <c r="BH193" s="16" t="e">
        <f>G193*AO193</f>
        <v>#REF!</v>
      </c>
      <c r="BI193" s="16" t="e">
        <f>G193*AP193</f>
        <v>#REF!</v>
      </c>
      <c r="BJ193" s="16" t="e">
        <f>G193*H193</f>
        <v>#REF!</v>
      </c>
      <c r="BK193" s="16"/>
      <c r="BL193" s="16">
        <v>34</v>
      </c>
      <c r="BW193" s="16" t="str">
        <f>I193</f>
        <v>12</v>
      </c>
      <c r="BX193" s="3" t="s">
        <v>295</v>
      </c>
    </row>
    <row r="194" spans="1:76" x14ac:dyDescent="0.25">
      <c r="A194" s="53" t="s">
        <v>25</v>
      </c>
      <c r="B194" s="12" t="s">
        <v>277</v>
      </c>
      <c r="C194" s="12" t="s">
        <v>296</v>
      </c>
      <c r="D194" s="84" t="s">
        <v>297</v>
      </c>
      <c r="E194" s="85"/>
      <c r="F194" s="54" t="s">
        <v>23</v>
      </c>
      <c r="G194" s="54" t="s">
        <v>23</v>
      </c>
      <c r="H194" s="54" t="s">
        <v>23</v>
      </c>
      <c r="I194" s="54" t="s">
        <v>23</v>
      </c>
      <c r="J194" s="29" t="e">
        <f>SUM(J195:J198)</f>
        <v>#REF!</v>
      </c>
      <c r="K194" s="29" t="e">
        <f>SUM(K195:K198)</f>
        <v>#REF!</v>
      </c>
      <c r="L194" s="29" t="e">
        <f>SUM(L195:L198)</f>
        <v>#REF!</v>
      </c>
      <c r="M194" s="29" t="e">
        <f>SUM(M195:M198)</f>
        <v>#REF!</v>
      </c>
      <c r="N194" s="13" t="s">
        <v>25</v>
      </c>
      <c r="O194" s="29" t="e">
        <f>SUM(O195:O198)</f>
        <v>#REF!</v>
      </c>
      <c r="P194" s="55" t="s">
        <v>25</v>
      </c>
      <c r="AI194" s="13" t="s">
        <v>277</v>
      </c>
      <c r="AS194" s="29">
        <f>SUM(AJ195:AJ198)</f>
        <v>0</v>
      </c>
      <c r="AT194" s="29" t="e">
        <f>SUM(AK195:AK198)</f>
        <v>#REF!</v>
      </c>
      <c r="AU194" s="29">
        <f>SUM(AL195:AL198)</f>
        <v>0</v>
      </c>
    </row>
    <row r="195" spans="1:76" x14ac:dyDescent="0.25">
      <c r="A195" s="1" t="s">
        <v>627</v>
      </c>
      <c r="B195" s="2" t="s">
        <v>277</v>
      </c>
      <c r="C195" s="2" t="s">
        <v>298</v>
      </c>
      <c r="D195" s="77" t="s">
        <v>299</v>
      </c>
      <c r="E195" s="71"/>
      <c r="F195" s="2" t="s">
        <v>35</v>
      </c>
      <c r="G195" s="16" t="e">
        <f>'Rozpočet - vybrané sloupce'!#REF!</f>
        <v>#REF!</v>
      </c>
      <c r="H195" s="16" t="e">
        <f>'Rozpočet - vybrané sloupce'!#REF!</f>
        <v>#REF!</v>
      </c>
      <c r="I195" s="56" t="s">
        <v>460</v>
      </c>
      <c r="J195" s="16" t="e">
        <f>G195*AO195</f>
        <v>#REF!</v>
      </c>
      <c r="K195" s="16" t="e">
        <f>G195*AP195</f>
        <v>#REF!</v>
      </c>
      <c r="L195" s="16" t="e">
        <f>G195*H195</f>
        <v>#REF!</v>
      </c>
      <c r="M195" s="16" t="e">
        <f>L195*(1+BW195/100)</f>
        <v>#REF!</v>
      </c>
      <c r="N195" s="16">
        <v>1.298E-2</v>
      </c>
      <c r="O195" s="16" t="e">
        <f>G195*N195</f>
        <v>#REF!</v>
      </c>
      <c r="P195" s="57" t="s">
        <v>461</v>
      </c>
      <c r="Z195" s="16">
        <f>IF(AQ195="5",BJ195,0)</f>
        <v>0</v>
      </c>
      <c r="AB195" s="16" t="e">
        <f>IF(AQ195="1",BH195,0)</f>
        <v>#REF!</v>
      </c>
      <c r="AC195" s="16" t="e">
        <f>IF(AQ195="1",BI195,0)</f>
        <v>#REF!</v>
      </c>
      <c r="AD195" s="16">
        <f>IF(AQ195="7",BH195,0)</f>
        <v>0</v>
      </c>
      <c r="AE195" s="16">
        <f>IF(AQ195="7",BI195,0)</f>
        <v>0</v>
      </c>
      <c r="AF195" s="16">
        <f>IF(AQ195="2",BH195,0)</f>
        <v>0</v>
      </c>
      <c r="AG195" s="16">
        <f>IF(AQ195="2",BI195,0)</f>
        <v>0</v>
      </c>
      <c r="AH195" s="16">
        <f>IF(AQ195="0",BJ195,0)</f>
        <v>0</v>
      </c>
      <c r="AI195" s="13" t="s">
        <v>277</v>
      </c>
      <c r="AJ195" s="16">
        <f>IF(AN195=0,L195,0)</f>
        <v>0</v>
      </c>
      <c r="AK195" s="16" t="e">
        <f>IF(AN195=12,L195,0)</f>
        <v>#REF!</v>
      </c>
      <c r="AL195" s="16">
        <f>IF(AN195=21,L195,0)</f>
        <v>0</v>
      </c>
      <c r="AN195" s="16">
        <v>12</v>
      </c>
      <c r="AO195" s="16" t="e">
        <f>H195*0.310208808</f>
        <v>#REF!</v>
      </c>
      <c r="AP195" s="16" t="e">
        <f>H195*(1-0.310208808)</f>
        <v>#REF!</v>
      </c>
      <c r="AQ195" s="56" t="s">
        <v>459</v>
      </c>
      <c r="AV195" s="16" t="e">
        <f>AW195+AX195</f>
        <v>#REF!</v>
      </c>
      <c r="AW195" s="16" t="e">
        <f>G195*AO195</f>
        <v>#REF!</v>
      </c>
      <c r="AX195" s="16" t="e">
        <f>G195*AP195</f>
        <v>#REF!</v>
      </c>
      <c r="AY195" s="56" t="s">
        <v>628</v>
      </c>
      <c r="AZ195" s="56" t="s">
        <v>629</v>
      </c>
      <c r="BA195" s="13" t="s">
        <v>618</v>
      </c>
      <c r="BC195" s="16" t="e">
        <f>AW195+AX195</f>
        <v>#REF!</v>
      </c>
      <c r="BD195" s="16" t="e">
        <f>H195/(100-BE195)*100</f>
        <v>#REF!</v>
      </c>
      <c r="BE195" s="16">
        <v>0</v>
      </c>
      <c r="BF195" s="16" t="e">
        <f>O195</f>
        <v>#REF!</v>
      </c>
      <c r="BH195" s="16" t="e">
        <f>G195*AO195</f>
        <v>#REF!</v>
      </c>
      <c r="BI195" s="16" t="e">
        <f>G195*AP195</f>
        <v>#REF!</v>
      </c>
      <c r="BJ195" s="16" t="e">
        <f>G195*H195</f>
        <v>#REF!</v>
      </c>
      <c r="BK195" s="16"/>
      <c r="BL195" s="16">
        <v>411</v>
      </c>
      <c r="BW195" s="16" t="str">
        <f>I195</f>
        <v>12</v>
      </c>
      <c r="BX195" s="3" t="s">
        <v>299</v>
      </c>
    </row>
    <row r="196" spans="1:76" x14ac:dyDescent="0.25">
      <c r="A196" s="1" t="s">
        <v>630</v>
      </c>
      <c r="B196" s="2" t="s">
        <v>277</v>
      </c>
      <c r="C196" s="2" t="s">
        <v>300</v>
      </c>
      <c r="D196" s="77" t="s">
        <v>301</v>
      </c>
      <c r="E196" s="71"/>
      <c r="F196" s="2" t="s">
        <v>35</v>
      </c>
      <c r="G196" s="16" t="e">
        <f>'Rozpočet - vybrané sloupce'!#REF!</f>
        <v>#REF!</v>
      </c>
      <c r="H196" s="16" t="e">
        <f>'Rozpočet - vybrané sloupce'!#REF!</f>
        <v>#REF!</v>
      </c>
      <c r="I196" s="56" t="s">
        <v>460</v>
      </c>
      <c r="J196" s="16" t="e">
        <f>G196*AO196</f>
        <v>#REF!</v>
      </c>
      <c r="K196" s="16" t="e">
        <f>G196*AP196</f>
        <v>#REF!</v>
      </c>
      <c r="L196" s="16" t="e">
        <f>G196*H196</f>
        <v>#REF!</v>
      </c>
      <c r="M196" s="16" t="e">
        <f>L196*(1+BW196/100)</f>
        <v>#REF!</v>
      </c>
      <c r="N196" s="16">
        <v>5.203E-2</v>
      </c>
      <c r="O196" s="16" t="e">
        <f>G196*N196</f>
        <v>#REF!</v>
      </c>
      <c r="P196" s="57" t="s">
        <v>461</v>
      </c>
      <c r="Z196" s="16">
        <f>IF(AQ196="5",BJ196,0)</f>
        <v>0</v>
      </c>
      <c r="AB196" s="16" t="e">
        <f>IF(AQ196="1",BH196,0)</f>
        <v>#REF!</v>
      </c>
      <c r="AC196" s="16" t="e">
        <f>IF(AQ196="1",BI196,0)</f>
        <v>#REF!</v>
      </c>
      <c r="AD196" s="16">
        <f>IF(AQ196="7",BH196,0)</f>
        <v>0</v>
      </c>
      <c r="AE196" s="16">
        <f>IF(AQ196="7",BI196,0)</f>
        <v>0</v>
      </c>
      <c r="AF196" s="16">
        <f>IF(AQ196="2",BH196,0)</f>
        <v>0</v>
      </c>
      <c r="AG196" s="16">
        <f>IF(AQ196="2",BI196,0)</f>
        <v>0</v>
      </c>
      <c r="AH196" s="16">
        <f>IF(AQ196="0",BJ196,0)</f>
        <v>0</v>
      </c>
      <c r="AI196" s="13" t="s">
        <v>277</v>
      </c>
      <c r="AJ196" s="16">
        <f>IF(AN196=0,L196,0)</f>
        <v>0</v>
      </c>
      <c r="AK196" s="16" t="e">
        <f>IF(AN196=12,L196,0)</f>
        <v>#REF!</v>
      </c>
      <c r="AL196" s="16">
        <f>IF(AN196=21,L196,0)</f>
        <v>0</v>
      </c>
      <c r="AN196" s="16">
        <v>12</v>
      </c>
      <c r="AO196" s="16" t="e">
        <f>H196*0.1272</f>
        <v>#REF!</v>
      </c>
      <c r="AP196" s="16" t="e">
        <f>H196*(1-0.1272)</f>
        <v>#REF!</v>
      </c>
      <c r="AQ196" s="56" t="s">
        <v>459</v>
      </c>
      <c r="AV196" s="16" t="e">
        <f>AW196+AX196</f>
        <v>#REF!</v>
      </c>
      <c r="AW196" s="16" t="e">
        <f>G196*AO196</f>
        <v>#REF!</v>
      </c>
      <c r="AX196" s="16" t="e">
        <f>G196*AP196</f>
        <v>#REF!</v>
      </c>
      <c r="AY196" s="56" t="s">
        <v>628</v>
      </c>
      <c r="AZ196" s="56" t="s">
        <v>629</v>
      </c>
      <c r="BA196" s="13" t="s">
        <v>618</v>
      </c>
      <c r="BC196" s="16" t="e">
        <f>AW196+AX196</f>
        <v>#REF!</v>
      </c>
      <c r="BD196" s="16" t="e">
        <f>H196/(100-BE196)*100</f>
        <v>#REF!</v>
      </c>
      <c r="BE196" s="16">
        <v>0</v>
      </c>
      <c r="BF196" s="16" t="e">
        <f>O196</f>
        <v>#REF!</v>
      </c>
      <c r="BH196" s="16" t="e">
        <f>G196*AO196</f>
        <v>#REF!</v>
      </c>
      <c r="BI196" s="16" t="e">
        <f>G196*AP196</f>
        <v>#REF!</v>
      </c>
      <c r="BJ196" s="16" t="e">
        <f>G196*H196</f>
        <v>#REF!</v>
      </c>
      <c r="BK196" s="16"/>
      <c r="BL196" s="16">
        <v>411</v>
      </c>
      <c r="BW196" s="16" t="str">
        <f>I196</f>
        <v>12</v>
      </c>
      <c r="BX196" s="3" t="s">
        <v>301</v>
      </c>
    </row>
    <row r="197" spans="1:76" ht="25.5" x14ac:dyDescent="0.25">
      <c r="A197" s="58"/>
      <c r="C197" s="59" t="s">
        <v>475</v>
      </c>
      <c r="D197" s="122" t="s">
        <v>631</v>
      </c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4"/>
      <c r="BX197" s="60" t="s">
        <v>631</v>
      </c>
    </row>
    <row r="198" spans="1:76" x14ac:dyDescent="0.25">
      <c r="A198" s="1" t="s">
        <v>632</v>
      </c>
      <c r="B198" s="2" t="s">
        <v>277</v>
      </c>
      <c r="C198" s="2" t="s">
        <v>294</v>
      </c>
      <c r="D198" s="77" t="s">
        <v>295</v>
      </c>
      <c r="E198" s="71"/>
      <c r="F198" s="2" t="s">
        <v>76</v>
      </c>
      <c r="G198" s="16" t="e">
        <f>'Rozpočet - vybrané sloupce'!#REF!</f>
        <v>#REF!</v>
      </c>
      <c r="H198" s="16" t="e">
        <f>'Rozpočet - vybrané sloupce'!#REF!</f>
        <v>#REF!</v>
      </c>
      <c r="I198" s="56" t="s">
        <v>460</v>
      </c>
      <c r="J198" s="16" t="e">
        <f>G198*AO198</f>
        <v>#REF!</v>
      </c>
      <c r="K198" s="16" t="e">
        <f>G198*AP198</f>
        <v>#REF!</v>
      </c>
      <c r="L198" s="16" t="e">
        <f>G198*H198</f>
        <v>#REF!</v>
      </c>
      <c r="M198" s="16" t="e">
        <f>L198*(1+BW198/100)</f>
        <v>#REF!</v>
      </c>
      <c r="N198" s="16">
        <v>0</v>
      </c>
      <c r="O198" s="16" t="e">
        <f>G198*N198</f>
        <v>#REF!</v>
      </c>
      <c r="P198" s="57" t="s">
        <v>461</v>
      </c>
      <c r="Z198" s="16" t="e">
        <f>IF(AQ198="5",BJ198,0)</f>
        <v>#REF!</v>
      </c>
      <c r="AB198" s="16">
        <f>IF(AQ198="1",BH198,0)</f>
        <v>0</v>
      </c>
      <c r="AC198" s="16">
        <f>IF(AQ198="1",BI198,0)</f>
        <v>0</v>
      </c>
      <c r="AD198" s="16">
        <f>IF(AQ198="7",BH198,0)</f>
        <v>0</v>
      </c>
      <c r="AE198" s="16">
        <f>IF(AQ198="7",BI198,0)</f>
        <v>0</v>
      </c>
      <c r="AF198" s="16">
        <f>IF(AQ198="2",BH198,0)</f>
        <v>0</v>
      </c>
      <c r="AG198" s="16">
        <f>IF(AQ198="2",BI198,0)</f>
        <v>0</v>
      </c>
      <c r="AH198" s="16">
        <f>IF(AQ198="0",BJ198,0)</f>
        <v>0</v>
      </c>
      <c r="AI198" s="13" t="s">
        <v>277</v>
      </c>
      <c r="AJ198" s="16">
        <f>IF(AN198=0,L198,0)</f>
        <v>0</v>
      </c>
      <c r="AK198" s="16" t="e">
        <f>IF(AN198=12,L198,0)</f>
        <v>#REF!</v>
      </c>
      <c r="AL198" s="16">
        <f>IF(AN198=21,L198,0)</f>
        <v>0</v>
      </c>
      <c r="AN198" s="16">
        <v>12</v>
      </c>
      <c r="AO198" s="16" t="e">
        <f>H198*0</f>
        <v>#REF!</v>
      </c>
      <c r="AP198" s="16" t="e">
        <f>H198*(1-0)</f>
        <v>#REF!</v>
      </c>
      <c r="AQ198" s="56" t="s">
        <v>470</v>
      </c>
      <c r="AV198" s="16" t="e">
        <f>AW198+AX198</f>
        <v>#REF!</v>
      </c>
      <c r="AW198" s="16" t="e">
        <f>G198*AO198</f>
        <v>#REF!</v>
      </c>
      <c r="AX198" s="16" t="e">
        <f>G198*AP198</f>
        <v>#REF!</v>
      </c>
      <c r="AY198" s="56" t="s">
        <v>628</v>
      </c>
      <c r="AZ198" s="56" t="s">
        <v>629</v>
      </c>
      <c r="BA198" s="13" t="s">
        <v>618</v>
      </c>
      <c r="BC198" s="16" t="e">
        <f>AW198+AX198</f>
        <v>#REF!</v>
      </c>
      <c r="BD198" s="16" t="e">
        <f>H198/(100-BE198)*100</f>
        <v>#REF!</v>
      </c>
      <c r="BE198" s="16">
        <v>0</v>
      </c>
      <c r="BF198" s="16" t="e">
        <f>O198</f>
        <v>#REF!</v>
      </c>
      <c r="BH198" s="16" t="e">
        <f>G198*AO198</f>
        <v>#REF!</v>
      </c>
      <c r="BI198" s="16" t="e">
        <f>G198*AP198</f>
        <v>#REF!</v>
      </c>
      <c r="BJ198" s="16" t="e">
        <f>G198*H198</f>
        <v>#REF!</v>
      </c>
      <c r="BK198" s="16"/>
      <c r="BL198" s="16">
        <v>411</v>
      </c>
      <c r="BW198" s="16" t="str">
        <f>I198</f>
        <v>12</v>
      </c>
      <c r="BX198" s="3" t="s">
        <v>295</v>
      </c>
    </row>
    <row r="199" spans="1:76" x14ac:dyDescent="0.25">
      <c r="A199" s="53" t="s">
        <v>25</v>
      </c>
      <c r="B199" s="12" t="s">
        <v>277</v>
      </c>
      <c r="C199" s="12" t="s">
        <v>302</v>
      </c>
      <c r="D199" s="84" t="s">
        <v>303</v>
      </c>
      <c r="E199" s="85"/>
      <c r="F199" s="54" t="s">
        <v>23</v>
      </c>
      <c r="G199" s="54" t="s">
        <v>23</v>
      </c>
      <c r="H199" s="54" t="s">
        <v>23</v>
      </c>
      <c r="I199" s="54" t="s">
        <v>23</v>
      </c>
      <c r="J199" s="29" t="e">
        <f>SUM(J200:J200)</f>
        <v>#REF!</v>
      </c>
      <c r="K199" s="29" t="e">
        <f>SUM(K200:K200)</f>
        <v>#REF!</v>
      </c>
      <c r="L199" s="29" t="e">
        <f>SUM(L200:L200)</f>
        <v>#REF!</v>
      </c>
      <c r="M199" s="29" t="e">
        <f>SUM(M200:M200)</f>
        <v>#REF!</v>
      </c>
      <c r="N199" s="13" t="s">
        <v>25</v>
      </c>
      <c r="O199" s="29" t="e">
        <f>SUM(O200:O200)</f>
        <v>#REF!</v>
      </c>
      <c r="P199" s="55" t="s">
        <v>25</v>
      </c>
      <c r="AI199" s="13" t="s">
        <v>277</v>
      </c>
      <c r="AS199" s="29">
        <f>SUM(AJ200:AJ200)</f>
        <v>0</v>
      </c>
      <c r="AT199" s="29" t="e">
        <f>SUM(AK200:AK200)</f>
        <v>#REF!</v>
      </c>
      <c r="AU199" s="29">
        <f>SUM(AL200:AL200)</f>
        <v>0</v>
      </c>
    </row>
    <row r="200" spans="1:76" x14ac:dyDescent="0.25">
      <c r="A200" s="1" t="s">
        <v>633</v>
      </c>
      <c r="B200" s="2" t="s">
        <v>277</v>
      </c>
      <c r="C200" s="2" t="s">
        <v>304</v>
      </c>
      <c r="D200" s="77" t="s">
        <v>305</v>
      </c>
      <c r="E200" s="71"/>
      <c r="F200" s="2" t="s">
        <v>40</v>
      </c>
      <c r="G200" s="16" t="e">
        <f>'Rozpočet - vybrané sloupce'!#REF!</f>
        <v>#REF!</v>
      </c>
      <c r="H200" s="16" t="e">
        <f>'Rozpočet - vybrané sloupce'!#REF!</f>
        <v>#REF!</v>
      </c>
      <c r="I200" s="56" t="s">
        <v>460</v>
      </c>
      <c r="J200" s="16" t="e">
        <f>G200*AO200</f>
        <v>#REF!</v>
      </c>
      <c r="K200" s="16" t="e">
        <f>G200*AP200</f>
        <v>#REF!</v>
      </c>
      <c r="L200" s="16" t="e">
        <f>G200*H200</f>
        <v>#REF!</v>
      </c>
      <c r="M200" s="16" t="e">
        <f>L200*(1+BW200/100)</f>
        <v>#REF!</v>
      </c>
      <c r="N200" s="16">
        <v>0</v>
      </c>
      <c r="O200" s="16" t="e">
        <f>G200*N200</f>
        <v>#REF!</v>
      </c>
      <c r="P200" s="57" t="s">
        <v>461</v>
      </c>
      <c r="Z200" s="16">
        <f>IF(AQ200="5",BJ200,0)</f>
        <v>0</v>
      </c>
      <c r="AB200" s="16">
        <f>IF(AQ200="1",BH200,0)</f>
        <v>0</v>
      </c>
      <c r="AC200" s="16">
        <f>IF(AQ200="1",BI200,0)</f>
        <v>0</v>
      </c>
      <c r="AD200" s="16" t="e">
        <f>IF(AQ200="7",BH200,0)</f>
        <v>#REF!</v>
      </c>
      <c r="AE200" s="16" t="e">
        <f>IF(AQ200="7",BI200,0)</f>
        <v>#REF!</v>
      </c>
      <c r="AF200" s="16">
        <f>IF(AQ200="2",BH200,0)</f>
        <v>0</v>
      </c>
      <c r="AG200" s="16">
        <f>IF(AQ200="2",BI200,0)</f>
        <v>0</v>
      </c>
      <c r="AH200" s="16">
        <f>IF(AQ200="0",BJ200,0)</f>
        <v>0</v>
      </c>
      <c r="AI200" s="13" t="s">
        <v>277</v>
      </c>
      <c r="AJ200" s="16">
        <f>IF(AN200=0,L200,0)</f>
        <v>0</v>
      </c>
      <c r="AK200" s="16" t="e">
        <f>IF(AN200=12,L200,0)</f>
        <v>#REF!</v>
      </c>
      <c r="AL200" s="16">
        <f>IF(AN200=21,L200,0)</f>
        <v>0</v>
      </c>
      <c r="AN200" s="16">
        <v>12</v>
      </c>
      <c r="AO200" s="16" t="e">
        <f>H200*0.5</f>
        <v>#REF!</v>
      </c>
      <c r="AP200" s="16" t="e">
        <f>H200*(1-0.5)</f>
        <v>#REF!</v>
      </c>
      <c r="AQ200" s="56" t="s">
        <v>462</v>
      </c>
      <c r="AV200" s="16" t="e">
        <f>AW200+AX200</f>
        <v>#REF!</v>
      </c>
      <c r="AW200" s="16" t="e">
        <f>G200*AO200</f>
        <v>#REF!</v>
      </c>
      <c r="AX200" s="16" t="e">
        <f>G200*AP200</f>
        <v>#REF!</v>
      </c>
      <c r="AY200" s="56" t="s">
        <v>634</v>
      </c>
      <c r="AZ200" s="56" t="s">
        <v>635</v>
      </c>
      <c r="BA200" s="13" t="s">
        <v>618</v>
      </c>
      <c r="BC200" s="16" t="e">
        <f>AW200+AX200</f>
        <v>#REF!</v>
      </c>
      <c r="BD200" s="16" t="e">
        <f>H200/(100-BE200)*100</f>
        <v>#REF!</v>
      </c>
      <c r="BE200" s="16">
        <v>0</v>
      </c>
      <c r="BF200" s="16" t="e">
        <f>O200</f>
        <v>#REF!</v>
      </c>
      <c r="BH200" s="16" t="e">
        <f>G200*AO200</f>
        <v>#REF!</v>
      </c>
      <c r="BI200" s="16" t="e">
        <f>G200*AP200</f>
        <v>#REF!</v>
      </c>
      <c r="BJ200" s="16" t="e">
        <f>G200*H200</f>
        <v>#REF!</v>
      </c>
      <c r="BK200" s="16"/>
      <c r="BL200" s="16">
        <v>74</v>
      </c>
      <c r="BW200" s="16" t="str">
        <f>I200</f>
        <v>12</v>
      </c>
      <c r="BX200" s="3" t="s">
        <v>305</v>
      </c>
    </row>
    <row r="201" spans="1:76" x14ac:dyDescent="0.25">
      <c r="A201" s="53" t="s">
        <v>25</v>
      </c>
      <c r="B201" s="12" t="s">
        <v>277</v>
      </c>
      <c r="C201" s="12" t="s">
        <v>306</v>
      </c>
      <c r="D201" s="84" t="s">
        <v>307</v>
      </c>
      <c r="E201" s="85"/>
      <c r="F201" s="54" t="s">
        <v>23</v>
      </c>
      <c r="G201" s="54" t="s">
        <v>23</v>
      </c>
      <c r="H201" s="54" t="s">
        <v>23</v>
      </c>
      <c r="I201" s="54" t="s">
        <v>23</v>
      </c>
      <c r="J201" s="29" t="e">
        <f>SUM(J202:J205)</f>
        <v>#REF!</v>
      </c>
      <c r="K201" s="29" t="e">
        <f>SUM(K202:K205)</f>
        <v>#REF!</v>
      </c>
      <c r="L201" s="29" t="e">
        <f>SUM(L202:L205)</f>
        <v>#REF!</v>
      </c>
      <c r="M201" s="29" t="e">
        <f>SUM(M202:M205)</f>
        <v>#REF!</v>
      </c>
      <c r="N201" s="13" t="s">
        <v>25</v>
      </c>
      <c r="O201" s="29" t="e">
        <f>SUM(O202:O205)</f>
        <v>#REF!</v>
      </c>
      <c r="P201" s="55" t="s">
        <v>25</v>
      </c>
      <c r="AI201" s="13" t="s">
        <v>277</v>
      </c>
      <c r="AS201" s="29">
        <f>SUM(AJ202:AJ205)</f>
        <v>0</v>
      </c>
      <c r="AT201" s="29" t="e">
        <f>SUM(AK202:AK205)</f>
        <v>#REF!</v>
      </c>
      <c r="AU201" s="29">
        <f>SUM(AL202:AL205)</f>
        <v>0</v>
      </c>
    </row>
    <row r="202" spans="1:76" x14ac:dyDescent="0.25">
      <c r="A202" s="1" t="s">
        <v>636</v>
      </c>
      <c r="B202" s="2" t="s">
        <v>277</v>
      </c>
      <c r="C202" s="2" t="s">
        <v>308</v>
      </c>
      <c r="D202" s="77" t="s">
        <v>309</v>
      </c>
      <c r="E202" s="71"/>
      <c r="F202" s="2" t="s">
        <v>310</v>
      </c>
      <c r="G202" s="16" t="e">
        <f>'Rozpočet - vybrané sloupce'!#REF!</f>
        <v>#REF!</v>
      </c>
      <c r="H202" s="16" t="e">
        <f>'Rozpočet - vybrané sloupce'!#REF!</f>
        <v>#REF!</v>
      </c>
      <c r="I202" s="56" t="s">
        <v>460</v>
      </c>
      <c r="J202" s="16" t="e">
        <f>G202*AO202</f>
        <v>#REF!</v>
      </c>
      <c r="K202" s="16" t="e">
        <f>G202*AP202</f>
        <v>#REF!</v>
      </c>
      <c r="L202" s="16" t="e">
        <f>G202*H202</f>
        <v>#REF!</v>
      </c>
      <c r="M202" s="16" t="e">
        <f>L202*(1+BW202/100)</f>
        <v>#REF!</v>
      </c>
      <c r="N202" s="16">
        <v>1.2E-4</v>
      </c>
      <c r="O202" s="16" t="e">
        <f>G202*N202</f>
        <v>#REF!</v>
      </c>
      <c r="P202" s="57" t="s">
        <v>461</v>
      </c>
      <c r="Z202" s="16">
        <f>IF(AQ202="5",BJ202,0)</f>
        <v>0</v>
      </c>
      <c r="AB202" s="16">
        <f>IF(AQ202="1",BH202,0)</f>
        <v>0</v>
      </c>
      <c r="AC202" s="16">
        <f>IF(AQ202="1",BI202,0)</f>
        <v>0</v>
      </c>
      <c r="AD202" s="16" t="e">
        <f>IF(AQ202="7",BH202,0)</f>
        <v>#REF!</v>
      </c>
      <c r="AE202" s="16" t="e">
        <f>IF(AQ202="7",BI202,0)</f>
        <v>#REF!</v>
      </c>
      <c r="AF202" s="16">
        <f>IF(AQ202="2",BH202,0)</f>
        <v>0</v>
      </c>
      <c r="AG202" s="16">
        <f>IF(AQ202="2",BI202,0)</f>
        <v>0</v>
      </c>
      <c r="AH202" s="16">
        <f>IF(AQ202="0",BJ202,0)</f>
        <v>0</v>
      </c>
      <c r="AI202" s="13" t="s">
        <v>277</v>
      </c>
      <c r="AJ202" s="16">
        <f>IF(AN202=0,L202,0)</f>
        <v>0</v>
      </c>
      <c r="AK202" s="16" t="e">
        <f>IF(AN202=12,L202,0)</f>
        <v>#REF!</v>
      </c>
      <c r="AL202" s="16">
        <f>IF(AN202=21,L202,0)</f>
        <v>0</v>
      </c>
      <c r="AN202" s="16">
        <v>12</v>
      </c>
      <c r="AO202" s="16" t="e">
        <f>H202*0.425430238</f>
        <v>#REF!</v>
      </c>
      <c r="AP202" s="16" t="e">
        <f>H202*(1-0.425430238)</f>
        <v>#REF!</v>
      </c>
      <c r="AQ202" s="56" t="s">
        <v>462</v>
      </c>
      <c r="AV202" s="16" t="e">
        <f>AW202+AX202</f>
        <v>#REF!</v>
      </c>
      <c r="AW202" s="16" t="e">
        <f>G202*AO202</f>
        <v>#REF!</v>
      </c>
      <c r="AX202" s="16" t="e">
        <f>G202*AP202</f>
        <v>#REF!</v>
      </c>
      <c r="AY202" s="56" t="s">
        <v>637</v>
      </c>
      <c r="AZ202" s="56" t="s">
        <v>638</v>
      </c>
      <c r="BA202" s="13" t="s">
        <v>618</v>
      </c>
      <c r="BC202" s="16" t="e">
        <f>AW202+AX202</f>
        <v>#REF!</v>
      </c>
      <c r="BD202" s="16" t="e">
        <f>H202/(100-BE202)*100</f>
        <v>#REF!</v>
      </c>
      <c r="BE202" s="16">
        <v>0</v>
      </c>
      <c r="BF202" s="16" t="e">
        <f>O202</f>
        <v>#REF!</v>
      </c>
      <c r="BH202" s="16" t="e">
        <f>G202*AO202</f>
        <v>#REF!</v>
      </c>
      <c r="BI202" s="16" t="e">
        <f>G202*AP202</f>
        <v>#REF!</v>
      </c>
      <c r="BJ202" s="16" t="e">
        <f>G202*H202</f>
        <v>#REF!</v>
      </c>
      <c r="BK202" s="16"/>
      <c r="BL202" s="16">
        <v>767</v>
      </c>
      <c r="BW202" s="16" t="str">
        <f>I202</f>
        <v>12</v>
      </c>
      <c r="BX202" s="3" t="s">
        <v>309</v>
      </c>
    </row>
    <row r="203" spans="1:76" x14ac:dyDescent="0.25">
      <c r="A203" s="1" t="s">
        <v>639</v>
      </c>
      <c r="B203" s="2" t="s">
        <v>277</v>
      </c>
      <c r="C203" s="2" t="s">
        <v>311</v>
      </c>
      <c r="D203" s="77" t="s">
        <v>312</v>
      </c>
      <c r="E203" s="71"/>
      <c r="F203" s="2" t="s">
        <v>35</v>
      </c>
      <c r="G203" s="16" t="e">
        <f>'Rozpočet - vybrané sloupce'!#REF!</f>
        <v>#REF!</v>
      </c>
      <c r="H203" s="16" t="e">
        <f>'Rozpočet - vybrané sloupce'!#REF!</f>
        <v>#REF!</v>
      </c>
      <c r="I203" s="56" t="s">
        <v>460</v>
      </c>
      <c r="J203" s="16" t="e">
        <f>G203*AO203</f>
        <v>#REF!</v>
      </c>
      <c r="K203" s="16" t="e">
        <f>G203*AP203</f>
        <v>#REF!</v>
      </c>
      <c r="L203" s="16" t="e">
        <f>G203*H203</f>
        <v>#REF!</v>
      </c>
      <c r="M203" s="16" t="e">
        <f>L203*(1+BW203/100)</f>
        <v>#REF!</v>
      </c>
      <c r="N203" s="16">
        <v>0</v>
      </c>
      <c r="O203" s="16" t="e">
        <f>G203*N203</f>
        <v>#REF!</v>
      </c>
      <c r="P203" s="57" t="s">
        <v>461</v>
      </c>
      <c r="Z203" s="16">
        <f>IF(AQ203="5",BJ203,0)</f>
        <v>0</v>
      </c>
      <c r="AB203" s="16">
        <f>IF(AQ203="1",BH203,0)</f>
        <v>0</v>
      </c>
      <c r="AC203" s="16">
        <f>IF(AQ203="1",BI203,0)</f>
        <v>0</v>
      </c>
      <c r="AD203" s="16" t="e">
        <f>IF(AQ203="7",BH203,0)</f>
        <v>#REF!</v>
      </c>
      <c r="AE203" s="16" t="e">
        <f>IF(AQ203="7",BI203,0)</f>
        <v>#REF!</v>
      </c>
      <c r="AF203" s="16">
        <f>IF(AQ203="2",BH203,0)</f>
        <v>0</v>
      </c>
      <c r="AG203" s="16">
        <f>IF(AQ203="2",BI203,0)</f>
        <v>0</v>
      </c>
      <c r="AH203" s="16">
        <f>IF(AQ203="0",BJ203,0)</f>
        <v>0</v>
      </c>
      <c r="AI203" s="13" t="s">
        <v>277</v>
      </c>
      <c r="AJ203" s="16">
        <f>IF(AN203=0,L203,0)</f>
        <v>0</v>
      </c>
      <c r="AK203" s="16" t="e">
        <f>IF(AN203=12,L203,0)</f>
        <v>#REF!</v>
      </c>
      <c r="AL203" s="16">
        <f>IF(AN203=21,L203,0)</f>
        <v>0</v>
      </c>
      <c r="AN203" s="16">
        <v>12</v>
      </c>
      <c r="AO203" s="16" t="e">
        <f>H203*1</f>
        <v>#REF!</v>
      </c>
      <c r="AP203" s="16" t="e">
        <f>H203*(1-1)</f>
        <v>#REF!</v>
      </c>
      <c r="AQ203" s="56" t="s">
        <v>462</v>
      </c>
      <c r="AV203" s="16" t="e">
        <f>AW203+AX203</f>
        <v>#REF!</v>
      </c>
      <c r="AW203" s="16" t="e">
        <f>G203*AO203</f>
        <v>#REF!</v>
      </c>
      <c r="AX203" s="16" t="e">
        <f>G203*AP203</f>
        <v>#REF!</v>
      </c>
      <c r="AY203" s="56" t="s">
        <v>637</v>
      </c>
      <c r="AZ203" s="56" t="s">
        <v>638</v>
      </c>
      <c r="BA203" s="13" t="s">
        <v>618</v>
      </c>
      <c r="BC203" s="16" t="e">
        <f>AW203+AX203</f>
        <v>#REF!</v>
      </c>
      <c r="BD203" s="16" t="e">
        <f>H203/(100-BE203)*100</f>
        <v>#REF!</v>
      </c>
      <c r="BE203" s="16">
        <v>0</v>
      </c>
      <c r="BF203" s="16" t="e">
        <f>O203</f>
        <v>#REF!</v>
      </c>
      <c r="BH203" s="16" t="e">
        <f>G203*AO203</f>
        <v>#REF!</v>
      </c>
      <c r="BI203" s="16" t="e">
        <f>G203*AP203</f>
        <v>#REF!</v>
      </c>
      <c r="BJ203" s="16" t="e">
        <f>G203*H203</f>
        <v>#REF!</v>
      </c>
      <c r="BK203" s="16"/>
      <c r="BL203" s="16">
        <v>767</v>
      </c>
      <c r="BW203" s="16" t="str">
        <f>I203</f>
        <v>12</v>
      </c>
      <c r="BX203" s="3" t="s">
        <v>312</v>
      </c>
    </row>
    <row r="204" spans="1:76" x14ac:dyDescent="0.25">
      <c r="A204" s="1" t="s">
        <v>640</v>
      </c>
      <c r="B204" s="2" t="s">
        <v>277</v>
      </c>
      <c r="C204" s="2" t="s">
        <v>313</v>
      </c>
      <c r="D204" s="77" t="s">
        <v>314</v>
      </c>
      <c r="E204" s="71"/>
      <c r="F204" s="2" t="s">
        <v>35</v>
      </c>
      <c r="G204" s="16" t="e">
        <f>'Rozpočet - vybrané sloupce'!#REF!</f>
        <v>#REF!</v>
      </c>
      <c r="H204" s="16" t="e">
        <f>'Rozpočet - vybrané sloupce'!#REF!</f>
        <v>#REF!</v>
      </c>
      <c r="I204" s="56" t="s">
        <v>460</v>
      </c>
      <c r="J204" s="16" t="e">
        <f>G204*AO204</f>
        <v>#REF!</v>
      </c>
      <c r="K204" s="16" t="e">
        <f>G204*AP204</f>
        <v>#REF!</v>
      </c>
      <c r="L204" s="16" t="e">
        <f>G204*H204</f>
        <v>#REF!</v>
      </c>
      <c r="M204" s="16" t="e">
        <f>L204*(1+BW204/100)</f>
        <v>#REF!</v>
      </c>
      <c r="N204" s="16">
        <v>0</v>
      </c>
      <c r="O204" s="16" t="e">
        <f>G204*N204</f>
        <v>#REF!</v>
      </c>
      <c r="P204" s="57" t="s">
        <v>461</v>
      </c>
      <c r="Z204" s="16">
        <f>IF(AQ204="5",BJ204,0)</f>
        <v>0</v>
      </c>
      <c r="AB204" s="16">
        <f>IF(AQ204="1",BH204,0)</f>
        <v>0</v>
      </c>
      <c r="AC204" s="16">
        <f>IF(AQ204="1",BI204,0)</f>
        <v>0</v>
      </c>
      <c r="AD204" s="16" t="e">
        <f>IF(AQ204="7",BH204,0)</f>
        <v>#REF!</v>
      </c>
      <c r="AE204" s="16" t="e">
        <f>IF(AQ204="7",BI204,0)</f>
        <v>#REF!</v>
      </c>
      <c r="AF204" s="16">
        <f>IF(AQ204="2",BH204,0)</f>
        <v>0</v>
      </c>
      <c r="AG204" s="16">
        <f>IF(AQ204="2",BI204,0)</f>
        <v>0</v>
      </c>
      <c r="AH204" s="16">
        <f>IF(AQ204="0",BJ204,0)</f>
        <v>0</v>
      </c>
      <c r="AI204" s="13" t="s">
        <v>277</v>
      </c>
      <c r="AJ204" s="16">
        <f>IF(AN204=0,L204,0)</f>
        <v>0</v>
      </c>
      <c r="AK204" s="16" t="e">
        <f>IF(AN204=12,L204,0)</f>
        <v>#REF!</v>
      </c>
      <c r="AL204" s="16">
        <f>IF(AN204=21,L204,0)</f>
        <v>0</v>
      </c>
      <c r="AN204" s="16">
        <v>12</v>
      </c>
      <c r="AO204" s="16" t="e">
        <f>H204*1</f>
        <v>#REF!</v>
      </c>
      <c r="AP204" s="16" t="e">
        <f>H204*(1-1)</f>
        <v>#REF!</v>
      </c>
      <c r="AQ204" s="56" t="s">
        <v>462</v>
      </c>
      <c r="AV204" s="16" t="e">
        <f>AW204+AX204</f>
        <v>#REF!</v>
      </c>
      <c r="AW204" s="16" t="e">
        <f>G204*AO204</f>
        <v>#REF!</v>
      </c>
      <c r="AX204" s="16" t="e">
        <f>G204*AP204</f>
        <v>#REF!</v>
      </c>
      <c r="AY204" s="56" t="s">
        <v>637</v>
      </c>
      <c r="AZ204" s="56" t="s">
        <v>638</v>
      </c>
      <c r="BA204" s="13" t="s">
        <v>618</v>
      </c>
      <c r="BC204" s="16" t="e">
        <f>AW204+AX204</f>
        <v>#REF!</v>
      </c>
      <c r="BD204" s="16" t="e">
        <f>H204/(100-BE204)*100</f>
        <v>#REF!</v>
      </c>
      <c r="BE204" s="16">
        <v>0</v>
      </c>
      <c r="BF204" s="16" t="e">
        <f>O204</f>
        <v>#REF!</v>
      </c>
      <c r="BH204" s="16" t="e">
        <f>G204*AO204</f>
        <v>#REF!</v>
      </c>
      <c r="BI204" s="16" t="e">
        <f>G204*AP204</f>
        <v>#REF!</v>
      </c>
      <c r="BJ204" s="16" t="e">
        <f>G204*H204</f>
        <v>#REF!</v>
      </c>
      <c r="BK204" s="16"/>
      <c r="BL204" s="16">
        <v>767</v>
      </c>
      <c r="BW204" s="16" t="str">
        <f>I204</f>
        <v>12</v>
      </c>
      <c r="BX204" s="3" t="s">
        <v>314</v>
      </c>
    </row>
    <row r="205" spans="1:76" x14ac:dyDescent="0.25">
      <c r="A205" s="1" t="s">
        <v>641</v>
      </c>
      <c r="B205" s="2" t="s">
        <v>277</v>
      </c>
      <c r="C205" s="2" t="s">
        <v>315</v>
      </c>
      <c r="D205" s="77" t="s">
        <v>316</v>
      </c>
      <c r="E205" s="71"/>
      <c r="F205" s="2" t="s">
        <v>43</v>
      </c>
      <c r="G205" s="16" t="e">
        <f>'Rozpočet - vybrané sloupce'!#REF!</f>
        <v>#REF!</v>
      </c>
      <c r="H205" s="16" t="e">
        <f>'Rozpočet - vybrané sloupce'!#REF!</f>
        <v>#REF!</v>
      </c>
      <c r="I205" s="56" t="s">
        <v>460</v>
      </c>
      <c r="J205" s="16" t="e">
        <f>G205*AO205</f>
        <v>#REF!</v>
      </c>
      <c r="K205" s="16" t="e">
        <f>G205*AP205</f>
        <v>#REF!</v>
      </c>
      <c r="L205" s="16" t="e">
        <f>G205*H205</f>
        <v>#REF!</v>
      </c>
      <c r="M205" s="16" t="e">
        <f>L205*(1+BW205/100)</f>
        <v>#REF!</v>
      </c>
      <c r="N205" s="16">
        <v>0</v>
      </c>
      <c r="O205" s="16" t="e">
        <f>G205*N205</f>
        <v>#REF!</v>
      </c>
      <c r="P205" s="57" t="s">
        <v>461</v>
      </c>
      <c r="Z205" s="16" t="e">
        <f>IF(AQ205="5",BJ205,0)</f>
        <v>#REF!</v>
      </c>
      <c r="AB205" s="16">
        <f>IF(AQ205="1",BH205,0)</f>
        <v>0</v>
      </c>
      <c r="AC205" s="16">
        <f>IF(AQ205="1",BI205,0)</f>
        <v>0</v>
      </c>
      <c r="AD205" s="16">
        <f>IF(AQ205="7",BH205,0)</f>
        <v>0</v>
      </c>
      <c r="AE205" s="16">
        <f>IF(AQ205="7",BI205,0)</f>
        <v>0</v>
      </c>
      <c r="AF205" s="16">
        <f>IF(AQ205="2",BH205,0)</f>
        <v>0</v>
      </c>
      <c r="AG205" s="16">
        <f>IF(AQ205="2",BI205,0)</f>
        <v>0</v>
      </c>
      <c r="AH205" s="16">
        <f>IF(AQ205="0",BJ205,0)</f>
        <v>0</v>
      </c>
      <c r="AI205" s="13" t="s">
        <v>277</v>
      </c>
      <c r="AJ205" s="16">
        <f>IF(AN205=0,L205,0)</f>
        <v>0</v>
      </c>
      <c r="AK205" s="16" t="e">
        <f>IF(AN205=12,L205,0)</f>
        <v>#REF!</v>
      </c>
      <c r="AL205" s="16">
        <f>IF(AN205=21,L205,0)</f>
        <v>0</v>
      </c>
      <c r="AN205" s="16">
        <v>12</v>
      </c>
      <c r="AO205" s="16" t="e">
        <f>H205*0</f>
        <v>#REF!</v>
      </c>
      <c r="AP205" s="16" t="e">
        <f>H205*(1-0)</f>
        <v>#REF!</v>
      </c>
      <c r="AQ205" s="56" t="s">
        <v>470</v>
      </c>
      <c r="AV205" s="16" t="e">
        <f>AW205+AX205</f>
        <v>#REF!</v>
      </c>
      <c r="AW205" s="16" t="e">
        <f>G205*AO205</f>
        <v>#REF!</v>
      </c>
      <c r="AX205" s="16" t="e">
        <f>G205*AP205</f>
        <v>#REF!</v>
      </c>
      <c r="AY205" s="56" t="s">
        <v>637</v>
      </c>
      <c r="AZ205" s="56" t="s">
        <v>638</v>
      </c>
      <c r="BA205" s="13" t="s">
        <v>618</v>
      </c>
      <c r="BC205" s="16" t="e">
        <f>AW205+AX205</f>
        <v>#REF!</v>
      </c>
      <c r="BD205" s="16" t="e">
        <f>H205/(100-BE205)*100</f>
        <v>#REF!</v>
      </c>
      <c r="BE205" s="16">
        <v>0</v>
      </c>
      <c r="BF205" s="16" t="e">
        <f>O205</f>
        <v>#REF!</v>
      </c>
      <c r="BH205" s="16" t="e">
        <f>G205*AO205</f>
        <v>#REF!</v>
      </c>
      <c r="BI205" s="16" t="e">
        <f>G205*AP205</f>
        <v>#REF!</v>
      </c>
      <c r="BJ205" s="16" t="e">
        <f>G205*H205</f>
        <v>#REF!</v>
      </c>
      <c r="BK205" s="16"/>
      <c r="BL205" s="16">
        <v>767</v>
      </c>
      <c r="BW205" s="16" t="str">
        <f>I205</f>
        <v>12</v>
      </c>
      <c r="BX205" s="3" t="s">
        <v>316</v>
      </c>
    </row>
    <row r="206" spans="1:76" x14ac:dyDescent="0.25">
      <c r="A206" s="53" t="s">
        <v>25</v>
      </c>
      <c r="B206" s="12" t="s">
        <v>277</v>
      </c>
      <c r="C206" s="12" t="s">
        <v>317</v>
      </c>
      <c r="D206" s="84" t="s">
        <v>318</v>
      </c>
      <c r="E206" s="85"/>
      <c r="F206" s="54" t="s">
        <v>23</v>
      </c>
      <c r="G206" s="54" t="s">
        <v>23</v>
      </c>
      <c r="H206" s="54" t="s">
        <v>23</v>
      </c>
      <c r="I206" s="54" t="s">
        <v>23</v>
      </c>
      <c r="J206" s="29" t="e">
        <f>SUM(J207:J214)</f>
        <v>#REF!</v>
      </c>
      <c r="K206" s="29" t="e">
        <f>SUM(K207:K214)</f>
        <v>#REF!</v>
      </c>
      <c r="L206" s="29" t="e">
        <f>SUM(L207:L214)</f>
        <v>#REF!</v>
      </c>
      <c r="M206" s="29" t="e">
        <f>SUM(M207:M214)</f>
        <v>#REF!</v>
      </c>
      <c r="N206" s="13" t="s">
        <v>25</v>
      </c>
      <c r="O206" s="29" t="e">
        <f>SUM(O207:O214)</f>
        <v>#REF!</v>
      </c>
      <c r="P206" s="55" t="s">
        <v>25</v>
      </c>
      <c r="AI206" s="13" t="s">
        <v>277</v>
      </c>
      <c r="AS206" s="29">
        <f>SUM(AJ207:AJ214)</f>
        <v>0</v>
      </c>
      <c r="AT206" s="29" t="e">
        <f>SUM(AK207:AK214)</f>
        <v>#REF!</v>
      </c>
      <c r="AU206" s="29">
        <f>SUM(AL207:AL214)</f>
        <v>0</v>
      </c>
    </row>
    <row r="207" spans="1:76" x14ac:dyDescent="0.25">
      <c r="A207" s="1" t="s">
        <v>642</v>
      </c>
      <c r="B207" s="2" t="s">
        <v>277</v>
      </c>
      <c r="C207" s="2" t="s">
        <v>319</v>
      </c>
      <c r="D207" s="77" t="s">
        <v>320</v>
      </c>
      <c r="E207" s="71"/>
      <c r="F207" s="2" t="s">
        <v>293</v>
      </c>
      <c r="G207" s="16" t="e">
        <f>'Rozpočet - vybrané sloupce'!#REF!</f>
        <v>#REF!</v>
      </c>
      <c r="H207" s="16" t="e">
        <f>'Rozpočet - vybrané sloupce'!#REF!</f>
        <v>#REF!</v>
      </c>
      <c r="I207" s="56" t="s">
        <v>460</v>
      </c>
      <c r="J207" s="16" t="e">
        <f>G207*AO207</f>
        <v>#REF!</v>
      </c>
      <c r="K207" s="16" t="e">
        <f>G207*AP207</f>
        <v>#REF!</v>
      </c>
      <c r="L207" s="16" t="e">
        <f>G207*H207</f>
        <v>#REF!</v>
      </c>
      <c r="M207" s="16" t="e">
        <f>L207*(1+BW207/100)</f>
        <v>#REF!</v>
      </c>
      <c r="N207" s="16">
        <v>2.1000000000000001E-4</v>
      </c>
      <c r="O207" s="16" t="e">
        <f>G207*N207</f>
        <v>#REF!</v>
      </c>
      <c r="P207" s="57" t="s">
        <v>461</v>
      </c>
      <c r="Z207" s="16">
        <f>IF(AQ207="5",BJ207,0)</f>
        <v>0</v>
      </c>
      <c r="AB207" s="16">
        <f>IF(AQ207="1",BH207,0)</f>
        <v>0</v>
      </c>
      <c r="AC207" s="16">
        <f>IF(AQ207="1",BI207,0)</f>
        <v>0</v>
      </c>
      <c r="AD207" s="16" t="e">
        <f>IF(AQ207="7",BH207,0)</f>
        <v>#REF!</v>
      </c>
      <c r="AE207" s="16" t="e">
        <f>IF(AQ207="7",BI207,0)</f>
        <v>#REF!</v>
      </c>
      <c r="AF207" s="16">
        <f>IF(AQ207="2",BH207,0)</f>
        <v>0</v>
      </c>
      <c r="AG207" s="16">
        <f>IF(AQ207="2",BI207,0)</f>
        <v>0</v>
      </c>
      <c r="AH207" s="16">
        <f>IF(AQ207="0",BJ207,0)</f>
        <v>0</v>
      </c>
      <c r="AI207" s="13" t="s">
        <v>277</v>
      </c>
      <c r="AJ207" s="16">
        <f>IF(AN207=0,L207,0)</f>
        <v>0</v>
      </c>
      <c r="AK207" s="16" t="e">
        <f>IF(AN207=12,L207,0)</f>
        <v>#REF!</v>
      </c>
      <c r="AL207" s="16">
        <f>IF(AN207=21,L207,0)</f>
        <v>0</v>
      </c>
      <c r="AN207" s="16">
        <v>12</v>
      </c>
      <c r="AO207" s="16" t="e">
        <f>H207*0.447243683</f>
        <v>#REF!</v>
      </c>
      <c r="AP207" s="16" t="e">
        <f>H207*(1-0.447243683)</f>
        <v>#REF!</v>
      </c>
      <c r="AQ207" s="56" t="s">
        <v>462</v>
      </c>
      <c r="AV207" s="16" t="e">
        <f>AW207+AX207</f>
        <v>#REF!</v>
      </c>
      <c r="AW207" s="16" t="e">
        <f>G207*AO207</f>
        <v>#REF!</v>
      </c>
      <c r="AX207" s="16" t="e">
        <f>G207*AP207</f>
        <v>#REF!</v>
      </c>
      <c r="AY207" s="56" t="s">
        <v>643</v>
      </c>
      <c r="AZ207" s="56" t="s">
        <v>644</v>
      </c>
      <c r="BA207" s="13" t="s">
        <v>618</v>
      </c>
      <c r="BC207" s="16" t="e">
        <f>AW207+AX207</f>
        <v>#REF!</v>
      </c>
      <c r="BD207" s="16" t="e">
        <f>H207/(100-BE207)*100</f>
        <v>#REF!</v>
      </c>
      <c r="BE207" s="16">
        <v>0</v>
      </c>
      <c r="BF207" s="16" t="e">
        <f>O207</f>
        <v>#REF!</v>
      </c>
      <c r="BH207" s="16" t="e">
        <f>G207*AO207</f>
        <v>#REF!</v>
      </c>
      <c r="BI207" s="16" t="e">
        <f>G207*AP207</f>
        <v>#REF!</v>
      </c>
      <c r="BJ207" s="16" t="e">
        <f>G207*H207</f>
        <v>#REF!</v>
      </c>
      <c r="BK207" s="16"/>
      <c r="BL207" s="16">
        <v>781</v>
      </c>
      <c r="BW207" s="16" t="str">
        <f>I207</f>
        <v>12</v>
      </c>
      <c r="BX207" s="3" t="s">
        <v>320</v>
      </c>
    </row>
    <row r="208" spans="1:76" ht="25.5" x14ac:dyDescent="0.25">
      <c r="A208" s="58"/>
      <c r="C208" s="59" t="s">
        <v>475</v>
      </c>
      <c r="D208" s="122" t="s">
        <v>645</v>
      </c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4"/>
      <c r="BX208" s="60" t="s">
        <v>645</v>
      </c>
    </row>
    <row r="209" spans="1:76" x14ac:dyDescent="0.25">
      <c r="A209" s="1" t="s">
        <v>646</v>
      </c>
      <c r="B209" s="2" t="s">
        <v>277</v>
      </c>
      <c r="C209" s="2" t="s">
        <v>321</v>
      </c>
      <c r="D209" s="77" t="s">
        <v>322</v>
      </c>
      <c r="E209" s="71"/>
      <c r="F209" s="2" t="s">
        <v>293</v>
      </c>
      <c r="G209" s="16" t="e">
        <f>'Rozpočet - vybrané sloupce'!#REF!</f>
        <v>#REF!</v>
      </c>
      <c r="H209" s="16" t="e">
        <f>'Rozpočet - vybrané sloupce'!#REF!</f>
        <v>#REF!</v>
      </c>
      <c r="I209" s="56" t="s">
        <v>460</v>
      </c>
      <c r="J209" s="16" t="e">
        <f>G209*AO209</f>
        <v>#REF!</v>
      </c>
      <c r="K209" s="16" t="e">
        <f>G209*AP209</f>
        <v>#REF!</v>
      </c>
      <c r="L209" s="16" t="e">
        <f>G209*H209</f>
        <v>#REF!</v>
      </c>
      <c r="M209" s="16" t="e">
        <f>L209*(1+BW209/100)</f>
        <v>#REF!</v>
      </c>
      <c r="N209" s="16">
        <v>0</v>
      </c>
      <c r="O209" s="16" t="e">
        <f>G209*N209</f>
        <v>#REF!</v>
      </c>
      <c r="P209" s="57" t="s">
        <v>461</v>
      </c>
      <c r="Z209" s="16">
        <f>IF(AQ209="5",BJ209,0)</f>
        <v>0</v>
      </c>
      <c r="AB209" s="16">
        <f>IF(AQ209="1",BH209,0)</f>
        <v>0</v>
      </c>
      <c r="AC209" s="16">
        <f>IF(AQ209="1",BI209,0)</f>
        <v>0</v>
      </c>
      <c r="AD209" s="16" t="e">
        <f>IF(AQ209="7",BH209,0)</f>
        <v>#REF!</v>
      </c>
      <c r="AE209" s="16" t="e">
        <f>IF(AQ209="7",BI209,0)</f>
        <v>#REF!</v>
      </c>
      <c r="AF209" s="16">
        <f>IF(AQ209="2",BH209,0)</f>
        <v>0</v>
      </c>
      <c r="AG209" s="16">
        <f>IF(AQ209="2",BI209,0)</f>
        <v>0</v>
      </c>
      <c r="AH209" s="16">
        <f>IF(AQ209="0",BJ209,0)</f>
        <v>0</v>
      </c>
      <c r="AI209" s="13" t="s">
        <v>277</v>
      </c>
      <c r="AJ209" s="16">
        <f>IF(AN209=0,L209,0)</f>
        <v>0</v>
      </c>
      <c r="AK209" s="16" t="e">
        <f>IF(AN209=12,L209,0)</f>
        <v>#REF!</v>
      </c>
      <c r="AL209" s="16">
        <f>IF(AN209=21,L209,0)</f>
        <v>0</v>
      </c>
      <c r="AN209" s="16">
        <v>12</v>
      </c>
      <c r="AO209" s="16" t="e">
        <f>H209*0</f>
        <v>#REF!</v>
      </c>
      <c r="AP209" s="16" t="e">
        <f>H209*(1-0)</f>
        <v>#REF!</v>
      </c>
      <c r="AQ209" s="56" t="s">
        <v>462</v>
      </c>
      <c r="AV209" s="16" t="e">
        <f>AW209+AX209</f>
        <v>#REF!</v>
      </c>
      <c r="AW209" s="16" t="e">
        <f>G209*AO209</f>
        <v>#REF!</v>
      </c>
      <c r="AX209" s="16" t="e">
        <f>G209*AP209</f>
        <v>#REF!</v>
      </c>
      <c r="AY209" s="56" t="s">
        <v>643</v>
      </c>
      <c r="AZ209" s="56" t="s">
        <v>644</v>
      </c>
      <c r="BA209" s="13" t="s">
        <v>618</v>
      </c>
      <c r="BC209" s="16" t="e">
        <f>AW209+AX209</f>
        <v>#REF!</v>
      </c>
      <c r="BD209" s="16" t="e">
        <f>H209/(100-BE209)*100</f>
        <v>#REF!</v>
      </c>
      <c r="BE209" s="16">
        <v>0</v>
      </c>
      <c r="BF209" s="16" t="e">
        <f>O209</f>
        <v>#REF!</v>
      </c>
      <c r="BH209" s="16" t="e">
        <f>G209*AO209</f>
        <v>#REF!</v>
      </c>
      <c r="BI209" s="16" t="e">
        <f>G209*AP209</f>
        <v>#REF!</v>
      </c>
      <c r="BJ209" s="16" t="e">
        <f>G209*H209</f>
        <v>#REF!</v>
      </c>
      <c r="BK209" s="16"/>
      <c r="BL209" s="16">
        <v>781</v>
      </c>
      <c r="BW209" s="16" t="str">
        <f>I209</f>
        <v>12</v>
      </c>
      <c r="BX209" s="3" t="s">
        <v>322</v>
      </c>
    </row>
    <row r="210" spans="1:76" ht="102" x14ac:dyDescent="0.25">
      <c r="A210" s="58"/>
      <c r="C210" s="59" t="s">
        <v>475</v>
      </c>
      <c r="D210" s="122" t="s">
        <v>647</v>
      </c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4"/>
      <c r="BX210" s="60" t="s">
        <v>647</v>
      </c>
    </row>
    <row r="211" spans="1:76" x14ac:dyDescent="0.25">
      <c r="A211" s="1" t="s">
        <v>648</v>
      </c>
      <c r="B211" s="2" t="s">
        <v>277</v>
      </c>
      <c r="C211" s="2" t="s">
        <v>323</v>
      </c>
      <c r="D211" s="77" t="s">
        <v>324</v>
      </c>
      <c r="E211" s="71"/>
      <c r="F211" s="2" t="s">
        <v>293</v>
      </c>
      <c r="G211" s="16" t="e">
        <f>'Rozpočet - vybrané sloupce'!#REF!</f>
        <v>#REF!</v>
      </c>
      <c r="H211" s="16" t="e">
        <f>'Rozpočet - vybrané sloupce'!#REF!</f>
        <v>#REF!</v>
      </c>
      <c r="I211" s="56" t="s">
        <v>460</v>
      </c>
      <c r="J211" s="16" t="e">
        <f>G211*AO211</f>
        <v>#REF!</v>
      </c>
      <c r="K211" s="16" t="e">
        <f>G211*AP211</f>
        <v>#REF!</v>
      </c>
      <c r="L211" s="16" t="e">
        <f>G211*H211</f>
        <v>#REF!</v>
      </c>
      <c r="M211" s="16" t="e">
        <f>L211*(1+BW211/100)</f>
        <v>#REF!</v>
      </c>
      <c r="N211" s="16">
        <v>1.3599999999999999E-2</v>
      </c>
      <c r="O211" s="16" t="e">
        <f>G211*N211</f>
        <v>#REF!</v>
      </c>
      <c r="P211" s="57" t="s">
        <v>461</v>
      </c>
      <c r="Z211" s="16">
        <f>IF(AQ211="5",BJ211,0)</f>
        <v>0</v>
      </c>
      <c r="AB211" s="16">
        <f>IF(AQ211="1",BH211,0)</f>
        <v>0</v>
      </c>
      <c r="AC211" s="16">
        <f>IF(AQ211="1",BI211,0)</f>
        <v>0</v>
      </c>
      <c r="AD211" s="16" t="e">
        <f>IF(AQ211="7",BH211,0)</f>
        <v>#REF!</v>
      </c>
      <c r="AE211" s="16" t="e">
        <f>IF(AQ211="7",BI211,0)</f>
        <v>#REF!</v>
      </c>
      <c r="AF211" s="16">
        <f>IF(AQ211="2",BH211,0)</f>
        <v>0</v>
      </c>
      <c r="AG211" s="16">
        <f>IF(AQ211="2",BI211,0)</f>
        <v>0</v>
      </c>
      <c r="AH211" s="16">
        <f>IF(AQ211="0",BJ211,0)</f>
        <v>0</v>
      </c>
      <c r="AI211" s="13" t="s">
        <v>277</v>
      </c>
      <c r="AJ211" s="16">
        <f>IF(AN211=0,L211,0)</f>
        <v>0</v>
      </c>
      <c r="AK211" s="16" t="e">
        <f>IF(AN211=12,L211,0)</f>
        <v>#REF!</v>
      </c>
      <c r="AL211" s="16">
        <f>IF(AN211=21,L211,0)</f>
        <v>0</v>
      </c>
      <c r="AN211" s="16">
        <v>12</v>
      </c>
      <c r="AO211" s="16" t="e">
        <f>H211*1</f>
        <v>#REF!</v>
      </c>
      <c r="AP211" s="16" t="e">
        <f>H211*(1-1)</f>
        <v>#REF!</v>
      </c>
      <c r="AQ211" s="56" t="s">
        <v>462</v>
      </c>
      <c r="AV211" s="16" t="e">
        <f>AW211+AX211</f>
        <v>#REF!</v>
      </c>
      <c r="AW211" s="16" t="e">
        <f>G211*AO211</f>
        <v>#REF!</v>
      </c>
      <c r="AX211" s="16" t="e">
        <f>G211*AP211</f>
        <v>#REF!</v>
      </c>
      <c r="AY211" s="56" t="s">
        <v>643</v>
      </c>
      <c r="AZ211" s="56" t="s">
        <v>644</v>
      </c>
      <c r="BA211" s="13" t="s">
        <v>618</v>
      </c>
      <c r="BC211" s="16" t="e">
        <f>AW211+AX211</f>
        <v>#REF!</v>
      </c>
      <c r="BD211" s="16" t="e">
        <f>H211/(100-BE211)*100</f>
        <v>#REF!</v>
      </c>
      <c r="BE211" s="16">
        <v>0</v>
      </c>
      <c r="BF211" s="16" t="e">
        <f>O211</f>
        <v>#REF!</v>
      </c>
      <c r="BH211" s="16" t="e">
        <f>G211*AO211</f>
        <v>#REF!</v>
      </c>
      <c r="BI211" s="16" t="e">
        <f>G211*AP211</f>
        <v>#REF!</v>
      </c>
      <c r="BJ211" s="16" t="e">
        <f>G211*H211</f>
        <v>#REF!</v>
      </c>
      <c r="BK211" s="16"/>
      <c r="BL211" s="16">
        <v>781</v>
      </c>
      <c r="BW211" s="16" t="str">
        <f>I211</f>
        <v>12</v>
      </c>
      <c r="BX211" s="3" t="s">
        <v>324</v>
      </c>
    </row>
    <row r="212" spans="1:76" x14ac:dyDescent="0.25">
      <c r="A212" s="58"/>
      <c r="C212" s="59" t="s">
        <v>475</v>
      </c>
      <c r="D212" s="122" t="s">
        <v>649</v>
      </c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4"/>
      <c r="BX212" s="60" t="s">
        <v>649</v>
      </c>
    </row>
    <row r="213" spans="1:76" x14ac:dyDescent="0.25">
      <c r="A213" s="1" t="s">
        <v>650</v>
      </c>
      <c r="B213" s="2" t="s">
        <v>277</v>
      </c>
      <c r="C213" s="2" t="s">
        <v>325</v>
      </c>
      <c r="D213" s="77" t="s">
        <v>326</v>
      </c>
      <c r="E213" s="71"/>
      <c r="F213" s="2" t="s">
        <v>35</v>
      </c>
      <c r="G213" s="16" t="e">
        <f>'Rozpočet - vybrané sloupce'!#REF!</f>
        <v>#REF!</v>
      </c>
      <c r="H213" s="16" t="e">
        <f>'Rozpočet - vybrané sloupce'!#REF!</f>
        <v>#REF!</v>
      </c>
      <c r="I213" s="56" t="s">
        <v>460</v>
      </c>
      <c r="J213" s="16" t="e">
        <f>G213*AO213</f>
        <v>#REF!</v>
      </c>
      <c r="K213" s="16" t="e">
        <f>G213*AP213</f>
        <v>#REF!</v>
      </c>
      <c r="L213" s="16" t="e">
        <f>G213*H213</f>
        <v>#REF!</v>
      </c>
      <c r="M213" s="16" t="e">
        <f>L213*(1+BW213/100)</f>
        <v>#REF!</v>
      </c>
      <c r="N213" s="16">
        <v>3.0699999999999998E-3</v>
      </c>
      <c r="O213" s="16" t="e">
        <f>G213*N213</f>
        <v>#REF!</v>
      </c>
      <c r="P213" s="57" t="s">
        <v>461</v>
      </c>
      <c r="Z213" s="16">
        <f>IF(AQ213="5",BJ213,0)</f>
        <v>0</v>
      </c>
      <c r="AB213" s="16">
        <f>IF(AQ213="1",BH213,0)</f>
        <v>0</v>
      </c>
      <c r="AC213" s="16">
        <f>IF(AQ213="1",BI213,0)</f>
        <v>0</v>
      </c>
      <c r="AD213" s="16" t="e">
        <f>IF(AQ213="7",BH213,0)</f>
        <v>#REF!</v>
      </c>
      <c r="AE213" s="16" t="e">
        <f>IF(AQ213="7",BI213,0)</f>
        <v>#REF!</v>
      </c>
      <c r="AF213" s="16">
        <f>IF(AQ213="2",BH213,0)</f>
        <v>0</v>
      </c>
      <c r="AG213" s="16">
        <f>IF(AQ213="2",BI213,0)</f>
        <v>0</v>
      </c>
      <c r="AH213" s="16">
        <f>IF(AQ213="0",BJ213,0)</f>
        <v>0</v>
      </c>
      <c r="AI213" s="13" t="s">
        <v>277</v>
      </c>
      <c r="AJ213" s="16">
        <f>IF(AN213=0,L213,0)</f>
        <v>0</v>
      </c>
      <c r="AK213" s="16" t="e">
        <f>IF(AN213=12,L213,0)</f>
        <v>#REF!</v>
      </c>
      <c r="AL213" s="16">
        <f>IF(AN213=21,L213,0)</f>
        <v>0</v>
      </c>
      <c r="AN213" s="16">
        <v>12</v>
      </c>
      <c r="AO213" s="16" t="e">
        <f>H213*0.283738739</f>
        <v>#REF!</v>
      </c>
      <c r="AP213" s="16" t="e">
        <f>H213*(1-0.283738739)</f>
        <v>#REF!</v>
      </c>
      <c r="AQ213" s="56" t="s">
        <v>462</v>
      </c>
      <c r="AV213" s="16" t="e">
        <f>AW213+AX213</f>
        <v>#REF!</v>
      </c>
      <c r="AW213" s="16" t="e">
        <f>G213*AO213</f>
        <v>#REF!</v>
      </c>
      <c r="AX213" s="16" t="e">
        <f>G213*AP213</f>
        <v>#REF!</v>
      </c>
      <c r="AY213" s="56" t="s">
        <v>643</v>
      </c>
      <c r="AZ213" s="56" t="s">
        <v>644</v>
      </c>
      <c r="BA213" s="13" t="s">
        <v>618</v>
      </c>
      <c r="BC213" s="16" t="e">
        <f>AW213+AX213</f>
        <v>#REF!</v>
      </c>
      <c r="BD213" s="16" t="e">
        <f>H213/(100-BE213)*100</f>
        <v>#REF!</v>
      </c>
      <c r="BE213" s="16">
        <v>0</v>
      </c>
      <c r="BF213" s="16" t="e">
        <f>O213</f>
        <v>#REF!</v>
      </c>
      <c r="BH213" s="16" t="e">
        <f>G213*AO213</f>
        <v>#REF!</v>
      </c>
      <c r="BI213" s="16" t="e">
        <f>G213*AP213</f>
        <v>#REF!</v>
      </c>
      <c r="BJ213" s="16" t="e">
        <f>G213*H213</f>
        <v>#REF!</v>
      </c>
      <c r="BK213" s="16"/>
      <c r="BL213" s="16">
        <v>781</v>
      </c>
      <c r="BW213" s="16" t="str">
        <f>I213</f>
        <v>12</v>
      </c>
      <c r="BX213" s="3" t="s">
        <v>326</v>
      </c>
    </row>
    <row r="214" spans="1:76" x14ac:dyDescent="0.25">
      <c r="A214" s="1" t="s">
        <v>651</v>
      </c>
      <c r="B214" s="2" t="s">
        <v>277</v>
      </c>
      <c r="C214" s="2" t="s">
        <v>327</v>
      </c>
      <c r="D214" s="77" t="s">
        <v>328</v>
      </c>
      <c r="E214" s="71"/>
      <c r="F214" s="2" t="s">
        <v>43</v>
      </c>
      <c r="G214" s="16" t="e">
        <f>'Rozpočet - vybrané sloupce'!#REF!</f>
        <v>#REF!</v>
      </c>
      <c r="H214" s="16" t="e">
        <f>'Rozpočet - vybrané sloupce'!#REF!</f>
        <v>#REF!</v>
      </c>
      <c r="I214" s="56" t="s">
        <v>460</v>
      </c>
      <c r="J214" s="16" t="e">
        <f>G214*AO214</f>
        <v>#REF!</v>
      </c>
      <c r="K214" s="16" t="e">
        <f>G214*AP214</f>
        <v>#REF!</v>
      </c>
      <c r="L214" s="16" t="e">
        <f>G214*H214</f>
        <v>#REF!</v>
      </c>
      <c r="M214" s="16" t="e">
        <f>L214*(1+BW214/100)</f>
        <v>#REF!</v>
      </c>
      <c r="N214" s="16">
        <v>0</v>
      </c>
      <c r="O214" s="16" t="e">
        <f>G214*N214</f>
        <v>#REF!</v>
      </c>
      <c r="P214" s="57" t="s">
        <v>461</v>
      </c>
      <c r="Z214" s="16" t="e">
        <f>IF(AQ214="5",BJ214,0)</f>
        <v>#REF!</v>
      </c>
      <c r="AB214" s="16">
        <f>IF(AQ214="1",BH214,0)</f>
        <v>0</v>
      </c>
      <c r="AC214" s="16">
        <f>IF(AQ214="1",BI214,0)</f>
        <v>0</v>
      </c>
      <c r="AD214" s="16">
        <f>IF(AQ214="7",BH214,0)</f>
        <v>0</v>
      </c>
      <c r="AE214" s="16">
        <f>IF(AQ214="7",BI214,0)</f>
        <v>0</v>
      </c>
      <c r="AF214" s="16">
        <f>IF(AQ214="2",BH214,0)</f>
        <v>0</v>
      </c>
      <c r="AG214" s="16">
        <f>IF(AQ214="2",BI214,0)</f>
        <v>0</v>
      </c>
      <c r="AH214" s="16">
        <f>IF(AQ214="0",BJ214,0)</f>
        <v>0</v>
      </c>
      <c r="AI214" s="13" t="s">
        <v>277</v>
      </c>
      <c r="AJ214" s="16">
        <f>IF(AN214=0,L214,0)</f>
        <v>0</v>
      </c>
      <c r="AK214" s="16" t="e">
        <f>IF(AN214=12,L214,0)</f>
        <v>#REF!</v>
      </c>
      <c r="AL214" s="16">
        <f>IF(AN214=21,L214,0)</f>
        <v>0</v>
      </c>
      <c r="AN214" s="16">
        <v>12</v>
      </c>
      <c r="AO214" s="16" t="e">
        <f>H214*0</f>
        <v>#REF!</v>
      </c>
      <c r="AP214" s="16" t="e">
        <f>H214*(1-0)</f>
        <v>#REF!</v>
      </c>
      <c r="AQ214" s="56" t="s">
        <v>470</v>
      </c>
      <c r="AV214" s="16" t="e">
        <f>AW214+AX214</f>
        <v>#REF!</v>
      </c>
      <c r="AW214" s="16" t="e">
        <f>G214*AO214</f>
        <v>#REF!</v>
      </c>
      <c r="AX214" s="16" t="e">
        <f>G214*AP214</f>
        <v>#REF!</v>
      </c>
      <c r="AY214" s="56" t="s">
        <v>643</v>
      </c>
      <c r="AZ214" s="56" t="s">
        <v>644</v>
      </c>
      <c r="BA214" s="13" t="s">
        <v>618</v>
      </c>
      <c r="BC214" s="16" t="e">
        <f>AW214+AX214</f>
        <v>#REF!</v>
      </c>
      <c r="BD214" s="16" t="e">
        <f>H214/(100-BE214)*100</f>
        <v>#REF!</v>
      </c>
      <c r="BE214" s="16">
        <v>0</v>
      </c>
      <c r="BF214" s="16" t="e">
        <f>O214</f>
        <v>#REF!</v>
      </c>
      <c r="BH214" s="16" t="e">
        <f>G214*AO214</f>
        <v>#REF!</v>
      </c>
      <c r="BI214" s="16" t="e">
        <f>G214*AP214</f>
        <v>#REF!</v>
      </c>
      <c r="BJ214" s="16" t="e">
        <f>G214*H214</f>
        <v>#REF!</v>
      </c>
      <c r="BK214" s="16"/>
      <c r="BL214" s="16">
        <v>781</v>
      </c>
      <c r="BW214" s="16" t="str">
        <f>I214</f>
        <v>12</v>
      </c>
      <c r="BX214" s="3" t="s">
        <v>328</v>
      </c>
    </row>
    <row r="215" spans="1:76" x14ac:dyDescent="0.25">
      <c r="A215" s="53" t="s">
        <v>25</v>
      </c>
      <c r="B215" s="12" t="s">
        <v>277</v>
      </c>
      <c r="C215" s="12" t="s">
        <v>329</v>
      </c>
      <c r="D215" s="84" t="s">
        <v>330</v>
      </c>
      <c r="E215" s="85"/>
      <c r="F215" s="54" t="s">
        <v>23</v>
      </c>
      <c r="G215" s="54" t="s">
        <v>23</v>
      </c>
      <c r="H215" s="54" t="s">
        <v>23</v>
      </c>
      <c r="I215" s="54" t="s">
        <v>23</v>
      </c>
      <c r="J215" s="29" t="e">
        <f>SUM(J216:J217)</f>
        <v>#REF!</v>
      </c>
      <c r="K215" s="29" t="e">
        <f>SUM(K216:K217)</f>
        <v>#REF!</v>
      </c>
      <c r="L215" s="29" t="e">
        <f>SUM(L216:L217)</f>
        <v>#REF!</v>
      </c>
      <c r="M215" s="29" t="e">
        <f>SUM(M216:M217)</f>
        <v>#REF!</v>
      </c>
      <c r="N215" s="13" t="s">
        <v>25</v>
      </c>
      <c r="O215" s="29" t="e">
        <f>SUM(O216:O217)</f>
        <v>#REF!</v>
      </c>
      <c r="P215" s="55" t="s">
        <v>25</v>
      </c>
      <c r="AI215" s="13" t="s">
        <v>277</v>
      </c>
      <c r="AS215" s="29">
        <f>SUM(AJ216:AJ217)</f>
        <v>0</v>
      </c>
      <c r="AT215" s="29" t="e">
        <f>SUM(AK216:AK217)</f>
        <v>#REF!</v>
      </c>
      <c r="AU215" s="29">
        <f>SUM(AL216:AL217)</f>
        <v>0</v>
      </c>
    </row>
    <row r="216" spans="1:76" ht="25.5" x14ac:dyDescent="0.25">
      <c r="A216" s="1" t="s">
        <v>652</v>
      </c>
      <c r="B216" s="2" t="s">
        <v>277</v>
      </c>
      <c r="C216" s="2" t="s">
        <v>331</v>
      </c>
      <c r="D216" s="77" t="s">
        <v>332</v>
      </c>
      <c r="E216" s="71"/>
      <c r="F216" s="2" t="s">
        <v>293</v>
      </c>
      <c r="G216" s="16" t="e">
        <f>'Rozpočet - vybrané sloupce'!#REF!</f>
        <v>#REF!</v>
      </c>
      <c r="H216" s="16" t="e">
        <f>'Rozpočet - vybrané sloupce'!#REF!</f>
        <v>#REF!</v>
      </c>
      <c r="I216" s="56" t="s">
        <v>460</v>
      </c>
      <c r="J216" s="16" t="e">
        <f>G216*AO216</f>
        <v>#REF!</v>
      </c>
      <c r="K216" s="16" t="e">
        <f>G216*AP216</f>
        <v>#REF!</v>
      </c>
      <c r="L216" s="16" t="e">
        <f>G216*H216</f>
        <v>#REF!</v>
      </c>
      <c r="M216" s="16" t="e">
        <f>L216*(1+BW216/100)</f>
        <v>#REF!</v>
      </c>
      <c r="N216" s="16">
        <v>1.4599999999999999E-3</v>
      </c>
      <c r="O216" s="16" t="e">
        <f>G216*N216</f>
        <v>#REF!</v>
      </c>
      <c r="P216" s="57" t="s">
        <v>461</v>
      </c>
      <c r="Z216" s="16">
        <f>IF(AQ216="5",BJ216,0)</f>
        <v>0</v>
      </c>
      <c r="AB216" s="16">
        <f>IF(AQ216="1",BH216,0)</f>
        <v>0</v>
      </c>
      <c r="AC216" s="16">
        <f>IF(AQ216="1",BI216,0)</f>
        <v>0</v>
      </c>
      <c r="AD216" s="16" t="e">
        <f>IF(AQ216="7",BH216,0)</f>
        <v>#REF!</v>
      </c>
      <c r="AE216" s="16" t="e">
        <f>IF(AQ216="7",BI216,0)</f>
        <v>#REF!</v>
      </c>
      <c r="AF216" s="16">
        <f>IF(AQ216="2",BH216,0)</f>
        <v>0</v>
      </c>
      <c r="AG216" s="16">
        <f>IF(AQ216="2",BI216,0)</f>
        <v>0</v>
      </c>
      <c r="AH216" s="16">
        <f>IF(AQ216="0",BJ216,0)</f>
        <v>0</v>
      </c>
      <c r="AI216" s="13" t="s">
        <v>277</v>
      </c>
      <c r="AJ216" s="16">
        <f>IF(AN216=0,L216,0)</f>
        <v>0</v>
      </c>
      <c r="AK216" s="16" t="e">
        <f>IF(AN216=12,L216,0)</f>
        <v>#REF!</v>
      </c>
      <c r="AL216" s="16">
        <f>IF(AN216=21,L216,0)</f>
        <v>0</v>
      </c>
      <c r="AN216" s="16">
        <v>12</v>
      </c>
      <c r="AO216" s="16" t="e">
        <f>H216*0</f>
        <v>#REF!</v>
      </c>
      <c r="AP216" s="16" t="e">
        <f>H216*(1-0)</f>
        <v>#REF!</v>
      </c>
      <c r="AQ216" s="56" t="s">
        <v>462</v>
      </c>
      <c r="AV216" s="16" t="e">
        <f>AW216+AX216</f>
        <v>#REF!</v>
      </c>
      <c r="AW216" s="16" t="e">
        <f>G216*AO216</f>
        <v>#REF!</v>
      </c>
      <c r="AX216" s="16" t="e">
        <f>G216*AP216</f>
        <v>#REF!</v>
      </c>
      <c r="AY216" s="56" t="s">
        <v>653</v>
      </c>
      <c r="AZ216" s="56" t="s">
        <v>644</v>
      </c>
      <c r="BA216" s="13" t="s">
        <v>618</v>
      </c>
      <c r="BC216" s="16" t="e">
        <f>AW216+AX216</f>
        <v>#REF!</v>
      </c>
      <c r="BD216" s="16" t="e">
        <f>H216/(100-BE216)*100</f>
        <v>#REF!</v>
      </c>
      <c r="BE216" s="16">
        <v>0</v>
      </c>
      <c r="BF216" s="16" t="e">
        <f>O216</f>
        <v>#REF!</v>
      </c>
      <c r="BH216" s="16" t="e">
        <f>G216*AO216</f>
        <v>#REF!</v>
      </c>
      <c r="BI216" s="16" t="e">
        <f>G216*AP216</f>
        <v>#REF!</v>
      </c>
      <c r="BJ216" s="16" t="e">
        <f>G216*H216</f>
        <v>#REF!</v>
      </c>
      <c r="BK216" s="16"/>
      <c r="BL216" s="16">
        <v>783</v>
      </c>
      <c r="BW216" s="16" t="str">
        <f>I216</f>
        <v>12</v>
      </c>
      <c r="BX216" s="3" t="s">
        <v>332</v>
      </c>
    </row>
    <row r="217" spans="1:76" x14ac:dyDescent="0.25">
      <c r="A217" s="1" t="s">
        <v>654</v>
      </c>
      <c r="B217" s="2" t="s">
        <v>277</v>
      </c>
      <c r="C217" s="2" t="s">
        <v>333</v>
      </c>
      <c r="D217" s="77" t="s">
        <v>334</v>
      </c>
      <c r="E217" s="71"/>
      <c r="F217" s="2" t="s">
        <v>335</v>
      </c>
      <c r="G217" s="16" t="e">
        <f>'Rozpočet - vybrané sloupce'!#REF!</f>
        <v>#REF!</v>
      </c>
      <c r="H217" s="16" t="e">
        <f>'Rozpočet - vybrané sloupce'!#REF!</f>
        <v>#REF!</v>
      </c>
      <c r="I217" s="56" t="s">
        <v>460</v>
      </c>
      <c r="J217" s="16" t="e">
        <f>G217*AO217</f>
        <v>#REF!</v>
      </c>
      <c r="K217" s="16" t="e">
        <f>G217*AP217</f>
        <v>#REF!</v>
      </c>
      <c r="L217" s="16" t="e">
        <f>G217*H217</f>
        <v>#REF!</v>
      </c>
      <c r="M217" s="16" t="e">
        <f>L217*(1+BW217/100)</f>
        <v>#REF!</v>
      </c>
      <c r="N217" s="16">
        <v>0</v>
      </c>
      <c r="O217" s="16" t="e">
        <f>G217*N217</f>
        <v>#REF!</v>
      </c>
      <c r="P217" s="57" t="s">
        <v>461</v>
      </c>
      <c r="Z217" s="16">
        <f>IF(AQ217="5",BJ217,0)</f>
        <v>0</v>
      </c>
      <c r="AB217" s="16">
        <f>IF(AQ217="1",BH217,0)</f>
        <v>0</v>
      </c>
      <c r="AC217" s="16">
        <f>IF(AQ217="1",BI217,0)</f>
        <v>0</v>
      </c>
      <c r="AD217" s="16" t="e">
        <f>IF(AQ217="7",BH217,0)</f>
        <v>#REF!</v>
      </c>
      <c r="AE217" s="16" t="e">
        <f>IF(AQ217="7",BI217,0)</f>
        <v>#REF!</v>
      </c>
      <c r="AF217" s="16">
        <f>IF(AQ217="2",BH217,0)</f>
        <v>0</v>
      </c>
      <c r="AG217" s="16">
        <f>IF(AQ217="2",BI217,0)</f>
        <v>0</v>
      </c>
      <c r="AH217" s="16">
        <f>IF(AQ217="0",BJ217,0)</f>
        <v>0</v>
      </c>
      <c r="AI217" s="13" t="s">
        <v>277</v>
      </c>
      <c r="AJ217" s="16">
        <f>IF(AN217=0,L217,0)</f>
        <v>0</v>
      </c>
      <c r="AK217" s="16" t="e">
        <f>IF(AN217=12,L217,0)</f>
        <v>#REF!</v>
      </c>
      <c r="AL217" s="16">
        <f>IF(AN217=21,L217,0)</f>
        <v>0</v>
      </c>
      <c r="AN217" s="16">
        <v>12</v>
      </c>
      <c r="AO217" s="16" t="e">
        <f>H217*1</f>
        <v>#REF!</v>
      </c>
      <c r="AP217" s="16" t="e">
        <f>H217*(1-1)</f>
        <v>#REF!</v>
      </c>
      <c r="AQ217" s="56" t="s">
        <v>462</v>
      </c>
      <c r="AV217" s="16" t="e">
        <f>AW217+AX217</f>
        <v>#REF!</v>
      </c>
      <c r="AW217" s="16" t="e">
        <f>G217*AO217</f>
        <v>#REF!</v>
      </c>
      <c r="AX217" s="16" t="e">
        <f>G217*AP217</f>
        <v>#REF!</v>
      </c>
      <c r="AY217" s="56" t="s">
        <v>653</v>
      </c>
      <c r="AZ217" s="56" t="s">
        <v>644</v>
      </c>
      <c r="BA217" s="13" t="s">
        <v>618</v>
      </c>
      <c r="BC217" s="16" t="e">
        <f>AW217+AX217</f>
        <v>#REF!</v>
      </c>
      <c r="BD217" s="16" t="e">
        <f>H217/(100-BE217)*100</f>
        <v>#REF!</v>
      </c>
      <c r="BE217" s="16">
        <v>0</v>
      </c>
      <c r="BF217" s="16" t="e">
        <f>O217</f>
        <v>#REF!</v>
      </c>
      <c r="BH217" s="16" t="e">
        <f>G217*AO217</f>
        <v>#REF!</v>
      </c>
      <c r="BI217" s="16" t="e">
        <f>G217*AP217</f>
        <v>#REF!</v>
      </c>
      <c r="BJ217" s="16" t="e">
        <f>G217*H217</f>
        <v>#REF!</v>
      </c>
      <c r="BK217" s="16"/>
      <c r="BL217" s="16">
        <v>783</v>
      </c>
      <c r="BW217" s="16" t="str">
        <f>I217</f>
        <v>12</v>
      </c>
      <c r="BX217" s="3" t="s">
        <v>334</v>
      </c>
    </row>
    <row r="218" spans="1:76" x14ac:dyDescent="0.25">
      <c r="A218" s="53" t="s">
        <v>25</v>
      </c>
      <c r="B218" s="12" t="s">
        <v>277</v>
      </c>
      <c r="C218" s="12" t="s">
        <v>336</v>
      </c>
      <c r="D218" s="84" t="s">
        <v>337</v>
      </c>
      <c r="E218" s="85"/>
      <c r="F218" s="54" t="s">
        <v>23</v>
      </c>
      <c r="G218" s="54" t="s">
        <v>23</v>
      </c>
      <c r="H218" s="54" t="s">
        <v>23</v>
      </c>
      <c r="I218" s="54" t="s">
        <v>23</v>
      </c>
      <c r="J218" s="29" t="e">
        <f>SUM(J219:J219)</f>
        <v>#REF!</v>
      </c>
      <c r="K218" s="29" t="e">
        <f>SUM(K219:K219)</f>
        <v>#REF!</v>
      </c>
      <c r="L218" s="29" t="e">
        <f>SUM(L219:L219)</f>
        <v>#REF!</v>
      </c>
      <c r="M218" s="29" t="e">
        <f>SUM(M219:M219)</f>
        <v>#REF!</v>
      </c>
      <c r="N218" s="13" t="s">
        <v>25</v>
      </c>
      <c r="O218" s="29" t="e">
        <f>SUM(O219:O219)</f>
        <v>#REF!</v>
      </c>
      <c r="P218" s="55" t="s">
        <v>25</v>
      </c>
      <c r="AI218" s="13" t="s">
        <v>277</v>
      </c>
      <c r="AS218" s="29">
        <f>SUM(AJ219:AJ219)</f>
        <v>0</v>
      </c>
      <c r="AT218" s="29" t="e">
        <f>SUM(AK219:AK219)</f>
        <v>#REF!</v>
      </c>
      <c r="AU218" s="29">
        <f>SUM(AL219:AL219)</f>
        <v>0</v>
      </c>
    </row>
    <row r="219" spans="1:76" x14ac:dyDescent="0.25">
      <c r="A219" s="1" t="s">
        <v>655</v>
      </c>
      <c r="B219" s="2" t="s">
        <v>277</v>
      </c>
      <c r="C219" s="2" t="s">
        <v>338</v>
      </c>
      <c r="D219" s="77" t="s">
        <v>339</v>
      </c>
      <c r="E219" s="71"/>
      <c r="F219" s="2" t="s">
        <v>293</v>
      </c>
      <c r="G219" s="16" t="e">
        <f>'Rozpočet - vybrané sloupce'!#REF!</f>
        <v>#REF!</v>
      </c>
      <c r="H219" s="16" t="e">
        <f>'Rozpočet - vybrané sloupce'!#REF!</f>
        <v>#REF!</v>
      </c>
      <c r="I219" s="56" t="s">
        <v>460</v>
      </c>
      <c r="J219" s="16" t="e">
        <f>G219*AO219</f>
        <v>#REF!</v>
      </c>
      <c r="K219" s="16" t="e">
        <f>G219*AP219</f>
        <v>#REF!</v>
      </c>
      <c r="L219" s="16" t="e">
        <f>G219*H219</f>
        <v>#REF!</v>
      </c>
      <c r="M219" s="16" t="e">
        <f>L219*(1+BW219/100)</f>
        <v>#REF!</v>
      </c>
      <c r="N219" s="16">
        <v>3.8999999999999999E-4</v>
      </c>
      <c r="O219" s="16" t="e">
        <f>G219*N219</f>
        <v>#REF!</v>
      </c>
      <c r="P219" s="57" t="s">
        <v>461</v>
      </c>
      <c r="Z219" s="16">
        <f>IF(AQ219="5",BJ219,0)</f>
        <v>0</v>
      </c>
      <c r="AB219" s="16">
        <f>IF(AQ219="1",BH219,0)</f>
        <v>0</v>
      </c>
      <c r="AC219" s="16">
        <f>IF(AQ219="1",BI219,0)</f>
        <v>0</v>
      </c>
      <c r="AD219" s="16" t="e">
        <f>IF(AQ219="7",BH219,0)</f>
        <v>#REF!</v>
      </c>
      <c r="AE219" s="16" t="e">
        <f>IF(AQ219="7",BI219,0)</f>
        <v>#REF!</v>
      </c>
      <c r="AF219" s="16">
        <f>IF(AQ219="2",BH219,0)</f>
        <v>0</v>
      </c>
      <c r="AG219" s="16">
        <f>IF(AQ219="2",BI219,0)</f>
        <v>0</v>
      </c>
      <c r="AH219" s="16">
        <f>IF(AQ219="0",BJ219,0)</f>
        <v>0</v>
      </c>
      <c r="AI219" s="13" t="s">
        <v>277</v>
      </c>
      <c r="AJ219" s="16">
        <f>IF(AN219=0,L219,0)</f>
        <v>0</v>
      </c>
      <c r="AK219" s="16" t="e">
        <f>IF(AN219=12,L219,0)</f>
        <v>#REF!</v>
      </c>
      <c r="AL219" s="16">
        <f>IF(AN219=21,L219,0)</f>
        <v>0</v>
      </c>
      <c r="AN219" s="16">
        <v>12</v>
      </c>
      <c r="AO219" s="16" t="e">
        <f>H219*0.201520065</f>
        <v>#REF!</v>
      </c>
      <c r="AP219" s="16" t="e">
        <f>H219*(1-0.201520065)</f>
        <v>#REF!</v>
      </c>
      <c r="AQ219" s="56" t="s">
        <v>462</v>
      </c>
      <c r="AV219" s="16" t="e">
        <f>AW219+AX219</f>
        <v>#REF!</v>
      </c>
      <c r="AW219" s="16" t="e">
        <f>G219*AO219</f>
        <v>#REF!</v>
      </c>
      <c r="AX219" s="16" t="e">
        <f>G219*AP219</f>
        <v>#REF!</v>
      </c>
      <c r="AY219" s="56" t="s">
        <v>656</v>
      </c>
      <c r="AZ219" s="56" t="s">
        <v>644</v>
      </c>
      <c r="BA219" s="13" t="s">
        <v>618</v>
      </c>
      <c r="BC219" s="16" t="e">
        <f>AW219+AX219</f>
        <v>#REF!</v>
      </c>
      <c r="BD219" s="16" t="e">
        <f>H219/(100-BE219)*100</f>
        <v>#REF!</v>
      </c>
      <c r="BE219" s="16">
        <v>0</v>
      </c>
      <c r="BF219" s="16" t="e">
        <f>O219</f>
        <v>#REF!</v>
      </c>
      <c r="BH219" s="16" t="e">
        <f>G219*AO219</f>
        <v>#REF!</v>
      </c>
      <c r="BI219" s="16" t="e">
        <f>G219*AP219</f>
        <v>#REF!</v>
      </c>
      <c r="BJ219" s="16" t="e">
        <f>G219*H219</f>
        <v>#REF!</v>
      </c>
      <c r="BK219" s="16"/>
      <c r="BL219" s="16">
        <v>784</v>
      </c>
      <c r="BW219" s="16" t="str">
        <f>I219</f>
        <v>12</v>
      </c>
      <c r="BX219" s="3" t="s">
        <v>339</v>
      </c>
    </row>
    <row r="220" spans="1:76" x14ac:dyDescent="0.25">
      <c r="A220" s="53" t="s">
        <v>25</v>
      </c>
      <c r="B220" s="12" t="s">
        <v>277</v>
      </c>
      <c r="C220" s="12" t="s">
        <v>340</v>
      </c>
      <c r="D220" s="84" t="s">
        <v>341</v>
      </c>
      <c r="E220" s="85"/>
      <c r="F220" s="54" t="s">
        <v>23</v>
      </c>
      <c r="G220" s="54" t="s">
        <v>23</v>
      </c>
      <c r="H220" s="54" t="s">
        <v>23</v>
      </c>
      <c r="I220" s="54" t="s">
        <v>23</v>
      </c>
      <c r="J220" s="29" t="e">
        <f>SUM(J221:J221)</f>
        <v>#REF!</v>
      </c>
      <c r="K220" s="29" t="e">
        <f>SUM(K221:K221)</f>
        <v>#REF!</v>
      </c>
      <c r="L220" s="29" t="e">
        <f>SUM(L221:L221)</f>
        <v>#REF!</v>
      </c>
      <c r="M220" s="29" t="e">
        <f>SUM(M221:M221)</f>
        <v>#REF!</v>
      </c>
      <c r="N220" s="13" t="s">
        <v>25</v>
      </c>
      <c r="O220" s="29" t="e">
        <f>SUM(O221:O221)</f>
        <v>#REF!</v>
      </c>
      <c r="P220" s="55" t="s">
        <v>25</v>
      </c>
      <c r="AI220" s="13" t="s">
        <v>277</v>
      </c>
      <c r="AS220" s="29">
        <f>SUM(AJ221:AJ221)</f>
        <v>0</v>
      </c>
      <c r="AT220" s="29" t="e">
        <f>SUM(AK221:AK221)</f>
        <v>#REF!</v>
      </c>
      <c r="AU220" s="29">
        <f>SUM(AL221:AL221)</f>
        <v>0</v>
      </c>
    </row>
    <row r="221" spans="1:76" x14ac:dyDescent="0.25">
      <c r="A221" s="1" t="s">
        <v>657</v>
      </c>
      <c r="B221" s="2" t="s">
        <v>277</v>
      </c>
      <c r="C221" s="2" t="s">
        <v>342</v>
      </c>
      <c r="D221" s="77" t="s">
        <v>343</v>
      </c>
      <c r="E221" s="71"/>
      <c r="F221" s="2" t="s">
        <v>293</v>
      </c>
      <c r="G221" s="16" t="e">
        <f>'Rozpočet - vybrané sloupce'!#REF!</f>
        <v>#REF!</v>
      </c>
      <c r="H221" s="16" t="e">
        <f>'Rozpočet - vybrané sloupce'!#REF!</f>
        <v>#REF!</v>
      </c>
      <c r="I221" s="56" t="s">
        <v>460</v>
      </c>
      <c r="J221" s="16" t="e">
        <f>G221*AO221</f>
        <v>#REF!</v>
      </c>
      <c r="K221" s="16" t="e">
        <f>G221*AP221</f>
        <v>#REF!</v>
      </c>
      <c r="L221" s="16" t="e">
        <f>G221*H221</f>
        <v>#REF!</v>
      </c>
      <c r="M221" s="16" t="e">
        <f>L221*(1+BW221/100)</f>
        <v>#REF!</v>
      </c>
      <c r="N221" s="16">
        <v>0</v>
      </c>
      <c r="O221" s="16" t="e">
        <f>G221*N221</f>
        <v>#REF!</v>
      </c>
      <c r="P221" s="57" t="s">
        <v>461</v>
      </c>
      <c r="Z221" s="16">
        <f>IF(AQ221="5",BJ221,0)</f>
        <v>0</v>
      </c>
      <c r="AB221" s="16" t="e">
        <f>IF(AQ221="1",BH221,0)</f>
        <v>#REF!</v>
      </c>
      <c r="AC221" s="16" t="e">
        <f>IF(AQ221="1",BI221,0)</f>
        <v>#REF!</v>
      </c>
      <c r="AD221" s="16">
        <f>IF(AQ221="7",BH221,0)</f>
        <v>0</v>
      </c>
      <c r="AE221" s="16">
        <f>IF(AQ221="7",BI221,0)</f>
        <v>0</v>
      </c>
      <c r="AF221" s="16">
        <f>IF(AQ221="2",BH221,0)</f>
        <v>0</v>
      </c>
      <c r="AG221" s="16">
        <f>IF(AQ221="2",BI221,0)</f>
        <v>0</v>
      </c>
      <c r="AH221" s="16">
        <f>IF(AQ221="0",BJ221,0)</f>
        <v>0</v>
      </c>
      <c r="AI221" s="13" t="s">
        <v>277</v>
      </c>
      <c r="AJ221" s="16">
        <f>IF(AN221=0,L221,0)</f>
        <v>0</v>
      </c>
      <c r="AK221" s="16" t="e">
        <f>IF(AN221=12,L221,0)</f>
        <v>#REF!</v>
      </c>
      <c r="AL221" s="16">
        <f>IF(AN221=21,L221,0)</f>
        <v>0</v>
      </c>
      <c r="AN221" s="16">
        <v>12</v>
      </c>
      <c r="AO221" s="16" t="e">
        <f>H221*0</f>
        <v>#REF!</v>
      </c>
      <c r="AP221" s="16" t="e">
        <f>H221*(1-0)</f>
        <v>#REF!</v>
      </c>
      <c r="AQ221" s="56" t="s">
        <v>459</v>
      </c>
      <c r="AV221" s="16" t="e">
        <f>AW221+AX221</f>
        <v>#REF!</v>
      </c>
      <c r="AW221" s="16" t="e">
        <f>G221*AO221</f>
        <v>#REF!</v>
      </c>
      <c r="AX221" s="16" t="e">
        <f>G221*AP221</f>
        <v>#REF!</v>
      </c>
      <c r="AY221" s="56" t="s">
        <v>658</v>
      </c>
      <c r="AZ221" s="56" t="s">
        <v>659</v>
      </c>
      <c r="BA221" s="13" t="s">
        <v>618</v>
      </c>
      <c r="BC221" s="16" t="e">
        <f>AW221+AX221</f>
        <v>#REF!</v>
      </c>
      <c r="BD221" s="16" t="e">
        <f>H221/(100-BE221)*100</f>
        <v>#REF!</v>
      </c>
      <c r="BE221" s="16">
        <v>0</v>
      </c>
      <c r="BF221" s="16" t="e">
        <f>O221</f>
        <v>#REF!</v>
      </c>
      <c r="BH221" s="16" t="e">
        <f>G221*AO221</f>
        <v>#REF!</v>
      </c>
      <c r="BI221" s="16" t="e">
        <f>G221*AP221</f>
        <v>#REF!</v>
      </c>
      <c r="BJ221" s="16" t="e">
        <f>G221*H221</f>
        <v>#REF!</v>
      </c>
      <c r="BK221" s="16"/>
      <c r="BL221" s="16">
        <v>95</v>
      </c>
      <c r="BW221" s="16" t="str">
        <f>I221</f>
        <v>12</v>
      </c>
      <c r="BX221" s="3" t="s">
        <v>343</v>
      </c>
    </row>
    <row r="222" spans="1:76" x14ac:dyDescent="0.25">
      <c r="A222" s="53" t="s">
        <v>25</v>
      </c>
      <c r="B222" s="12" t="s">
        <v>277</v>
      </c>
      <c r="C222" s="12" t="s">
        <v>344</v>
      </c>
      <c r="D222" s="84" t="s">
        <v>345</v>
      </c>
      <c r="E222" s="85"/>
      <c r="F222" s="54" t="s">
        <v>23</v>
      </c>
      <c r="G222" s="54" t="s">
        <v>23</v>
      </c>
      <c r="H222" s="54" t="s">
        <v>23</v>
      </c>
      <c r="I222" s="54" t="s">
        <v>23</v>
      </c>
      <c r="J222" s="29" t="e">
        <f>SUM(J223:J223)</f>
        <v>#REF!</v>
      </c>
      <c r="K222" s="29" t="e">
        <f>SUM(K223:K223)</f>
        <v>#REF!</v>
      </c>
      <c r="L222" s="29" t="e">
        <f>SUM(L223:L223)</f>
        <v>#REF!</v>
      </c>
      <c r="M222" s="29" t="e">
        <f>SUM(M223:M223)</f>
        <v>#REF!</v>
      </c>
      <c r="N222" s="13" t="s">
        <v>25</v>
      </c>
      <c r="O222" s="29" t="e">
        <f>SUM(O223:O223)</f>
        <v>#REF!</v>
      </c>
      <c r="P222" s="55" t="s">
        <v>25</v>
      </c>
      <c r="AI222" s="13" t="s">
        <v>277</v>
      </c>
      <c r="AS222" s="29">
        <f>SUM(AJ223:AJ223)</f>
        <v>0</v>
      </c>
      <c r="AT222" s="29" t="e">
        <f>SUM(AK223:AK223)</f>
        <v>#REF!</v>
      </c>
      <c r="AU222" s="29">
        <f>SUM(AL223:AL223)</f>
        <v>0</v>
      </c>
    </row>
    <row r="223" spans="1:76" x14ac:dyDescent="0.25">
      <c r="A223" s="1" t="s">
        <v>660</v>
      </c>
      <c r="B223" s="2" t="s">
        <v>277</v>
      </c>
      <c r="C223" s="2" t="s">
        <v>346</v>
      </c>
      <c r="D223" s="77" t="s">
        <v>347</v>
      </c>
      <c r="E223" s="71"/>
      <c r="F223" s="2" t="s">
        <v>293</v>
      </c>
      <c r="G223" s="16" t="e">
        <f>'Rozpočet - vybrané sloupce'!#REF!</f>
        <v>#REF!</v>
      </c>
      <c r="H223" s="16" t="e">
        <f>'Rozpočet - vybrané sloupce'!#REF!</f>
        <v>#REF!</v>
      </c>
      <c r="I223" s="56" t="s">
        <v>460</v>
      </c>
      <c r="J223" s="16" t="e">
        <f>G223*AO223</f>
        <v>#REF!</v>
      </c>
      <c r="K223" s="16" t="e">
        <f>G223*AP223</f>
        <v>#REF!</v>
      </c>
      <c r="L223" s="16" t="e">
        <f>G223*H223</f>
        <v>#REF!</v>
      </c>
      <c r="M223" s="16" t="e">
        <f>L223*(1+BW223/100)</f>
        <v>#REF!</v>
      </c>
      <c r="N223" s="16">
        <v>0.10767</v>
      </c>
      <c r="O223" s="16" t="e">
        <f>G223*N223</f>
        <v>#REF!</v>
      </c>
      <c r="P223" s="57" t="s">
        <v>661</v>
      </c>
      <c r="Z223" s="16">
        <f>IF(AQ223="5",BJ223,0)</f>
        <v>0</v>
      </c>
      <c r="AB223" s="16" t="e">
        <f>IF(AQ223="1",BH223,0)</f>
        <v>#REF!</v>
      </c>
      <c r="AC223" s="16" t="e">
        <f>IF(AQ223="1",BI223,0)</f>
        <v>#REF!</v>
      </c>
      <c r="AD223" s="16">
        <f>IF(AQ223="7",BH223,0)</f>
        <v>0</v>
      </c>
      <c r="AE223" s="16">
        <f>IF(AQ223="7",BI223,0)</f>
        <v>0</v>
      </c>
      <c r="AF223" s="16">
        <f>IF(AQ223="2",BH223,0)</f>
        <v>0</v>
      </c>
      <c r="AG223" s="16">
        <f>IF(AQ223="2",BI223,0)</f>
        <v>0</v>
      </c>
      <c r="AH223" s="16">
        <f>IF(AQ223="0",BJ223,0)</f>
        <v>0</v>
      </c>
      <c r="AI223" s="13" t="s">
        <v>277</v>
      </c>
      <c r="AJ223" s="16">
        <f>IF(AN223=0,L223,0)</f>
        <v>0</v>
      </c>
      <c r="AK223" s="16" t="e">
        <f>IF(AN223=12,L223,0)</f>
        <v>#REF!</v>
      </c>
      <c r="AL223" s="16">
        <f>IF(AN223=21,L223,0)</f>
        <v>0</v>
      </c>
      <c r="AN223" s="16">
        <v>12</v>
      </c>
      <c r="AO223" s="16" t="e">
        <f>H223*0.197053564</f>
        <v>#REF!</v>
      </c>
      <c r="AP223" s="16" t="e">
        <f>H223*(1-0.197053564)</f>
        <v>#REF!</v>
      </c>
      <c r="AQ223" s="56" t="s">
        <v>459</v>
      </c>
      <c r="AV223" s="16" t="e">
        <f>AW223+AX223</f>
        <v>#REF!</v>
      </c>
      <c r="AW223" s="16" t="e">
        <f>G223*AO223</f>
        <v>#REF!</v>
      </c>
      <c r="AX223" s="16" t="e">
        <f>G223*AP223</f>
        <v>#REF!</v>
      </c>
      <c r="AY223" s="56" t="s">
        <v>662</v>
      </c>
      <c r="AZ223" s="56" t="s">
        <v>659</v>
      </c>
      <c r="BA223" s="13" t="s">
        <v>618</v>
      </c>
      <c r="BC223" s="16" t="e">
        <f>AW223+AX223</f>
        <v>#REF!</v>
      </c>
      <c r="BD223" s="16" t="e">
        <f>H223/(100-BE223)*100</f>
        <v>#REF!</v>
      </c>
      <c r="BE223" s="16">
        <v>0</v>
      </c>
      <c r="BF223" s="16" t="e">
        <f>O223</f>
        <v>#REF!</v>
      </c>
      <c r="BH223" s="16" t="e">
        <f>G223*AO223</f>
        <v>#REF!</v>
      </c>
      <c r="BI223" s="16" t="e">
        <f>G223*AP223</f>
        <v>#REF!</v>
      </c>
      <c r="BJ223" s="16" t="e">
        <f>G223*H223</f>
        <v>#REF!</v>
      </c>
      <c r="BK223" s="16"/>
      <c r="BL223" s="16">
        <v>96</v>
      </c>
      <c r="BW223" s="16" t="str">
        <f>I223</f>
        <v>12</v>
      </c>
      <c r="BX223" s="3" t="s">
        <v>347</v>
      </c>
    </row>
    <row r="224" spans="1:76" x14ac:dyDescent="0.25">
      <c r="A224" s="53" t="s">
        <v>25</v>
      </c>
      <c r="B224" s="12" t="s">
        <v>277</v>
      </c>
      <c r="C224" s="12" t="s">
        <v>348</v>
      </c>
      <c r="D224" s="84" t="s">
        <v>349</v>
      </c>
      <c r="E224" s="85"/>
      <c r="F224" s="54" t="s">
        <v>23</v>
      </c>
      <c r="G224" s="54" t="s">
        <v>23</v>
      </c>
      <c r="H224" s="54" t="s">
        <v>23</v>
      </c>
      <c r="I224" s="54" t="s">
        <v>23</v>
      </c>
      <c r="J224" s="29" t="e">
        <f>SUM(J225:J232)</f>
        <v>#REF!</v>
      </c>
      <c r="K224" s="29" t="e">
        <f>SUM(K225:K232)</f>
        <v>#REF!</v>
      </c>
      <c r="L224" s="29" t="e">
        <f>SUM(L225:L232)</f>
        <v>#REF!</v>
      </c>
      <c r="M224" s="29" t="e">
        <f>SUM(M225:M232)</f>
        <v>#REF!</v>
      </c>
      <c r="N224" s="13" t="s">
        <v>25</v>
      </c>
      <c r="O224" s="29" t="e">
        <f>SUM(O225:O232)</f>
        <v>#REF!</v>
      </c>
      <c r="P224" s="55" t="s">
        <v>25</v>
      </c>
      <c r="AI224" s="13" t="s">
        <v>277</v>
      </c>
      <c r="AS224" s="29">
        <f>SUM(AJ225:AJ232)</f>
        <v>0</v>
      </c>
      <c r="AT224" s="29" t="e">
        <f>SUM(AK225:AK232)</f>
        <v>#REF!</v>
      </c>
      <c r="AU224" s="29">
        <f>SUM(AL225:AL232)</f>
        <v>0</v>
      </c>
    </row>
    <row r="225" spans="1:76" x14ac:dyDescent="0.25">
      <c r="A225" s="1" t="s">
        <v>663</v>
      </c>
      <c r="B225" s="2" t="s">
        <v>277</v>
      </c>
      <c r="C225" s="2" t="s">
        <v>350</v>
      </c>
      <c r="D225" s="77" t="s">
        <v>351</v>
      </c>
      <c r="E225" s="71"/>
      <c r="F225" s="2" t="s">
        <v>35</v>
      </c>
      <c r="G225" s="16" t="e">
        <f>'Rozpočet - vybrané sloupce'!#REF!</f>
        <v>#REF!</v>
      </c>
      <c r="H225" s="16" t="e">
        <f>'Rozpočet - vybrané sloupce'!#REF!</f>
        <v>#REF!</v>
      </c>
      <c r="I225" s="56" t="s">
        <v>460</v>
      </c>
      <c r="J225" s="16" t="e">
        <f>G225*AO225</f>
        <v>#REF!</v>
      </c>
      <c r="K225" s="16" t="e">
        <f>G225*AP225</f>
        <v>#REF!</v>
      </c>
      <c r="L225" s="16" t="e">
        <f>G225*H225</f>
        <v>#REF!</v>
      </c>
      <c r="M225" s="16" t="e">
        <f>L225*(1+BW225/100)</f>
        <v>#REF!</v>
      </c>
      <c r="N225" s="16">
        <v>0.09</v>
      </c>
      <c r="O225" s="16" t="e">
        <f>G225*N225</f>
        <v>#REF!</v>
      </c>
      <c r="P225" s="57" t="s">
        <v>461</v>
      </c>
      <c r="Z225" s="16">
        <f>IF(AQ225="5",BJ225,0)</f>
        <v>0</v>
      </c>
      <c r="AB225" s="16" t="e">
        <f>IF(AQ225="1",BH225,0)</f>
        <v>#REF!</v>
      </c>
      <c r="AC225" s="16" t="e">
        <f>IF(AQ225="1",BI225,0)</f>
        <v>#REF!</v>
      </c>
      <c r="AD225" s="16">
        <f>IF(AQ225="7",BH225,0)</f>
        <v>0</v>
      </c>
      <c r="AE225" s="16">
        <f>IF(AQ225="7",BI225,0)</f>
        <v>0</v>
      </c>
      <c r="AF225" s="16">
        <f>IF(AQ225="2",BH225,0)</f>
        <v>0</v>
      </c>
      <c r="AG225" s="16">
        <f>IF(AQ225="2",BI225,0)</f>
        <v>0</v>
      </c>
      <c r="AH225" s="16">
        <f>IF(AQ225="0",BJ225,0)</f>
        <v>0</v>
      </c>
      <c r="AI225" s="13" t="s">
        <v>277</v>
      </c>
      <c r="AJ225" s="16">
        <f>IF(AN225=0,L225,0)</f>
        <v>0</v>
      </c>
      <c r="AK225" s="16" t="e">
        <f>IF(AN225=12,L225,0)</f>
        <v>#REF!</v>
      </c>
      <c r="AL225" s="16">
        <f>IF(AN225=21,L225,0)</f>
        <v>0</v>
      </c>
      <c r="AN225" s="16">
        <v>12</v>
      </c>
      <c r="AO225" s="16" t="e">
        <f>H225*0</f>
        <v>#REF!</v>
      </c>
      <c r="AP225" s="16" t="e">
        <f>H225*(1-0)</f>
        <v>#REF!</v>
      </c>
      <c r="AQ225" s="56" t="s">
        <v>459</v>
      </c>
      <c r="AV225" s="16" t="e">
        <f>AW225+AX225</f>
        <v>#REF!</v>
      </c>
      <c r="AW225" s="16" t="e">
        <f>G225*AO225</f>
        <v>#REF!</v>
      </c>
      <c r="AX225" s="16" t="e">
        <f>G225*AP225</f>
        <v>#REF!</v>
      </c>
      <c r="AY225" s="56" t="s">
        <v>664</v>
      </c>
      <c r="AZ225" s="56" t="s">
        <v>659</v>
      </c>
      <c r="BA225" s="13" t="s">
        <v>618</v>
      </c>
      <c r="BC225" s="16" t="e">
        <f>AW225+AX225</f>
        <v>#REF!</v>
      </c>
      <c r="BD225" s="16" t="e">
        <f>H225/(100-BE225)*100</f>
        <v>#REF!</v>
      </c>
      <c r="BE225" s="16">
        <v>0</v>
      </c>
      <c r="BF225" s="16" t="e">
        <f>O225</f>
        <v>#REF!</v>
      </c>
      <c r="BH225" s="16" t="e">
        <f>G225*AO225</f>
        <v>#REF!</v>
      </c>
      <c r="BI225" s="16" t="e">
        <f>G225*AP225</f>
        <v>#REF!</v>
      </c>
      <c r="BJ225" s="16" t="e">
        <f>G225*H225</f>
        <v>#REF!</v>
      </c>
      <c r="BK225" s="16"/>
      <c r="BL225" s="16">
        <v>97</v>
      </c>
      <c r="BW225" s="16" t="str">
        <f>I225</f>
        <v>12</v>
      </c>
      <c r="BX225" s="3" t="s">
        <v>351</v>
      </c>
    </row>
    <row r="226" spans="1:76" ht="25.5" x14ac:dyDescent="0.25">
      <c r="A226" s="58"/>
      <c r="C226" s="59" t="s">
        <v>475</v>
      </c>
      <c r="D226" s="122" t="s">
        <v>665</v>
      </c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4"/>
      <c r="BX226" s="60" t="s">
        <v>665</v>
      </c>
    </row>
    <row r="227" spans="1:76" x14ac:dyDescent="0.25">
      <c r="A227" s="1" t="s">
        <v>666</v>
      </c>
      <c r="B227" s="2" t="s">
        <v>277</v>
      </c>
      <c r="C227" s="2" t="s">
        <v>352</v>
      </c>
      <c r="D227" s="77" t="s">
        <v>353</v>
      </c>
      <c r="E227" s="71"/>
      <c r="F227" s="2" t="s">
        <v>31</v>
      </c>
      <c r="G227" s="16" t="e">
        <f>'Rozpočet - vybrané sloupce'!#REF!</f>
        <v>#REF!</v>
      </c>
      <c r="H227" s="16" t="e">
        <f>'Rozpočet - vybrané sloupce'!#REF!</f>
        <v>#REF!</v>
      </c>
      <c r="I227" s="56" t="s">
        <v>460</v>
      </c>
      <c r="J227" s="16" t="e">
        <f>G227*AO227</f>
        <v>#REF!</v>
      </c>
      <c r="K227" s="16" t="e">
        <f>G227*AP227</f>
        <v>#REF!</v>
      </c>
      <c r="L227" s="16" t="e">
        <f>G227*H227</f>
        <v>#REF!</v>
      </c>
      <c r="M227" s="16" t="e">
        <f>L227*(1+BW227/100)</f>
        <v>#REF!</v>
      </c>
      <c r="N227" s="16">
        <v>3.3169999999999998E-2</v>
      </c>
      <c r="O227" s="16" t="e">
        <f>G227*N227</f>
        <v>#REF!</v>
      </c>
      <c r="P227" s="57" t="s">
        <v>461</v>
      </c>
      <c r="Z227" s="16">
        <f>IF(AQ227="5",BJ227,0)</f>
        <v>0</v>
      </c>
      <c r="AB227" s="16" t="e">
        <f>IF(AQ227="1",BH227,0)</f>
        <v>#REF!</v>
      </c>
      <c r="AC227" s="16" t="e">
        <f>IF(AQ227="1",BI227,0)</f>
        <v>#REF!</v>
      </c>
      <c r="AD227" s="16">
        <f>IF(AQ227="7",BH227,0)</f>
        <v>0</v>
      </c>
      <c r="AE227" s="16">
        <f>IF(AQ227="7",BI227,0)</f>
        <v>0</v>
      </c>
      <c r="AF227" s="16">
        <f>IF(AQ227="2",BH227,0)</f>
        <v>0</v>
      </c>
      <c r="AG227" s="16">
        <f>IF(AQ227="2",BI227,0)</f>
        <v>0</v>
      </c>
      <c r="AH227" s="16">
        <f>IF(AQ227="0",BJ227,0)</f>
        <v>0</v>
      </c>
      <c r="AI227" s="13" t="s">
        <v>277</v>
      </c>
      <c r="AJ227" s="16">
        <f>IF(AN227=0,L227,0)</f>
        <v>0</v>
      </c>
      <c r="AK227" s="16" t="e">
        <f>IF(AN227=12,L227,0)</f>
        <v>#REF!</v>
      </c>
      <c r="AL227" s="16">
        <f>IF(AN227=21,L227,0)</f>
        <v>0</v>
      </c>
      <c r="AN227" s="16">
        <v>12</v>
      </c>
      <c r="AO227" s="16" t="e">
        <f>H227*0.310696008</f>
        <v>#REF!</v>
      </c>
      <c r="AP227" s="16" t="e">
        <f>H227*(1-0.310696008)</f>
        <v>#REF!</v>
      </c>
      <c r="AQ227" s="56" t="s">
        <v>459</v>
      </c>
      <c r="AV227" s="16" t="e">
        <f>AW227+AX227</f>
        <v>#REF!</v>
      </c>
      <c r="AW227" s="16" t="e">
        <f>G227*AO227</f>
        <v>#REF!</v>
      </c>
      <c r="AX227" s="16" t="e">
        <f>G227*AP227</f>
        <v>#REF!</v>
      </c>
      <c r="AY227" s="56" t="s">
        <v>664</v>
      </c>
      <c r="AZ227" s="56" t="s">
        <v>659</v>
      </c>
      <c r="BA227" s="13" t="s">
        <v>618</v>
      </c>
      <c r="BC227" s="16" t="e">
        <f>AW227+AX227</f>
        <v>#REF!</v>
      </c>
      <c r="BD227" s="16" t="e">
        <f>H227/(100-BE227)*100</f>
        <v>#REF!</v>
      </c>
      <c r="BE227" s="16">
        <v>0</v>
      </c>
      <c r="BF227" s="16" t="e">
        <f>O227</f>
        <v>#REF!</v>
      </c>
      <c r="BH227" s="16" t="e">
        <f>G227*AO227</f>
        <v>#REF!</v>
      </c>
      <c r="BI227" s="16" t="e">
        <f>G227*AP227</f>
        <v>#REF!</v>
      </c>
      <c r="BJ227" s="16" t="e">
        <f>G227*H227</f>
        <v>#REF!</v>
      </c>
      <c r="BK227" s="16"/>
      <c r="BL227" s="16">
        <v>97</v>
      </c>
      <c r="BW227" s="16" t="str">
        <f>I227</f>
        <v>12</v>
      </c>
      <c r="BX227" s="3" t="s">
        <v>353</v>
      </c>
    </row>
    <row r="228" spans="1:76" x14ac:dyDescent="0.25">
      <c r="A228" s="1" t="s">
        <v>667</v>
      </c>
      <c r="B228" s="2" t="s">
        <v>277</v>
      </c>
      <c r="C228" s="2" t="s">
        <v>354</v>
      </c>
      <c r="D228" s="77" t="s">
        <v>355</v>
      </c>
      <c r="E228" s="71"/>
      <c r="F228" s="2" t="s">
        <v>31</v>
      </c>
      <c r="G228" s="16" t="e">
        <f>'Rozpočet - vybrané sloupce'!#REF!</f>
        <v>#REF!</v>
      </c>
      <c r="H228" s="16" t="e">
        <f>'Rozpočet - vybrané sloupce'!#REF!</f>
        <v>#REF!</v>
      </c>
      <c r="I228" s="56" t="s">
        <v>460</v>
      </c>
      <c r="J228" s="16" t="e">
        <f>G228*AO228</f>
        <v>#REF!</v>
      </c>
      <c r="K228" s="16" t="e">
        <f>G228*AP228</f>
        <v>#REF!</v>
      </c>
      <c r="L228" s="16" t="e">
        <f>G228*H228</f>
        <v>#REF!</v>
      </c>
      <c r="M228" s="16" t="e">
        <f>L228*(1+BW228/100)</f>
        <v>#REF!</v>
      </c>
      <c r="N228" s="16">
        <v>1.0000000000000001E-5</v>
      </c>
      <c r="O228" s="16" t="e">
        <f>G228*N228</f>
        <v>#REF!</v>
      </c>
      <c r="P228" s="57" t="s">
        <v>461</v>
      </c>
      <c r="Z228" s="16">
        <f>IF(AQ228="5",BJ228,0)</f>
        <v>0</v>
      </c>
      <c r="AB228" s="16" t="e">
        <f>IF(AQ228="1",BH228,0)</f>
        <v>#REF!</v>
      </c>
      <c r="AC228" s="16" t="e">
        <f>IF(AQ228="1",BI228,0)</f>
        <v>#REF!</v>
      </c>
      <c r="AD228" s="16">
        <f>IF(AQ228="7",BH228,0)</f>
        <v>0</v>
      </c>
      <c r="AE228" s="16">
        <f>IF(AQ228="7",BI228,0)</f>
        <v>0</v>
      </c>
      <c r="AF228" s="16">
        <f>IF(AQ228="2",BH228,0)</f>
        <v>0</v>
      </c>
      <c r="AG228" s="16">
        <f>IF(AQ228="2",BI228,0)</f>
        <v>0</v>
      </c>
      <c r="AH228" s="16">
        <f>IF(AQ228="0",BJ228,0)</f>
        <v>0</v>
      </c>
      <c r="AI228" s="13" t="s">
        <v>277</v>
      </c>
      <c r="AJ228" s="16">
        <f>IF(AN228=0,L228,0)</f>
        <v>0</v>
      </c>
      <c r="AK228" s="16" t="e">
        <f>IF(AN228=12,L228,0)</f>
        <v>#REF!</v>
      </c>
      <c r="AL228" s="16">
        <f>IF(AN228=21,L228,0)</f>
        <v>0</v>
      </c>
      <c r="AN228" s="16">
        <v>12</v>
      </c>
      <c r="AO228" s="16" t="e">
        <f>H228*0.1705625</f>
        <v>#REF!</v>
      </c>
      <c r="AP228" s="16" t="e">
        <f>H228*(1-0.1705625)</f>
        <v>#REF!</v>
      </c>
      <c r="AQ228" s="56" t="s">
        <v>459</v>
      </c>
      <c r="AV228" s="16" t="e">
        <f>AW228+AX228</f>
        <v>#REF!</v>
      </c>
      <c r="AW228" s="16" t="e">
        <f>G228*AO228</f>
        <v>#REF!</v>
      </c>
      <c r="AX228" s="16" t="e">
        <f>G228*AP228</f>
        <v>#REF!</v>
      </c>
      <c r="AY228" s="56" t="s">
        <v>664</v>
      </c>
      <c r="AZ228" s="56" t="s">
        <v>659</v>
      </c>
      <c r="BA228" s="13" t="s">
        <v>618</v>
      </c>
      <c r="BC228" s="16" t="e">
        <f>AW228+AX228</f>
        <v>#REF!</v>
      </c>
      <c r="BD228" s="16" t="e">
        <f>H228/(100-BE228)*100</f>
        <v>#REF!</v>
      </c>
      <c r="BE228" s="16">
        <v>0</v>
      </c>
      <c r="BF228" s="16" t="e">
        <f>O228</f>
        <v>#REF!</v>
      </c>
      <c r="BH228" s="16" t="e">
        <f>G228*AO228</f>
        <v>#REF!</v>
      </c>
      <c r="BI228" s="16" t="e">
        <f>G228*AP228</f>
        <v>#REF!</v>
      </c>
      <c r="BJ228" s="16" t="e">
        <f>G228*H228</f>
        <v>#REF!</v>
      </c>
      <c r="BK228" s="16"/>
      <c r="BL228" s="16">
        <v>97</v>
      </c>
      <c r="BW228" s="16" t="str">
        <f>I228</f>
        <v>12</v>
      </c>
      <c r="BX228" s="3" t="s">
        <v>355</v>
      </c>
    </row>
    <row r="229" spans="1:76" x14ac:dyDescent="0.25">
      <c r="A229" s="58"/>
      <c r="C229" s="59" t="s">
        <v>475</v>
      </c>
      <c r="D229" s="122" t="s">
        <v>668</v>
      </c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4"/>
      <c r="BX229" s="60" t="s">
        <v>668</v>
      </c>
    </row>
    <row r="230" spans="1:76" x14ac:dyDescent="0.25">
      <c r="A230" s="1" t="s">
        <v>669</v>
      </c>
      <c r="B230" s="2" t="s">
        <v>277</v>
      </c>
      <c r="C230" s="2" t="s">
        <v>356</v>
      </c>
      <c r="D230" s="77" t="s">
        <v>357</v>
      </c>
      <c r="E230" s="71"/>
      <c r="F230" s="2" t="s">
        <v>31</v>
      </c>
      <c r="G230" s="16" t="e">
        <f>'Rozpočet - vybrané sloupce'!#REF!</f>
        <v>#REF!</v>
      </c>
      <c r="H230" s="16" t="e">
        <f>'Rozpočet - vybrané sloupce'!#REF!</f>
        <v>#REF!</v>
      </c>
      <c r="I230" s="56" t="s">
        <v>460</v>
      </c>
      <c r="J230" s="16" t="e">
        <f>G230*AO230</f>
        <v>#REF!</v>
      </c>
      <c r="K230" s="16" t="e">
        <f>G230*AP230</f>
        <v>#REF!</v>
      </c>
      <c r="L230" s="16" t="e">
        <f>G230*H230</f>
        <v>#REF!</v>
      </c>
      <c r="M230" s="16" t="e">
        <f>L230*(1+BW230/100)</f>
        <v>#REF!</v>
      </c>
      <c r="N230" s="16">
        <v>0</v>
      </c>
      <c r="O230" s="16" t="e">
        <f>G230*N230</f>
        <v>#REF!</v>
      </c>
      <c r="P230" s="57" t="s">
        <v>461</v>
      </c>
      <c r="Z230" s="16">
        <f>IF(AQ230="5",BJ230,0)</f>
        <v>0</v>
      </c>
      <c r="AB230" s="16" t="e">
        <f>IF(AQ230="1",BH230,0)</f>
        <v>#REF!</v>
      </c>
      <c r="AC230" s="16" t="e">
        <f>IF(AQ230="1",BI230,0)</f>
        <v>#REF!</v>
      </c>
      <c r="AD230" s="16">
        <f>IF(AQ230="7",BH230,0)</f>
        <v>0</v>
      </c>
      <c r="AE230" s="16">
        <f>IF(AQ230="7",BI230,0)</f>
        <v>0</v>
      </c>
      <c r="AF230" s="16">
        <f>IF(AQ230="2",BH230,0)</f>
        <v>0</v>
      </c>
      <c r="AG230" s="16">
        <f>IF(AQ230="2",BI230,0)</f>
        <v>0</v>
      </c>
      <c r="AH230" s="16">
        <f>IF(AQ230="0",BJ230,0)</f>
        <v>0</v>
      </c>
      <c r="AI230" s="13" t="s">
        <v>277</v>
      </c>
      <c r="AJ230" s="16">
        <f>IF(AN230=0,L230,0)</f>
        <v>0</v>
      </c>
      <c r="AK230" s="16" t="e">
        <f>IF(AN230=12,L230,0)</f>
        <v>#REF!</v>
      </c>
      <c r="AL230" s="16">
        <f>IF(AN230=21,L230,0)</f>
        <v>0</v>
      </c>
      <c r="AN230" s="16">
        <v>12</v>
      </c>
      <c r="AO230" s="16" t="e">
        <f>H230*0</f>
        <v>#REF!</v>
      </c>
      <c r="AP230" s="16" t="e">
        <f>H230*(1-0)</f>
        <v>#REF!</v>
      </c>
      <c r="AQ230" s="56" t="s">
        <v>459</v>
      </c>
      <c r="AV230" s="16" t="e">
        <f>AW230+AX230</f>
        <v>#REF!</v>
      </c>
      <c r="AW230" s="16" t="e">
        <f>G230*AO230</f>
        <v>#REF!</v>
      </c>
      <c r="AX230" s="16" t="e">
        <f>G230*AP230</f>
        <v>#REF!</v>
      </c>
      <c r="AY230" s="56" t="s">
        <v>664</v>
      </c>
      <c r="AZ230" s="56" t="s">
        <v>659</v>
      </c>
      <c r="BA230" s="13" t="s">
        <v>618</v>
      </c>
      <c r="BC230" s="16" t="e">
        <f>AW230+AX230</f>
        <v>#REF!</v>
      </c>
      <c r="BD230" s="16" t="e">
        <f>H230/(100-BE230)*100</f>
        <v>#REF!</v>
      </c>
      <c r="BE230" s="16">
        <v>0</v>
      </c>
      <c r="BF230" s="16" t="e">
        <f>O230</f>
        <v>#REF!</v>
      </c>
      <c r="BH230" s="16" t="e">
        <f>G230*AO230</f>
        <v>#REF!</v>
      </c>
      <c r="BI230" s="16" t="e">
        <f>G230*AP230</f>
        <v>#REF!</v>
      </c>
      <c r="BJ230" s="16" t="e">
        <f>G230*H230</f>
        <v>#REF!</v>
      </c>
      <c r="BK230" s="16"/>
      <c r="BL230" s="16">
        <v>97</v>
      </c>
      <c r="BW230" s="16" t="str">
        <f>I230</f>
        <v>12</v>
      </c>
      <c r="BX230" s="3" t="s">
        <v>357</v>
      </c>
    </row>
    <row r="231" spans="1:76" x14ac:dyDescent="0.25">
      <c r="A231" s="58"/>
      <c r="C231" s="59" t="s">
        <v>475</v>
      </c>
      <c r="D231" s="122" t="s">
        <v>670</v>
      </c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4"/>
      <c r="BX231" s="60" t="s">
        <v>670</v>
      </c>
    </row>
    <row r="232" spans="1:76" x14ac:dyDescent="0.25">
      <c r="A232" s="1" t="s">
        <v>671</v>
      </c>
      <c r="B232" s="2" t="s">
        <v>277</v>
      </c>
      <c r="C232" s="2" t="s">
        <v>358</v>
      </c>
      <c r="D232" s="77" t="s">
        <v>359</v>
      </c>
      <c r="E232" s="71"/>
      <c r="F232" s="2" t="s">
        <v>31</v>
      </c>
      <c r="G232" s="16" t="e">
        <f>'Rozpočet - vybrané sloupce'!#REF!</f>
        <v>#REF!</v>
      </c>
      <c r="H232" s="16" t="e">
        <f>'Rozpočet - vybrané sloupce'!#REF!</f>
        <v>#REF!</v>
      </c>
      <c r="I232" s="56" t="s">
        <v>460</v>
      </c>
      <c r="J232" s="16" t="e">
        <f>G232*AO232</f>
        <v>#REF!</v>
      </c>
      <c r="K232" s="16" t="e">
        <f>G232*AP232</f>
        <v>#REF!</v>
      </c>
      <c r="L232" s="16" t="e">
        <f>G232*H232</f>
        <v>#REF!</v>
      </c>
      <c r="M232" s="16" t="e">
        <f>L232*(1+BW232/100)</f>
        <v>#REF!</v>
      </c>
      <c r="N232" s="16">
        <v>1.34E-3</v>
      </c>
      <c r="O232" s="16" t="e">
        <f>G232*N232</f>
        <v>#REF!</v>
      </c>
      <c r="P232" s="57" t="s">
        <v>461</v>
      </c>
      <c r="Z232" s="16">
        <f>IF(AQ232="5",BJ232,0)</f>
        <v>0</v>
      </c>
      <c r="AB232" s="16" t="e">
        <f>IF(AQ232="1",BH232,0)</f>
        <v>#REF!</v>
      </c>
      <c r="AC232" s="16" t="e">
        <f>IF(AQ232="1",BI232,0)</f>
        <v>#REF!</v>
      </c>
      <c r="AD232" s="16">
        <f>IF(AQ232="7",BH232,0)</f>
        <v>0</v>
      </c>
      <c r="AE232" s="16">
        <f>IF(AQ232="7",BI232,0)</f>
        <v>0</v>
      </c>
      <c r="AF232" s="16">
        <f>IF(AQ232="2",BH232,0)</f>
        <v>0</v>
      </c>
      <c r="AG232" s="16">
        <f>IF(AQ232="2",BI232,0)</f>
        <v>0</v>
      </c>
      <c r="AH232" s="16">
        <f>IF(AQ232="0",BJ232,0)</f>
        <v>0</v>
      </c>
      <c r="AI232" s="13" t="s">
        <v>277</v>
      </c>
      <c r="AJ232" s="16">
        <f>IF(AN232=0,L232,0)</f>
        <v>0</v>
      </c>
      <c r="AK232" s="16" t="e">
        <f>IF(AN232=12,L232,0)</f>
        <v>#REF!</v>
      </c>
      <c r="AL232" s="16">
        <f>IF(AN232=21,L232,0)</f>
        <v>0</v>
      </c>
      <c r="AN232" s="16">
        <v>12</v>
      </c>
      <c r="AO232" s="16" t="e">
        <f>H232*0.075969643</f>
        <v>#REF!</v>
      </c>
      <c r="AP232" s="16" t="e">
        <f>H232*(1-0.075969643)</f>
        <v>#REF!</v>
      </c>
      <c r="AQ232" s="56" t="s">
        <v>459</v>
      </c>
      <c r="AV232" s="16" t="e">
        <f>AW232+AX232</f>
        <v>#REF!</v>
      </c>
      <c r="AW232" s="16" t="e">
        <f>G232*AO232</f>
        <v>#REF!</v>
      </c>
      <c r="AX232" s="16" t="e">
        <f>G232*AP232</f>
        <v>#REF!</v>
      </c>
      <c r="AY232" s="56" t="s">
        <v>664</v>
      </c>
      <c r="AZ232" s="56" t="s">
        <v>659</v>
      </c>
      <c r="BA232" s="13" t="s">
        <v>618</v>
      </c>
      <c r="BC232" s="16" t="e">
        <f>AW232+AX232</f>
        <v>#REF!</v>
      </c>
      <c r="BD232" s="16" t="e">
        <f>H232/(100-BE232)*100</f>
        <v>#REF!</v>
      </c>
      <c r="BE232" s="16">
        <v>0</v>
      </c>
      <c r="BF232" s="16" t="e">
        <f>O232</f>
        <v>#REF!</v>
      </c>
      <c r="BH232" s="16" t="e">
        <f>G232*AO232</f>
        <v>#REF!</v>
      </c>
      <c r="BI232" s="16" t="e">
        <f>G232*AP232</f>
        <v>#REF!</v>
      </c>
      <c r="BJ232" s="16" t="e">
        <f>G232*H232</f>
        <v>#REF!</v>
      </c>
      <c r="BK232" s="16"/>
      <c r="BL232" s="16">
        <v>97</v>
      </c>
      <c r="BW232" s="16" t="str">
        <f>I232</f>
        <v>12</v>
      </c>
      <c r="BX232" s="3" t="s">
        <v>359</v>
      </c>
    </row>
    <row r="233" spans="1:76" x14ac:dyDescent="0.25">
      <c r="A233" s="58"/>
      <c r="C233" s="59" t="s">
        <v>475</v>
      </c>
      <c r="D233" s="122" t="s">
        <v>672</v>
      </c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4"/>
      <c r="BX233" s="60" t="s">
        <v>672</v>
      </c>
    </row>
    <row r="234" spans="1:76" x14ac:dyDescent="0.25">
      <c r="A234" s="53" t="s">
        <v>25</v>
      </c>
      <c r="B234" s="12" t="s">
        <v>277</v>
      </c>
      <c r="C234" s="12" t="s">
        <v>360</v>
      </c>
      <c r="D234" s="84" t="s">
        <v>361</v>
      </c>
      <c r="E234" s="85"/>
      <c r="F234" s="54" t="s">
        <v>23</v>
      </c>
      <c r="G234" s="54" t="s">
        <v>23</v>
      </c>
      <c r="H234" s="54" t="s">
        <v>23</v>
      </c>
      <c r="I234" s="54" t="s">
        <v>23</v>
      </c>
      <c r="J234" s="29" t="e">
        <f>SUM(J235:J245)</f>
        <v>#REF!</v>
      </c>
      <c r="K234" s="29" t="e">
        <f>SUM(K235:K245)</f>
        <v>#REF!</v>
      </c>
      <c r="L234" s="29" t="e">
        <f>SUM(L235:L245)</f>
        <v>#REF!</v>
      </c>
      <c r="M234" s="29" t="e">
        <f>SUM(M235:M245)</f>
        <v>#REF!</v>
      </c>
      <c r="N234" s="13" t="s">
        <v>25</v>
      </c>
      <c r="O234" s="29" t="e">
        <f>SUM(O235:O245)</f>
        <v>#REF!</v>
      </c>
      <c r="P234" s="55" t="s">
        <v>25</v>
      </c>
      <c r="AI234" s="13" t="s">
        <v>277</v>
      </c>
      <c r="AS234" s="29">
        <f>SUM(AJ235:AJ245)</f>
        <v>0</v>
      </c>
      <c r="AT234" s="29" t="e">
        <f>SUM(AK235:AK245)</f>
        <v>#REF!</v>
      </c>
      <c r="AU234" s="29">
        <f>SUM(AL235:AL245)</f>
        <v>0</v>
      </c>
    </row>
    <row r="235" spans="1:76" x14ac:dyDescent="0.25">
      <c r="A235" s="1" t="s">
        <v>673</v>
      </c>
      <c r="B235" s="2" t="s">
        <v>277</v>
      </c>
      <c r="C235" s="2" t="s">
        <v>362</v>
      </c>
      <c r="D235" s="77" t="s">
        <v>363</v>
      </c>
      <c r="E235" s="71"/>
      <c r="F235" s="2" t="s">
        <v>364</v>
      </c>
      <c r="G235" s="16" t="e">
        <f>'Rozpočet - vybrané sloupce'!#REF!</f>
        <v>#REF!</v>
      </c>
      <c r="H235" s="16" t="e">
        <f>'Rozpočet - vybrané sloupce'!#REF!</f>
        <v>#REF!</v>
      </c>
      <c r="I235" s="56" t="s">
        <v>460</v>
      </c>
      <c r="J235" s="16" t="e">
        <f>G235*AO235</f>
        <v>#REF!</v>
      </c>
      <c r="K235" s="16" t="e">
        <f>G235*AP235</f>
        <v>#REF!</v>
      </c>
      <c r="L235" s="16" t="e">
        <f>G235*H235</f>
        <v>#REF!</v>
      </c>
      <c r="M235" s="16" t="e">
        <f>L235*(1+BW235/100)</f>
        <v>#REF!</v>
      </c>
      <c r="N235" s="16">
        <v>0</v>
      </c>
      <c r="O235" s="16" t="e">
        <f>G235*N235</f>
        <v>#REF!</v>
      </c>
      <c r="P235" s="57" t="s">
        <v>461</v>
      </c>
      <c r="Z235" s="16">
        <f>IF(AQ235="5",BJ235,0)</f>
        <v>0</v>
      </c>
      <c r="AB235" s="16" t="e">
        <f>IF(AQ235="1",BH235,0)</f>
        <v>#REF!</v>
      </c>
      <c r="AC235" s="16" t="e">
        <f>IF(AQ235="1",BI235,0)</f>
        <v>#REF!</v>
      </c>
      <c r="AD235" s="16">
        <f>IF(AQ235="7",BH235,0)</f>
        <v>0</v>
      </c>
      <c r="AE235" s="16">
        <f>IF(AQ235="7",BI235,0)</f>
        <v>0</v>
      </c>
      <c r="AF235" s="16">
        <f>IF(AQ235="2",BH235,0)</f>
        <v>0</v>
      </c>
      <c r="AG235" s="16">
        <f>IF(AQ235="2",BI235,0)</f>
        <v>0</v>
      </c>
      <c r="AH235" s="16">
        <f>IF(AQ235="0",BJ235,0)</f>
        <v>0</v>
      </c>
      <c r="AI235" s="13" t="s">
        <v>277</v>
      </c>
      <c r="AJ235" s="16">
        <f>IF(AN235=0,L235,0)</f>
        <v>0</v>
      </c>
      <c r="AK235" s="16" t="e">
        <f>IF(AN235=12,L235,0)</f>
        <v>#REF!</v>
      </c>
      <c r="AL235" s="16">
        <f>IF(AN235=21,L235,0)</f>
        <v>0</v>
      </c>
      <c r="AN235" s="16">
        <v>12</v>
      </c>
      <c r="AO235" s="16" t="e">
        <f>H235*0</f>
        <v>#REF!</v>
      </c>
      <c r="AP235" s="16" t="e">
        <f>H235*(1-0)</f>
        <v>#REF!</v>
      </c>
      <c r="AQ235" s="56" t="s">
        <v>459</v>
      </c>
      <c r="AV235" s="16" t="e">
        <f>AW235+AX235</f>
        <v>#REF!</v>
      </c>
      <c r="AW235" s="16" t="e">
        <f>G235*AO235</f>
        <v>#REF!</v>
      </c>
      <c r="AX235" s="16" t="e">
        <f>G235*AP235</f>
        <v>#REF!</v>
      </c>
      <c r="AY235" s="56" t="s">
        <v>674</v>
      </c>
      <c r="AZ235" s="56" t="s">
        <v>659</v>
      </c>
      <c r="BA235" s="13" t="s">
        <v>618</v>
      </c>
      <c r="BC235" s="16" t="e">
        <f>AW235+AX235</f>
        <v>#REF!</v>
      </c>
      <c r="BD235" s="16" t="e">
        <f>H235/(100-BE235)*100</f>
        <v>#REF!</v>
      </c>
      <c r="BE235" s="16">
        <v>0</v>
      </c>
      <c r="BF235" s="16" t="e">
        <f>O235</f>
        <v>#REF!</v>
      </c>
      <c r="BH235" s="16" t="e">
        <f>G235*AO235</f>
        <v>#REF!</v>
      </c>
      <c r="BI235" s="16" t="e">
        <f>G235*AP235</f>
        <v>#REF!</v>
      </c>
      <c r="BJ235" s="16" t="e">
        <f>G235*H235</f>
        <v>#REF!</v>
      </c>
      <c r="BK235" s="16"/>
      <c r="BL235" s="16"/>
      <c r="BW235" s="16" t="str">
        <f>I235</f>
        <v>12</v>
      </c>
      <c r="BX235" s="3" t="s">
        <v>363</v>
      </c>
    </row>
    <row r="236" spans="1:76" x14ac:dyDescent="0.25">
      <c r="A236" s="1" t="s">
        <v>675</v>
      </c>
      <c r="B236" s="2" t="s">
        <v>277</v>
      </c>
      <c r="C236" s="2" t="s">
        <v>365</v>
      </c>
      <c r="D236" s="77" t="s">
        <v>366</v>
      </c>
      <c r="E236" s="71"/>
      <c r="F236" s="2" t="s">
        <v>76</v>
      </c>
      <c r="G236" s="16" t="e">
        <f>'Rozpočet - vybrané sloupce'!#REF!</f>
        <v>#REF!</v>
      </c>
      <c r="H236" s="16" t="e">
        <f>'Rozpočet - vybrané sloupce'!#REF!</f>
        <v>#REF!</v>
      </c>
      <c r="I236" s="56" t="s">
        <v>460</v>
      </c>
      <c r="J236" s="16" t="e">
        <f>G236*AO236</f>
        <v>#REF!</v>
      </c>
      <c r="K236" s="16" t="e">
        <f>G236*AP236</f>
        <v>#REF!</v>
      </c>
      <c r="L236" s="16" t="e">
        <f>G236*H236</f>
        <v>#REF!</v>
      </c>
      <c r="M236" s="16" t="e">
        <f>L236*(1+BW236/100)</f>
        <v>#REF!</v>
      </c>
      <c r="N236" s="16">
        <v>0</v>
      </c>
      <c r="O236" s="16" t="e">
        <f>G236*N236</f>
        <v>#REF!</v>
      </c>
      <c r="P236" s="57" t="s">
        <v>461</v>
      </c>
      <c r="Z236" s="16" t="e">
        <f>IF(AQ236="5",BJ236,0)</f>
        <v>#REF!</v>
      </c>
      <c r="AB236" s="16">
        <f>IF(AQ236="1",BH236,0)</f>
        <v>0</v>
      </c>
      <c r="AC236" s="16">
        <f>IF(AQ236="1",BI236,0)</f>
        <v>0</v>
      </c>
      <c r="AD236" s="16">
        <f>IF(AQ236="7",BH236,0)</f>
        <v>0</v>
      </c>
      <c r="AE236" s="16">
        <f>IF(AQ236="7",BI236,0)</f>
        <v>0</v>
      </c>
      <c r="AF236" s="16">
        <f>IF(AQ236="2",BH236,0)</f>
        <v>0</v>
      </c>
      <c r="AG236" s="16">
        <f>IF(AQ236="2",BI236,0)</f>
        <v>0</v>
      </c>
      <c r="AH236" s="16">
        <f>IF(AQ236="0",BJ236,0)</f>
        <v>0</v>
      </c>
      <c r="AI236" s="13" t="s">
        <v>277</v>
      </c>
      <c r="AJ236" s="16">
        <f>IF(AN236=0,L236,0)</f>
        <v>0</v>
      </c>
      <c r="AK236" s="16" t="e">
        <f>IF(AN236=12,L236,0)</f>
        <v>#REF!</v>
      </c>
      <c r="AL236" s="16">
        <f>IF(AN236=21,L236,0)</f>
        <v>0</v>
      </c>
      <c r="AN236" s="16">
        <v>12</v>
      </c>
      <c r="AO236" s="16" t="e">
        <f>H236*0</f>
        <v>#REF!</v>
      </c>
      <c r="AP236" s="16" t="e">
        <f>H236*(1-0)</f>
        <v>#REF!</v>
      </c>
      <c r="AQ236" s="56" t="s">
        <v>470</v>
      </c>
      <c r="AV236" s="16" t="e">
        <f>AW236+AX236</f>
        <v>#REF!</v>
      </c>
      <c r="AW236" s="16" t="e">
        <f>G236*AO236</f>
        <v>#REF!</v>
      </c>
      <c r="AX236" s="16" t="e">
        <f>G236*AP236</f>
        <v>#REF!</v>
      </c>
      <c r="AY236" s="56" t="s">
        <v>674</v>
      </c>
      <c r="AZ236" s="56" t="s">
        <v>659</v>
      </c>
      <c r="BA236" s="13" t="s">
        <v>618</v>
      </c>
      <c r="BC236" s="16" t="e">
        <f>AW236+AX236</f>
        <v>#REF!</v>
      </c>
      <c r="BD236" s="16" t="e">
        <f>H236/(100-BE236)*100</f>
        <v>#REF!</v>
      </c>
      <c r="BE236" s="16">
        <v>0</v>
      </c>
      <c r="BF236" s="16" t="e">
        <f>O236</f>
        <v>#REF!</v>
      </c>
      <c r="BH236" s="16" t="e">
        <f>G236*AO236</f>
        <v>#REF!</v>
      </c>
      <c r="BI236" s="16" t="e">
        <f>G236*AP236</f>
        <v>#REF!</v>
      </c>
      <c r="BJ236" s="16" t="e">
        <f>G236*H236</f>
        <v>#REF!</v>
      </c>
      <c r="BK236" s="16"/>
      <c r="BL236" s="16"/>
      <c r="BW236" s="16" t="str">
        <f>I236</f>
        <v>12</v>
      </c>
      <c r="BX236" s="3" t="s">
        <v>366</v>
      </c>
    </row>
    <row r="237" spans="1:76" ht="38.25" x14ac:dyDescent="0.25">
      <c r="A237" s="58"/>
      <c r="C237" s="59" t="s">
        <v>475</v>
      </c>
      <c r="D237" s="122" t="s">
        <v>676</v>
      </c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4"/>
      <c r="BX237" s="60" t="s">
        <v>676</v>
      </c>
    </row>
    <row r="238" spans="1:76" x14ac:dyDescent="0.25">
      <c r="A238" s="1" t="s">
        <v>677</v>
      </c>
      <c r="B238" s="2" t="s">
        <v>277</v>
      </c>
      <c r="C238" s="2" t="s">
        <v>367</v>
      </c>
      <c r="D238" s="77" t="s">
        <v>368</v>
      </c>
      <c r="E238" s="71"/>
      <c r="F238" s="2" t="s">
        <v>76</v>
      </c>
      <c r="G238" s="16" t="e">
        <f>'Rozpočet - vybrané sloupce'!#REF!</f>
        <v>#REF!</v>
      </c>
      <c r="H238" s="16" t="e">
        <f>'Rozpočet - vybrané sloupce'!#REF!</f>
        <v>#REF!</v>
      </c>
      <c r="I238" s="56" t="s">
        <v>460</v>
      </c>
      <c r="J238" s="16" t="e">
        <f>G238*AO238</f>
        <v>#REF!</v>
      </c>
      <c r="K238" s="16" t="e">
        <f>G238*AP238</f>
        <v>#REF!</v>
      </c>
      <c r="L238" s="16" t="e">
        <f>G238*H238</f>
        <v>#REF!</v>
      </c>
      <c r="M238" s="16" t="e">
        <f>L238*(1+BW238/100)</f>
        <v>#REF!</v>
      </c>
      <c r="N238" s="16">
        <v>0</v>
      </c>
      <c r="O238" s="16" t="e">
        <f>G238*N238</f>
        <v>#REF!</v>
      </c>
      <c r="P238" s="57" t="s">
        <v>461</v>
      </c>
      <c r="Z238" s="16" t="e">
        <f>IF(AQ238="5",BJ238,0)</f>
        <v>#REF!</v>
      </c>
      <c r="AB238" s="16">
        <f>IF(AQ238="1",BH238,0)</f>
        <v>0</v>
      </c>
      <c r="AC238" s="16">
        <f>IF(AQ238="1",BI238,0)</f>
        <v>0</v>
      </c>
      <c r="AD238" s="16">
        <f>IF(AQ238="7",BH238,0)</f>
        <v>0</v>
      </c>
      <c r="AE238" s="16">
        <f>IF(AQ238="7",BI238,0)</f>
        <v>0</v>
      </c>
      <c r="AF238" s="16">
        <f>IF(AQ238="2",BH238,0)</f>
        <v>0</v>
      </c>
      <c r="AG238" s="16">
        <f>IF(AQ238="2",BI238,0)</f>
        <v>0</v>
      </c>
      <c r="AH238" s="16">
        <f>IF(AQ238="0",BJ238,0)</f>
        <v>0</v>
      </c>
      <c r="AI238" s="13" t="s">
        <v>277</v>
      </c>
      <c r="AJ238" s="16">
        <f>IF(AN238=0,L238,0)</f>
        <v>0</v>
      </c>
      <c r="AK238" s="16" t="e">
        <f>IF(AN238=12,L238,0)</f>
        <v>#REF!</v>
      </c>
      <c r="AL238" s="16">
        <f>IF(AN238=21,L238,0)</f>
        <v>0</v>
      </c>
      <c r="AN238" s="16">
        <v>12</v>
      </c>
      <c r="AO238" s="16" t="e">
        <f>H238*0</f>
        <v>#REF!</v>
      </c>
      <c r="AP238" s="16" t="e">
        <f>H238*(1-0)</f>
        <v>#REF!</v>
      </c>
      <c r="AQ238" s="56" t="s">
        <v>470</v>
      </c>
      <c r="AV238" s="16" t="e">
        <f>AW238+AX238</f>
        <v>#REF!</v>
      </c>
      <c r="AW238" s="16" t="e">
        <f>G238*AO238</f>
        <v>#REF!</v>
      </c>
      <c r="AX238" s="16" t="e">
        <f>G238*AP238</f>
        <v>#REF!</v>
      </c>
      <c r="AY238" s="56" t="s">
        <v>674</v>
      </c>
      <c r="AZ238" s="56" t="s">
        <v>659</v>
      </c>
      <c r="BA238" s="13" t="s">
        <v>618</v>
      </c>
      <c r="BC238" s="16" t="e">
        <f>AW238+AX238</f>
        <v>#REF!</v>
      </c>
      <c r="BD238" s="16" t="e">
        <f>H238/(100-BE238)*100</f>
        <v>#REF!</v>
      </c>
      <c r="BE238" s="16">
        <v>0</v>
      </c>
      <c r="BF238" s="16" t="e">
        <f>O238</f>
        <v>#REF!</v>
      </c>
      <c r="BH238" s="16" t="e">
        <f>G238*AO238</f>
        <v>#REF!</v>
      </c>
      <c r="BI238" s="16" t="e">
        <f>G238*AP238</f>
        <v>#REF!</v>
      </c>
      <c r="BJ238" s="16" t="e">
        <f>G238*H238</f>
        <v>#REF!</v>
      </c>
      <c r="BK238" s="16"/>
      <c r="BL238" s="16"/>
      <c r="BW238" s="16" t="str">
        <f>I238</f>
        <v>12</v>
      </c>
      <c r="BX238" s="3" t="s">
        <v>368</v>
      </c>
    </row>
    <row r="239" spans="1:76" x14ac:dyDescent="0.25">
      <c r="A239" s="1" t="s">
        <v>678</v>
      </c>
      <c r="B239" s="2" t="s">
        <v>277</v>
      </c>
      <c r="C239" s="2" t="s">
        <v>369</v>
      </c>
      <c r="D239" s="77" t="s">
        <v>370</v>
      </c>
      <c r="E239" s="71"/>
      <c r="F239" s="2" t="s">
        <v>76</v>
      </c>
      <c r="G239" s="16" t="e">
        <f>'Rozpočet - vybrané sloupce'!#REF!</f>
        <v>#REF!</v>
      </c>
      <c r="H239" s="16" t="e">
        <f>'Rozpočet - vybrané sloupce'!#REF!</f>
        <v>#REF!</v>
      </c>
      <c r="I239" s="56" t="s">
        <v>460</v>
      </c>
      <c r="J239" s="16" t="e">
        <f>G239*AO239</f>
        <v>#REF!</v>
      </c>
      <c r="K239" s="16" t="e">
        <f>G239*AP239</f>
        <v>#REF!</v>
      </c>
      <c r="L239" s="16" t="e">
        <f>G239*H239</f>
        <v>#REF!</v>
      </c>
      <c r="M239" s="16" t="e">
        <f>L239*(1+BW239/100)</f>
        <v>#REF!</v>
      </c>
      <c r="N239" s="16">
        <v>0</v>
      </c>
      <c r="O239" s="16" t="e">
        <f>G239*N239</f>
        <v>#REF!</v>
      </c>
      <c r="P239" s="57" t="s">
        <v>461</v>
      </c>
      <c r="Z239" s="16" t="e">
        <f>IF(AQ239="5",BJ239,0)</f>
        <v>#REF!</v>
      </c>
      <c r="AB239" s="16">
        <f>IF(AQ239="1",BH239,0)</f>
        <v>0</v>
      </c>
      <c r="AC239" s="16">
        <f>IF(AQ239="1",BI239,0)</f>
        <v>0</v>
      </c>
      <c r="AD239" s="16">
        <f>IF(AQ239="7",BH239,0)</f>
        <v>0</v>
      </c>
      <c r="AE239" s="16">
        <f>IF(AQ239="7",BI239,0)</f>
        <v>0</v>
      </c>
      <c r="AF239" s="16">
        <f>IF(AQ239="2",BH239,0)</f>
        <v>0</v>
      </c>
      <c r="AG239" s="16">
        <f>IF(AQ239="2",BI239,0)</f>
        <v>0</v>
      </c>
      <c r="AH239" s="16">
        <f>IF(AQ239="0",BJ239,0)</f>
        <v>0</v>
      </c>
      <c r="AI239" s="13" t="s">
        <v>277</v>
      </c>
      <c r="AJ239" s="16">
        <f>IF(AN239=0,L239,0)</f>
        <v>0</v>
      </c>
      <c r="AK239" s="16" t="e">
        <f>IF(AN239=12,L239,0)</f>
        <v>#REF!</v>
      </c>
      <c r="AL239" s="16">
        <f>IF(AN239=21,L239,0)</f>
        <v>0</v>
      </c>
      <c r="AN239" s="16">
        <v>12</v>
      </c>
      <c r="AO239" s="16" t="e">
        <f>H239*0</f>
        <v>#REF!</v>
      </c>
      <c r="AP239" s="16" t="e">
        <f>H239*(1-0)</f>
        <v>#REF!</v>
      </c>
      <c r="AQ239" s="56" t="s">
        <v>470</v>
      </c>
      <c r="AV239" s="16" t="e">
        <f>AW239+AX239</f>
        <v>#REF!</v>
      </c>
      <c r="AW239" s="16" t="e">
        <f>G239*AO239</f>
        <v>#REF!</v>
      </c>
      <c r="AX239" s="16" t="e">
        <f>G239*AP239</f>
        <v>#REF!</v>
      </c>
      <c r="AY239" s="56" t="s">
        <v>674</v>
      </c>
      <c r="AZ239" s="56" t="s">
        <v>659</v>
      </c>
      <c r="BA239" s="13" t="s">
        <v>618</v>
      </c>
      <c r="BC239" s="16" t="e">
        <f>AW239+AX239</f>
        <v>#REF!</v>
      </c>
      <c r="BD239" s="16" t="e">
        <f>H239/(100-BE239)*100</f>
        <v>#REF!</v>
      </c>
      <c r="BE239" s="16">
        <v>0</v>
      </c>
      <c r="BF239" s="16" t="e">
        <f>O239</f>
        <v>#REF!</v>
      </c>
      <c r="BH239" s="16" t="e">
        <f>G239*AO239</f>
        <v>#REF!</v>
      </c>
      <c r="BI239" s="16" t="e">
        <f>G239*AP239</f>
        <v>#REF!</v>
      </c>
      <c r="BJ239" s="16" t="e">
        <f>G239*H239</f>
        <v>#REF!</v>
      </c>
      <c r="BK239" s="16"/>
      <c r="BL239" s="16"/>
      <c r="BW239" s="16" t="str">
        <f>I239</f>
        <v>12</v>
      </c>
      <c r="BX239" s="3" t="s">
        <v>370</v>
      </c>
    </row>
    <row r="240" spans="1:76" x14ac:dyDescent="0.25">
      <c r="A240" s="58"/>
      <c r="C240" s="59" t="s">
        <v>475</v>
      </c>
      <c r="D240" s="122" t="s">
        <v>679</v>
      </c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4"/>
      <c r="BX240" s="60" t="s">
        <v>679</v>
      </c>
    </row>
    <row r="241" spans="1:76" x14ac:dyDescent="0.25">
      <c r="A241" s="1" t="s">
        <v>680</v>
      </c>
      <c r="B241" s="2" t="s">
        <v>277</v>
      </c>
      <c r="C241" s="2" t="s">
        <v>371</v>
      </c>
      <c r="D241" s="77" t="s">
        <v>372</v>
      </c>
      <c r="E241" s="71"/>
      <c r="F241" s="2" t="s">
        <v>76</v>
      </c>
      <c r="G241" s="16" t="e">
        <f>'Rozpočet - vybrané sloupce'!#REF!</f>
        <v>#REF!</v>
      </c>
      <c r="H241" s="16" t="e">
        <f>'Rozpočet - vybrané sloupce'!#REF!</f>
        <v>#REF!</v>
      </c>
      <c r="I241" s="56" t="s">
        <v>460</v>
      </c>
      <c r="J241" s="16" t="e">
        <f>G241*AO241</f>
        <v>#REF!</v>
      </c>
      <c r="K241" s="16" t="e">
        <f>G241*AP241</f>
        <v>#REF!</v>
      </c>
      <c r="L241" s="16" t="e">
        <f>G241*H241</f>
        <v>#REF!</v>
      </c>
      <c r="M241" s="16" t="e">
        <f>L241*(1+BW241/100)</f>
        <v>#REF!</v>
      </c>
      <c r="N241" s="16">
        <v>0</v>
      </c>
      <c r="O241" s="16" t="e">
        <f>G241*N241</f>
        <v>#REF!</v>
      </c>
      <c r="P241" s="57" t="s">
        <v>461</v>
      </c>
      <c r="Z241" s="16" t="e">
        <f>IF(AQ241="5",BJ241,0)</f>
        <v>#REF!</v>
      </c>
      <c r="AB241" s="16">
        <f>IF(AQ241="1",BH241,0)</f>
        <v>0</v>
      </c>
      <c r="AC241" s="16">
        <f>IF(AQ241="1",BI241,0)</f>
        <v>0</v>
      </c>
      <c r="AD241" s="16">
        <f>IF(AQ241="7",BH241,0)</f>
        <v>0</v>
      </c>
      <c r="AE241" s="16">
        <f>IF(AQ241="7",BI241,0)</f>
        <v>0</v>
      </c>
      <c r="AF241" s="16">
        <f>IF(AQ241="2",BH241,0)</f>
        <v>0</v>
      </c>
      <c r="AG241" s="16">
        <f>IF(AQ241="2",BI241,0)</f>
        <v>0</v>
      </c>
      <c r="AH241" s="16">
        <f>IF(AQ241="0",BJ241,0)</f>
        <v>0</v>
      </c>
      <c r="AI241" s="13" t="s">
        <v>277</v>
      </c>
      <c r="AJ241" s="16">
        <f>IF(AN241=0,L241,0)</f>
        <v>0</v>
      </c>
      <c r="AK241" s="16" t="e">
        <f>IF(AN241=12,L241,0)</f>
        <v>#REF!</v>
      </c>
      <c r="AL241" s="16">
        <f>IF(AN241=21,L241,0)</f>
        <v>0</v>
      </c>
      <c r="AN241" s="16">
        <v>12</v>
      </c>
      <c r="AO241" s="16" t="e">
        <f>H241*0</f>
        <v>#REF!</v>
      </c>
      <c r="AP241" s="16" t="e">
        <f>H241*(1-0)</f>
        <v>#REF!</v>
      </c>
      <c r="AQ241" s="56" t="s">
        <v>470</v>
      </c>
      <c r="AV241" s="16" t="e">
        <f>AW241+AX241</f>
        <v>#REF!</v>
      </c>
      <c r="AW241" s="16" t="e">
        <f>G241*AO241</f>
        <v>#REF!</v>
      </c>
      <c r="AX241" s="16" t="e">
        <f>G241*AP241</f>
        <v>#REF!</v>
      </c>
      <c r="AY241" s="56" t="s">
        <v>674</v>
      </c>
      <c r="AZ241" s="56" t="s">
        <v>659</v>
      </c>
      <c r="BA241" s="13" t="s">
        <v>618</v>
      </c>
      <c r="BC241" s="16" t="e">
        <f>AW241+AX241</f>
        <v>#REF!</v>
      </c>
      <c r="BD241" s="16" t="e">
        <f>H241/(100-BE241)*100</f>
        <v>#REF!</v>
      </c>
      <c r="BE241" s="16">
        <v>0</v>
      </c>
      <c r="BF241" s="16" t="e">
        <f>O241</f>
        <v>#REF!</v>
      </c>
      <c r="BH241" s="16" t="e">
        <f>G241*AO241</f>
        <v>#REF!</v>
      </c>
      <c r="BI241" s="16" t="e">
        <f>G241*AP241</f>
        <v>#REF!</v>
      </c>
      <c r="BJ241" s="16" t="e">
        <f>G241*H241</f>
        <v>#REF!</v>
      </c>
      <c r="BK241" s="16"/>
      <c r="BL241" s="16"/>
      <c r="BW241" s="16" t="str">
        <f>I241</f>
        <v>12</v>
      </c>
      <c r="BX241" s="3" t="s">
        <v>372</v>
      </c>
    </row>
    <row r="242" spans="1:76" x14ac:dyDescent="0.25">
      <c r="A242" s="58"/>
      <c r="C242" s="59" t="s">
        <v>475</v>
      </c>
      <c r="D242" s="122" t="s">
        <v>681</v>
      </c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4"/>
      <c r="BX242" s="60" t="s">
        <v>681</v>
      </c>
    </row>
    <row r="243" spans="1:76" x14ac:dyDescent="0.25">
      <c r="A243" s="1" t="s">
        <v>682</v>
      </c>
      <c r="B243" s="2" t="s">
        <v>277</v>
      </c>
      <c r="C243" s="2" t="s">
        <v>373</v>
      </c>
      <c r="D243" s="77" t="s">
        <v>374</v>
      </c>
      <c r="E243" s="71"/>
      <c r="F243" s="2" t="s">
        <v>76</v>
      </c>
      <c r="G243" s="16" t="e">
        <f>'Rozpočet - vybrané sloupce'!#REF!</f>
        <v>#REF!</v>
      </c>
      <c r="H243" s="16" t="e">
        <f>'Rozpočet - vybrané sloupce'!#REF!</f>
        <v>#REF!</v>
      </c>
      <c r="I243" s="56" t="s">
        <v>460</v>
      </c>
      <c r="J243" s="16" t="e">
        <f>G243*AO243</f>
        <v>#REF!</v>
      </c>
      <c r="K243" s="16" t="e">
        <f>G243*AP243</f>
        <v>#REF!</v>
      </c>
      <c r="L243" s="16" t="e">
        <f>G243*H243</f>
        <v>#REF!</v>
      </c>
      <c r="M243" s="16" t="e">
        <f>L243*(1+BW243/100)</f>
        <v>#REF!</v>
      </c>
      <c r="N243" s="16">
        <v>0</v>
      </c>
      <c r="O243" s="16" t="e">
        <f>G243*N243</f>
        <v>#REF!</v>
      </c>
      <c r="P243" s="57" t="s">
        <v>461</v>
      </c>
      <c r="Z243" s="16" t="e">
        <f>IF(AQ243="5",BJ243,0)</f>
        <v>#REF!</v>
      </c>
      <c r="AB243" s="16">
        <f>IF(AQ243="1",BH243,0)</f>
        <v>0</v>
      </c>
      <c r="AC243" s="16">
        <f>IF(AQ243="1",BI243,0)</f>
        <v>0</v>
      </c>
      <c r="AD243" s="16">
        <f>IF(AQ243="7",BH243,0)</f>
        <v>0</v>
      </c>
      <c r="AE243" s="16">
        <f>IF(AQ243="7",BI243,0)</f>
        <v>0</v>
      </c>
      <c r="AF243" s="16">
        <f>IF(AQ243="2",BH243,0)</f>
        <v>0</v>
      </c>
      <c r="AG243" s="16">
        <f>IF(AQ243="2",BI243,0)</f>
        <v>0</v>
      </c>
      <c r="AH243" s="16">
        <f>IF(AQ243="0",BJ243,0)</f>
        <v>0</v>
      </c>
      <c r="AI243" s="13" t="s">
        <v>277</v>
      </c>
      <c r="AJ243" s="16">
        <f>IF(AN243=0,L243,0)</f>
        <v>0</v>
      </c>
      <c r="AK243" s="16" t="e">
        <f>IF(AN243=12,L243,0)</f>
        <v>#REF!</v>
      </c>
      <c r="AL243" s="16">
        <f>IF(AN243=21,L243,0)</f>
        <v>0</v>
      </c>
      <c r="AN243" s="16">
        <v>12</v>
      </c>
      <c r="AO243" s="16" t="e">
        <f>H243*0</f>
        <v>#REF!</v>
      </c>
      <c r="AP243" s="16" t="e">
        <f>H243*(1-0)</f>
        <v>#REF!</v>
      </c>
      <c r="AQ243" s="56" t="s">
        <v>470</v>
      </c>
      <c r="AV243" s="16" t="e">
        <f>AW243+AX243</f>
        <v>#REF!</v>
      </c>
      <c r="AW243" s="16" t="e">
        <f>G243*AO243</f>
        <v>#REF!</v>
      </c>
      <c r="AX243" s="16" t="e">
        <f>G243*AP243</f>
        <v>#REF!</v>
      </c>
      <c r="AY243" s="56" t="s">
        <v>674</v>
      </c>
      <c r="AZ243" s="56" t="s">
        <v>659</v>
      </c>
      <c r="BA243" s="13" t="s">
        <v>618</v>
      </c>
      <c r="BC243" s="16" t="e">
        <f>AW243+AX243</f>
        <v>#REF!</v>
      </c>
      <c r="BD243" s="16" t="e">
        <f>H243/(100-BE243)*100</f>
        <v>#REF!</v>
      </c>
      <c r="BE243" s="16">
        <v>0</v>
      </c>
      <c r="BF243" s="16" t="e">
        <f>O243</f>
        <v>#REF!</v>
      </c>
      <c r="BH243" s="16" t="e">
        <f>G243*AO243</f>
        <v>#REF!</v>
      </c>
      <c r="BI243" s="16" t="e">
        <f>G243*AP243</f>
        <v>#REF!</v>
      </c>
      <c r="BJ243" s="16" t="e">
        <f>G243*H243</f>
        <v>#REF!</v>
      </c>
      <c r="BK243" s="16"/>
      <c r="BL243" s="16"/>
      <c r="BW243" s="16" t="str">
        <f>I243</f>
        <v>12</v>
      </c>
      <c r="BX243" s="3" t="s">
        <v>374</v>
      </c>
    </row>
    <row r="244" spans="1:76" x14ac:dyDescent="0.25">
      <c r="A244" s="1" t="s">
        <v>683</v>
      </c>
      <c r="B244" s="2" t="s">
        <v>277</v>
      </c>
      <c r="C244" s="2" t="s">
        <v>375</v>
      </c>
      <c r="D244" s="77" t="s">
        <v>376</v>
      </c>
      <c r="E244" s="71"/>
      <c r="F244" s="2" t="s">
        <v>76</v>
      </c>
      <c r="G244" s="16" t="e">
        <f>'Rozpočet - vybrané sloupce'!#REF!</f>
        <v>#REF!</v>
      </c>
      <c r="H244" s="16" t="e">
        <f>'Rozpočet - vybrané sloupce'!#REF!</f>
        <v>#REF!</v>
      </c>
      <c r="I244" s="56" t="s">
        <v>460</v>
      </c>
      <c r="J244" s="16" t="e">
        <f>G244*AO244</f>
        <v>#REF!</v>
      </c>
      <c r="K244" s="16" t="e">
        <f>G244*AP244</f>
        <v>#REF!</v>
      </c>
      <c r="L244" s="16" t="e">
        <f>G244*H244</f>
        <v>#REF!</v>
      </c>
      <c r="M244" s="16" t="e">
        <f>L244*(1+BW244/100)</f>
        <v>#REF!</v>
      </c>
      <c r="N244" s="16">
        <v>0</v>
      </c>
      <c r="O244" s="16" t="e">
        <f>G244*N244</f>
        <v>#REF!</v>
      </c>
      <c r="P244" s="57" t="s">
        <v>461</v>
      </c>
      <c r="Z244" s="16" t="e">
        <f>IF(AQ244="5",BJ244,0)</f>
        <v>#REF!</v>
      </c>
      <c r="AB244" s="16">
        <f>IF(AQ244="1",BH244,0)</f>
        <v>0</v>
      </c>
      <c r="AC244" s="16">
        <f>IF(AQ244="1",BI244,0)</f>
        <v>0</v>
      </c>
      <c r="AD244" s="16">
        <f>IF(AQ244="7",BH244,0)</f>
        <v>0</v>
      </c>
      <c r="AE244" s="16">
        <f>IF(AQ244="7",BI244,0)</f>
        <v>0</v>
      </c>
      <c r="AF244" s="16">
        <f>IF(AQ244="2",BH244,0)</f>
        <v>0</v>
      </c>
      <c r="AG244" s="16">
        <f>IF(AQ244="2",BI244,0)</f>
        <v>0</v>
      </c>
      <c r="AH244" s="16">
        <f>IF(AQ244="0",BJ244,0)</f>
        <v>0</v>
      </c>
      <c r="AI244" s="13" t="s">
        <v>277</v>
      </c>
      <c r="AJ244" s="16">
        <f>IF(AN244=0,L244,0)</f>
        <v>0</v>
      </c>
      <c r="AK244" s="16" t="e">
        <f>IF(AN244=12,L244,0)</f>
        <v>#REF!</v>
      </c>
      <c r="AL244" s="16">
        <f>IF(AN244=21,L244,0)</f>
        <v>0</v>
      </c>
      <c r="AN244" s="16">
        <v>12</v>
      </c>
      <c r="AO244" s="16" t="e">
        <f>H244*0</f>
        <v>#REF!</v>
      </c>
      <c r="AP244" s="16" t="e">
        <f>H244*(1-0)</f>
        <v>#REF!</v>
      </c>
      <c r="AQ244" s="56" t="s">
        <v>470</v>
      </c>
      <c r="AV244" s="16" t="e">
        <f>AW244+AX244</f>
        <v>#REF!</v>
      </c>
      <c r="AW244" s="16" t="e">
        <f>G244*AO244</f>
        <v>#REF!</v>
      </c>
      <c r="AX244" s="16" t="e">
        <f>G244*AP244</f>
        <v>#REF!</v>
      </c>
      <c r="AY244" s="56" t="s">
        <v>674</v>
      </c>
      <c r="AZ244" s="56" t="s">
        <v>659</v>
      </c>
      <c r="BA244" s="13" t="s">
        <v>618</v>
      </c>
      <c r="BC244" s="16" t="e">
        <f>AW244+AX244</f>
        <v>#REF!</v>
      </c>
      <c r="BD244" s="16" t="e">
        <f>H244/(100-BE244)*100</f>
        <v>#REF!</v>
      </c>
      <c r="BE244" s="16">
        <v>0</v>
      </c>
      <c r="BF244" s="16" t="e">
        <f>O244</f>
        <v>#REF!</v>
      </c>
      <c r="BH244" s="16" t="e">
        <f>G244*AO244</f>
        <v>#REF!</v>
      </c>
      <c r="BI244" s="16" t="e">
        <f>G244*AP244</f>
        <v>#REF!</v>
      </c>
      <c r="BJ244" s="16" t="e">
        <f>G244*H244</f>
        <v>#REF!</v>
      </c>
      <c r="BK244" s="16"/>
      <c r="BL244" s="16"/>
      <c r="BW244" s="16" t="str">
        <f>I244</f>
        <v>12</v>
      </c>
      <c r="BX244" s="3" t="s">
        <v>376</v>
      </c>
    </row>
    <row r="245" spans="1:76" x14ac:dyDescent="0.25">
      <c r="A245" s="1" t="s">
        <v>684</v>
      </c>
      <c r="B245" s="2" t="s">
        <v>277</v>
      </c>
      <c r="C245" s="2" t="s">
        <v>377</v>
      </c>
      <c r="D245" s="77" t="s">
        <v>378</v>
      </c>
      <c r="E245" s="71"/>
      <c r="F245" s="2" t="s">
        <v>76</v>
      </c>
      <c r="G245" s="16" t="e">
        <f>'Rozpočet - vybrané sloupce'!#REF!</f>
        <v>#REF!</v>
      </c>
      <c r="H245" s="16" t="e">
        <f>'Rozpočet - vybrané sloupce'!#REF!</f>
        <v>#REF!</v>
      </c>
      <c r="I245" s="56" t="s">
        <v>460</v>
      </c>
      <c r="J245" s="16" t="e">
        <f>G245*AO245</f>
        <v>#REF!</v>
      </c>
      <c r="K245" s="16" t="e">
        <f>G245*AP245</f>
        <v>#REF!</v>
      </c>
      <c r="L245" s="16" t="e">
        <f>G245*H245</f>
        <v>#REF!</v>
      </c>
      <c r="M245" s="16" t="e">
        <f>L245*(1+BW245/100)</f>
        <v>#REF!</v>
      </c>
      <c r="N245" s="16">
        <v>0</v>
      </c>
      <c r="O245" s="16" t="e">
        <f>G245*N245</f>
        <v>#REF!</v>
      </c>
      <c r="P245" s="57" t="s">
        <v>461</v>
      </c>
      <c r="Z245" s="16" t="e">
        <f>IF(AQ245="5",BJ245,0)</f>
        <v>#REF!</v>
      </c>
      <c r="AB245" s="16">
        <f>IF(AQ245="1",BH245,0)</f>
        <v>0</v>
      </c>
      <c r="AC245" s="16">
        <f>IF(AQ245="1",BI245,0)</f>
        <v>0</v>
      </c>
      <c r="AD245" s="16">
        <f>IF(AQ245="7",BH245,0)</f>
        <v>0</v>
      </c>
      <c r="AE245" s="16">
        <f>IF(AQ245="7",BI245,0)</f>
        <v>0</v>
      </c>
      <c r="AF245" s="16">
        <f>IF(AQ245="2",BH245,0)</f>
        <v>0</v>
      </c>
      <c r="AG245" s="16">
        <f>IF(AQ245="2",BI245,0)</f>
        <v>0</v>
      </c>
      <c r="AH245" s="16">
        <f>IF(AQ245="0",BJ245,0)</f>
        <v>0</v>
      </c>
      <c r="AI245" s="13" t="s">
        <v>277</v>
      </c>
      <c r="AJ245" s="16">
        <f>IF(AN245=0,L245,0)</f>
        <v>0</v>
      </c>
      <c r="AK245" s="16" t="e">
        <f>IF(AN245=12,L245,0)</f>
        <v>#REF!</v>
      </c>
      <c r="AL245" s="16">
        <f>IF(AN245=21,L245,0)</f>
        <v>0</v>
      </c>
      <c r="AN245" s="16">
        <v>12</v>
      </c>
      <c r="AO245" s="16" t="e">
        <f>H245*0</f>
        <v>#REF!</v>
      </c>
      <c r="AP245" s="16" t="e">
        <f>H245*(1-0)</f>
        <v>#REF!</v>
      </c>
      <c r="AQ245" s="56" t="s">
        <v>470</v>
      </c>
      <c r="AV245" s="16" t="e">
        <f>AW245+AX245</f>
        <v>#REF!</v>
      </c>
      <c r="AW245" s="16" t="e">
        <f>G245*AO245</f>
        <v>#REF!</v>
      </c>
      <c r="AX245" s="16" t="e">
        <f>G245*AP245</f>
        <v>#REF!</v>
      </c>
      <c r="AY245" s="56" t="s">
        <v>674</v>
      </c>
      <c r="AZ245" s="56" t="s">
        <v>659</v>
      </c>
      <c r="BA245" s="13" t="s">
        <v>618</v>
      </c>
      <c r="BC245" s="16" t="e">
        <f>AW245+AX245</f>
        <v>#REF!</v>
      </c>
      <c r="BD245" s="16" t="e">
        <f>H245/(100-BE245)*100</f>
        <v>#REF!</v>
      </c>
      <c r="BE245" s="16">
        <v>0</v>
      </c>
      <c r="BF245" s="16" t="e">
        <f>O245</f>
        <v>#REF!</v>
      </c>
      <c r="BH245" s="16" t="e">
        <f>G245*AO245</f>
        <v>#REF!</v>
      </c>
      <c r="BI245" s="16" t="e">
        <f>G245*AP245</f>
        <v>#REF!</v>
      </c>
      <c r="BJ245" s="16" t="e">
        <f>G245*H245</f>
        <v>#REF!</v>
      </c>
      <c r="BK245" s="16"/>
      <c r="BL245" s="16"/>
      <c r="BW245" s="16" t="str">
        <f>I245</f>
        <v>12</v>
      </c>
      <c r="BX245" s="3" t="s">
        <v>378</v>
      </c>
    </row>
    <row r="246" spans="1:76" x14ac:dyDescent="0.25">
      <c r="A246" s="53" t="s">
        <v>25</v>
      </c>
      <c r="B246" s="12" t="s">
        <v>379</v>
      </c>
      <c r="C246" s="12" t="s">
        <v>25</v>
      </c>
      <c r="D246" s="84" t="s">
        <v>380</v>
      </c>
      <c r="E246" s="85"/>
      <c r="F246" s="54" t="s">
        <v>23</v>
      </c>
      <c r="G246" s="54" t="s">
        <v>23</v>
      </c>
      <c r="H246" s="54" t="s">
        <v>23</v>
      </c>
      <c r="I246" s="54" t="s">
        <v>23</v>
      </c>
      <c r="J246" s="29" t="e">
        <f>J248+J250+J253</f>
        <v>#REF!</v>
      </c>
      <c r="K246" s="29" t="e">
        <f>K248+K250+K253</f>
        <v>#REF!</v>
      </c>
      <c r="L246" s="29" t="e">
        <f>L248+L250+L253</f>
        <v>#REF!</v>
      </c>
      <c r="M246" s="29" t="e">
        <f>M248+M250+M253</f>
        <v>#REF!</v>
      </c>
      <c r="N246" s="13" t="s">
        <v>25</v>
      </c>
      <c r="O246" s="29" t="e">
        <f>O248+O250+O253</f>
        <v>#REF!</v>
      </c>
      <c r="P246" s="55" t="s">
        <v>25</v>
      </c>
    </row>
    <row r="247" spans="1:76" x14ac:dyDescent="0.25">
      <c r="A247" s="53" t="s">
        <v>25</v>
      </c>
      <c r="B247" s="12" t="s">
        <v>379</v>
      </c>
      <c r="C247" s="12" t="s">
        <v>381</v>
      </c>
      <c r="D247" s="84" t="s">
        <v>382</v>
      </c>
      <c r="E247" s="85"/>
      <c r="F247" s="54" t="s">
        <v>23</v>
      </c>
      <c r="G247" s="54" t="s">
        <v>23</v>
      </c>
      <c r="H247" s="54" t="s">
        <v>23</v>
      </c>
      <c r="I247" s="54" t="s">
        <v>23</v>
      </c>
      <c r="J247" s="29" t="e">
        <f>J248+J250+J253</f>
        <v>#REF!</v>
      </c>
      <c r="K247" s="29" t="e">
        <f>K248+K250+K253</f>
        <v>#REF!</v>
      </c>
      <c r="L247" s="29" t="e">
        <f>L248+L250+L253</f>
        <v>#REF!</v>
      </c>
      <c r="M247" s="29" t="e">
        <f>M248+M250+M253</f>
        <v>#REF!</v>
      </c>
      <c r="N247" s="13" t="s">
        <v>25</v>
      </c>
      <c r="O247" s="29" t="e">
        <f>O248+O250+O253</f>
        <v>#REF!</v>
      </c>
      <c r="P247" s="55" t="s">
        <v>25</v>
      </c>
      <c r="AI247" s="13" t="s">
        <v>379</v>
      </c>
    </row>
    <row r="248" spans="1:76" x14ac:dyDescent="0.25">
      <c r="A248" s="53" t="s">
        <v>25</v>
      </c>
      <c r="B248" s="12" t="s">
        <v>379</v>
      </c>
      <c r="C248" s="12" t="s">
        <v>383</v>
      </c>
      <c r="D248" s="84" t="s">
        <v>384</v>
      </c>
      <c r="E248" s="85"/>
      <c r="F248" s="54" t="s">
        <v>23</v>
      </c>
      <c r="G248" s="54" t="s">
        <v>23</v>
      </c>
      <c r="H248" s="54" t="s">
        <v>23</v>
      </c>
      <c r="I248" s="54" t="s">
        <v>23</v>
      </c>
      <c r="J248" s="29" t="e">
        <f>SUM(J249:J249)</f>
        <v>#REF!</v>
      </c>
      <c r="K248" s="29" t="e">
        <f>SUM(K249:K249)</f>
        <v>#REF!</v>
      </c>
      <c r="L248" s="29" t="e">
        <f>SUM(L249:L249)</f>
        <v>#REF!</v>
      </c>
      <c r="M248" s="29" t="e">
        <f>SUM(M249:M249)</f>
        <v>#REF!</v>
      </c>
      <c r="N248" s="13" t="s">
        <v>25</v>
      </c>
      <c r="O248" s="29" t="e">
        <f>SUM(O249:O249)</f>
        <v>#REF!</v>
      </c>
      <c r="P248" s="55" t="s">
        <v>25</v>
      </c>
      <c r="AI248" s="13" t="s">
        <v>379</v>
      </c>
      <c r="AS248" s="29">
        <f>SUM(AJ249:AJ249)</f>
        <v>0</v>
      </c>
      <c r="AT248" s="29" t="e">
        <f>SUM(AK249:AK249)</f>
        <v>#REF!</v>
      </c>
      <c r="AU248" s="29">
        <f>SUM(AL249:AL249)</f>
        <v>0</v>
      </c>
    </row>
    <row r="249" spans="1:76" x14ac:dyDescent="0.25">
      <c r="A249" s="1" t="s">
        <v>685</v>
      </c>
      <c r="B249" s="2" t="s">
        <v>379</v>
      </c>
      <c r="C249" s="2" t="s">
        <v>385</v>
      </c>
      <c r="D249" s="77" t="s">
        <v>386</v>
      </c>
      <c r="E249" s="71"/>
      <c r="F249" s="2" t="s">
        <v>387</v>
      </c>
      <c r="G249" s="16" t="e">
        <f>'Rozpočet - vybrané sloupce'!#REF!</f>
        <v>#REF!</v>
      </c>
      <c r="H249" s="16" t="e">
        <f>'Rozpočet - vybrané sloupce'!#REF!</f>
        <v>#REF!</v>
      </c>
      <c r="I249" s="56" t="s">
        <v>460</v>
      </c>
      <c r="J249" s="16" t="e">
        <f>G249*AO249</f>
        <v>#REF!</v>
      </c>
      <c r="K249" s="16" t="e">
        <f>G249*AP249</f>
        <v>#REF!</v>
      </c>
      <c r="L249" s="16" t="e">
        <f>G249*H249</f>
        <v>#REF!</v>
      </c>
      <c r="M249" s="16" t="e">
        <f>L249*(1+BW249/100)</f>
        <v>#REF!</v>
      </c>
      <c r="N249" s="16">
        <v>0</v>
      </c>
      <c r="O249" s="16" t="e">
        <f>G249*N249</f>
        <v>#REF!</v>
      </c>
      <c r="P249" s="57" t="s">
        <v>661</v>
      </c>
      <c r="Z249" s="16">
        <f>IF(AQ249="5",BJ249,0)</f>
        <v>0</v>
      </c>
      <c r="AB249" s="16">
        <f>IF(AQ249="1",BH249,0)</f>
        <v>0</v>
      </c>
      <c r="AC249" s="16">
        <f>IF(AQ249="1",BI249,0)</f>
        <v>0</v>
      </c>
      <c r="AD249" s="16">
        <f>IF(AQ249="7",BH249,0)</f>
        <v>0</v>
      </c>
      <c r="AE249" s="16">
        <f>IF(AQ249="7",BI249,0)</f>
        <v>0</v>
      </c>
      <c r="AF249" s="16">
        <f>IF(AQ249="2",BH249,0)</f>
        <v>0</v>
      </c>
      <c r="AG249" s="16">
        <f>IF(AQ249="2",BI249,0)</f>
        <v>0</v>
      </c>
      <c r="AH249" s="16">
        <f>IF(AQ249="0",BJ249,0)</f>
        <v>0</v>
      </c>
      <c r="AI249" s="13" t="s">
        <v>379</v>
      </c>
      <c r="AJ249" s="16">
        <f>IF(AN249=0,L249,0)</f>
        <v>0</v>
      </c>
      <c r="AK249" s="16" t="e">
        <f>IF(AN249=12,L249,0)</f>
        <v>#REF!</v>
      </c>
      <c r="AL249" s="16">
        <f>IF(AN249=21,L249,0)</f>
        <v>0</v>
      </c>
      <c r="AN249" s="16">
        <v>12</v>
      </c>
      <c r="AO249" s="16" t="e">
        <f>H249*0</f>
        <v>#REF!</v>
      </c>
      <c r="AP249" s="16" t="e">
        <f>H249*(1-0)</f>
        <v>#REF!</v>
      </c>
      <c r="AQ249" s="56" t="s">
        <v>578</v>
      </c>
      <c r="AV249" s="16" t="e">
        <f>AW249+AX249</f>
        <v>#REF!</v>
      </c>
      <c r="AW249" s="16" t="e">
        <f>G249*AO249</f>
        <v>#REF!</v>
      </c>
      <c r="AX249" s="16" t="e">
        <f>G249*AP249</f>
        <v>#REF!</v>
      </c>
      <c r="AY249" s="56" t="s">
        <v>686</v>
      </c>
      <c r="AZ249" s="56" t="s">
        <v>687</v>
      </c>
      <c r="BA249" s="13" t="s">
        <v>688</v>
      </c>
      <c r="BC249" s="16" t="e">
        <f>AW249+AX249</f>
        <v>#REF!</v>
      </c>
      <c r="BD249" s="16" t="e">
        <f>H249/(100-BE249)*100</f>
        <v>#REF!</v>
      </c>
      <c r="BE249" s="16">
        <v>0</v>
      </c>
      <c r="BF249" s="16" t="e">
        <f>O249</f>
        <v>#REF!</v>
      </c>
      <c r="BH249" s="16" t="e">
        <f>G249*AO249</f>
        <v>#REF!</v>
      </c>
      <c r="BI249" s="16" t="e">
        <f>G249*AP249</f>
        <v>#REF!</v>
      </c>
      <c r="BJ249" s="16" t="e">
        <f>G249*H249</f>
        <v>#REF!</v>
      </c>
      <c r="BK249" s="16"/>
      <c r="BL249" s="16"/>
      <c r="BM249" s="16" t="e">
        <f>G249*H249</f>
        <v>#REF!</v>
      </c>
      <c r="BW249" s="16" t="str">
        <f>I249</f>
        <v>12</v>
      </c>
      <c r="BX249" s="3" t="s">
        <v>386</v>
      </c>
    </row>
    <row r="250" spans="1:76" x14ac:dyDescent="0.25">
      <c r="A250" s="53" t="s">
        <v>25</v>
      </c>
      <c r="B250" s="12" t="s">
        <v>379</v>
      </c>
      <c r="C250" s="12" t="s">
        <v>388</v>
      </c>
      <c r="D250" s="84" t="s">
        <v>389</v>
      </c>
      <c r="E250" s="85"/>
      <c r="F250" s="54" t="s">
        <v>23</v>
      </c>
      <c r="G250" s="54" t="s">
        <v>23</v>
      </c>
      <c r="H250" s="54" t="s">
        <v>23</v>
      </c>
      <c r="I250" s="54" t="s">
        <v>23</v>
      </c>
      <c r="J250" s="29" t="e">
        <f>SUM(J251:J252)</f>
        <v>#REF!</v>
      </c>
      <c r="K250" s="29" t="e">
        <f>SUM(K251:K252)</f>
        <v>#REF!</v>
      </c>
      <c r="L250" s="29" t="e">
        <f>SUM(L251:L252)</f>
        <v>#REF!</v>
      </c>
      <c r="M250" s="29" t="e">
        <f>SUM(M251:M252)</f>
        <v>#REF!</v>
      </c>
      <c r="N250" s="13" t="s">
        <v>25</v>
      </c>
      <c r="O250" s="29" t="e">
        <f>SUM(O251:O252)</f>
        <v>#REF!</v>
      </c>
      <c r="P250" s="55" t="s">
        <v>25</v>
      </c>
      <c r="AI250" s="13" t="s">
        <v>379</v>
      </c>
      <c r="AS250" s="29">
        <f>SUM(AJ251:AJ252)</f>
        <v>0</v>
      </c>
      <c r="AT250" s="29" t="e">
        <f>SUM(AK251:AK252)</f>
        <v>#REF!</v>
      </c>
      <c r="AU250" s="29">
        <f>SUM(AL251:AL252)</f>
        <v>0</v>
      </c>
    </row>
    <row r="251" spans="1:76" x14ac:dyDescent="0.25">
      <c r="A251" s="1" t="s">
        <v>689</v>
      </c>
      <c r="B251" s="2" t="s">
        <v>379</v>
      </c>
      <c r="C251" s="2" t="s">
        <v>390</v>
      </c>
      <c r="D251" s="77" t="s">
        <v>389</v>
      </c>
      <c r="E251" s="71"/>
      <c r="F251" s="2" t="s">
        <v>391</v>
      </c>
      <c r="G251" s="16" t="e">
        <f>'Rozpočet - vybrané sloupce'!#REF!</f>
        <v>#REF!</v>
      </c>
      <c r="H251" s="16" t="e">
        <f>'Rozpočet - vybrané sloupce'!#REF!</f>
        <v>#REF!</v>
      </c>
      <c r="I251" s="56" t="s">
        <v>460</v>
      </c>
      <c r="J251" s="16" t="e">
        <f>G251*AO251</f>
        <v>#REF!</v>
      </c>
      <c r="K251" s="16" t="e">
        <f>G251*AP251</f>
        <v>#REF!</v>
      </c>
      <c r="L251" s="16" t="e">
        <f>G251*H251</f>
        <v>#REF!</v>
      </c>
      <c r="M251" s="16" t="e">
        <f>L251*(1+BW251/100)</f>
        <v>#REF!</v>
      </c>
      <c r="N251" s="16">
        <v>0</v>
      </c>
      <c r="O251" s="16" t="e">
        <f>G251*N251</f>
        <v>#REF!</v>
      </c>
      <c r="P251" s="57" t="s">
        <v>461</v>
      </c>
      <c r="Z251" s="16">
        <f>IF(AQ251="5",BJ251,0)</f>
        <v>0</v>
      </c>
      <c r="AB251" s="16">
        <f>IF(AQ251="1",BH251,0)</f>
        <v>0</v>
      </c>
      <c r="AC251" s="16">
        <f>IF(AQ251="1",BI251,0)</f>
        <v>0</v>
      </c>
      <c r="AD251" s="16">
        <f>IF(AQ251="7",BH251,0)</f>
        <v>0</v>
      </c>
      <c r="AE251" s="16">
        <f>IF(AQ251="7",BI251,0)</f>
        <v>0</v>
      </c>
      <c r="AF251" s="16">
        <f>IF(AQ251="2",BH251,0)</f>
        <v>0</v>
      </c>
      <c r="AG251" s="16">
        <f>IF(AQ251="2",BI251,0)</f>
        <v>0</v>
      </c>
      <c r="AH251" s="16">
        <f>IF(AQ251="0",BJ251,0)</f>
        <v>0</v>
      </c>
      <c r="AI251" s="13" t="s">
        <v>379</v>
      </c>
      <c r="AJ251" s="16">
        <f>IF(AN251=0,L251,0)</f>
        <v>0</v>
      </c>
      <c r="AK251" s="16" t="e">
        <f>IF(AN251=12,L251,0)</f>
        <v>#REF!</v>
      </c>
      <c r="AL251" s="16">
        <f>IF(AN251=21,L251,0)</f>
        <v>0</v>
      </c>
      <c r="AN251" s="16">
        <v>12</v>
      </c>
      <c r="AO251" s="16" t="e">
        <f>H251*0</f>
        <v>#REF!</v>
      </c>
      <c r="AP251" s="16" t="e">
        <f>H251*(1-0)</f>
        <v>#REF!</v>
      </c>
      <c r="AQ251" s="56" t="s">
        <v>578</v>
      </c>
      <c r="AV251" s="16" t="e">
        <f>AW251+AX251</f>
        <v>#REF!</v>
      </c>
      <c r="AW251" s="16" t="e">
        <f>G251*AO251</f>
        <v>#REF!</v>
      </c>
      <c r="AX251" s="16" t="e">
        <f>G251*AP251</f>
        <v>#REF!</v>
      </c>
      <c r="AY251" s="56" t="s">
        <v>690</v>
      </c>
      <c r="AZ251" s="56" t="s">
        <v>687</v>
      </c>
      <c r="BA251" s="13" t="s">
        <v>688</v>
      </c>
      <c r="BC251" s="16" t="e">
        <f>AW251+AX251</f>
        <v>#REF!</v>
      </c>
      <c r="BD251" s="16" t="e">
        <f>H251/(100-BE251)*100</f>
        <v>#REF!</v>
      </c>
      <c r="BE251" s="16">
        <v>0</v>
      </c>
      <c r="BF251" s="16" t="e">
        <f>O251</f>
        <v>#REF!</v>
      </c>
      <c r="BH251" s="16" t="e">
        <f>G251*AO251</f>
        <v>#REF!</v>
      </c>
      <c r="BI251" s="16" t="e">
        <f>G251*AP251</f>
        <v>#REF!</v>
      </c>
      <c r="BJ251" s="16" t="e">
        <f>G251*H251</f>
        <v>#REF!</v>
      </c>
      <c r="BK251" s="16"/>
      <c r="BL251" s="16"/>
      <c r="BO251" s="16" t="e">
        <f>G251*H251</f>
        <v>#REF!</v>
      </c>
      <c r="BW251" s="16" t="str">
        <f>I251</f>
        <v>12</v>
      </c>
      <c r="BX251" s="3" t="s">
        <v>389</v>
      </c>
    </row>
    <row r="252" spans="1:76" x14ac:dyDescent="0.25">
      <c r="A252" s="1" t="s">
        <v>691</v>
      </c>
      <c r="B252" s="2" t="s">
        <v>379</v>
      </c>
      <c r="C252" s="2" t="s">
        <v>392</v>
      </c>
      <c r="D252" s="77" t="s">
        <v>393</v>
      </c>
      <c r="E252" s="71"/>
      <c r="F252" s="2" t="s">
        <v>391</v>
      </c>
      <c r="G252" s="16" t="e">
        <f>'Rozpočet - vybrané sloupce'!#REF!</f>
        <v>#REF!</v>
      </c>
      <c r="H252" s="16" t="e">
        <f>'Rozpočet - vybrané sloupce'!#REF!</f>
        <v>#REF!</v>
      </c>
      <c r="I252" s="56" t="s">
        <v>460</v>
      </c>
      <c r="J252" s="16" t="e">
        <f>G252*AO252</f>
        <v>#REF!</v>
      </c>
      <c r="K252" s="16" t="e">
        <f>G252*AP252</f>
        <v>#REF!</v>
      </c>
      <c r="L252" s="16" t="e">
        <f>G252*H252</f>
        <v>#REF!</v>
      </c>
      <c r="M252" s="16" t="e">
        <f>L252*(1+BW252/100)</f>
        <v>#REF!</v>
      </c>
      <c r="N252" s="16">
        <v>0</v>
      </c>
      <c r="O252" s="16" t="e">
        <f>G252*N252</f>
        <v>#REF!</v>
      </c>
      <c r="P252" s="57" t="s">
        <v>461</v>
      </c>
      <c r="Z252" s="16">
        <f>IF(AQ252="5",BJ252,0)</f>
        <v>0</v>
      </c>
      <c r="AB252" s="16">
        <f>IF(AQ252="1",BH252,0)</f>
        <v>0</v>
      </c>
      <c r="AC252" s="16">
        <f>IF(AQ252="1",BI252,0)</f>
        <v>0</v>
      </c>
      <c r="AD252" s="16">
        <f>IF(AQ252="7",BH252,0)</f>
        <v>0</v>
      </c>
      <c r="AE252" s="16">
        <f>IF(AQ252="7",BI252,0)</f>
        <v>0</v>
      </c>
      <c r="AF252" s="16">
        <f>IF(AQ252="2",BH252,0)</f>
        <v>0</v>
      </c>
      <c r="AG252" s="16">
        <f>IF(AQ252="2",BI252,0)</f>
        <v>0</v>
      </c>
      <c r="AH252" s="16">
        <f>IF(AQ252="0",BJ252,0)</f>
        <v>0</v>
      </c>
      <c r="AI252" s="13" t="s">
        <v>379</v>
      </c>
      <c r="AJ252" s="16">
        <f>IF(AN252=0,L252,0)</f>
        <v>0</v>
      </c>
      <c r="AK252" s="16" t="e">
        <f>IF(AN252=12,L252,0)</f>
        <v>#REF!</v>
      </c>
      <c r="AL252" s="16">
        <f>IF(AN252=21,L252,0)</f>
        <v>0</v>
      </c>
      <c r="AN252" s="16">
        <v>12</v>
      </c>
      <c r="AO252" s="16" t="e">
        <f>H252*0</f>
        <v>#REF!</v>
      </c>
      <c r="AP252" s="16" t="e">
        <f>H252*(1-0)</f>
        <v>#REF!</v>
      </c>
      <c r="AQ252" s="56" t="s">
        <v>578</v>
      </c>
      <c r="AV252" s="16" t="e">
        <f>AW252+AX252</f>
        <v>#REF!</v>
      </c>
      <c r="AW252" s="16" t="e">
        <f>G252*AO252</f>
        <v>#REF!</v>
      </c>
      <c r="AX252" s="16" t="e">
        <f>G252*AP252</f>
        <v>#REF!</v>
      </c>
      <c r="AY252" s="56" t="s">
        <v>690</v>
      </c>
      <c r="AZ252" s="56" t="s">
        <v>687</v>
      </c>
      <c r="BA252" s="13" t="s">
        <v>688</v>
      </c>
      <c r="BC252" s="16" t="e">
        <f>AW252+AX252</f>
        <v>#REF!</v>
      </c>
      <c r="BD252" s="16" t="e">
        <f>H252/(100-BE252)*100</f>
        <v>#REF!</v>
      </c>
      <c r="BE252" s="16">
        <v>0</v>
      </c>
      <c r="BF252" s="16" t="e">
        <f>O252</f>
        <v>#REF!</v>
      </c>
      <c r="BH252" s="16" t="e">
        <f>G252*AO252</f>
        <v>#REF!</v>
      </c>
      <c r="BI252" s="16" t="e">
        <f>G252*AP252</f>
        <v>#REF!</v>
      </c>
      <c r="BJ252" s="16" t="e">
        <f>G252*H252</f>
        <v>#REF!</v>
      </c>
      <c r="BK252" s="16"/>
      <c r="BL252" s="16"/>
      <c r="BO252" s="16" t="e">
        <f>G252*H252</f>
        <v>#REF!</v>
      </c>
      <c r="BW252" s="16" t="str">
        <f>I252</f>
        <v>12</v>
      </c>
      <c r="BX252" s="3" t="s">
        <v>393</v>
      </c>
    </row>
    <row r="253" spans="1:76" x14ac:dyDescent="0.25">
      <c r="A253" s="53" t="s">
        <v>25</v>
      </c>
      <c r="B253" s="12" t="s">
        <v>379</v>
      </c>
      <c r="C253" s="12" t="s">
        <v>394</v>
      </c>
      <c r="D253" s="84" t="s">
        <v>395</v>
      </c>
      <c r="E253" s="85"/>
      <c r="F253" s="54" t="s">
        <v>23</v>
      </c>
      <c r="G253" s="54" t="s">
        <v>23</v>
      </c>
      <c r="H253" s="54" t="s">
        <v>23</v>
      </c>
      <c r="I253" s="54" t="s">
        <v>23</v>
      </c>
      <c r="J253" s="29" t="e">
        <f>SUM(J254:J254)</f>
        <v>#REF!</v>
      </c>
      <c r="K253" s="29" t="e">
        <f>SUM(K254:K254)</f>
        <v>#REF!</v>
      </c>
      <c r="L253" s="29" t="e">
        <f>SUM(L254:L254)</f>
        <v>#REF!</v>
      </c>
      <c r="M253" s="29" t="e">
        <f>SUM(M254:M254)</f>
        <v>#REF!</v>
      </c>
      <c r="N253" s="13" t="s">
        <v>25</v>
      </c>
      <c r="O253" s="29" t="e">
        <f>SUM(O254:O254)</f>
        <v>#REF!</v>
      </c>
      <c r="P253" s="55" t="s">
        <v>25</v>
      </c>
      <c r="AI253" s="13" t="s">
        <v>379</v>
      </c>
      <c r="AS253" s="29">
        <f>SUM(AJ254:AJ254)</f>
        <v>0</v>
      </c>
      <c r="AT253" s="29" t="e">
        <f>SUM(AK254:AK254)</f>
        <v>#REF!</v>
      </c>
      <c r="AU253" s="29">
        <f>SUM(AL254:AL254)</f>
        <v>0</v>
      </c>
    </row>
    <row r="254" spans="1:76" x14ac:dyDescent="0.25">
      <c r="A254" s="4" t="s">
        <v>692</v>
      </c>
      <c r="B254" s="5" t="s">
        <v>379</v>
      </c>
      <c r="C254" s="5" t="s">
        <v>396</v>
      </c>
      <c r="D254" s="86" t="s">
        <v>395</v>
      </c>
      <c r="E254" s="74"/>
      <c r="F254" s="5" t="s">
        <v>391</v>
      </c>
      <c r="G254" s="19" t="e">
        <f>'Rozpočet - vybrané sloupce'!#REF!</f>
        <v>#REF!</v>
      </c>
      <c r="H254" s="19" t="e">
        <f>'Rozpočet - vybrané sloupce'!#REF!</f>
        <v>#REF!</v>
      </c>
      <c r="I254" s="61" t="s">
        <v>460</v>
      </c>
      <c r="J254" s="19" t="e">
        <f>G254*AO254</f>
        <v>#REF!</v>
      </c>
      <c r="K254" s="19" t="e">
        <f>G254*AP254</f>
        <v>#REF!</v>
      </c>
      <c r="L254" s="19" t="e">
        <f>G254*H254</f>
        <v>#REF!</v>
      </c>
      <c r="M254" s="19" t="e">
        <f>L254*(1+BW254/100)</f>
        <v>#REF!</v>
      </c>
      <c r="N254" s="19">
        <v>0</v>
      </c>
      <c r="O254" s="19" t="e">
        <f>G254*N254</f>
        <v>#REF!</v>
      </c>
      <c r="P254" s="62" t="s">
        <v>461</v>
      </c>
      <c r="Z254" s="16">
        <f>IF(AQ254="5",BJ254,0)</f>
        <v>0</v>
      </c>
      <c r="AB254" s="16">
        <f>IF(AQ254="1",BH254,0)</f>
        <v>0</v>
      </c>
      <c r="AC254" s="16">
        <f>IF(AQ254="1",BI254,0)</f>
        <v>0</v>
      </c>
      <c r="AD254" s="16">
        <f>IF(AQ254="7",BH254,0)</f>
        <v>0</v>
      </c>
      <c r="AE254" s="16">
        <f>IF(AQ254="7",BI254,0)</f>
        <v>0</v>
      </c>
      <c r="AF254" s="16">
        <f>IF(AQ254="2",BH254,0)</f>
        <v>0</v>
      </c>
      <c r="AG254" s="16">
        <f>IF(AQ254="2",BI254,0)</f>
        <v>0</v>
      </c>
      <c r="AH254" s="16">
        <f>IF(AQ254="0",BJ254,0)</f>
        <v>0</v>
      </c>
      <c r="AI254" s="13" t="s">
        <v>379</v>
      </c>
      <c r="AJ254" s="16">
        <f>IF(AN254=0,L254,0)</f>
        <v>0</v>
      </c>
      <c r="AK254" s="16" t="e">
        <f>IF(AN254=12,L254,0)</f>
        <v>#REF!</v>
      </c>
      <c r="AL254" s="16">
        <f>IF(AN254=21,L254,0)</f>
        <v>0</v>
      </c>
      <c r="AN254" s="16">
        <v>12</v>
      </c>
      <c r="AO254" s="16" t="e">
        <f>H254*0</f>
        <v>#REF!</v>
      </c>
      <c r="AP254" s="16" t="e">
        <f>H254*(1-0)</f>
        <v>#REF!</v>
      </c>
      <c r="AQ254" s="56" t="s">
        <v>578</v>
      </c>
      <c r="AV254" s="16" t="e">
        <f>AW254+AX254</f>
        <v>#REF!</v>
      </c>
      <c r="AW254" s="16" t="e">
        <f>G254*AO254</f>
        <v>#REF!</v>
      </c>
      <c r="AX254" s="16" t="e">
        <f>G254*AP254</f>
        <v>#REF!</v>
      </c>
      <c r="AY254" s="56" t="s">
        <v>693</v>
      </c>
      <c r="AZ254" s="56" t="s">
        <v>687</v>
      </c>
      <c r="BA254" s="13" t="s">
        <v>688</v>
      </c>
      <c r="BC254" s="16" t="e">
        <f>AW254+AX254</f>
        <v>#REF!</v>
      </c>
      <c r="BD254" s="16" t="e">
        <f>H254/(100-BE254)*100</f>
        <v>#REF!</v>
      </c>
      <c r="BE254" s="16">
        <v>0</v>
      </c>
      <c r="BF254" s="16" t="e">
        <f>O254</f>
        <v>#REF!</v>
      </c>
      <c r="BH254" s="16" t="e">
        <f>G254*AO254</f>
        <v>#REF!</v>
      </c>
      <c r="BI254" s="16" t="e">
        <f>G254*AP254</f>
        <v>#REF!</v>
      </c>
      <c r="BJ254" s="16" t="e">
        <f>G254*H254</f>
        <v>#REF!</v>
      </c>
      <c r="BK254" s="16"/>
      <c r="BL254" s="16"/>
      <c r="BS254" s="16" t="e">
        <f>G254*H254</f>
        <v>#REF!</v>
      </c>
      <c r="BW254" s="16" t="str">
        <f>I254</f>
        <v>12</v>
      </c>
      <c r="BX254" s="3" t="s">
        <v>395</v>
      </c>
    </row>
    <row r="255" spans="1:76" x14ac:dyDescent="0.25">
      <c r="J255" s="125" t="s">
        <v>397</v>
      </c>
      <c r="K255" s="125"/>
      <c r="L255" s="20" t="e">
        <f>ROUND(L13+L20+L24+L41+L87+L121+L126+L153+L171+L184+L194+L199+L201+L206+L215+L218+L220+L222+L224+L234+L248+L250+L253,0)</f>
        <v>#REF!</v>
      </c>
      <c r="M255" s="20" t="e">
        <f>ROUND(M13+M20+M24+M41+M87+M121+M126+M153+M171+M184+M194+M199+M201+M206+M215+M218+M220+M222+M224+M234+M248+M250+M253,0)</f>
        <v>#REF!</v>
      </c>
    </row>
    <row r="256" spans="1:76" x14ac:dyDescent="0.25">
      <c r="A256" s="63" t="s">
        <v>413</v>
      </c>
    </row>
    <row r="257" spans="1:16" ht="12.75" customHeight="1" x14ac:dyDescent="0.25">
      <c r="A257" s="77" t="s">
        <v>25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</row>
  </sheetData>
  <mergeCells count="274">
    <mergeCell ref="D254:E254"/>
    <mergeCell ref="J255:K255"/>
    <mergeCell ref="A257:P257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P240"/>
    <mergeCell ref="D241:E241"/>
    <mergeCell ref="D242:P242"/>
    <mergeCell ref="D243:E243"/>
    <mergeCell ref="D234:E234"/>
    <mergeCell ref="D235:E235"/>
    <mergeCell ref="D236:E236"/>
    <mergeCell ref="D237:P237"/>
    <mergeCell ref="D238:E238"/>
    <mergeCell ref="D229:P229"/>
    <mergeCell ref="D230:E230"/>
    <mergeCell ref="D231:P231"/>
    <mergeCell ref="D232:E232"/>
    <mergeCell ref="D233:P233"/>
    <mergeCell ref="D224:E224"/>
    <mergeCell ref="D225:E225"/>
    <mergeCell ref="D226:P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P210"/>
    <mergeCell ref="D211:E211"/>
    <mergeCell ref="D212:P212"/>
    <mergeCell ref="D213:E213"/>
    <mergeCell ref="D204:E204"/>
    <mergeCell ref="D205:E205"/>
    <mergeCell ref="D206:E206"/>
    <mergeCell ref="D207:E207"/>
    <mergeCell ref="D208:P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P197"/>
    <mergeCell ref="D198:E198"/>
    <mergeCell ref="D189:P189"/>
    <mergeCell ref="D190:E190"/>
    <mergeCell ref="D191:E191"/>
    <mergeCell ref="D192:P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P168"/>
    <mergeCell ref="D159:E159"/>
    <mergeCell ref="D160:E160"/>
    <mergeCell ref="D161:E161"/>
    <mergeCell ref="D162:E162"/>
    <mergeCell ref="D163:E163"/>
    <mergeCell ref="D154:E154"/>
    <mergeCell ref="D155:E155"/>
    <mergeCell ref="D156:P156"/>
    <mergeCell ref="D157:E157"/>
    <mergeCell ref="D158:P158"/>
    <mergeCell ref="D149:E149"/>
    <mergeCell ref="D150:P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P129"/>
    <mergeCell ref="D130:E130"/>
    <mergeCell ref="D131:P131"/>
    <mergeCell ref="D132:E132"/>
    <mergeCell ref="D133:E133"/>
    <mergeCell ref="D124:E124"/>
    <mergeCell ref="D125:E125"/>
    <mergeCell ref="D126:E126"/>
    <mergeCell ref="D127:E127"/>
    <mergeCell ref="D128:E128"/>
    <mergeCell ref="D119:P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P109"/>
    <mergeCell ref="D110:E110"/>
    <mergeCell ref="D111:E111"/>
    <mergeCell ref="D112:E112"/>
    <mergeCell ref="D113:E113"/>
    <mergeCell ref="D104:E104"/>
    <mergeCell ref="D105:P105"/>
    <mergeCell ref="D106:E106"/>
    <mergeCell ref="D107:P107"/>
    <mergeCell ref="D108:E108"/>
    <mergeCell ref="D99:P99"/>
    <mergeCell ref="D100:E100"/>
    <mergeCell ref="D101:P101"/>
    <mergeCell ref="D102:E102"/>
    <mergeCell ref="D103:P103"/>
    <mergeCell ref="D94:E94"/>
    <mergeCell ref="D95:E95"/>
    <mergeCell ref="D96:E96"/>
    <mergeCell ref="D97:P97"/>
    <mergeCell ref="D98:E98"/>
    <mergeCell ref="D89:E89"/>
    <mergeCell ref="D90:E90"/>
    <mergeCell ref="D91:P91"/>
    <mergeCell ref="D92:E92"/>
    <mergeCell ref="D93:E93"/>
    <mergeCell ref="D84:P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P59"/>
    <mergeCell ref="D60:E60"/>
    <mergeCell ref="D61:P61"/>
    <mergeCell ref="D62:E62"/>
    <mergeCell ref="D63:E63"/>
    <mergeCell ref="D54:E54"/>
    <mergeCell ref="D55:P55"/>
    <mergeCell ref="D56:E56"/>
    <mergeCell ref="D57:P57"/>
    <mergeCell ref="D58:E58"/>
    <mergeCell ref="D49:E49"/>
    <mergeCell ref="D50:E50"/>
    <mergeCell ref="D51:P51"/>
    <mergeCell ref="D52:E52"/>
    <mergeCell ref="D53:P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P38"/>
    <mergeCell ref="D29:E29"/>
    <mergeCell ref="D30:E30"/>
    <mergeCell ref="D31:E31"/>
    <mergeCell ref="D32:E32"/>
    <mergeCell ref="D33:E33"/>
    <mergeCell ref="D24:E24"/>
    <mergeCell ref="D25:E25"/>
    <mergeCell ref="D26:E26"/>
    <mergeCell ref="D27:P27"/>
    <mergeCell ref="D28:E28"/>
    <mergeCell ref="D19:E19"/>
    <mergeCell ref="D20:E20"/>
    <mergeCell ref="D21:E21"/>
    <mergeCell ref="D22:P22"/>
    <mergeCell ref="D23:E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- vybrané sloupce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Radim</cp:lastModifiedBy>
  <cp:lastPrinted>2025-01-07T10:06:49Z</cp:lastPrinted>
  <dcterms:created xsi:type="dcterms:W3CDTF">2021-06-10T20:06:38Z</dcterms:created>
  <dcterms:modified xsi:type="dcterms:W3CDTF">2025-01-07T10:08:25Z</dcterms:modified>
</cp:coreProperties>
</file>