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im\Documents\Projekty\ETRACOM 2024\Zakázky 2024\2024Z095 PD-Rekonstrukce svislých rozvodů vody a plynu v BD Kosmonautů 5-7-9 Havířov Podlesí\rozpočet\"/>
    </mc:Choice>
  </mc:AlternateContent>
  <xr:revisionPtr revIDLastSave="0" documentId="13_ncr:1_{7C516762-D1F6-40BD-87F0-69601467B0E6}" xr6:coauthVersionLast="47" xr6:coauthVersionMax="47" xr10:uidLastSave="{00000000-0000-0000-0000-000000000000}"/>
  <bookViews>
    <workbookView xWindow="4125" yWindow="780" windowWidth="30270" windowHeight="19905" xr2:uid="{00000000-000D-0000-FFFF-FFFF00000000}"/>
  </bookViews>
  <sheets>
    <sheet name="Krycí list rozpočtu" sheetId="3" r:id="rId1"/>
    <sheet name="Stavební rozpočet - součet" sheetId="2" r:id="rId2"/>
    <sheet name="Rozpočet - vybrané sloupce" sheetId="1" r:id="rId3"/>
    <sheet name="VORN" sheetId="4" state="hidden" r:id="rId4"/>
    <sheet name="Stavební rozpočet" sheetId="5" state="hidden" r:id="rId5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483" i="5" l="1"/>
  <c r="AL483" i="5"/>
  <c r="AJ483" i="5"/>
  <c r="AH483" i="5"/>
  <c r="AG483" i="5"/>
  <c r="AF483" i="5"/>
  <c r="AE483" i="5"/>
  <c r="AD483" i="5"/>
  <c r="AC483" i="5"/>
  <c r="AB483" i="5"/>
  <c r="Z483" i="5"/>
  <c r="O483" i="5"/>
  <c r="H483" i="5"/>
  <c r="BD483" i="5" s="1"/>
  <c r="G483" i="5"/>
  <c r="AU482" i="5"/>
  <c r="AS482" i="5"/>
  <c r="BW481" i="5"/>
  <c r="BJ481" i="5"/>
  <c r="AP481" i="5"/>
  <c r="BI481" i="5" s="1"/>
  <c r="AL481" i="5"/>
  <c r="AJ481" i="5"/>
  <c r="AH481" i="5"/>
  <c r="AG481" i="5"/>
  <c r="AF481" i="5"/>
  <c r="AE481" i="5"/>
  <c r="AD481" i="5"/>
  <c r="AC481" i="5"/>
  <c r="AB481" i="5"/>
  <c r="Z481" i="5"/>
  <c r="L481" i="5"/>
  <c r="AK481" i="5" s="1"/>
  <c r="K481" i="5"/>
  <c r="H481" i="5"/>
  <c r="AO481" i="5" s="1"/>
  <c r="AW481" i="5" s="1"/>
  <c r="G481" i="5"/>
  <c r="AX481" i="5" s="1"/>
  <c r="AV481" i="5" s="1"/>
  <c r="BW480" i="5"/>
  <c r="AL480" i="5"/>
  <c r="AJ480" i="5"/>
  <c r="AS479" i="5" s="1"/>
  <c r="AH480" i="5"/>
  <c r="AG480" i="5"/>
  <c r="AF480" i="5"/>
  <c r="AE480" i="5"/>
  <c r="AD480" i="5"/>
  <c r="AC480" i="5"/>
  <c r="AB480" i="5"/>
  <c r="Z480" i="5"/>
  <c r="H480" i="5"/>
  <c r="G480" i="5"/>
  <c r="BW478" i="5"/>
  <c r="AL478" i="5"/>
  <c r="AU477" i="5" s="1"/>
  <c r="AJ478" i="5"/>
  <c r="AS477" i="5" s="1"/>
  <c r="AH478" i="5"/>
  <c r="AG478" i="5"/>
  <c r="AF478" i="5"/>
  <c r="AE478" i="5"/>
  <c r="AD478" i="5"/>
  <c r="AC478" i="5"/>
  <c r="AB478" i="5"/>
  <c r="Z478" i="5"/>
  <c r="H478" i="5"/>
  <c r="BD478" i="5" s="1"/>
  <c r="G478" i="5"/>
  <c r="BW474" i="5"/>
  <c r="BJ474" i="5"/>
  <c r="AO474" i="5"/>
  <c r="AL474" i="5"/>
  <c r="AU473" i="5" s="1"/>
  <c r="AJ474" i="5"/>
  <c r="AH474" i="5"/>
  <c r="AG474" i="5"/>
  <c r="AF474" i="5"/>
  <c r="AE474" i="5"/>
  <c r="AD474" i="5"/>
  <c r="AC474" i="5"/>
  <c r="AB474" i="5"/>
  <c r="Z474" i="5"/>
  <c r="H474" i="5"/>
  <c r="L474" i="5" s="1"/>
  <c r="G474" i="5"/>
  <c r="AS473" i="5"/>
  <c r="BW472" i="5"/>
  <c r="AL472" i="5"/>
  <c r="AJ472" i="5"/>
  <c r="AH472" i="5"/>
  <c r="AG472" i="5"/>
  <c r="AF472" i="5"/>
  <c r="AE472" i="5"/>
  <c r="AD472" i="5"/>
  <c r="AC472" i="5"/>
  <c r="AB472" i="5"/>
  <c r="Z472" i="5"/>
  <c r="H472" i="5"/>
  <c r="G472" i="5"/>
  <c r="BW471" i="5"/>
  <c r="AL471" i="5"/>
  <c r="AU470" i="5" s="1"/>
  <c r="AJ471" i="5"/>
  <c r="AS470" i="5" s="1"/>
  <c r="AH471" i="5"/>
  <c r="AG471" i="5"/>
  <c r="AF471" i="5"/>
  <c r="AE471" i="5"/>
  <c r="AD471" i="5"/>
  <c r="AC471" i="5"/>
  <c r="AB471" i="5"/>
  <c r="Z471" i="5"/>
  <c r="H471" i="5"/>
  <c r="AO471" i="5" s="1"/>
  <c r="G471" i="5"/>
  <c r="BW469" i="5"/>
  <c r="AL469" i="5"/>
  <c r="AU468" i="5" s="1"/>
  <c r="AJ469" i="5"/>
  <c r="AS468" i="5" s="1"/>
  <c r="AH469" i="5"/>
  <c r="AG469" i="5"/>
  <c r="AF469" i="5"/>
  <c r="AE469" i="5"/>
  <c r="AD469" i="5"/>
  <c r="AC469" i="5"/>
  <c r="AB469" i="5"/>
  <c r="Z469" i="5"/>
  <c r="H469" i="5"/>
  <c r="G469" i="5"/>
  <c r="BW465" i="5"/>
  <c r="AL465" i="5"/>
  <c r="AU464" i="5" s="1"/>
  <c r="AJ465" i="5"/>
  <c r="AS464" i="5" s="1"/>
  <c r="AH465" i="5"/>
  <c r="AG465" i="5"/>
  <c r="AF465" i="5"/>
  <c r="AE465" i="5"/>
  <c r="AD465" i="5"/>
  <c r="AC465" i="5"/>
  <c r="AB465" i="5"/>
  <c r="Z465" i="5"/>
  <c r="H465" i="5"/>
  <c r="AO465" i="5" s="1"/>
  <c r="G465" i="5"/>
  <c r="BW463" i="5"/>
  <c r="AL463" i="5"/>
  <c r="AJ463" i="5"/>
  <c r="AH463" i="5"/>
  <c r="AG463" i="5"/>
  <c r="AF463" i="5"/>
  <c r="AE463" i="5"/>
  <c r="AD463" i="5"/>
  <c r="AC463" i="5"/>
  <c r="AB463" i="5"/>
  <c r="Z463" i="5"/>
  <c r="H463" i="5"/>
  <c r="BD463" i="5" s="1"/>
  <c r="G463" i="5"/>
  <c r="BW462" i="5"/>
  <c r="BD462" i="5"/>
  <c r="AL462" i="5"/>
  <c r="AU461" i="5" s="1"/>
  <c r="AJ462" i="5"/>
  <c r="AH462" i="5"/>
  <c r="AG462" i="5"/>
  <c r="AF462" i="5"/>
  <c r="AE462" i="5"/>
  <c r="AD462" i="5"/>
  <c r="AC462" i="5"/>
  <c r="AB462" i="5"/>
  <c r="Z462" i="5"/>
  <c r="H462" i="5"/>
  <c r="AO462" i="5" s="1"/>
  <c r="G462" i="5"/>
  <c r="BW460" i="5"/>
  <c r="AL460" i="5"/>
  <c r="AU459" i="5" s="1"/>
  <c r="AJ460" i="5"/>
  <c r="AS459" i="5" s="1"/>
  <c r="AH460" i="5"/>
  <c r="AG460" i="5"/>
  <c r="AF460" i="5"/>
  <c r="AE460" i="5"/>
  <c r="AD460" i="5"/>
  <c r="AC460" i="5"/>
  <c r="AB460" i="5"/>
  <c r="Z460" i="5"/>
  <c r="O460" i="5"/>
  <c r="H460" i="5"/>
  <c r="AO460" i="5" s="1"/>
  <c r="G460" i="5"/>
  <c r="BW456" i="5"/>
  <c r="AL456" i="5"/>
  <c r="AJ456" i="5"/>
  <c r="AH456" i="5"/>
  <c r="AG456" i="5"/>
  <c r="AF456" i="5"/>
  <c r="AE456" i="5"/>
  <c r="AD456" i="5"/>
  <c r="AC456" i="5"/>
  <c r="AB456" i="5"/>
  <c r="O456" i="5"/>
  <c r="BF456" i="5" s="1"/>
  <c r="H456" i="5"/>
  <c r="AP456" i="5" s="1"/>
  <c r="AX456" i="5" s="1"/>
  <c r="G456" i="5"/>
  <c r="BW455" i="5"/>
  <c r="AX455" i="5"/>
  <c r="AP455" i="5"/>
  <c r="BI455" i="5" s="1"/>
  <c r="AL455" i="5"/>
  <c r="AJ455" i="5"/>
  <c r="AH455" i="5"/>
  <c r="AG455" i="5"/>
  <c r="AF455" i="5"/>
  <c r="AE455" i="5"/>
  <c r="AD455" i="5"/>
  <c r="AC455" i="5"/>
  <c r="AB455" i="5"/>
  <c r="O455" i="5"/>
  <c r="BF455" i="5" s="1"/>
  <c r="L455" i="5"/>
  <c r="AK455" i="5" s="1"/>
  <c r="K455" i="5"/>
  <c r="H455" i="5"/>
  <c r="AO455" i="5" s="1"/>
  <c r="AW455" i="5" s="1"/>
  <c r="G455" i="5"/>
  <c r="BW454" i="5"/>
  <c r="BF454" i="5"/>
  <c r="AL454" i="5"/>
  <c r="AJ454" i="5"/>
  <c r="AH454" i="5"/>
  <c r="AG454" i="5"/>
  <c r="AF454" i="5"/>
  <c r="AE454" i="5"/>
  <c r="AD454" i="5"/>
  <c r="AC454" i="5"/>
  <c r="AB454" i="5"/>
  <c r="O454" i="5"/>
  <c r="H454" i="5"/>
  <c r="G454" i="5"/>
  <c r="BW453" i="5"/>
  <c r="AL453" i="5"/>
  <c r="AJ453" i="5"/>
  <c r="AH453" i="5"/>
  <c r="AG453" i="5"/>
  <c r="AF453" i="5"/>
  <c r="AE453" i="5"/>
  <c r="AD453" i="5"/>
  <c r="AC453" i="5"/>
  <c r="AB453" i="5"/>
  <c r="H453" i="5"/>
  <c r="AP453" i="5" s="1"/>
  <c r="G453" i="5"/>
  <c r="BW452" i="5"/>
  <c r="BD452" i="5"/>
  <c r="AL452" i="5"/>
  <c r="AJ452" i="5"/>
  <c r="AH452" i="5"/>
  <c r="AG452" i="5"/>
  <c r="AF452" i="5"/>
  <c r="AE452" i="5"/>
  <c r="AD452" i="5"/>
  <c r="AC452" i="5"/>
  <c r="AB452" i="5"/>
  <c r="H452" i="5"/>
  <c r="AP452" i="5" s="1"/>
  <c r="G452" i="5"/>
  <c r="BW451" i="5"/>
  <c r="AL451" i="5"/>
  <c r="AJ451" i="5"/>
  <c r="AH451" i="5"/>
  <c r="AG451" i="5"/>
  <c r="AF451" i="5"/>
  <c r="AE451" i="5"/>
  <c r="AD451" i="5"/>
  <c r="AC451" i="5"/>
  <c r="AB451" i="5"/>
  <c r="O451" i="5"/>
  <c r="BF451" i="5" s="1"/>
  <c r="H451" i="5"/>
  <c r="AO451" i="5" s="1"/>
  <c r="AW451" i="5" s="1"/>
  <c r="G451" i="5"/>
  <c r="BW450" i="5"/>
  <c r="BJ450" i="5"/>
  <c r="Z450" i="5" s="1"/>
  <c r="BF450" i="5"/>
  <c r="AP450" i="5"/>
  <c r="AX450" i="5" s="1"/>
  <c r="AO450" i="5"/>
  <c r="AW450" i="5" s="1"/>
  <c r="AV450" i="5" s="1"/>
  <c r="AL450" i="5"/>
  <c r="AJ450" i="5"/>
  <c r="AH450" i="5"/>
  <c r="AG450" i="5"/>
  <c r="AF450" i="5"/>
  <c r="AE450" i="5"/>
  <c r="AD450" i="5"/>
  <c r="AC450" i="5"/>
  <c r="AB450" i="5"/>
  <c r="O450" i="5"/>
  <c r="L450" i="5"/>
  <c r="H450" i="5"/>
  <c r="BD450" i="5" s="1"/>
  <c r="G450" i="5"/>
  <c r="BW449" i="5"/>
  <c r="BD449" i="5"/>
  <c r="AO449" i="5"/>
  <c r="J449" i="5" s="1"/>
  <c r="AL449" i="5"/>
  <c r="AJ449" i="5"/>
  <c r="AH449" i="5"/>
  <c r="AG449" i="5"/>
  <c r="AF449" i="5"/>
  <c r="AE449" i="5"/>
  <c r="AD449" i="5"/>
  <c r="Z449" i="5"/>
  <c r="H449" i="5"/>
  <c r="AP449" i="5" s="1"/>
  <c r="G449" i="5"/>
  <c r="BW447" i="5"/>
  <c r="BD447" i="5"/>
  <c r="AL447" i="5"/>
  <c r="AJ447" i="5"/>
  <c r="AH447" i="5"/>
  <c r="AG447" i="5"/>
  <c r="AF447" i="5"/>
  <c r="AE447" i="5"/>
  <c r="AD447" i="5"/>
  <c r="Z447" i="5"/>
  <c r="H447" i="5"/>
  <c r="AP447" i="5" s="1"/>
  <c r="G447" i="5"/>
  <c r="AX447" i="5" s="1"/>
  <c r="BW446" i="5"/>
  <c r="BJ446" i="5"/>
  <c r="AX446" i="5"/>
  <c r="AW446" i="5"/>
  <c r="AP446" i="5"/>
  <c r="BI446" i="5" s="1"/>
  <c r="AC446" i="5" s="1"/>
  <c r="AL446" i="5"/>
  <c r="AJ446" i="5"/>
  <c r="AH446" i="5"/>
  <c r="AG446" i="5"/>
  <c r="AF446" i="5"/>
  <c r="AE446" i="5"/>
  <c r="AD446" i="5"/>
  <c r="Z446" i="5"/>
  <c r="O446" i="5"/>
  <c r="BF446" i="5" s="1"/>
  <c r="M446" i="5"/>
  <c r="L446" i="5"/>
  <c r="AK446" i="5" s="1"/>
  <c r="K446" i="5"/>
  <c r="H446" i="5"/>
  <c r="AO446" i="5" s="1"/>
  <c r="G446" i="5"/>
  <c r="BH446" i="5" s="1"/>
  <c r="AB446" i="5" s="1"/>
  <c r="BW445" i="5"/>
  <c r="BF445" i="5"/>
  <c r="AP445" i="5"/>
  <c r="AX445" i="5" s="1"/>
  <c r="AL445" i="5"/>
  <c r="AJ445" i="5"/>
  <c r="AS442" i="5" s="1"/>
  <c r="AH445" i="5"/>
  <c r="AG445" i="5"/>
  <c r="AF445" i="5"/>
  <c r="AE445" i="5"/>
  <c r="AD445" i="5"/>
  <c r="Z445" i="5"/>
  <c r="O445" i="5"/>
  <c r="L445" i="5"/>
  <c r="H445" i="5"/>
  <c r="BD445" i="5" s="1"/>
  <c r="G445" i="5"/>
  <c r="BW444" i="5"/>
  <c r="AL444" i="5"/>
  <c r="AU442" i="5" s="1"/>
  <c r="AJ444" i="5"/>
  <c r="AH444" i="5"/>
  <c r="AG444" i="5"/>
  <c r="AF444" i="5"/>
  <c r="AE444" i="5"/>
  <c r="AD444" i="5"/>
  <c r="Z444" i="5"/>
  <c r="H444" i="5"/>
  <c r="G444" i="5"/>
  <c r="BW443" i="5"/>
  <c r="BD443" i="5"/>
  <c r="AO443" i="5"/>
  <c r="AL443" i="5"/>
  <c r="AJ443" i="5"/>
  <c r="AH443" i="5"/>
  <c r="AG443" i="5"/>
  <c r="AF443" i="5"/>
  <c r="AE443" i="5"/>
  <c r="AD443" i="5"/>
  <c r="Z443" i="5"/>
  <c r="H443" i="5"/>
  <c r="AP443" i="5" s="1"/>
  <c r="G443" i="5"/>
  <c r="BW441" i="5"/>
  <c r="BD441" i="5"/>
  <c r="AL441" i="5"/>
  <c r="AU440" i="5" s="1"/>
  <c r="AJ441" i="5"/>
  <c r="AH441" i="5"/>
  <c r="AG441" i="5"/>
  <c r="AF441" i="5"/>
  <c r="AE441" i="5"/>
  <c r="AD441" i="5"/>
  <c r="Z441" i="5"/>
  <c r="O441" i="5"/>
  <c r="BF441" i="5" s="1"/>
  <c r="H441" i="5"/>
  <c r="AO441" i="5" s="1"/>
  <c r="AW441" i="5" s="1"/>
  <c r="G441" i="5"/>
  <c r="AS440" i="5"/>
  <c r="BW439" i="5"/>
  <c r="AL439" i="5"/>
  <c r="AU438" i="5" s="1"/>
  <c r="AJ439" i="5"/>
  <c r="AH439" i="5"/>
  <c r="AG439" i="5"/>
  <c r="AF439" i="5"/>
  <c r="AE439" i="5"/>
  <c r="AD439" i="5"/>
  <c r="Z439" i="5"/>
  <c r="O439" i="5"/>
  <c r="BF439" i="5" s="1"/>
  <c r="H439" i="5"/>
  <c r="G439" i="5"/>
  <c r="AS438" i="5"/>
  <c r="O438" i="5"/>
  <c r="BW437" i="5"/>
  <c r="AL437" i="5"/>
  <c r="AJ437" i="5"/>
  <c r="AS436" i="5" s="1"/>
  <c r="AH437" i="5"/>
  <c r="AG437" i="5"/>
  <c r="AF437" i="5"/>
  <c r="AC437" i="5"/>
  <c r="AB437" i="5"/>
  <c r="Z437" i="5"/>
  <c r="H437" i="5"/>
  <c r="G437" i="5"/>
  <c r="AU436" i="5"/>
  <c r="BW435" i="5"/>
  <c r="AL435" i="5"/>
  <c r="AJ435" i="5"/>
  <c r="AH435" i="5"/>
  <c r="AG435" i="5"/>
  <c r="AF435" i="5"/>
  <c r="AC435" i="5"/>
  <c r="AB435" i="5"/>
  <c r="Z435" i="5"/>
  <c r="O435" i="5"/>
  <c r="BF435" i="5" s="1"/>
  <c r="H435" i="5"/>
  <c r="AP435" i="5" s="1"/>
  <c r="AX435" i="5" s="1"/>
  <c r="G435" i="5"/>
  <c r="BW434" i="5"/>
  <c r="BJ434" i="5"/>
  <c r="AL434" i="5"/>
  <c r="AJ434" i="5"/>
  <c r="AS433" i="5" s="1"/>
  <c r="AH434" i="5"/>
  <c r="AG434" i="5"/>
  <c r="AF434" i="5"/>
  <c r="AC434" i="5"/>
  <c r="AB434" i="5"/>
  <c r="Z434" i="5"/>
  <c r="H434" i="5"/>
  <c r="BD434" i="5" s="1"/>
  <c r="G434" i="5"/>
  <c r="BW432" i="5"/>
  <c r="BF432" i="5"/>
  <c r="AL432" i="5"/>
  <c r="AJ432" i="5"/>
  <c r="AH432" i="5"/>
  <c r="AG432" i="5"/>
  <c r="AF432" i="5"/>
  <c r="AE432" i="5"/>
  <c r="AD432" i="5"/>
  <c r="AC432" i="5"/>
  <c r="AB432" i="5"/>
  <c r="O432" i="5"/>
  <c r="H432" i="5"/>
  <c r="G432" i="5"/>
  <c r="BW431" i="5"/>
  <c r="AP431" i="5"/>
  <c r="AL431" i="5"/>
  <c r="AJ431" i="5"/>
  <c r="AH431" i="5"/>
  <c r="AG431" i="5"/>
  <c r="AF431" i="5"/>
  <c r="AC431" i="5"/>
  <c r="AB431" i="5"/>
  <c r="Z431" i="5"/>
  <c r="H431" i="5"/>
  <c r="AO431" i="5" s="1"/>
  <c r="G431" i="5"/>
  <c r="BW430" i="5"/>
  <c r="AL430" i="5"/>
  <c r="AJ430" i="5"/>
  <c r="AH430" i="5"/>
  <c r="AG430" i="5"/>
  <c r="AF430" i="5"/>
  <c r="AC430" i="5"/>
  <c r="AB430" i="5"/>
  <c r="Z430" i="5"/>
  <c r="H430" i="5"/>
  <c r="AP430" i="5" s="1"/>
  <c r="G430" i="5"/>
  <c r="BW429" i="5"/>
  <c r="AP429" i="5"/>
  <c r="K429" i="5" s="1"/>
  <c r="AO429" i="5"/>
  <c r="AL429" i="5"/>
  <c r="AJ429" i="5"/>
  <c r="AH429" i="5"/>
  <c r="AG429" i="5"/>
  <c r="AF429" i="5"/>
  <c r="AC429" i="5"/>
  <c r="AB429" i="5"/>
  <c r="Z429" i="5"/>
  <c r="H429" i="5"/>
  <c r="BD429" i="5" s="1"/>
  <c r="G429" i="5"/>
  <c r="BW428" i="5"/>
  <c r="BF428" i="5"/>
  <c r="AL428" i="5"/>
  <c r="AJ428" i="5"/>
  <c r="AH428" i="5"/>
  <c r="AG428" i="5"/>
  <c r="AF428" i="5"/>
  <c r="AC428" i="5"/>
  <c r="AB428" i="5"/>
  <c r="Z428" i="5"/>
  <c r="O428" i="5"/>
  <c r="H428" i="5"/>
  <c r="G428" i="5"/>
  <c r="BW426" i="5"/>
  <c r="BD426" i="5"/>
  <c r="AL426" i="5"/>
  <c r="AJ426" i="5"/>
  <c r="AH426" i="5"/>
  <c r="AG426" i="5"/>
  <c r="AF426" i="5"/>
  <c r="AC426" i="5"/>
  <c r="AB426" i="5"/>
  <c r="Z426" i="5"/>
  <c r="H426" i="5"/>
  <c r="AP426" i="5" s="1"/>
  <c r="G426" i="5"/>
  <c r="BW425" i="5"/>
  <c r="BF425" i="5"/>
  <c r="AL425" i="5"/>
  <c r="AJ425" i="5"/>
  <c r="AH425" i="5"/>
  <c r="AG425" i="5"/>
  <c r="AF425" i="5"/>
  <c r="AC425" i="5"/>
  <c r="AB425" i="5"/>
  <c r="Z425" i="5"/>
  <c r="O425" i="5"/>
  <c r="H425" i="5"/>
  <c r="AP425" i="5" s="1"/>
  <c r="G425" i="5"/>
  <c r="BW424" i="5"/>
  <c r="AL424" i="5"/>
  <c r="AJ424" i="5"/>
  <c r="AH424" i="5"/>
  <c r="AG424" i="5"/>
  <c r="AF424" i="5"/>
  <c r="AE424" i="5"/>
  <c r="AD424" i="5"/>
  <c r="AC424" i="5"/>
  <c r="AB424" i="5"/>
  <c r="H424" i="5"/>
  <c r="BD424" i="5" s="1"/>
  <c r="G424" i="5"/>
  <c r="BW423" i="5"/>
  <c r="BF423" i="5"/>
  <c r="AL423" i="5"/>
  <c r="AJ423" i="5"/>
  <c r="AH423" i="5"/>
  <c r="AG423" i="5"/>
  <c r="AF423" i="5"/>
  <c r="AC423" i="5"/>
  <c r="AB423" i="5"/>
  <c r="Z423" i="5"/>
  <c r="O423" i="5"/>
  <c r="H423" i="5"/>
  <c r="G423" i="5"/>
  <c r="AS422" i="5"/>
  <c r="BW421" i="5"/>
  <c r="AL421" i="5"/>
  <c r="AJ421" i="5"/>
  <c r="AS420" i="5" s="1"/>
  <c r="AH421" i="5"/>
  <c r="AG421" i="5"/>
  <c r="AF421" i="5"/>
  <c r="AC421" i="5"/>
  <c r="AB421" i="5"/>
  <c r="Z421" i="5"/>
  <c r="H421" i="5"/>
  <c r="G421" i="5"/>
  <c r="AU420" i="5"/>
  <c r="BW419" i="5"/>
  <c r="BF419" i="5"/>
  <c r="AL419" i="5"/>
  <c r="AU418" i="5" s="1"/>
  <c r="AJ419" i="5"/>
  <c r="AH419" i="5"/>
  <c r="AG419" i="5"/>
  <c r="AF419" i="5"/>
  <c r="AE419" i="5"/>
  <c r="AD419" i="5"/>
  <c r="Z419" i="5"/>
  <c r="O419" i="5"/>
  <c r="O418" i="5" s="1"/>
  <c r="H419" i="5"/>
  <c r="G419" i="5"/>
  <c r="AS418" i="5"/>
  <c r="BW417" i="5"/>
  <c r="BD417" i="5"/>
  <c r="AO417" i="5"/>
  <c r="AL417" i="5"/>
  <c r="AJ417" i="5"/>
  <c r="AH417" i="5"/>
  <c r="AG417" i="5"/>
  <c r="AF417" i="5"/>
  <c r="AE417" i="5"/>
  <c r="AD417" i="5"/>
  <c r="AC417" i="5"/>
  <c r="AB417" i="5"/>
  <c r="H417" i="5"/>
  <c r="AP417" i="5" s="1"/>
  <c r="G417" i="5"/>
  <c r="BW416" i="5"/>
  <c r="AL416" i="5"/>
  <c r="AJ416" i="5"/>
  <c r="AH416" i="5"/>
  <c r="AG416" i="5"/>
  <c r="AF416" i="5"/>
  <c r="AE416" i="5"/>
  <c r="AD416" i="5"/>
  <c r="Z416" i="5"/>
  <c r="O416" i="5"/>
  <c r="BF416" i="5" s="1"/>
  <c r="H416" i="5"/>
  <c r="G416" i="5"/>
  <c r="BW415" i="5"/>
  <c r="BD415" i="5"/>
  <c r="AL415" i="5"/>
  <c r="AJ415" i="5"/>
  <c r="AH415" i="5"/>
  <c r="AG415" i="5"/>
  <c r="AF415" i="5"/>
  <c r="AE415" i="5"/>
  <c r="AD415" i="5"/>
  <c r="Z415" i="5"/>
  <c r="H415" i="5"/>
  <c r="AP415" i="5" s="1"/>
  <c r="G415" i="5"/>
  <c r="BW414" i="5"/>
  <c r="BF414" i="5"/>
  <c r="AL414" i="5"/>
  <c r="AJ414" i="5"/>
  <c r="AH414" i="5"/>
  <c r="AG414" i="5"/>
  <c r="AF414" i="5"/>
  <c r="AE414" i="5"/>
  <c r="AD414" i="5"/>
  <c r="Z414" i="5"/>
  <c r="O414" i="5"/>
  <c r="H414" i="5"/>
  <c r="AO414" i="5" s="1"/>
  <c r="G414" i="5"/>
  <c r="BW413" i="5"/>
  <c r="AP413" i="5"/>
  <c r="AO413" i="5"/>
  <c r="AL413" i="5"/>
  <c r="AJ413" i="5"/>
  <c r="AH413" i="5"/>
  <c r="AG413" i="5"/>
  <c r="AF413" i="5"/>
  <c r="AE413" i="5"/>
  <c r="AD413" i="5"/>
  <c r="Z413" i="5"/>
  <c r="H413" i="5"/>
  <c r="BD413" i="5" s="1"/>
  <c r="G413" i="5"/>
  <c r="BW412" i="5"/>
  <c r="BF412" i="5"/>
  <c r="AL412" i="5"/>
  <c r="AJ412" i="5"/>
  <c r="AH412" i="5"/>
  <c r="AG412" i="5"/>
  <c r="AF412" i="5"/>
  <c r="AE412" i="5"/>
  <c r="AD412" i="5"/>
  <c r="Z412" i="5"/>
  <c r="O412" i="5"/>
  <c r="H412" i="5"/>
  <c r="G412" i="5"/>
  <c r="BW411" i="5"/>
  <c r="AO411" i="5"/>
  <c r="AL411" i="5"/>
  <c r="AJ411" i="5"/>
  <c r="AH411" i="5"/>
  <c r="AG411" i="5"/>
  <c r="AF411" i="5"/>
  <c r="AE411" i="5"/>
  <c r="AD411" i="5"/>
  <c r="Z411" i="5"/>
  <c r="L411" i="5"/>
  <c r="H411" i="5"/>
  <c r="BD411" i="5" s="1"/>
  <c r="G411" i="5"/>
  <c r="BW408" i="5"/>
  <c r="AP408" i="5"/>
  <c r="BI408" i="5" s="1"/>
  <c r="AO408" i="5"/>
  <c r="BH408" i="5" s="1"/>
  <c r="AL408" i="5"/>
  <c r="AJ408" i="5"/>
  <c r="AH408" i="5"/>
  <c r="AG408" i="5"/>
  <c r="AF408" i="5"/>
  <c r="AE408" i="5"/>
  <c r="AD408" i="5"/>
  <c r="AC408" i="5"/>
  <c r="AB408" i="5"/>
  <c r="O408" i="5"/>
  <c r="BF408" i="5" s="1"/>
  <c r="H408" i="5"/>
  <c r="BD408" i="5" s="1"/>
  <c r="G408" i="5"/>
  <c r="BJ408" i="5" s="1"/>
  <c r="Z408" i="5" s="1"/>
  <c r="BW407" i="5"/>
  <c r="BD407" i="5"/>
  <c r="AL407" i="5"/>
  <c r="AJ407" i="5"/>
  <c r="AH407" i="5"/>
  <c r="AG407" i="5"/>
  <c r="AF407" i="5"/>
  <c r="AE407" i="5"/>
  <c r="AD407" i="5"/>
  <c r="AC407" i="5"/>
  <c r="AB407" i="5"/>
  <c r="M407" i="5"/>
  <c r="L407" i="5"/>
  <c r="AK407" i="5" s="1"/>
  <c r="H407" i="5"/>
  <c r="AO407" i="5" s="1"/>
  <c r="G407" i="5"/>
  <c r="BJ407" i="5" s="1"/>
  <c r="Z407" i="5" s="1"/>
  <c r="BW406" i="5"/>
  <c r="BF406" i="5"/>
  <c r="AL406" i="5"/>
  <c r="AJ406" i="5"/>
  <c r="AH406" i="5"/>
  <c r="AG406" i="5"/>
  <c r="AF406" i="5"/>
  <c r="AE406" i="5"/>
  <c r="AD406" i="5"/>
  <c r="AC406" i="5"/>
  <c r="AB406" i="5"/>
  <c r="O406" i="5"/>
  <c r="H406" i="5"/>
  <c r="BD406" i="5" s="1"/>
  <c r="G406" i="5"/>
  <c r="BW405" i="5"/>
  <c r="AW405" i="5"/>
  <c r="AL405" i="5"/>
  <c r="AJ405" i="5"/>
  <c r="AH405" i="5"/>
  <c r="AG405" i="5"/>
  <c r="AF405" i="5"/>
  <c r="AE405" i="5"/>
  <c r="AD405" i="5"/>
  <c r="AC405" i="5"/>
  <c r="AB405" i="5"/>
  <c r="H405" i="5"/>
  <c r="AO405" i="5" s="1"/>
  <c r="G405" i="5"/>
  <c r="BW404" i="5"/>
  <c r="AL404" i="5"/>
  <c r="AJ404" i="5"/>
  <c r="AH404" i="5"/>
  <c r="AG404" i="5"/>
  <c r="AF404" i="5"/>
  <c r="AE404" i="5"/>
  <c r="AD404" i="5"/>
  <c r="AC404" i="5"/>
  <c r="AB404" i="5"/>
  <c r="H404" i="5"/>
  <c r="G404" i="5"/>
  <c r="BW403" i="5"/>
  <c r="AP403" i="5"/>
  <c r="BI403" i="5" s="1"/>
  <c r="AO403" i="5"/>
  <c r="BH403" i="5" s="1"/>
  <c r="AL403" i="5"/>
  <c r="AJ403" i="5"/>
  <c r="AS400" i="5" s="1"/>
  <c r="AH403" i="5"/>
  <c r="AG403" i="5"/>
  <c r="AF403" i="5"/>
  <c r="AE403" i="5"/>
  <c r="AD403" i="5"/>
  <c r="AC403" i="5"/>
  <c r="AB403" i="5"/>
  <c r="O403" i="5"/>
  <c r="BF403" i="5" s="1"/>
  <c r="K403" i="5"/>
  <c r="J403" i="5"/>
  <c r="H403" i="5"/>
  <c r="BD403" i="5" s="1"/>
  <c r="G403" i="5"/>
  <c r="AW403" i="5" s="1"/>
  <c r="BW402" i="5"/>
  <c r="AL402" i="5"/>
  <c r="AJ402" i="5"/>
  <c r="AH402" i="5"/>
  <c r="AG402" i="5"/>
  <c r="AF402" i="5"/>
  <c r="AE402" i="5"/>
  <c r="AD402" i="5"/>
  <c r="AC402" i="5"/>
  <c r="AB402" i="5"/>
  <c r="H402" i="5"/>
  <c r="AP402" i="5" s="1"/>
  <c r="G402" i="5"/>
  <c r="BW401" i="5"/>
  <c r="AO401" i="5"/>
  <c r="AL401" i="5"/>
  <c r="AJ401" i="5"/>
  <c r="AH401" i="5"/>
  <c r="AG401" i="5"/>
  <c r="AF401" i="5"/>
  <c r="AE401" i="5"/>
  <c r="AD401" i="5"/>
  <c r="Z401" i="5"/>
  <c r="O401" i="5"/>
  <c r="BF401" i="5" s="1"/>
  <c r="H401" i="5"/>
  <c r="BD401" i="5" s="1"/>
  <c r="G401" i="5"/>
  <c r="AU400" i="5"/>
  <c r="BW399" i="5"/>
  <c r="AL399" i="5"/>
  <c r="AJ399" i="5"/>
  <c r="AH399" i="5"/>
  <c r="AG399" i="5"/>
  <c r="AF399" i="5"/>
  <c r="AE399" i="5"/>
  <c r="AD399" i="5"/>
  <c r="Z399" i="5"/>
  <c r="H399" i="5"/>
  <c r="G399" i="5"/>
  <c r="BW398" i="5"/>
  <c r="AL398" i="5"/>
  <c r="AJ398" i="5"/>
  <c r="AH398" i="5"/>
  <c r="AG398" i="5"/>
  <c r="AF398" i="5"/>
  <c r="AE398" i="5"/>
  <c r="AD398" i="5"/>
  <c r="Z398" i="5"/>
  <c r="O398" i="5"/>
  <c r="BF398" i="5" s="1"/>
  <c r="H398" i="5"/>
  <c r="G398" i="5"/>
  <c r="BW397" i="5"/>
  <c r="AL397" i="5"/>
  <c r="AJ397" i="5"/>
  <c r="AH397" i="5"/>
  <c r="AG397" i="5"/>
  <c r="AF397" i="5"/>
  <c r="AE397" i="5"/>
  <c r="AD397" i="5"/>
  <c r="Z397" i="5"/>
  <c r="H397" i="5"/>
  <c r="AP397" i="5" s="1"/>
  <c r="G397" i="5"/>
  <c r="BI397" i="5" s="1"/>
  <c r="AC397" i="5" s="1"/>
  <c r="BW396" i="5"/>
  <c r="AP396" i="5"/>
  <c r="AL396" i="5"/>
  <c r="AJ396" i="5"/>
  <c r="AH396" i="5"/>
  <c r="AG396" i="5"/>
  <c r="AF396" i="5"/>
  <c r="AE396" i="5"/>
  <c r="AD396" i="5"/>
  <c r="Z396" i="5"/>
  <c r="O396" i="5"/>
  <c r="BF396" i="5" s="1"/>
  <c r="H396" i="5"/>
  <c r="BD396" i="5" s="1"/>
  <c r="G396" i="5"/>
  <c r="BW395" i="5"/>
  <c r="AL395" i="5"/>
  <c r="AU394" i="5" s="1"/>
  <c r="AJ395" i="5"/>
  <c r="AH395" i="5"/>
  <c r="AG395" i="5"/>
  <c r="AF395" i="5"/>
  <c r="AE395" i="5"/>
  <c r="AD395" i="5"/>
  <c r="Z395" i="5"/>
  <c r="H395" i="5"/>
  <c r="G395" i="5"/>
  <c r="BW393" i="5"/>
  <c r="AL393" i="5"/>
  <c r="AU392" i="5" s="1"/>
  <c r="AJ393" i="5"/>
  <c r="AS392" i="5" s="1"/>
  <c r="AH393" i="5"/>
  <c r="AG393" i="5"/>
  <c r="AF393" i="5"/>
  <c r="AE393" i="5"/>
  <c r="AD393" i="5"/>
  <c r="Z393" i="5"/>
  <c r="O393" i="5"/>
  <c r="O392" i="5" s="1"/>
  <c r="H393" i="5"/>
  <c r="AO393" i="5" s="1"/>
  <c r="G393" i="5"/>
  <c r="BW391" i="5"/>
  <c r="AL391" i="5"/>
  <c r="AU390" i="5" s="1"/>
  <c r="AJ391" i="5"/>
  <c r="AH391" i="5"/>
  <c r="AG391" i="5"/>
  <c r="AF391" i="5"/>
  <c r="AE391" i="5"/>
  <c r="AD391" i="5"/>
  <c r="Z391" i="5"/>
  <c r="H391" i="5"/>
  <c r="AP391" i="5" s="1"/>
  <c r="G391" i="5"/>
  <c r="AS390" i="5"/>
  <c r="BW389" i="5"/>
  <c r="AP389" i="5"/>
  <c r="AL389" i="5"/>
  <c r="AU388" i="5" s="1"/>
  <c r="AJ389" i="5"/>
  <c r="AS388" i="5" s="1"/>
  <c r="AH389" i="5"/>
  <c r="AG389" i="5"/>
  <c r="AF389" i="5"/>
  <c r="AC389" i="5"/>
  <c r="AB389" i="5"/>
  <c r="Z389" i="5"/>
  <c r="O389" i="5"/>
  <c r="BF389" i="5" s="1"/>
  <c r="H389" i="5"/>
  <c r="G389" i="5"/>
  <c r="BW387" i="5"/>
  <c r="AL387" i="5"/>
  <c r="AU385" i="5" s="1"/>
  <c r="AJ387" i="5"/>
  <c r="AH387" i="5"/>
  <c r="AG387" i="5"/>
  <c r="AF387" i="5"/>
  <c r="AC387" i="5"/>
  <c r="AB387" i="5"/>
  <c r="Z387" i="5"/>
  <c r="H387" i="5"/>
  <c r="G387" i="5"/>
  <c r="BW386" i="5"/>
  <c r="BF386" i="5"/>
  <c r="AP386" i="5"/>
  <c r="AL386" i="5"/>
  <c r="AJ386" i="5"/>
  <c r="AH386" i="5"/>
  <c r="AG386" i="5"/>
  <c r="AF386" i="5"/>
  <c r="AC386" i="5"/>
  <c r="AB386" i="5"/>
  <c r="Z386" i="5"/>
  <c r="O386" i="5"/>
  <c r="H386" i="5"/>
  <c r="AO386" i="5" s="1"/>
  <c r="G386" i="5"/>
  <c r="BW384" i="5"/>
  <c r="AL384" i="5"/>
  <c r="AJ384" i="5"/>
  <c r="AH384" i="5"/>
  <c r="AG384" i="5"/>
  <c r="AF384" i="5"/>
  <c r="AE384" i="5"/>
  <c r="AD384" i="5"/>
  <c r="AC384" i="5"/>
  <c r="AB384" i="5"/>
  <c r="H384" i="5"/>
  <c r="G384" i="5"/>
  <c r="BW383" i="5"/>
  <c r="AL383" i="5"/>
  <c r="AJ383" i="5"/>
  <c r="AH383" i="5"/>
  <c r="AG383" i="5"/>
  <c r="AF383" i="5"/>
  <c r="AC383" i="5"/>
  <c r="AB383" i="5"/>
  <c r="Z383" i="5"/>
  <c r="O383" i="5"/>
  <c r="BF383" i="5" s="1"/>
  <c r="H383" i="5"/>
  <c r="G383" i="5"/>
  <c r="BW382" i="5"/>
  <c r="AP382" i="5"/>
  <c r="K382" i="5" s="1"/>
  <c r="AL382" i="5"/>
  <c r="AJ382" i="5"/>
  <c r="AH382" i="5"/>
  <c r="AG382" i="5"/>
  <c r="AF382" i="5"/>
  <c r="AC382" i="5"/>
  <c r="AB382" i="5"/>
  <c r="Z382" i="5"/>
  <c r="H382" i="5"/>
  <c r="G382" i="5"/>
  <c r="BW381" i="5"/>
  <c r="AX381" i="5"/>
  <c r="AL381" i="5"/>
  <c r="AJ381" i="5"/>
  <c r="AH381" i="5"/>
  <c r="AG381" i="5"/>
  <c r="AF381" i="5"/>
  <c r="AC381" i="5"/>
  <c r="AB381" i="5"/>
  <c r="Z381" i="5"/>
  <c r="O381" i="5"/>
  <c r="BF381" i="5" s="1"/>
  <c r="H381" i="5"/>
  <c r="AP381" i="5" s="1"/>
  <c r="G381" i="5"/>
  <c r="BW380" i="5"/>
  <c r="BD380" i="5"/>
  <c r="AL380" i="5"/>
  <c r="AJ380" i="5"/>
  <c r="AH380" i="5"/>
  <c r="AG380" i="5"/>
  <c r="AF380" i="5"/>
  <c r="AC380" i="5"/>
  <c r="AB380" i="5"/>
  <c r="Z380" i="5"/>
  <c r="H380" i="5"/>
  <c r="G380" i="5"/>
  <c r="AS379" i="5"/>
  <c r="BW378" i="5"/>
  <c r="AO378" i="5"/>
  <c r="BH378" i="5" s="1"/>
  <c r="AD378" i="5" s="1"/>
  <c r="AL378" i="5"/>
  <c r="AJ378" i="5"/>
  <c r="AH378" i="5"/>
  <c r="AG378" i="5"/>
  <c r="AF378" i="5"/>
  <c r="AC378" i="5"/>
  <c r="AB378" i="5"/>
  <c r="Z378" i="5"/>
  <c r="O378" i="5"/>
  <c r="BF378" i="5" s="1"/>
  <c r="H378" i="5"/>
  <c r="BD378" i="5" s="1"/>
  <c r="G378" i="5"/>
  <c r="BJ378" i="5" s="1"/>
  <c r="BW377" i="5"/>
  <c r="AP377" i="5"/>
  <c r="AL377" i="5"/>
  <c r="AJ377" i="5"/>
  <c r="AS374" i="5" s="1"/>
  <c r="AH377" i="5"/>
  <c r="AG377" i="5"/>
  <c r="AF377" i="5"/>
  <c r="AC377" i="5"/>
  <c r="AB377" i="5"/>
  <c r="Z377" i="5"/>
  <c r="H377" i="5"/>
  <c r="AO377" i="5" s="1"/>
  <c r="G377" i="5"/>
  <c r="BW376" i="5"/>
  <c r="BF376" i="5"/>
  <c r="AL376" i="5"/>
  <c r="AJ376" i="5"/>
  <c r="AH376" i="5"/>
  <c r="AG376" i="5"/>
  <c r="AF376" i="5"/>
  <c r="AE376" i="5"/>
  <c r="AD376" i="5"/>
  <c r="AC376" i="5"/>
  <c r="AB376" i="5"/>
  <c r="O376" i="5"/>
  <c r="H376" i="5"/>
  <c r="G376" i="5"/>
  <c r="BW375" i="5"/>
  <c r="AP375" i="5"/>
  <c r="K375" i="5" s="1"/>
  <c r="AL375" i="5"/>
  <c r="AJ375" i="5"/>
  <c r="AH375" i="5"/>
  <c r="AG375" i="5"/>
  <c r="AF375" i="5"/>
  <c r="AC375" i="5"/>
  <c r="AB375" i="5"/>
  <c r="Z375" i="5"/>
  <c r="H375" i="5"/>
  <c r="G375" i="5"/>
  <c r="BW373" i="5"/>
  <c r="BF373" i="5"/>
  <c r="AL373" i="5"/>
  <c r="AU372" i="5" s="1"/>
  <c r="AJ373" i="5"/>
  <c r="AS372" i="5" s="1"/>
  <c r="AH373" i="5"/>
  <c r="AG373" i="5"/>
  <c r="AF373" i="5"/>
  <c r="AC373" i="5"/>
  <c r="AB373" i="5"/>
  <c r="Z373" i="5"/>
  <c r="O373" i="5"/>
  <c r="O372" i="5" s="1"/>
  <c r="H373" i="5"/>
  <c r="G373" i="5"/>
  <c r="BW371" i="5"/>
  <c r="BJ371" i="5"/>
  <c r="AP371" i="5"/>
  <c r="AO371" i="5"/>
  <c r="AL371" i="5"/>
  <c r="AU370" i="5" s="1"/>
  <c r="AJ371" i="5"/>
  <c r="AH371" i="5"/>
  <c r="AG371" i="5"/>
  <c r="AF371" i="5"/>
  <c r="AE371" i="5"/>
  <c r="AD371" i="5"/>
  <c r="Z371" i="5"/>
  <c r="L371" i="5"/>
  <c r="H371" i="5"/>
  <c r="BD371" i="5" s="1"/>
  <c r="G371" i="5"/>
  <c r="AS370" i="5"/>
  <c r="BW369" i="5"/>
  <c r="BH369" i="5"/>
  <c r="AO369" i="5"/>
  <c r="AW369" i="5" s="1"/>
  <c r="AL369" i="5"/>
  <c r="AJ369" i="5"/>
  <c r="AH369" i="5"/>
  <c r="AG369" i="5"/>
  <c r="AF369" i="5"/>
  <c r="AE369" i="5"/>
  <c r="AD369" i="5"/>
  <c r="AC369" i="5"/>
  <c r="AB369" i="5"/>
  <c r="O369" i="5"/>
  <c r="BF369" i="5" s="1"/>
  <c r="H369" i="5"/>
  <c r="BD369" i="5" s="1"/>
  <c r="G369" i="5"/>
  <c r="BW368" i="5"/>
  <c r="BD368" i="5"/>
  <c r="AL368" i="5"/>
  <c r="AJ368" i="5"/>
  <c r="AH368" i="5"/>
  <c r="AG368" i="5"/>
  <c r="AF368" i="5"/>
  <c r="AE368" i="5"/>
  <c r="AD368" i="5"/>
  <c r="Z368" i="5"/>
  <c r="H368" i="5"/>
  <c r="AP368" i="5" s="1"/>
  <c r="G368" i="5"/>
  <c r="BW367" i="5"/>
  <c r="AL367" i="5"/>
  <c r="AJ367" i="5"/>
  <c r="AH367" i="5"/>
  <c r="AG367" i="5"/>
  <c r="AF367" i="5"/>
  <c r="AE367" i="5"/>
  <c r="AD367" i="5"/>
  <c r="Z367" i="5"/>
  <c r="O367" i="5"/>
  <c r="BF367" i="5" s="1"/>
  <c r="H367" i="5"/>
  <c r="AP367" i="5" s="1"/>
  <c r="AX367" i="5" s="1"/>
  <c r="G367" i="5"/>
  <c r="BJ367" i="5" s="1"/>
  <c r="BW366" i="5"/>
  <c r="BD366" i="5"/>
  <c r="AP366" i="5"/>
  <c r="AL366" i="5"/>
  <c r="AJ366" i="5"/>
  <c r="AH366" i="5"/>
  <c r="AG366" i="5"/>
  <c r="AF366" i="5"/>
  <c r="AE366" i="5"/>
  <c r="AD366" i="5"/>
  <c r="Z366" i="5"/>
  <c r="H366" i="5"/>
  <c r="G366" i="5"/>
  <c r="BW365" i="5"/>
  <c r="AL365" i="5"/>
  <c r="AJ365" i="5"/>
  <c r="AH365" i="5"/>
  <c r="AG365" i="5"/>
  <c r="AF365" i="5"/>
  <c r="AE365" i="5"/>
  <c r="AD365" i="5"/>
  <c r="Z365" i="5"/>
  <c r="O365" i="5"/>
  <c r="BF365" i="5" s="1"/>
  <c r="H365" i="5"/>
  <c r="G365" i="5"/>
  <c r="BW364" i="5"/>
  <c r="AL364" i="5"/>
  <c r="AJ364" i="5"/>
  <c r="AH364" i="5"/>
  <c r="AG364" i="5"/>
  <c r="AF364" i="5"/>
  <c r="AE364" i="5"/>
  <c r="AD364" i="5"/>
  <c r="Z364" i="5"/>
  <c r="H364" i="5"/>
  <c r="AP364" i="5" s="1"/>
  <c r="G364" i="5"/>
  <c r="BW363" i="5"/>
  <c r="AO363" i="5"/>
  <c r="BH363" i="5" s="1"/>
  <c r="AB363" i="5" s="1"/>
  <c r="AL363" i="5"/>
  <c r="AJ363" i="5"/>
  <c r="AH363" i="5"/>
  <c r="AG363" i="5"/>
  <c r="AF363" i="5"/>
  <c r="AE363" i="5"/>
  <c r="AD363" i="5"/>
  <c r="Z363" i="5"/>
  <c r="O363" i="5"/>
  <c r="J363" i="5"/>
  <c r="H363" i="5"/>
  <c r="AP363" i="5" s="1"/>
  <c r="AX363" i="5" s="1"/>
  <c r="G363" i="5"/>
  <c r="BJ363" i="5" s="1"/>
  <c r="BW360" i="5"/>
  <c r="AL360" i="5"/>
  <c r="AJ360" i="5"/>
  <c r="AH360" i="5"/>
  <c r="AG360" i="5"/>
  <c r="AF360" i="5"/>
  <c r="AE360" i="5"/>
  <c r="AD360" i="5"/>
  <c r="AC360" i="5"/>
  <c r="AB360" i="5"/>
  <c r="H360" i="5"/>
  <c r="G360" i="5"/>
  <c r="BW359" i="5"/>
  <c r="AL359" i="5"/>
  <c r="AJ359" i="5"/>
  <c r="AH359" i="5"/>
  <c r="AG359" i="5"/>
  <c r="AF359" i="5"/>
  <c r="AE359" i="5"/>
  <c r="AD359" i="5"/>
  <c r="AC359" i="5"/>
  <c r="AB359" i="5"/>
  <c r="O359" i="5"/>
  <c r="BF359" i="5" s="1"/>
  <c r="H359" i="5"/>
  <c r="G359" i="5"/>
  <c r="BW358" i="5"/>
  <c r="BF358" i="5"/>
  <c r="AL358" i="5"/>
  <c r="AJ358" i="5"/>
  <c r="AH358" i="5"/>
  <c r="AG358" i="5"/>
  <c r="AF358" i="5"/>
  <c r="AE358" i="5"/>
  <c r="AD358" i="5"/>
  <c r="AC358" i="5"/>
  <c r="AB358" i="5"/>
  <c r="O358" i="5"/>
  <c r="H358" i="5"/>
  <c r="AP358" i="5" s="1"/>
  <c r="AX358" i="5" s="1"/>
  <c r="G358" i="5"/>
  <c r="BW356" i="5"/>
  <c r="AP356" i="5"/>
  <c r="AX356" i="5" s="1"/>
  <c r="AO356" i="5"/>
  <c r="AW356" i="5" s="1"/>
  <c r="AL356" i="5"/>
  <c r="AJ356" i="5"/>
  <c r="AH356" i="5"/>
  <c r="AG356" i="5"/>
  <c r="AF356" i="5"/>
  <c r="AE356" i="5"/>
  <c r="AD356" i="5"/>
  <c r="AC356" i="5"/>
  <c r="AB356" i="5"/>
  <c r="O356" i="5"/>
  <c r="BF356" i="5" s="1"/>
  <c r="L356" i="5"/>
  <c r="AK356" i="5" s="1"/>
  <c r="J356" i="5"/>
  <c r="H356" i="5"/>
  <c r="BD356" i="5" s="1"/>
  <c r="G356" i="5"/>
  <c r="BW354" i="5"/>
  <c r="AL354" i="5"/>
  <c r="AJ354" i="5"/>
  <c r="AH354" i="5"/>
  <c r="AG354" i="5"/>
  <c r="AF354" i="5"/>
  <c r="AE354" i="5"/>
  <c r="AD354" i="5"/>
  <c r="AC354" i="5"/>
  <c r="AB354" i="5"/>
  <c r="H354" i="5"/>
  <c r="G354" i="5"/>
  <c r="BW353" i="5"/>
  <c r="BD353" i="5"/>
  <c r="AO353" i="5"/>
  <c r="AL353" i="5"/>
  <c r="AJ353" i="5"/>
  <c r="AH353" i="5"/>
  <c r="AG353" i="5"/>
  <c r="AF353" i="5"/>
  <c r="AE353" i="5"/>
  <c r="AD353" i="5"/>
  <c r="AC353" i="5"/>
  <c r="AB353" i="5"/>
  <c r="O353" i="5"/>
  <c r="BF353" i="5" s="1"/>
  <c r="H353" i="5"/>
  <c r="AP353" i="5" s="1"/>
  <c r="G353" i="5"/>
  <c r="BW351" i="5"/>
  <c r="BF351" i="5"/>
  <c r="AL351" i="5"/>
  <c r="AJ351" i="5"/>
  <c r="AH351" i="5"/>
  <c r="AG351" i="5"/>
  <c r="AF351" i="5"/>
  <c r="AE351" i="5"/>
  <c r="AD351" i="5"/>
  <c r="AC351" i="5"/>
  <c r="AB351" i="5"/>
  <c r="O351" i="5"/>
  <c r="H351" i="5"/>
  <c r="AP351" i="5" s="1"/>
  <c r="AX351" i="5" s="1"/>
  <c r="G351" i="5"/>
  <c r="BW350" i="5"/>
  <c r="AL350" i="5"/>
  <c r="AJ350" i="5"/>
  <c r="AH350" i="5"/>
  <c r="AG350" i="5"/>
  <c r="AF350" i="5"/>
  <c r="AE350" i="5"/>
  <c r="AD350" i="5"/>
  <c r="Z350" i="5"/>
  <c r="O350" i="5"/>
  <c r="BF350" i="5" s="1"/>
  <c r="L350" i="5"/>
  <c r="AK350" i="5" s="1"/>
  <c r="H350" i="5"/>
  <c r="BJ350" i="5" s="1"/>
  <c r="G350" i="5"/>
  <c r="BW347" i="5"/>
  <c r="AL347" i="5"/>
  <c r="AJ347" i="5"/>
  <c r="AH347" i="5"/>
  <c r="AG347" i="5"/>
  <c r="AF347" i="5"/>
  <c r="AE347" i="5"/>
  <c r="AD347" i="5"/>
  <c r="Z347" i="5"/>
  <c r="H347" i="5"/>
  <c r="G347" i="5"/>
  <c r="BW345" i="5"/>
  <c r="AL345" i="5"/>
  <c r="AJ345" i="5"/>
  <c r="AH345" i="5"/>
  <c r="AG345" i="5"/>
  <c r="AF345" i="5"/>
  <c r="AE345" i="5"/>
  <c r="AD345" i="5"/>
  <c r="Z345" i="5"/>
  <c r="O345" i="5"/>
  <c r="BF345" i="5" s="1"/>
  <c r="H345" i="5"/>
  <c r="G345" i="5"/>
  <c r="BW343" i="5"/>
  <c r="BF343" i="5"/>
  <c r="AL343" i="5"/>
  <c r="AJ343" i="5"/>
  <c r="AH343" i="5"/>
  <c r="AG343" i="5"/>
  <c r="AF343" i="5"/>
  <c r="AE343" i="5"/>
  <c r="AD343" i="5"/>
  <c r="Z343" i="5"/>
  <c r="O343" i="5"/>
  <c r="H343" i="5"/>
  <c r="G343" i="5"/>
  <c r="BW342" i="5"/>
  <c r="BJ342" i="5"/>
  <c r="AO342" i="5"/>
  <c r="AW342" i="5" s="1"/>
  <c r="AL342" i="5"/>
  <c r="AJ342" i="5"/>
  <c r="AH342" i="5"/>
  <c r="AG342" i="5"/>
  <c r="AF342" i="5"/>
  <c r="AE342" i="5"/>
  <c r="AD342" i="5"/>
  <c r="Z342" i="5"/>
  <c r="O342" i="5"/>
  <c r="BF342" i="5" s="1"/>
  <c r="J342" i="5"/>
  <c r="H342" i="5"/>
  <c r="AP342" i="5" s="1"/>
  <c r="AX342" i="5" s="1"/>
  <c r="G342" i="5"/>
  <c r="BW340" i="5"/>
  <c r="AL340" i="5"/>
  <c r="AJ340" i="5"/>
  <c r="AH340" i="5"/>
  <c r="AG340" i="5"/>
  <c r="AF340" i="5"/>
  <c r="AE340" i="5"/>
  <c r="AD340" i="5"/>
  <c r="Z340" i="5"/>
  <c r="H340" i="5"/>
  <c r="G340" i="5"/>
  <c r="BW338" i="5"/>
  <c r="AP338" i="5"/>
  <c r="AO338" i="5"/>
  <c r="AL338" i="5"/>
  <c r="AJ338" i="5"/>
  <c r="AS337" i="5" s="1"/>
  <c r="AH338" i="5"/>
  <c r="AG338" i="5"/>
  <c r="AF338" i="5"/>
  <c r="AE338" i="5"/>
  <c r="AD338" i="5"/>
  <c r="Z338" i="5"/>
  <c r="O338" i="5"/>
  <c r="H338" i="5"/>
  <c r="BD338" i="5" s="1"/>
  <c r="G338" i="5"/>
  <c r="AU337" i="5"/>
  <c r="BW336" i="5"/>
  <c r="BF336" i="5"/>
  <c r="AL336" i="5"/>
  <c r="AU335" i="5" s="1"/>
  <c r="AJ336" i="5"/>
  <c r="AS335" i="5" s="1"/>
  <c r="AH336" i="5"/>
  <c r="AG336" i="5"/>
  <c r="AF336" i="5"/>
  <c r="AE336" i="5"/>
  <c r="AD336" i="5"/>
  <c r="Z336" i="5"/>
  <c r="O336" i="5"/>
  <c r="H336" i="5"/>
  <c r="G336" i="5"/>
  <c r="O335" i="5"/>
  <c r="BW334" i="5"/>
  <c r="BJ334" i="5"/>
  <c r="AP334" i="5"/>
  <c r="AO334" i="5"/>
  <c r="AL334" i="5"/>
  <c r="AJ334" i="5"/>
  <c r="AS333" i="5" s="1"/>
  <c r="AH334" i="5"/>
  <c r="AG334" i="5"/>
  <c r="AF334" i="5"/>
  <c r="AC334" i="5"/>
  <c r="AB334" i="5"/>
  <c r="Z334" i="5"/>
  <c r="O334" i="5"/>
  <c r="BF334" i="5" s="1"/>
  <c r="H334" i="5"/>
  <c r="BD334" i="5" s="1"/>
  <c r="G334" i="5"/>
  <c r="AU333" i="5"/>
  <c r="O333" i="5"/>
  <c r="BW332" i="5"/>
  <c r="AL332" i="5"/>
  <c r="AJ332" i="5"/>
  <c r="AH332" i="5"/>
  <c r="AG332" i="5"/>
  <c r="AF332" i="5"/>
  <c r="AC332" i="5"/>
  <c r="AB332" i="5"/>
  <c r="Z332" i="5"/>
  <c r="H332" i="5"/>
  <c r="G332" i="5"/>
  <c r="BW331" i="5"/>
  <c r="BD331" i="5"/>
  <c r="AP331" i="5"/>
  <c r="K331" i="5" s="1"/>
  <c r="AO331" i="5"/>
  <c r="BH331" i="5" s="1"/>
  <c r="AD331" i="5" s="1"/>
  <c r="AL331" i="5"/>
  <c r="AJ331" i="5"/>
  <c r="AS330" i="5" s="1"/>
  <c r="AH331" i="5"/>
  <c r="AG331" i="5"/>
  <c r="AF331" i="5"/>
  <c r="AC331" i="5"/>
  <c r="AB331" i="5"/>
  <c r="Z331" i="5"/>
  <c r="H331" i="5"/>
  <c r="G331" i="5"/>
  <c r="AU330" i="5"/>
  <c r="BW329" i="5"/>
  <c r="BD329" i="5"/>
  <c r="AL329" i="5"/>
  <c r="AJ329" i="5"/>
  <c r="AH329" i="5"/>
  <c r="AG329" i="5"/>
  <c r="AF329" i="5"/>
  <c r="AE329" i="5"/>
  <c r="AD329" i="5"/>
  <c r="AC329" i="5"/>
  <c r="AB329" i="5"/>
  <c r="O329" i="5"/>
  <c r="BF329" i="5" s="1"/>
  <c r="H329" i="5"/>
  <c r="BJ329" i="5" s="1"/>
  <c r="Z329" i="5" s="1"/>
  <c r="G329" i="5"/>
  <c r="BW328" i="5"/>
  <c r="AL328" i="5"/>
  <c r="AJ328" i="5"/>
  <c r="AH328" i="5"/>
  <c r="AG328" i="5"/>
  <c r="AF328" i="5"/>
  <c r="AC328" i="5"/>
  <c r="AB328" i="5"/>
  <c r="Z328" i="5"/>
  <c r="O328" i="5"/>
  <c r="BF328" i="5" s="1"/>
  <c r="H328" i="5"/>
  <c r="G328" i="5"/>
  <c r="BW326" i="5"/>
  <c r="BJ326" i="5"/>
  <c r="AL326" i="5"/>
  <c r="AJ326" i="5"/>
  <c r="AH326" i="5"/>
  <c r="AG326" i="5"/>
  <c r="AF326" i="5"/>
  <c r="AC326" i="5"/>
  <c r="AB326" i="5"/>
  <c r="Z326" i="5"/>
  <c r="H326" i="5"/>
  <c r="G326" i="5"/>
  <c r="BW324" i="5"/>
  <c r="BD324" i="5"/>
  <c r="AP324" i="5"/>
  <c r="AX324" i="5" s="1"/>
  <c r="AL324" i="5"/>
  <c r="AJ324" i="5"/>
  <c r="AH324" i="5"/>
  <c r="AG324" i="5"/>
  <c r="AF324" i="5"/>
  <c r="AC324" i="5"/>
  <c r="AB324" i="5"/>
  <c r="Z324" i="5"/>
  <c r="H324" i="5"/>
  <c r="AO324" i="5" s="1"/>
  <c r="G324" i="5"/>
  <c r="O324" i="5" s="1"/>
  <c r="BF324" i="5" s="1"/>
  <c r="BW322" i="5"/>
  <c r="AL322" i="5"/>
  <c r="AJ322" i="5"/>
  <c r="AH322" i="5"/>
  <c r="AG322" i="5"/>
  <c r="AF322" i="5"/>
  <c r="AC322" i="5"/>
  <c r="AB322" i="5"/>
  <c r="Z322" i="5"/>
  <c r="H322" i="5"/>
  <c r="G322" i="5"/>
  <c r="BW320" i="5"/>
  <c r="BF320" i="5"/>
  <c r="AL320" i="5"/>
  <c r="AJ320" i="5"/>
  <c r="AH320" i="5"/>
  <c r="AG320" i="5"/>
  <c r="AF320" i="5"/>
  <c r="AE320" i="5"/>
  <c r="AD320" i="5"/>
  <c r="AC320" i="5"/>
  <c r="AB320" i="5"/>
  <c r="O320" i="5"/>
  <c r="H320" i="5"/>
  <c r="G320" i="5"/>
  <c r="BW319" i="5"/>
  <c r="AL319" i="5"/>
  <c r="AJ319" i="5"/>
  <c r="AH319" i="5"/>
  <c r="AG319" i="5"/>
  <c r="AF319" i="5"/>
  <c r="AC319" i="5"/>
  <c r="AB319" i="5"/>
  <c r="Z319" i="5"/>
  <c r="H319" i="5"/>
  <c r="G319" i="5"/>
  <c r="BW318" i="5"/>
  <c r="BF318" i="5"/>
  <c r="AL318" i="5"/>
  <c r="AJ318" i="5"/>
  <c r="AH318" i="5"/>
  <c r="AG318" i="5"/>
  <c r="AF318" i="5"/>
  <c r="AC318" i="5"/>
  <c r="AB318" i="5"/>
  <c r="Z318" i="5"/>
  <c r="O318" i="5"/>
  <c r="H318" i="5"/>
  <c r="G318" i="5"/>
  <c r="BW317" i="5"/>
  <c r="AL317" i="5"/>
  <c r="AJ317" i="5"/>
  <c r="AH317" i="5"/>
  <c r="AG317" i="5"/>
  <c r="AF317" i="5"/>
  <c r="AC317" i="5"/>
  <c r="AB317" i="5"/>
  <c r="Z317" i="5"/>
  <c r="H317" i="5"/>
  <c r="AP317" i="5" s="1"/>
  <c r="G317" i="5"/>
  <c r="BW315" i="5"/>
  <c r="BF315" i="5"/>
  <c r="AL315" i="5"/>
  <c r="AJ315" i="5"/>
  <c r="AS314" i="5" s="1"/>
  <c r="AH315" i="5"/>
  <c r="AG315" i="5"/>
  <c r="AF315" i="5"/>
  <c r="AC315" i="5"/>
  <c r="AB315" i="5"/>
  <c r="Z315" i="5"/>
  <c r="O315" i="5"/>
  <c r="O314" i="5" s="1"/>
  <c r="H315" i="5"/>
  <c r="BD315" i="5" s="1"/>
  <c r="G315" i="5"/>
  <c r="BJ315" i="5" s="1"/>
  <c r="AU314" i="5"/>
  <c r="BW313" i="5"/>
  <c r="AL313" i="5"/>
  <c r="AU312" i="5" s="1"/>
  <c r="AJ313" i="5"/>
  <c r="AS312" i="5" s="1"/>
  <c r="AH313" i="5"/>
  <c r="AG313" i="5"/>
  <c r="AF313" i="5"/>
  <c r="AE313" i="5"/>
  <c r="AD313" i="5"/>
  <c r="Z313" i="5"/>
  <c r="H313" i="5"/>
  <c r="G313" i="5"/>
  <c r="BW311" i="5"/>
  <c r="BF311" i="5"/>
  <c r="AP311" i="5"/>
  <c r="AL311" i="5"/>
  <c r="AJ311" i="5"/>
  <c r="AH311" i="5"/>
  <c r="AG311" i="5"/>
  <c r="AF311" i="5"/>
  <c r="AE311" i="5"/>
  <c r="AD311" i="5"/>
  <c r="AC311" i="5"/>
  <c r="AB311" i="5"/>
  <c r="Z311" i="5"/>
  <c r="O311" i="5"/>
  <c r="H311" i="5"/>
  <c r="AO311" i="5" s="1"/>
  <c r="G311" i="5"/>
  <c r="BJ311" i="5" s="1"/>
  <c r="BW309" i="5"/>
  <c r="AL309" i="5"/>
  <c r="AJ309" i="5"/>
  <c r="AH309" i="5"/>
  <c r="AG309" i="5"/>
  <c r="AF309" i="5"/>
  <c r="AE309" i="5"/>
  <c r="AD309" i="5"/>
  <c r="Z309" i="5"/>
  <c r="H309" i="5"/>
  <c r="AP309" i="5" s="1"/>
  <c r="G309" i="5"/>
  <c r="BW308" i="5"/>
  <c r="BF308" i="5"/>
  <c r="AL308" i="5"/>
  <c r="AJ308" i="5"/>
  <c r="AH308" i="5"/>
  <c r="AG308" i="5"/>
  <c r="AF308" i="5"/>
  <c r="AE308" i="5"/>
  <c r="AD308" i="5"/>
  <c r="Z308" i="5"/>
  <c r="O308" i="5"/>
  <c r="H308" i="5"/>
  <c r="G308" i="5"/>
  <c r="BW306" i="5"/>
  <c r="AL306" i="5"/>
  <c r="AJ306" i="5"/>
  <c r="AH306" i="5"/>
  <c r="AG306" i="5"/>
  <c r="AF306" i="5"/>
  <c r="AE306" i="5"/>
  <c r="AD306" i="5"/>
  <c r="Z306" i="5"/>
  <c r="H306" i="5"/>
  <c r="G306" i="5"/>
  <c r="BW305" i="5"/>
  <c r="BF305" i="5"/>
  <c r="AP305" i="5"/>
  <c r="BI305" i="5" s="1"/>
  <c r="AC305" i="5" s="1"/>
  <c r="AL305" i="5"/>
  <c r="AJ305" i="5"/>
  <c r="AH305" i="5"/>
  <c r="AG305" i="5"/>
  <c r="AF305" i="5"/>
  <c r="AE305" i="5"/>
  <c r="AD305" i="5"/>
  <c r="Z305" i="5"/>
  <c r="O305" i="5"/>
  <c r="K305" i="5"/>
  <c r="H305" i="5"/>
  <c r="AO305" i="5" s="1"/>
  <c r="G305" i="5"/>
  <c r="BJ305" i="5" s="1"/>
  <c r="BW304" i="5"/>
  <c r="AL304" i="5"/>
  <c r="AJ304" i="5"/>
  <c r="AH304" i="5"/>
  <c r="AG304" i="5"/>
  <c r="AF304" i="5"/>
  <c r="AE304" i="5"/>
  <c r="AD304" i="5"/>
  <c r="Z304" i="5"/>
  <c r="H304" i="5"/>
  <c r="AP304" i="5" s="1"/>
  <c r="G304" i="5"/>
  <c r="BW303" i="5"/>
  <c r="BF303" i="5"/>
  <c r="AP303" i="5"/>
  <c r="AL303" i="5"/>
  <c r="AJ303" i="5"/>
  <c r="AH303" i="5"/>
  <c r="AG303" i="5"/>
  <c r="AF303" i="5"/>
  <c r="AE303" i="5"/>
  <c r="AD303" i="5"/>
  <c r="Z303" i="5"/>
  <c r="O303" i="5"/>
  <c r="H303" i="5"/>
  <c r="BD303" i="5" s="1"/>
  <c r="G303" i="5"/>
  <c r="BJ303" i="5" s="1"/>
  <c r="BW300" i="5"/>
  <c r="BD300" i="5"/>
  <c r="AX300" i="5"/>
  <c r="AO300" i="5"/>
  <c r="AL300" i="5"/>
  <c r="AJ300" i="5"/>
  <c r="AH300" i="5"/>
  <c r="AG300" i="5"/>
  <c r="AF300" i="5"/>
  <c r="AE300" i="5"/>
  <c r="AD300" i="5"/>
  <c r="AC300" i="5"/>
  <c r="AB300" i="5"/>
  <c r="O300" i="5"/>
  <c r="BF300" i="5" s="1"/>
  <c r="H300" i="5"/>
  <c r="AP300" i="5" s="1"/>
  <c r="G300" i="5"/>
  <c r="BW299" i="5"/>
  <c r="BJ299" i="5"/>
  <c r="BD299" i="5"/>
  <c r="AO299" i="5"/>
  <c r="AL299" i="5"/>
  <c r="AJ299" i="5"/>
  <c r="AH299" i="5"/>
  <c r="AG299" i="5"/>
  <c r="AF299" i="5"/>
  <c r="AC299" i="5"/>
  <c r="AB299" i="5"/>
  <c r="Z299" i="5"/>
  <c r="H299" i="5"/>
  <c r="AP299" i="5" s="1"/>
  <c r="G299" i="5"/>
  <c r="BW298" i="5"/>
  <c r="BJ298" i="5"/>
  <c r="AL298" i="5"/>
  <c r="AJ298" i="5"/>
  <c r="AH298" i="5"/>
  <c r="AG298" i="5"/>
  <c r="AF298" i="5"/>
  <c r="AC298" i="5"/>
  <c r="AB298" i="5"/>
  <c r="Z298" i="5"/>
  <c r="O298" i="5"/>
  <c r="BF298" i="5" s="1"/>
  <c r="L298" i="5"/>
  <c r="AK298" i="5" s="1"/>
  <c r="H298" i="5"/>
  <c r="BD298" i="5" s="1"/>
  <c r="G298" i="5"/>
  <c r="BW297" i="5"/>
  <c r="BD297" i="5"/>
  <c r="AL297" i="5"/>
  <c r="AJ297" i="5"/>
  <c r="AH297" i="5"/>
  <c r="AG297" i="5"/>
  <c r="AF297" i="5"/>
  <c r="AC297" i="5"/>
  <c r="AB297" i="5"/>
  <c r="Z297" i="5"/>
  <c r="H297" i="5"/>
  <c r="G297" i="5"/>
  <c r="BW296" i="5"/>
  <c r="AL296" i="5"/>
  <c r="AJ296" i="5"/>
  <c r="AH296" i="5"/>
  <c r="AG296" i="5"/>
  <c r="AF296" i="5"/>
  <c r="AC296" i="5"/>
  <c r="AB296" i="5"/>
  <c r="Z296" i="5"/>
  <c r="O296" i="5"/>
  <c r="BF296" i="5" s="1"/>
  <c r="H296" i="5"/>
  <c r="G296" i="5"/>
  <c r="BW295" i="5"/>
  <c r="AO295" i="5"/>
  <c r="AL295" i="5"/>
  <c r="AJ295" i="5"/>
  <c r="AH295" i="5"/>
  <c r="AG295" i="5"/>
  <c r="AF295" i="5"/>
  <c r="AC295" i="5"/>
  <c r="AB295" i="5"/>
  <c r="Z295" i="5"/>
  <c r="H295" i="5"/>
  <c r="L295" i="5" s="1"/>
  <c r="M295" i="5" s="1"/>
  <c r="G295" i="5"/>
  <c r="BW294" i="5"/>
  <c r="BD294" i="5"/>
  <c r="AL294" i="5"/>
  <c r="AJ294" i="5"/>
  <c r="AH294" i="5"/>
  <c r="AG294" i="5"/>
  <c r="AF294" i="5"/>
  <c r="AC294" i="5"/>
  <c r="AB294" i="5"/>
  <c r="Z294" i="5"/>
  <c r="O294" i="5"/>
  <c r="BF294" i="5" s="1"/>
  <c r="L294" i="5"/>
  <c r="AK294" i="5" s="1"/>
  <c r="H294" i="5"/>
  <c r="G294" i="5"/>
  <c r="BW293" i="5"/>
  <c r="BJ293" i="5"/>
  <c r="AL293" i="5"/>
  <c r="AJ293" i="5"/>
  <c r="AH293" i="5"/>
  <c r="AG293" i="5"/>
  <c r="AF293" i="5"/>
  <c r="AC293" i="5"/>
  <c r="AB293" i="5"/>
  <c r="Z293" i="5"/>
  <c r="H293" i="5"/>
  <c r="G293" i="5"/>
  <c r="BW292" i="5"/>
  <c r="AO292" i="5"/>
  <c r="J292" i="5" s="1"/>
  <c r="AL292" i="5"/>
  <c r="AJ292" i="5"/>
  <c r="AH292" i="5"/>
  <c r="AG292" i="5"/>
  <c r="AF292" i="5"/>
  <c r="AC292" i="5"/>
  <c r="AB292" i="5"/>
  <c r="Z292" i="5"/>
  <c r="H292" i="5"/>
  <c r="G292" i="5"/>
  <c r="BW291" i="5"/>
  <c r="BJ291" i="5"/>
  <c r="BD291" i="5"/>
  <c r="AP291" i="5"/>
  <c r="AL291" i="5"/>
  <c r="AJ291" i="5"/>
  <c r="AH291" i="5"/>
  <c r="AG291" i="5"/>
  <c r="AF291" i="5"/>
  <c r="AC291" i="5"/>
  <c r="AB291" i="5"/>
  <c r="Z291" i="5"/>
  <c r="O291" i="5"/>
  <c r="BF291" i="5" s="1"/>
  <c r="L291" i="5"/>
  <c r="H291" i="5"/>
  <c r="AO291" i="5" s="1"/>
  <c r="G291" i="5"/>
  <c r="BW290" i="5"/>
  <c r="BJ290" i="5"/>
  <c r="BD290" i="5"/>
  <c r="AL290" i="5"/>
  <c r="AJ290" i="5"/>
  <c r="AH290" i="5"/>
  <c r="AG290" i="5"/>
  <c r="AF290" i="5"/>
  <c r="AC290" i="5"/>
  <c r="AB290" i="5"/>
  <c r="Z290" i="5"/>
  <c r="O290" i="5"/>
  <c r="BF290" i="5" s="1"/>
  <c r="L290" i="5"/>
  <c r="H290" i="5"/>
  <c r="G290" i="5"/>
  <c r="BW289" i="5"/>
  <c r="BJ289" i="5"/>
  <c r="AO289" i="5"/>
  <c r="AL289" i="5"/>
  <c r="AJ289" i="5"/>
  <c r="AH289" i="5"/>
  <c r="AG289" i="5"/>
  <c r="AF289" i="5"/>
  <c r="AC289" i="5"/>
  <c r="AB289" i="5"/>
  <c r="Z289" i="5"/>
  <c r="O289" i="5"/>
  <c r="BF289" i="5" s="1"/>
  <c r="H289" i="5"/>
  <c r="G289" i="5"/>
  <c r="BW288" i="5"/>
  <c r="BJ288" i="5"/>
  <c r="BH288" i="5"/>
  <c r="AD288" i="5" s="1"/>
  <c r="AO288" i="5"/>
  <c r="J288" i="5" s="1"/>
  <c r="AL288" i="5"/>
  <c r="AJ288" i="5"/>
  <c r="AH288" i="5"/>
  <c r="AG288" i="5"/>
  <c r="AF288" i="5"/>
  <c r="AC288" i="5"/>
  <c r="AB288" i="5"/>
  <c r="Z288" i="5"/>
  <c r="O288" i="5"/>
  <c r="BF288" i="5" s="1"/>
  <c r="L288" i="5"/>
  <c r="H288" i="5"/>
  <c r="AP288" i="5" s="1"/>
  <c r="G288" i="5"/>
  <c r="BW285" i="5"/>
  <c r="AL285" i="5"/>
  <c r="AJ285" i="5"/>
  <c r="AH285" i="5"/>
  <c r="AG285" i="5"/>
  <c r="AF285" i="5"/>
  <c r="AE285" i="5"/>
  <c r="AD285" i="5"/>
  <c r="AC285" i="5"/>
  <c r="AB285" i="5"/>
  <c r="H285" i="5"/>
  <c r="AO285" i="5" s="1"/>
  <c r="G285" i="5"/>
  <c r="BJ285" i="5" s="1"/>
  <c r="Z285" i="5" s="1"/>
  <c r="BW284" i="5"/>
  <c r="AL284" i="5"/>
  <c r="AJ284" i="5"/>
  <c r="AH284" i="5"/>
  <c r="AG284" i="5"/>
  <c r="AF284" i="5"/>
  <c r="AC284" i="5"/>
  <c r="AB284" i="5"/>
  <c r="Z284" i="5"/>
  <c r="O284" i="5"/>
  <c r="BF284" i="5" s="1"/>
  <c r="H284" i="5"/>
  <c r="BD284" i="5" s="1"/>
  <c r="G284" i="5"/>
  <c r="BW283" i="5"/>
  <c r="AL283" i="5"/>
  <c r="AJ283" i="5"/>
  <c r="AH283" i="5"/>
  <c r="AG283" i="5"/>
  <c r="AF283" i="5"/>
  <c r="AC283" i="5"/>
  <c r="AB283" i="5"/>
  <c r="Z283" i="5"/>
  <c r="H283" i="5"/>
  <c r="G283" i="5"/>
  <c r="BW282" i="5"/>
  <c r="AL282" i="5"/>
  <c r="AJ282" i="5"/>
  <c r="AH282" i="5"/>
  <c r="AG282" i="5"/>
  <c r="AF282" i="5"/>
  <c r="AC282" i="5"/>
  <c r="AB282" i="5"/>
  <c r="Z282" i="5"/>
  <c r="O282" i="5"/>
  <c r="BF282" i="5" s="1"/>
  <c r="H282" i="5"/>
  <c r="BD282" i="5" s="1"/>
  <c r="G282" i="5"/>
  <c r="BW281" i="5"/>
  <c r="AL281" i="5"/>
  <c r="AJ281" i="5"/>
  <c r="AH281" i="5"/>
  <c r="AG281" i="5"/>
  <c r="AF281" i="5"/>
  <c r="AC281" i="5"/>
  <c r="AB281" i="5"/>
  <c r="Z281" i="5"/>
  <c r="H281" i="5"/>
  <c r="BD281" i="5" s="1"/>
  <c r="G281" i="5"/>
  <c r="BW280" i="5"/>
  <c r="AL280" i="5"/>
  <c r="AJ280" i="5"/>
  <c r="AH280" i="5"/>
  <c r="AG280" i="5"/>
  <c r="AF280" i="5"/>
  <c r="AC280" i="5"/>
  <c r="AB280" i="5"/>
  <c r="Z280" i="5"/>
  <c r="H280" i="5"/>
  <c r="AO280" i="5" s="1"/>
  <c r="G280" i="5"/>
  <c r="BW279" i="5"/>
  <c r="AL279" i="5"/>
  <c r="AJ279" i="5"/>
  <c r="AH279" i="5"/>
  <c r="AG279" i="5"/>
  <c r="AF279" i="5"/>
  <c r="AC279" i="5"/>
  <c r="AB279" i="5"/>
  <c r="Z279" i="5"/>
  <c r="O279" i="5"/>
  <c r="BF279" i="5" s="1"/>
  <c r="H279" i="5"/>
  <c r="G279" i="5"/>
  <c r="BW278" i="5"/>
  <c r="AL278" i="5"/>
  <c r="AJ278" i="5"/>
  <c r="AH278" i="5"/>
  <c r="AG278" i="5"/>
  <c r="AF278" i="5"/>
  <c r="AC278" i="5"/>
  <c r="AB278" i="5"/>
  <c r="Z278" i="5"/>
  <c r="H278" i="5"/>
  <c r="AP278" i="5" s="1"/>
  <c r="G278" i="5"/>
  <c r="BW277" i="5"/>
  <c r="BJ277" i="5"/>
  <c r="AP277" i="5"/>
  <c r="AX277" i="5" s="1"/>
  <c r="AO277" i="5"/>
  <c r="AL277" i="5"/>
  <c r="AJ277" i="5"/>
  <c r="AH277" i="5"/>
  <c r="AG277" i="5"/>
  <c r="AF277" i="5"/>
  <c r="AC277" i="5"/>
  <c r="AB277" i="5"/>
  <c r="Z277" i="5"/>
  <c r="O277" i="5"/>
  <c r="BF277" i="5" s="1"/>
  <c r="H277" i="5"/>
  <c r="BD277" i="5" s="1"/>
  <c r="G277" i="5"/>
  <c r="BW276" i="5"/>
  <c r="AL276" i="5"/>
  <c r="AJ276" i="5"/>
  <c r="AH276" i="5"/>
  <c r="AG276" i="5"/>
  <c r="AF276" i="5"/>
  <c r="AC276" i="5"/>
  <c r="AB276" i="5"/>
  <c r="Z276" i="5"/>
  <c r="H276" i="5"/>
  <c r="G276" i="5"/>
  <c r="BW275" i="5"/>
  <c r="AL275" i="5"/>
  <c r="AJ275" i="5"/>
  <c r="AH275" i="5"/>
  <c r="AG275" i="5"/>
  <c r="AF275" i="5"/>
  <c r="AC275" i="5"/>
  <c r="AB275" i="5"/>
  <c r="Z275" i="5"/>
  <c r="O275" i="5"/>
  <c r="BF275" i="5" s="1"/>
  <c r="H275" i="5"/>
  <c r="G275" i="5"/>
  <c r="BW274" i="5"/>
  <c r="AL274" i="5"/>
  <c r="AJ274" i="5"/>
  <c r="AH274" i="5"/>
  <c r="AG274" i="5"/>
  <c r="AF274" i="5"/>
  <c r="AC274" i="5"/>
  <c r="AB274" i="5"/>
  <c r="Z274" i="5"/>
  <c r="H274" i="5"/>
  <c r="AP274" i="5" s="1"/>
  <c r="G274" i="5"/>
  <c r="BW273" i="5"/>
  <c r="AP273" i="5"/>
  <c r="AO273" i="5"/>
  <c r="AW273" i="5" s="1"/>
  <c r="AL273" i="5"/>
  <c r="AJ273" i="5"/>
  <c r="AH273" i="5"/>
  <c r="AG273" i="5"/>
  <c r="AF273" i="5"/>
  <c r="AC273" i="5"/>
  <c r="AB273" i="5"/>
  <c r="Z273" i="5"/>
  <c r="O273" i="5"/>
  <c r="BF273" i="5" s="1"/>
  <c r="L273" i="5"/>
  <c r="J273" i="5"/>
  <c r="H273" i="5"/>
  <c r="G273" i="5"/>
  <c r="BW270" i="5"/>
  <c r="BD270" i="5"/>
  <c r="AO270" i="5"/>
  <c r="BH270" i="5" s="1"/>
  <c r="AL270" i="5"/>
  <c r="AJ270" i="5"/>
  <c r="AH270" i="5"/>
  <c r="AG270" i="5"/>
  <c r="AF270" i="5"/>
  <c r="AE270" i="5"/>
  <c r="AD270" i="5"/>
  <c r="AC270" i="5"/>
  <c r="AB270" i="5"/>
  <c r="O270" i="5"/>
  <c r="BF270" i="5" s="1"/>
  <c r="J270" i="5"/>
  <c r="H270" i="5"/>
  <c r="AP270" i="5" s="1"/>
  <c r="AX270" i="5" s="1"/>
  <c r="G270" i="5"/>
  <c r="BW268" i="5"/>
  <c r="BJ268" i="5"/>
  <c r="BD268" i="5"/>
  <c r="AL268" i="5"/>
  <c r="AJ268" i="5"/>
  <c r="AH268" i="5"/>
  <c r="AG268" i="5"/>
  <c r="AF268" i="5"/>
  <c r="AC268" i="5"/>
  <c r="AB268" i="5"/>
  <c r="Z268" i="5"/>
  <c r="L268" i="5"/>
  <c r="H268" i="5"/>
  <c r="G268" i="5"/>
  <c r="BW267" i="5"/>
  <c r="AO267" i="5"/>
  <c r="AW267" i="5" s="1"/>
  <c r="AL267" i="5"/>
  <c r="AJ267" i="5"/>
  <c r="AH267" i="5"/>
  <c r="AG267" i="5"/>
  <c r="AF267" i="5"/>
  <c r="AC267" i="5"/>
  <c r="AB267" i="5"/>
  <c r="Z267" i="5"/>
  <c r="O267" i="5"/>
  <c r="BF267" i="5" s="1"/>
  <c r="L267" i="5"/>
  <c r="AK267" i="5" s="1"/>
  <c r="H267" i="5"/>
  <c r="BD267" i="5" s="1"/>
  <c r="G267" i="5"/>
  <c r="BW266" i="5"/>
  <c r="BD266" i="5"/>
  <c r="AO266" i="5"/>
  <c r="AL266" i="5"/>
  <c r="AJ266" i="5"/>
  <c r="AH266" i="5"/>
  <c r="AG266" i="5"/>
  <c r="AF266" i="5"/>
  <c r="AC266" i="5"/>
  <c r="AB266" i="5"/>
  <c r="Z266" i="5"/>
  <c r="H266" i="5"/>
  <c r="AP266" i="5" s="1"/>
  <c r="G266" i="5"/>
  <c r="BW265" i="5"/>
  <c r="BD265" i="5"/>
  <c r="AX265" i="5"/>
  <c r="AO265" i="5"/>
  <c r="BH265" i="5" s="1"/>
  <c r="AD265" i="5" s="1"/>
  <c r="AL265" i="5"/>
  <c r="AJ265" i="5"/>
  <c r="AH265" i="5"/>
  <c r="AG265" i="5"/>
  <c r="AF265" i="5"/>
  <c r="AC265" i="5"/>
  <c r="AB265" i="5"/>
  <c r="Z265" i="5"/>
  <c r="O265" i="5"/>
  <c r="BF265" i="5" s="1"/>
  <c r="J265" i="5"/>
  <c r="H265" i="5"/>
  <c r="AP265" i="5" s="1"/>
  <c r="G265" i="5"/>
  <c r="BW264" i="5"/>
  <c r="BJ264" i="5"/>
  <c r="BD264" i="5"/>
  <c r="AP264" i="5"/>
  <c r="AL264" i="5"/>
  <c r="AJ264" i="5"/>
  <c r="AH264" i="5"/>
  <c r="AG264" i="5"/>
  <c r="AF264" i="5"/>
  <c r="AC264" i="5"/>
  <c r="AB264" i="5"/>
  <c r="Z264" i="5"/>
  <c r="H264" i="5"/>
  <c r="G264" i="5"/>
  <c r="BW263" i="5"/>
  <c r="AO263" i="5"/>
  <c r="AL263" i="5"/>
  <c r="AJ263" i="5"/>
  <c r="AH263" i="5"/>
  <c r="AG263" i="5"/>
  <c r="AF263" i="5"/>
  <c r="AC263" i="5"/>
  <c r="AB263" i="5"/>
  <c r="Z263" i="5"/>
  <c r="O263" i="5"/>
  <c r="BF263" i="5" s="1"/>
  <c r="L263" i="5"/>
  <c r="AK263" i="5" s="1"/>
  <c r="H263" i="5"/>
  <c r="BD263" i="5" s="1"/>
  <c r="G263" i="5"/>
  <c r="BW262" i="5"/>
  <c r="BD262" i="5"/>
  <c r="AL262" i="5"/>
  <c r="AJ262" i="5"/>
  <c r="AH262" i="5"/>
  <c r="AG262" i="5"/>
  <c r="AF262" i="5"/>
  <c r="AC262" i="5"/>
  <c r="AB262" i="5"/>
  <c r="Z262" i="5"/>
  <c r="H262" i="5"/>
  <c r="AP262" i="5" s="1"/>
  <c r="G262" i="5"/>
  <c r="BW261" i="5"/>
  <c r="BD261" i="5"/>
  <c r="AX261" i="5"/>
  <c r="AO261" i="5"/>
  <c r="AL261" i="5"/>
  <c r="AJ261" i="5"/>
  <c r="AH261" i="5"/>
  <c r="AG261" i="5"/>
  <c r="AF261" i="5"/>
  <c r="AC261" i="5"/>
  <c r="AB261" i="5"/>
  <c r="Z261" i="5"/>
  <c r="O261" i="5"/>
  <c r="BF261" i="5" s="1"/>
  <c r="H261" i="5"/>
  <c r="AP261" i="5" s="1"/>
  <c r="G261" i="5"/>
  <c r="BJ261" i="5" s="1"/>
  <c r="BW260" i="5"/>
  <c r="BJ260" i="5"/>
  <c r="BD260" i="5"/>
  <c r="AP260" i="5"/>
  <c r="AL260" i="5"/>
  <c r="AJ260" i="5"/>
  <c r="AH260" i="5"/>
  <c r="AG260" i="5"/>
  <c r="AF260" i="5"/>
  <c r="AC260" i="5"/>
  <c r="AB260" i="5"/>
  <c r="Z260" i="5"/>
  <c r="H260" i="5"/>
  <c r="G260" i="5"/>
  <c r="BW258" i="5"/>
  <c r="AO258" i="5"/>
  <c r="AW258" i="5" s="1"/>
  <c r="AL258" i="5"/>
  <c r="AJ258" i="5"/>
  <c r="AH258" i="5"/>
  <c r="AG258" i="5"/>
  <c r="AF258" i="5"/>
  <c r="AC258" i="5"/>
  <c r="AB258" i="5"/>
  <c r="Z258" i="5"/>
  <c r="O258" i="5"/>
  <c r="BF258" i="5" s="1"/>
  <c r="J258" i="5"/>
  <c r="H258" i="5"/>
  <c r="G258" i="5"/>
  <c r="BW256" i="5"/>
  <c r="AP256" i="5"/>
  <c r="AL256" i="5"/>
  <c r="AJ256" i="5"/>
  <c r="AH256" i="5"/>
  <c r="AG256" i="5"/>
  <c r="AF256" i="5"/>
  <c r="AC256" i="5"/>
  <c r="AB256" i="5"/>
  <c r="Z256" i="5"/>
  <c r="H256" i="5"/>
  <c r="G256" i="5"/>
  <c r="BW255" i="5"/>
  <c r="BD255" i="5"/>
  <c r="AO255" i="5"/>
  <c r="AL255" i="5"/>
  <c r="AJ255" i="5"/>
  <c r="AH255" i="5"/>
  <c r="AG255" i="5"/>
  <c r="AF255" i="5"/>
  <c r="AC255" i="5"/>
  <c r="AB255" i="5"/>
  <c r="Z255" i="5"/>
  <c r="O255" i="5"/>
  <c r="H255" i="5"/>
  <c r="AP255" i="5" s="1"/>
  <c r="AX255" i="5" s="1"/>
  <c r="G255" i="5"/>
  <c r="BJ255" i="5" s="1"/>
  <c r="BW252" i="5"/>
  <c r="AL252" i="5"/>
  <c r="AJ252" i="5"/>
  <c r="AH252" i="5"/>
  <c r="AG252" i="5"/>
  <c r="AF252" i="5"/>
  <c r="AE252" i="5"/>
  <c r="AD252" i="5"/>
  <c r="AC252" i="5"/>
  <c r="AB252" i="5"/>
  <c r="H252" i="5"/>
  <c r="G252" i="5"/>
  <c r="BW251" i="5"/>
  <c r="AP251" i="5"/>
  <c r="AL251" i="5"/>
  <c r="AJ251" i="5"/>
  <c r="AH251" i="5"/>
  <c r="AG251" i="5"/>
  <c r="AF251" i="5"/>
  <c r="AC251" i="5"/>
  <c r="AB251" i="5"/>
  <c r="Z251" i="5"/>
  <c r="O251" i="5"/>
  <c r="BF251" i="5" s="1"/>
  <c r="H251" i="5"/>
  <c r="AO251" i="5" s="1"/>
  <c r="G251" i="5"/>
  <c r="AW251" i="5" s="1"/>
  <c r="BW250" i="5"/>
  <c r="AL250" i="5"/>
  <c r="AJ250" i="5"/>
  <c r="AH250" i="5"/>
  <c r="AG250" i="5"/>
  <c r="AF250" i="5"/>
  <c r="AC250" i="5"/>
  <c r="AB250" i="5"/>
  <c r="Z250" i="5"/>
  <c r="H250" i="5"/>
  <c r="G250" i="5"/>
  <c r="BW249" i="5"/>
  <c r="BI249" i="5"/>
  <c r="AE249" i="5" s="1"/>
  <c r="AP249" i="5"/>
  <c r="AO249" i="5"/>
  <c r="AL249" i="5"/>
  <c r="AJ249" i="5"/>
  <c r="AH249" i="5"/>
  <c r="AG249" i="5"/>
  <c r="AF249" i="5"/>
  <c r="AC249" i="5"/>
  <c r="AB249" i="5"/>
  <c r="Z249" i="5"/>
  <c r="O249" i="5"/>
  <c r="BF249" i="5" s="1"/>
  <c r="H249" i="5"/>
  <c r="BD249" i="5" s="1"/>
  <c r="G249" i="5"/>
  <c r="BJ249" i="5" s="1"/>
  <c r="BW248" i="5"/>
  <c r="BD248" i="5"/>
  <c r="AL248" i="5"/>
  <c r="AJ248" i="5"/>
  <c r="AH248" i="5"/>
  <c r="AG248" i="5"/>
  <c r="AF248" i="5"/>
  <c r="AC248" i="5"/>
  <c r="AB248" i="5"/>
  <c r="Z248" i="5"/>
  <c r="H248" i="5"/>
  <c r="AO248" i="5" s="1"/>
  <c r="G248" i="5"/>
  <c r="BW247" i="5"/>
  <c r="AL247" i="5"/>
  <c r="AJ247" i="5"/>
  <c r="AH247" i="5"/>
  <c r="AG247" i="5"/>
  <c r="AF247" i="5"/>
  <c r="AC247" i="5"/>
  <c r="AB247" i="5"/>
  <c r="Z247" i="5"/>
  <c r="O247" i="5"/>
  <c r="BF247" i="5" s="1"/>
  <c r="H247" i="5"/>
  <c r="AP247" i="5" s="1"/>
  <c r="G247" i="5"/>
  <c r="BW246" i="5"/>
  <c r="AL246" i="5"/>
  <c r="AJ246" i="5"/>
  <c r="AH246" i="5"/>
  <c r="AG246" i="5"/>
  <c r="AF246" i="5"/>
  <c r="AC246" i="5"/>
  <c r="AB246" i="5"/>
  <c r="Z246" i="5"/>
  <c r="H246" i="5"/>
  <c r="G246" i="5"/>
  <c r="BW245" i="5"/>
  <c r="AP245" i="5"/>
  <c r="AL245" i="5"/>
  <c r="AJ245" i="5"/>
  <c r="AH245" i="5"/>
  <c r="AG245" i="5"/>
  <c r="AF245" i="5"/>
  <c r="AC245" i="5"/>
  <c r="AB245" i="5"/>
  <c r="Z245" i="5"/>
  <c r="O245" i="5"/>
  <c r="BF245" i="5" s="1"/>
  <c r="H245" i="5"/>
  <c r="G245" i="5"/>
  <c r="BW244" i="5"/>
  <c r="AL244" i="5"/>
  <c r="AJ244" i="5"/>
  <c r="AH244" i="5"/>
  <c r="AG244" i="5"/>
  <c r="AF244" i="5"/>
  <c r="AC244" i="5"/>
  <c r="AB244" i="5"/>
  <c r="Z244" i="5"/>
  <c r="H244" i="5"/>
  <c r="G244" i="5"/>
  <c r="BW243" i="5"/>
  <c r="BF243" i="5"/>
  <c r="AO243" i="5"/>
  <c r="AL243" i="5"/>
  <c r="AJ243" i="5"/>
  <c r="AH243" i="5"/>
  <c r="AG243" i="5"/>
  <c r="AF243" i="5"/>
  <c r="AC243" i="5"/>
  <c r="AB243" i="5"/>
  <c r="Z243" i="5"/>
  <c r="O243" i="5"/>
  <c r="H243" i="5"/>
  <c r="G243" i="5"/>
  <c r="BW242" i="5"/>
  <c r="M242" i="5" s="1"/>
  <c r="BD242" i="5"/>
  <c r="AL242" i="5"/>
  <c r="AJ242" i="5"/>
  <c r="AH242" i="5"/>
  <c r="AG242" i="5"/>
  <c r="AF242" i="5"/>
  <c r="AC242" i="5"/>
  <c r="AB242" i="5"/>
  <c r="Z242" i="5"/>
  <c r="L242" i="5"/>
  <c r="AK242" i="5" s="1"/>
  <c r="H242" i="5"/>
  <c r="BJ242" i="5" s="1"/>
  <c r="G242" i="5"/>
  <c r="BW241" i="5"/>
  <c r="AW241" i="5"/>
  <c r="AL241" i="5"/>
  <c r="AJ241" i="5"/>
  <c r="AH241" i="5"/>
  <c r="AG241" i="5"/>
  <c r="AF241" i="5"/>
  <c r="AC241" i="5"/>
  <c r="AB241" i="5"/>
  <c r="Z241" i="5"/>
  <c r="O241" i="5"/>
  <c r="BF241" i="5" s="1"/>
  <c r="J241" i="5"/>
  <c r="H241" i="5"/>
  <c r="AO241" i="5" s="1"/>
  <c r="BH241" i="5" s="1"/>
  <c r="AD241" i="5" s="1"/>
  <c r="G241" i="5"/>
  <c r="BW240" i="5"/>
  <c r="BD240" i="5"/>
  <c r="AP240" i="5"/>
  <c r="K240" i="5" s="1"/>
  <c r="AL240" i="5"/>
  <c r="AJ240" i="5"/>
  <c r="AH240" i="5"/>
  <c r="AG240" i="5"/>
  <c r="AF240" i="5"/>
  <c r="AC240" i="5"/>
  <c r="AB240" i="5"/>
  <c r="Z240" i="5"/>
  <c r="H240" i="5"/>
  <c r="G240" i="5"/>
  <c r="BJ240" i="5" s="1"/>
  <c r="BW239" i="5"/>
  <c r="AL239" i="5"/>
  <c r="AJ239" i="5"/>
  <c r="AH239" i="5"/>
  <c r="AG239" i="5"/>
  <c r="AF239" i="5"/>
  <c r="AC239" i="5"/>
  <c r="AB239" i="5"/>
  <c r="Z239" i="5"/>
  <c r="O239" i="5"/>
  <c r="BF239" i="5" s="1"/>
  <c r="H239" i="5"/>
  <c r="G239" i="5"/>
  <c r="BJ239" i="5" s="1"/>
  <c r="BW238" i="5"/>
  <c r="BD238" i="5"/>
  <c r="AL238" i="5"/>
  <c r="AJ238" i="5"/>
  <c r="AH238" i="5"/>
  <c r="AG238" i="5"/>
  <c r="AF238" i="5"/>
  <c r="AC238" i="5"/>
  <c r="AB238" i="5"/>
  <c r="Z238" i="5"/>
  <c r="H238" i="5"/>
  <c r="AO238" i="5" s="1"/>
  <c r="G238" i="5"/>
  <c r="BJ238" i="5" s="1"/>
  <c r="BW237" i="5"/>
  <c r="AL237" i="5"/>
  <c r="AJ237" i="5"/>
  <c r="AH237" i="5"/>
  <c r="AG237" i="5"/>
  <c r="AF237" i="5"/>
  <c r="AC237" i="5"/>
  <c r="AB237" i="5"/>
  <c r="Z237" i="5"/>
  <c r="H237" i="5"/>
  <c r="BD237" i="5" s="1"/>
  <c r="G237" i="5"/>
  <c r="BW236" i="5"/>
  <c r="AP236" i="5"/>
  <c r="AL236" i="5"/>
  <c r="AJ236" i="5"/>
  <c r="AH236" i="5"/>
  <c r="AG236" i="5"/>
  <c r="AF236" i="5"/>
  <c r="AC236" i="5"/>
  <c r="AB236" i="5"/>
  <c r="Z236" i="5"/>
  <c r="O236" i="5"/>
  <c r="BF236" i="5" s="1"/>
  <c r="H236" i="5"/>
  <c r="BD236" i="5" s="1"/>
  <c r="G236" i="5"/>
  <c r="BW235" i="5"/>
  <c r="BJ235" i="5"/>
  <c r="BD235" i="5"/>
  <c r="AP235" i="5"/>
  <c r="AL235" i="5"/>
  <c r="AJ235" i="5"/>
  <c r="AH235" i="5"/>
  <c r="AG235" i="5"/>
  <c r="AF235" i="5"/>
  <c r="AC235" i="5"/>
  <c r="AB235" i="5"/>
  <c r="Z235" i="5"/>
  <c r="H235" i="5"/>
  <c r="G235" i="5"/>
  <c r="BW234" i="5"/>
  <c r="AO234" i="5"/>
  <c r="AL234" i="5"/>
  <c r="AJ234" i="5"/>
  <c r="AH234" i="5"/>
  <c r="AG234" i="5"/>
  <c r="AF234" i="5"/>
  <c r="AC234" i="5"/>
  <c r="AB234" i="5"/>
  <c r="Z234" i="5"/>
  <c r="O234" i="5"/>
  <c r="BF234" i="5" s="1"/>
  <c r="J234" i="5"/>
  <c r="H234" i="5"/>
  <c r="BD234" i="5" s="1"/>
  <c r="G234" i="5"/>
  <c r="BJ234" i="5" s="1"/>
  <c r="BW233" i="5"/>
  <c r="BD233" i="5"/>
  <c r="AL233" i="5"/>
  <c r="AJ233" i="5"/>
  <c r="AH233" i="5"/>
  <c r="AG233" i="5"/>
  <c r="AF233" i="5"/>
  <c r="AC233" i="5"/>
  <c r="AB233" i="5"/>
  <c r="Z233" i="5"/>
  <c r="H233" i="5"/>
  <c r="AP233" i="5" s="1"/>
  <c r="G233" i="5"/>
  <c r="BW232" i="5"/>
  <c r="AL232" i="5"/>
  <c r="AJ232" i="5"/>
  <c r="AH232" i="5"/>
  <c r="AG232" i="5"/>
  <c r="AF232" i="5"/>
  <c r="AC232" i="5"/>
  <c r="AB232" i="5"/>
  <c r="Z232" i="5"/>
  <c r="O232" i="5"/>
  <c r="BF232" i="5" s="1"/>
  <c r="H232" i="5"/>
  <c r="G232" i="5"/>
  <c r="BW231" i="5"/>
  <c r="AL231" i="5"/>
  <c r="AJ231" i="5"/>
  <c r="AH231" i="5"/>
  <c r="AG231" i="5"/>
  <c r="AF231" i="5"/>
  <c r="AC231" i="5"/>
  <c r="AB231" i="5"/>
  <c r="Z231" i="5"/>
  <c r="H231" i="5"/>
  <c r="G231" i="5"/>
  <c r="BW230" i="5"/>
  <c r="AL230" i="5"/>
  <c r="AJ230" i="5"/>
  <c r="AH230" i="5"/>
  <c r="AG230" i="5"/>
  <c r="AF230" i="5"/>
  <c r="AC230" i="5"/>
  <c r="AB230" i="5"/>
  <c r="Z230" i="5"/>
  <c r="O230" i="5"/>
  <c r="BF230" i="5" s="1"/>
  <c r="H230" i="5"/>
  <c r="BD230" i="5" s="1"/>
  <c r="G230" i="5"/>
  <c r="BW229" i="5"/>
  <c r="AL229" i="5"/>
  <c r="AJ229" i="5"/>
  <c r="AH229" i="5"/>
  <c r="AG229" i="5"/>
  <c r="AF229" i="5"/>
  <c r="AC229" i="5"/>
  <c r="AB229" i="5"/>
  <c r="Z229" i="5"/>
  <c r="H229" i="5"/>
  <c r="G229" i="5"/>
  <c r="BW228" i="5"/>
  <c r="AL228" i="5"/>
  <c r="AJ228" i="5"/>
  <c r="AH228" i="5"/>
  <c r="AG228" i="5"/>
  <c r="AF228" i="5"/>
  <c r="AC228" i="5"/>
  <c r="AB228" i="5"/>
  <c r="Z228" i="5"/>
  <c r="O228" i="5"/>
  <c r="BF228" i="5" s="1"/>
  <c r="H228" i="5"/>
  <c r="G228" i="5"/>
  <c r="BJ228" i="5" s="1"/>
  <c r="BW227" i="5"/>
  <c r="BJ227" i="5"/>
  <c r="AL227" i="5"/>
  <c r="AJ227" i="5"/>
  <c r="AH227" i="5"/>
  <c r="AG227" i="5"/>
  <c r="AF227" i="5"/>
  <c r="AC227" i="5"/>
  <c r="AB227" i="5"/>
  <c r="Z227" i="5"/>
  <c r="L227" i="5"/>
  <c r="H227" i="5"/>
  <c r="G227" i="5"/>
  <c r="BW226" i="5"/>
  <c r="AL226" i="5"/>
  <c r="AJ226" i="5"/>
  <c r="AH226" i="5"/>
  <c r="AG226" i="5"/>
  <c r="AF226" i="5"/>
  <c r="AC226" i="5"/>
  <c r="AB226" i="5"/>
  <c r="Z226" i="5"/>
  <c r="O226" i="5"/>
  <c r="H226" i="5"/>
  <c r="G226" i="5"/>
  <c r="BW223" i="5"/>
  <c r="AL223" i="5"/>
  <c r="AJ223" i="5"/>
  <c r="AH223" i="5"/>
  <c r="AG223" i="5"/>
  <c r="AF223" i="5"/>
  <c r="AE223" i="5"/>
  <c r="AD223" i="5"/>
  <c r="AC223" i="5"/>
  <c r="AB223" i="5"/>
  <c r="H223" i="5"/>
  <c r="AP223" i="5" s="1"/>
  <c r="G223" i="5"/>
  <c r="BW222" i="5"/>
  <c r="AP222" i="5"/>
  <c r="AX222" i="5" s="1"/>
  <c r="AO222" i="5"/>
  <c r="AL222" i="5"/>
  <c r="AJ222" i="5"/>
  <c r="AH222" i="5"/>
  <c r="AG222" i="5"/>
  <c r="AF222" i="5"/>
  <c r="AC222" i="5"/>
  <c r="AB222" i="5"/>
  <c r="Z222" i="5"/>
  <c r="O222" i="5"/>
  <c r="BF222" i="5" s="1"/>
  <c r="H222" i="5"/>
  <c r="BD222" i="5" s="1"/>
  <c r="G222" i="5"/>
  <c r="BW221" i="5"/>
  <c r="AL221" i="5"/>
  <c r="AJ221" i="5"/>
  <c r="AH221" i="5"/>
  <c r="AG221" i="5"/>
  <c r="AF221" i="5"/>
  <c r="AC221" i="5"/>
  <c r="AB221" i="5"/>
  <c r="Z221" i="5"/>
  <c r="H221" i="5"/>
  <c r="G221" i="5"/>
  <c r="BW220" i="5"/>
  <c r="AL220" i="5"/>
  <c r="AJ220" i="5"/>
  <c r="AH220" i="5"/>
  <c r="AG220" i="5"/>
  <c r="AF220" i="5"/>
  <c r="AC220" i="5"/>
  <c r="AB220" i="5"/>
  <c r="Z220" i="5"/>
  <c r="O220" i="5"/>
  <c r="BF220" i="5" s="1"/>
  <c r="H220" i="5"/>
  <c r="G220" i="5"/>
  <c r="BW219" i="5"/>
  <c r="AL219" i="5"/>
  <c r="AJ219" i="5"/>
  <c r="AH219" i="5"/>
  <c r="AG219" i="5"/>
  <c r="AF219" i="5"/>
  <c r="AC219" i="5"/>
  <c r="AB219" i="5"/>
  <c r="Z219" i="5"/>
  <c r="H219" i="5"/>
  <c r="AP219" i="5" s="1"/>
  <c r="G219" i="5"/>
  <c r="BW218" i="5"/>
  <c r="BD218" i="5"/>
  <c r="AP218" i="5"/>
  <c r="AX218" i="5" s="1"/>
  <c r="AO218" i="5"/>
  <c r="AL218" i="5"/>
  <c r="AJ218" i="5"/>
  <c r="AH218" i="5"/>
  <c r="AG218" i="5"/>
  <c r="AF218" i="5"/>
  <c r="AC218" i="5"/>
  <c r="AB218" i="5"/>
  <c r="Z218" i="5"/>
  <c r="O218" i="5"/>
  <c r="BF218" i="5" s="1"/>
  <c r="H218" i="5"/>
  <c r="G218" i="5"/>
  <c r="BW217" i="5"/>
  <c r="AL217" i="5"/>
  <c r="AJ217" i="5"/>
  <c r="AH217" i="5"/>
  <c r="AG217" i="5"/>
  <c r="AF217" i="5"/>
  <c r="AC217" i="5"/>
  <c r="AB217" i="5"/>
  <c r="Z217" i="5"/>
  <c r="H217" i="5"/>
  <c r="G217" i="5"/>
  <c r="BW216" i="5"/>
  <c r="AL216" i="5"/>
  <c r="AJ216" i="5"/>
  <c r="AH216" i="5"/>
  <c r="AG216" i="5"/>
  <c r="AF216" i="5"/>
  <c r="AC216" i="5"/>
  <c r="AB216" i="5"/>
  <c r="Z216" i="5"/>
  <c r="O216" i="5"/>
  <c r="BF216" i="5" s="1"/>
  <c r="H216" i="5"/>
  <c r="AO216" i="5" s="1"/>
  <c r="BH216" i="5" s="1"/>
  <c r="AD216" i="5" s="1"/>
  <c r="G216" i="5"/>
  <c r="AW216" i="5" s="1"/>
  <c r="BW215" i="5"/>
  <c r="AL215" i="5"/>
  <c r="AJ215" i="5"/>
  <c r="AH215" i="5"/>
  <c r="AG215" i="5"/>
  <c r="AF215" i="5"/>
  <c r="AC215" i="5"/>
  <c r="AB215" i="5"/>
  <c r="Z215" i="5"/>
  <c r="H215" i="5"/>
  <c r="AP215" i="5" s="1"/>
  <c r="G215" i="5"/>
  <c r="BW214" i="5"/>
  <c r="BD214" i="5"/>
  <c r="AP214" i="5"/>
  <c r="AX214" i="5" s="1"/>
  <c r="AO214" i="5"/>
  <c r="AL214" i="5"/>
  <c r="AJ214" i="5"/>
  <c r="AH214" i="5"/>
  <c r="AG214" i="5"/>
  <c r="AF214" i="5"/>
  <c r="AC214" i="5"/>
  <c r="AB214" i="5"/>
  <c r="Z214" i="5"/>
  <c r="O214" i="5"/>
  <c r="BF214" i="5" s="1"/>
  <c r="H214" i="5"/>
  <c r="G214" i="5"/>
  <c r="BW213" i="5"/>
  <c r="AL213" i="5"/>
  <c r="AJ213" i="5"/>
  <c r="AH213" i="5"/>
  <c r="AG213" i="5"/>
  <c r="AF213" i="5"/>
  <c r="AC213" i="5"/>
  <c r="AB213" i="5"/>
  <c r="Z213" i="5"/>
  <c r="H213" i="5"/>
  <c r="G213" i="5"/>
  <c r="BW212" i="5"/>
  <c r="AL212" i="5"/>
  <c r="AJ212" i="5"/>
  <c r="AH212" i="5"/>
  <c r="AG212" i="5"/>
  <c r="AF212" i="5"/>
  <c r="AC212" i="5"/>
  <c r="AB212" i="5"/>
  <c r="Z212" i="5"/>
  <c r="O212" i="5"/>
  <c r="BF212" i="5" s="1"/>
  <c r="H212" i="5"/>
  <c r="G212" i="5"/>
  <c r="BW211" i="5"/>
  <c r="AL211" i="5"/>
  <c r="AJ211" i="5"/>
  <c r="AH211" i="5"/>
  <c r="AG211" i="5"/>
  <c r="AF211" i="5"/>
  <c r="AC211" i="5"/>
  <c r="AB211" i="5"/>
  <c r="Z211" i="5"/>
  <c r="H211" i="5"/>
  <c r="AP211" i="5" s="1"/>
  <c r="G211" i="5"/>
  <c r="BW210" i="5"/>
  <c r="BD210" i="5"/>
  <c r="AP210" i="5"/>
  <c r="AX210" i="5" s="1"/>
  <c r="AO210" i="5"/>
  <c r="AL210" i="5"/>
  <c r="AJ210" i="5"/>
  <c r="AH210" i="5"/>
  <c r="AG210" i="5"/>
  <c r="AF210" i="5"/>
  <c r="AC210" i="5"/>
  <c r="AB210" i="5"/>
  <c r="Z210" i="5"/>
  <c r="O210" i="5"/>
  <c r="BF210" i="5" s="1"/>
  <c r="H210" i="5"/>
  <c r="G210" i="5"/>
  <c r="BW209" i="5"/>
  <c r="AL209" i="5"/>
  <c r="AJ209" i="5"/>
  <c r="AH209" i="5"/>
  <c r="AG209" i="5"/>
  <c r="AF209" i="5"/>
  <c r="AC209" i="5"/>
  <c r="AB209" i="5"/>
  <c r="Z209" i="5"/>
  <c r="H209" i="5"/>
  <c r="G209" i="5"/>
  <c r="BW208" i="5"/>
  <c r="AP208" i="5"/>
  <c r="BI208" i="5" s="1"/>
  <c r="AE208" i="5" s="1"/>
  <c r="AL208" i="5"/>
  <c r="AJ208" i="5"/>
  <c r="AH208" i="5"/>
  <c r="AG208" i="5"/>
  <c r="AF208" i="5"/>
  <c r="AC208" i="5"/>
  <c r="AB208" i="5"/>
  <c r="Z208" i="5"/>
  <c r="O208" i="5"/>
  <c r="BF208" i="5" s="1"/>
  <c r="L208" i="5"/>
  <c r="M208" i="5" s="1"/>
  <c r="H208" i="5"/>
  <c r="G208" i="5"/>
  <c r="BW207" i="5"/>
  <c r="AL207" i="5"/>
  <c r="AJ207" i="5"/>
  <c r="AH207" i="5"/>
  <c r="AG207" i="5"/>
  <c r="AF207" i="5"/>
  <c r="AC207" i="5"/>
  <c r="AB207" i="5"/>
  <c r="Z207" i="5"/>
  <c r="H207" i="5"/>
  <c r="AP207" i="5" s="1"/>
  <c r="G207" i="5"/>
  <c r="BW206" i="5"/>
  <c r="AO206" i="5"/>
  <c r="AL206" i="5"/>
  <c r="AJ206" i="5"/>
  <c r="AH206" i="5"/>
  <c r="AG206" i="5"/>
  <c r="AF206" i="5"/>
  <c r="AC206" i="5"/>
  <c r="AB206" i="5"/>
  <c r="Z206" i="5"/>
  <c r="O206" i="5"/>
  <c r="BF206" i="5" s="1"/>
  <c r="H206" i="5"/>
  <c r="BD206" i="5" s="1"/>
  <c r="G206" i="5"/>
  <c r="AW206" i="5" s="1"/>
  <c r="BW205" i="5"/>
  <c r="AL205" i="5"/>
  <c r="AJ205" i="5"/>
  <c r="AH205" i="5"/>
  <c r="AG205" i="5"/>
  <c r="AF205" i="5"/>
  <c r="AC205" i="5"/>
  <c r="AB205" i="5"/>
  <c r="Z205" i="5"/>
  <c r="H205" i="5"/>
  <c r="G205" i="5"/>
  <c r="BW204" i="5"/>
  <c r="AL204" i="5"/>
  <c r="AJ204" i="5"/>
  <c r="AH204" i="5"/>
  <c r="AG204" i="5"/>
  <c r="AF204" i="5"/>
  <c r="AC204" i="5"/>
  <c r="AB204" i="5"/>
  <c r="Z204" i="5"/>
  <c r="O204" i="5"/>
  <c r="BF204" i="5" s="1"/>
  <c r="H204" i="5"/>
  <c r="G204" i="5"/>
  <c r="BW203" i="5"/>
  <c r="AL203" i="5"/>
  <c r="AJ203" i="5"/>
  <c r="AH203" i="5"/>
  <c r="AG203" i="5"/>
  <c r="AF203" i="5"/>
  <c r="AC203" i="5"/>
  <c r="AB203" i="5"/>
  <c r="Z203" i="5"/>
  <c r="H203" i="5"/>
  <c r="G203" i="5"/>
  <c r="BW202" i="5"/>
  <c r="AP202" i="5"/>
  <c r="AX202" i="5" s="1"/>
  <c r="AO202" i="5"/>
  <c r="BH202" i="5" s="1"/>
  <c r="AD202" i="5" s="1"/>
  <c r="AL202" i="5"/>
  <c r="AJ202" i="5"/>
  <c r="AH202" i="5"/>
  <c r="AG202" i="5"/>
  <c r="AF202" i="5"/>
  <c r="AC202" i="5"/>
  <c r="AB202" i="5"/>
  <c r="Z202" i="5"/>
  <c r="O202" i="5"/>
  <c r="BF202" i="5" s="1"/>
  <c r="K202" i="5"/>
  <c r="H202" i="5"/>
  <c r="BD202" i="5" s="1"/>
  <c r="G202" i="5"/>
  <c r="BW201" i="5"/>
  <c r="AL201" i="5"/>
  <c r="AJ201" i="5"/>
  <c r="AH201" i="5"/>
  <c r="AG201" i="5"/>
  <c r="AF201" i="5"/>
  <c r="AC201" i="5"/>
  <c r="AB201" i="5"/>
  <c r="Z201" i="5"/>
  <c r="H201" i="5"/>
  <c r="G201" i="5"/>
  <c r="BW200" i="5"/>
  <c r="AP200" i="5"/>
  <c r="AX200" i="5" s="1"/>
  <c r="AO200" i="5"/>
  <c r="AL200" i="5"/>
  <c r="AJ200" i="5"/>
  <c r="AH200" i="5"/>
  <c r="AG200" i="5"/>
  <c r="AF200" i="5"/>
  <c r="AC200" i="5"/>
  <c r="AB200" i="5"/>
  <c r="Z200" i="5"/>
  <c r="O200" i="5"/>
  <c r="BF200" i="5" s="1"/>
  <c r="H200" i="5"/>
  <c r="BD200" i="5" s="1"/>
  <c r="G200" i="5"/>
  <c r="AW200" i="5" s="1"/>
  <c r="BW199" i="5"/>
  <c r="AL199" i="5"/>
  <c r="AJ199" i="5"/>
  <c r="AH199" i="5"/>
  <c r="AG199" i="5"/>
  <c r="AF199" i="5"/>
  <c r="AC199" i="5"/>
  <c r="AB199" i="5"/>
  <c r="Z199" i="5"/>
  <c r="H199" i="5"/>
  <c r="G199" i="5"/>
  <c r="BW198" i="5"/>
  <c r="AL198" i="5"/>
  <c r="AJ198" i="5"/>
  <c r="AH198" i="5"/>
  <c r="AG198" i="5"/>
  <c r="AF198" i="5"/>
  <c r="AC198" i="5"/>
  <c r="AB198" i="5"/>
  <c r="Z198" i="5"/>
  <c r="O198" i="5"/>
  <c r="BF198" i="5" s="1"/>
  <c r="H198" i="5"/>
  <c r="BD198" i="5" s="1"/>
  <c r="G198" i="5"/>
  <c r="BJ198" i="5" s="1"/>
  <c r="BW197" i="5"/>
  <c r="AL197" i="5"/>
  <c r="AJ197" i="5"/>
  <c r="AH197" i="5"/>
  <c r="AG197" i="5"/>
  <c r="AF197" i="5"/>
  <c r="AC197" i="5"/>
  <c r="AB197" i="5"/>
  <c r="Z197" i="5"/>
  <c r="H197" i="5"/>
  <c r="G197" i="5"/>
  <c r="BW196" i="5"/>
  <c r="AP196" i="5"/>
  <c r="AX196" i="5" s="1"/>
  <c r="AO196" i="5"/>
  <c r="AL196" i="5"/>
  <c r="AJ196" i="5"/>
  <c r="AH196" i="5"/>
  <c r="AG196" i="5"/>
  <c r="AF196" i="5"/>
  <c r="AC196" i="5"/>
  <c r="AB196" i="5"/>
  <c r="Z196" i="5"/>
  <c r="O196" i="5"/>
  <c r="BF196" i="5" s="1"/>
  <c r="H196" i="5"/>
  <c r="BD196" i="5" s="1"/>
  <c r="G196" i="5"/>
  <c r="BJ196" i="5" s="1"/>
  <c r="BW195" i="5"/>
  <c r="AL195" i="5"/>
  <c r="AJ195" i="5"/>
  <c r="AH195" i="5"/>
  <c r="AG195" i="5"/>
  <c r="AF195" i="5"/>
  <c r="AC195" i="5"/>
  <c r="AB195" i="5"/>
  <c r="Z195" i="5"/>
  <c r="H195" i="5"/>
  <c r="G195" i="5"/>
  <c r="BW192" i="5"/>
  <c r="AO192" i="5"/>
  <c r="AL192" i="5"/>
  <c r="AJ192" i="5"/>
  <c r="AH192" i="5"/>
  <c r="AG192" i="5"/>
  <c r="AF192" i="5"/>
  <c r="AE192" i="5"/>
  <c r="AD192" i="5"/>
  <c r="AC192" i="5"/>
  <c r="AB192" i="5"/>
  <c r="L192" i="5"/>
  <c r="H192" i="5"/>
  <c r="BJ192" i="5" s="1"/>
  <c r="Z192" i="5" s="1"/>
  <c r="G192" i="5"/>
  <c r="BW190" i="5"/>
  <c r="AL190" i="5"/>
  <c r="AJ190" i="5"/>
  <c r="AH190" i="5"/>
  <c r="AG190" i="5"/>
  <c r="AF190" i="5"/>
  <c r="AC190" i="5"/>
  <c r="AB190" i="5"/>
  <c r="Z190" i="5"/>
  <c r="O190" i="5"/>
  <c r="BF190" i="5" s="1"/>
  <c r="H190" i="5"/>
  <c r="AP190" i="5" s="1"/>
  <c r="AX190" i="5" s="1"/>
  <c r="G190" i="5"/>
  <c r="BJ190" i="5" s="1"/>
  <c r="BW189" i="5"/>
  <c r="AL189" i="5"/>
  <c r="AJ189" i="5"/>
  <c r="AH189" i="5"/>
  <c r="AG189" i="5"/>
  <c r="AF189" i="5"/>
  <c r="AC189" i="5"/>
  <c r="AB189" i="5"/>
  <c r="Z189" i="5"/>
  <c r="H189" i="5"/>
  <c r="BD189" i="5" s="1"/>
  <c r="G189" i="5"/>
  <c r="BW188" i="5"/>
  <c r="AO188" i="5"/>
  <c r="AL188" i="5"/>
  <c r="AJ188" i="5"/>
  <c r="AH188" i="5"/>
  <c r="AG188" i="5"/>
  <c r="AF188" i="5"/>
  <c r="AC188" i="5"/>
  <c r="AB188" i="5"/>
  <c r="Z188" i="5"/>
  <c r="O188" i="5"/>
  <c r="BF188" i="5" s="1"/>
  <c r="H188" i="5"/>
  <c r="BD188" i="5" s="1"/>
  <c r="G188" i="5"/>
  <c r="BW187" i="5"/>
  <c r="BD187" i="5"/>
  <c r="AP187" i="5"/>
  <c r="AO187" i="5"/>
  <c r="AL187" i="5"/>
  <c r="AJ187" i="5"/>
  <c r="AH187" i="5"/>
  <c r="AG187" i="5"/>
  <c r="AF187" i="5"/>
  <c r="AC187" i="5"/>
  <c r="AB187" i="5"/>
  <c r="Z187" i="5"/>
  <c r="H187" i="5"/>
  <c r="G187" i="5"/>
  <c r="BW186" i="5"/>
  <c r="AL186" i="5"/>
  <c r="AJ186" i="5"/>
  <c r="AH186" i="5"/>
  <c r="AG186" i="5"/>
  <c r="AF186" i="5"/>
  <c r="AC186" i="5"/>
  <c r="AB186" i="5"/>
  <c r="Z186" i="5"/>
  <c r="O186" i="5"/>
  <c r="BF186" i="5" s="1"/>
  <c r="H186" i="5"/>
  <c r="AP186" i="5" s="1"/>
  <c r="AX186" i="5" s="1"/>
  <c r="G186" i="5"/>
  <c r="BW185" i="5"/>
  <c r="AO185" i="5"/>
  <c r="AL185" i="5"/>
  <c r="AJ185" i="5"/>
  <c r="AH185" i="5"/>
  <c r="AG185" i="5"/>
  <c r="AF185" i="5"/>
  <c r="AC185" i="5"/>
  <c r="AB185" i="5"/>
  <c r="Z185" i="5"/>
  <c r="L185" i="5"/>
  <c r="M185" i="5" s="1"/>
  <c r="H185" i="5"/>
  <c r="G185" i="5"/>
  <c r="BW184" i="5"/>
  <c r="AL184" i="5"/>
  <c r="AJ184" i="5"/>
  <c r="AH184" i="5"/>
  <c r="AG184" i="5"/>
  <c r="AF184" i="5"/>
  <c r="AC184" i="5"/>
  <c r="AB184" i="5"/>
  <c r="Z184" i="5"/>
  <c r="O184" i="5"/>
  <c r="BF184" i="5" s="1"/>
  <c r="H184" i="5"/>
  <c r="G184" i="5"/>
  <c r="BW183" i="5"/>
  <c r="AO183" i="5"/>
  <c r="AL183" i="5"/>
  <c r="AJ183" i="5"/>
  <c r="AH183" i="5"/>
  <c r="AG183" i="5"/>
  <c r="AF183" i="5"/>
  <c r="AC183" i="5"/>
  <c r="AB183" i="5"/>
  <c r="Z183" i="5"/>
  <c r="H183" i="5"/>
  <c r="G183" i="5"/>
  <c r="BW182" i="5"/>
  <c r="BF182" i="5"/>
  <c r="AL182" i="5"/>
  <c r="AJ182" i="5"/>
  <c r="AH182" i="5"/>
  <c r="AG182" i="5"/>
  <c r="AF182" i="5"/>
  <c r="AC182" i="5"/>
  <c r="AB182" i="5"/>
  <c r="Z182" i="5"/>
  <c r="O182" i="5"/>
  <c r="H182" i="5"/>
  <c r="AO182" i="5" s="1"/>
  <c r="G182" i="5"/>
  <c r="BW181" i="5"/>
  <c r="BD181" i="5"/>
  <c r="AP181" i="5"/>
  <c r="AL181" i="5"/>
  <c r="AJ181" i="5"/>
  <c r="AH181" i="5"/>
  <c r="AG181" i="5"/>
  <c r="AF181" i="5"/>
  <c r="AC181" i="5"/>
  <c r="AB181" i="5"/>
  <c r="Z181" i="5"/>
  <c r="H181" i="5"/>
  <c r="AO181" i="5" s="1"/>
  <c r="G181" i="5"/>
  <c r="BJ181" i="5" s="1"/>
  <c r="BW180" i="5"/>
  <c r="BF180" i="5"/>
  <c r="AL180" i="5"/>
  <c r="AJ180" i="5"/>
  <c r="AH180" i="5"/>
  <c r="AG180" i="5"/>
  <c r="AF180" i="5"/>
  <c r="AC180" i="5"/>
  <c r="AB180" i="5"/>
  <c r="Z180" i="5"/>
  <c r="O180" i="5"/>
  <c r="H180" i="5"/>
  <c r="G180" i="5"/>
  <c r="BW179" i="5"/>
  <c r="AP179" i="5"/>
  <c r="AO179" i="5"/>
  <c r="AL179" i="5"/>
  <c r="AJ179" i="5"/>
  <c r="AH179" i="5"/>
  <c r="AG179" i="5"/>
  <c r="AF179" i="5"/>
  <c r="AC179" i="5"/>
  <c r="AB179" i="5"/>
  <c r="Z179" i="5"/>
  <c r="H179" i="5"/>
  <c r="BD179" i="5" s="1"/>
  <c r="G179" i="5"/>
  <c r="BW178" i="5"/>
  <c r="AL178" i="5"/>
  <c r="AJ178" i="5"/>
  <c r="AH178" i="5"/>
  <c r="AG178" i="5"/>
  <c r="AF178" i="5"/>
  <c r="AC178" i="5"/>
  <c r="AB178" i="5"/>
  <c r="Z178" i="5"/>
  <c r="O178" i="5"/>
  <c r="BF178" i="5" s="1"/>
  <c r="H178" i="5"/>
  <c r="AO178" i="5" s="1"/>
  <c r="G178" i="5"/>
  <c r="BJ178" i="5" s="1"/>
  <c r="BW177" i="5"/>
  <c r="BD177" i="5"/>
  <c r="AP177" i="5"/>
  <c r="AL177" i="5"/>
  <c r="AJ177" i="5"/>
  <c r="AH177" i="5"/>
  <c r="AG177" i="5"/>
  <c r="AF177" i="5"/>
  <c r="AC177" i="5"/>
  <c r="AB177" i="5"/>
  <c r="Z177" i="5"/>
  <c r="H177" i="5"/>
  <c r="AO177" i="5" s="1"/>
  <c r="G177" i="5"/>
  <c r="BW176" i="5"/>
  <c r="BF176" i="5"/>
  <c r="AL176" i="5"/>
  <c r="AJ176" i="5"/>
  <c r="AH176" i="5"/>
  <c r="AG176" i="5"/>
  <c r="AF176" i="5"/>
  <c r="AC176" i="5"/>
  <c r="AB176" i="5"/>
  <c r="Z176" i="5"/>
  <c r="O176" i="5"/>
  <c r="H176" i="5"/>
  <c r="AO176" i="5" s="1"/>
  <c r="G176" i="5"/>
  <c r="BW175" i="5"/>
  <c r="AL175" i="5"/>
  <c r="AJ175" i="5"/>
  <c r="AH175" i="5"/>
  <c r="AG175" i="5"/>
  <c r="AF175" i="5"/>
  <c r="AC175" i="5"/>
  <c r="AB175" i="5"/>
  <c r="Z175" i="5"/>
  <c r="H175" i="5"/>
  <c r="G175" i="5"/>
  <c r="BW174" i="5"/>
  <c r="AL174" i="5"/>
  <c r="AJ174" i="5"/>
  <c r="AH174" i="5"/>
  <c r="AG174" i="5"/>
  <c r="AF174" i="5"/>
  <c r="AC174" i="5"/>
  <c r="AB174" i="5"/>
  <c r="Z174" i="5"/>
  <c r="H174" i="5"/>
  <c r="G174" i="5"/>
  <c r="BW173" i="5"/>
  <c r="AP173" i="5"/>
  <c r="AL173" i="5"/>
  <c r="AJ173" i="5"/>
  <c r="AH173" i="5"/>
  <c r="AG173" i="5"/>
  <c r="AF173" i="5"/>
  <c r="AC173" i="5"/>
  <c r="AB173" i="5"/>
  <c r="Z173" i="5"/>
  <c r="O173" i="5"/>
  <c r="BF173" i="5" s="1"/>
  <c r="H173" i="5"/>
  <c r="AO173" i="5" s="1"/>
  <c r="J173" i="5" s="1"/>
  <c r="G173" i="5"/>
  <c r="BW172" i="5"/>
  <c r="AL172" i="5"/>
  <c r="AJ172" i="5"/>
  <c r="AH172" i="5"/>
  <c r="AG172" i="5"/>
  <c r="AF172" i="5"/>
  <c r="AC172" i="5"/>
  <c r="AB172" i="5"/>
  <c r="Z172" i="5"/>
  <c r="H172" i="5"/>
  <c r="AP172" i="5" s="1"/>
  <c r="G172" i="5"/>
  <c r="BW170" i="5"/>
  <c r="BD170" i="5"/>
  <c r="AP170" i="5"/>
  <c r="AX170" i="5" s="1"/>
  <c r="AO170" i="5"/>
  <c r="AL170" i="5"/>
  <c r="AJ170" i="5"/>
  <c r="AH170" i="5"/>
  <c r="AG170" i="5"/>
  <c r="AF170" i="5"/>
  <c r="AC170" i="5"/>
  <c r="AB170" i="5"/>
  <c r="Z170" i="5"/>
  <c r="O170" i="5"/>
  <c r="BF170" i="5" s="1"/>
  <c r="K170" i="5"/>
  <c r="H170" i="5"/>
  <c r="G170" i="5"/>
  <c r="BJ170" i="5" s="1"/>
  <c r="BW168" i="5"/>
  <c r="AL168" i="5"/>
  <c r="AJ168" i="5"/>
  <c r="AH168" i="5"/>
  <c r="AG168" i="5"/>
  <c r="AF168" i="5"/>
  <c r="AC168" i="5"/>
  <c r="AB168" i="5"/>
  <c r="Z168" i="5"/>
  <c r="H168" i="5"/>
  <c r="G168" i="5"/>
  <c r="BW166" i="5"/>
  <c r="AL166" i="5"/>
  <c r="AJ166" i="5"/>
  <c r="AH166" i="5"/>
  <c r="AG166" i="5"/>
  <c r="AF166" i="5"/>
  <c r="AC166" i="5"/>
  <c r="AB166" i="5"/>
  <c r="Z166" i="5"/>
  <c r="O166" i="5"/>
  <c r="BF166" i="5" s="1"/>
  <c r="H166" i="5"/>
  <c r="AP166" i="5" s="1"/>
  <c r="BI166" i="5" s="1"/>
  <c r="AE166" i="5" s="1"/>
  <c r="G166" i="5"/>
  <c r="BW164" i="5"/>
  <c r="AL164" i="5"/>
  <c r="AJ164" i="5"/>
  <c r="AH164" i="5"/>
  <c r="AG164" i="5"/>
  <c r="AF164" i="5"/>
  <c r="AC164" i="5"/>
  <c r="AB164" i="5"/>
  <c r="Z164" i="5"/>
  <c r="H164" i="5"/>
  <c r="AP164" i="5" s="1"/>
  <c r="G164" i="5"/>
  <c r="BW163" i="5"/>
  <c r="AP163" i="5"/>
  <c r="AO163" i="5"/>
  <c r="AL163" i="5"/>
  <c r="AJ163" i="5"/>
  <c r="AH163" i="5"/>
  <c r="AG163" i="5"/>
  <c r="AF163" i="5"/>
  <c r="AC163" i="5"/>
  <c r="AB163" i="5"/>
  <c r="Z163" i="5"/>
  <c r="O163" i="5"/>
  <c r="BF163" i="5" s="1"/>
  <c r="H163" i="5"/>
  <c r="BD163" i="5" s="1"/>
  <c r="G163" i="5"/>
  <c r="BW162" i="5"/>
  <c r="AL162" i="5"/>
  <c r="AU160" i="5" s="1"/>
  <c r="AJ162" i="5"/>
  <c r="AH162" i="5"/>
  <c r="AG162" i="5"/>
  <c r="AF162" i="5"/>
  <c r="AC162" i="5"/>
  <c r="AB162" i="5"/>
  <c r="Z162" i="5"/>
  <c r="H162" i="5"/>
  <c r="G162" i="5"/>
  <c r="BW161" i="5"/>
  <c r="AL161" i="5"/>
  <c r="AJ161" i="5"/>
  <c r="AH161" i="5"/>
  <c r="AG161" i="5"/>
  <c r="AF161" i="5"/>
  <c r="AC161" i="5"/>
  <c r="AB161" i="5"/>
  <c r="Z161" i="5"/>
  <c r="O161" i="5"/>
  <c r="H161" i="5"/>
  <c r="BD161" i="5" s="1"/>
  <c r="G161" i="5"/>
  <c r="BW158" i="5"/>
  <c r="AO158" i="5"/>
  <c r="AL158" i="5"/>
  <c r="AJ158" i="5"/>
  <c r="AH158" i="5"/>
  <c r="AG158" i="5"/>
  <c r="AF158" i="5"/>
  <c r="AE158" i="5"/>
  <c r="AD158" i="5"/>
  <c r="AC158" i="5"/>
  <c r="AB158" i="5"/>
  <c r="O158" i="5"/>
  <c r="BF158" i="5" s="1"/>
  <c r="H158" i="5"/>
  <c r="BD158" i="5" s="1"/>
  <c r="G158" i="5"/>
  <c r="BW157" i="5"/>
  <c r="BD157" i="5"/>
  <c r="AP157" i="5"/>
  <c r="AO157" i="5"/>
  <c r="AL157" i="5"/>
  <c r="AJ157" i="5"/>
  <c r="AH157" i="5"/>
  <c r="AG157" i="5"/>
  <c r="AF157" i="5"/>
  <c r="AC157" i="5"/>
  <c r="AB157" i="5"/>
  <c r="Z157" i="5"/>
  <c r="H157" i="5"/>
  <c r="G157" i="5"/>
  <c r="BW156" i="5"/>
  <c r="AO156" i="5"/>
  <c r="BH156" i="5" s="1"/>
  <c r="AD156" i="5" s="1"/>
  <c r="AL156" i="5"/>
  <c r="AU155" i="5" s="1"/>
  <c r="AJ156" i="5"/>
  <c r="AS155" i="5" s="1"/>
  <c r="AH156" i="5"/>
  <c r="AG156" i="5"/>
  <c r="AF156" i="5"/>
  <c r="AC156" i="5"/>
  <c r="AB156" i="5"/>
  <c r="Z156" i="5"/>
  <c r="O156" i="5"/>
  <c r="J156" i="5"/>
  <c r="H156" i="5"/>
  <c r="AP156" i="5" s="1"/>
  <c r="AX156" i="5" s="1"/>
  <c r="G156" i="5"/>
  <c r="BW154" i="5"/>
  <c r="BJ154" i="5"/>
  <c r="Z154" i="5" s="1"/>
  <c r="AP154" i="5"/>
  <c r="AL154" i="5"/>
  <c r="AJ154" i="5"/>
  <c r="AH154" i="5"/>
  <c r="AG154" i="5"/>
  <c r="AF154" i="5"/>
  <c r="AE154" i="5"/>
  <c r="AD154" i="5"/>
  <c r="AC154" i="5"/>
  <c r="AB154" i="5"/>
  <c r="L154" i="5"/>
  <c r="H154" i="5"/>
  <c r="AO154" i="5" s="1"/>
  <c r="G154" i="5"/>
  <c r="BW153" i="5"/>
  <c r="AL153" i="5"/>
  <c r="AJ153" i="5"/>
  <c r="AH153" i="5"/>
  <c r="AG153" i="5"/>
  <c r="AF153" i="5"/>
  <c r="AC153" i="5"/>
  <c r="AB153" i="5"/>
  <c r="Z153" i="5"/>
  <c r="O153" i="5"/>
  <c r="BF153" i="5" s="1"/>
  <c r="H153" i="5"/>
  <c r="G153" i="5"/>
  <c r="BW152" i="5"/>
  <c r="AL152" i="5"/>
  <c r="AJ152" i="5"/>
  <c r="AH152" i="5"/>
  <c r="AG152" i="5"/>
  <c r="AF152" i="5"/>
  <c r="AC152" i="5"/>
  <c r="AB152" i="5"/>
  <c r="Z152" i="5"/>
  <c r="H152" i="5"/>
  <c r="AP152" i="5" s="1"/>
  <c r="G152" i="5"/>
  <c r="BW151" i="5"/>
  <c r="AO151" i="5"/>
  <c r="AL151" i="5"/>
  <c r="AJ151" i="5"/>
  <c r="AH151" i="5"/>
  <c r="AG151" i="5"/>
  <c r="AF151" i="5"/>
  <c r="AC151" i="5"/>
  <c r="AB151" i="5"/>
  <c r="Z151" i="5"/>
  <c r="O151" i="5"/>
  <c r="BF151" i="5" s="1"/>
  <c r="H151" i="5"/>
  <c r="AP151" i="5" s="1"/>
  <c r="AX151" i="5" s="1"/>
  <c r="G151" i="5"/>
  <c r="BJ151" i="5" s="1"/>
  <c r="BW150" i="5"/>
  <c r="BJ150" i="5"/>
  <c r="BD150" i="5"/>
  <c r="AP150" i="5"/>
  <c r="AL150" i="5"/>
  <c r="AJ150" i="5"/>
  <c r="AH150" i="5"/>
  <c r="AG150" i="5"/>
  <c r="AF150" i="5"/>
  <c r="AC150" i="5"/>
  <c r="AB150" i="5"/>
  <c r="Z150" i="5"/>
  <c r="L150" i="5"/>
  <c r="H150" i="5"/>
  <c r="AO150" i="5" s="1"/>
  <c r="G150" i="5"/>
  <c r="BW149" i="5"/>
  <c r="AL149" i="5"/>
  <c r="AJ149" i="5"/>
  <c r="AH149" i="5"/>
  <c r="AG149" i="5"/>
  <c r="AF149" i="5"/>
  <c r="AC149" i="5"/>
  <c r="AB149" i="5"/>
  <c r="Z149" i="5"/>
  <c r="O149" i="5"/>
  <c r="BF149" i="5" s="1"/>
  <c r="H149" i="5"/>
  <c r="BD149" i="5" s="1"/>
  <c r="G149" i="5"/>
  <c r="BW148" i="5"/>
  <c r="AL148" i="5"/>
  <c r="AJ148" i="5"/>
  <c r="AH148" i="5"/>
  <c r="AG148" i="5"/>
  <c r="AF148" i="5"/>
  <c r="AC148" i="5"/>
  <c r="AB148" i="5"/>
  <c r="Z148" i="5"/>
  <c r="H148" i="5"/>
  <c r="G148" i="5"/>
  <c r="BW147" i="5"/>
  <c r="AO147" i="5"/>
  <c r="BH147" i="5" s="1"/>
  <c r="AD147" i="5" s="1"/>
  <c r="AL147" i="5"/>
  <c r="AJ147" i="5"/>
  <c r="AH147" i="5"/>
  <c r="AG147" i="5"/>
  <c r="AF147" i="5"/>
  <c r="AC147" i="5"/>
  <c r="AB147" i="5"/>
  <c r="Z147" i="5"/>
  <c r="O147" i="5"/>
  <c r="BF147" i="5" s="1"/>
  <c r="J147" i="5"/>
  <c r="H147" i="5"/>
  <c r="AP147" i="5" s="1"/>
  <c r="K147" i="5" s="1"/>
  <c r="G147" i="5"/>
  <c r="BW146" i="5"/>
  <c r="AL146" i="5"/>
  <c r="AJ146" i="5"/>
  <c r="AH146" i="5"/>
  <c r="AG146" i="5"/>
  <c r="AF146" i="5"/>
  <c r="AC146" i="5"/>
  <c r="AB146" i="5"/>
  <c r="Z146" i="5"/>
  <c r="L146" i="5"/>
  <c r="H146" i="5"/>
  <c r="AO146" i="5" s="1"/>
  <c r="G146" i="5"/>
  <c r="BW145" i="5"/>
  <c r="AO145" i="5"/>
  <c r="AW145" i="5" s="1"/>
  <c r="AL145" i="5"/>
  <c r="AJ145" i="5"/>
  <c r="AH145" i="5"/>
  <c r="AG145" i="5"/>
  <c r="AF145" i="5"/>
  <c r="AC145" i="5"/>
  <c r="AB145" i="5"/>
  <c r="Z145" i="5"/>
  <c r="O145" i="5"/>
  <c r="BF145" i="5" s="1"/>
  <c r="H145" i="5"/>
  <c r="BD145" i="5" s="1"/>
  <c r="G145" i="5"/>
  <c r="BW144" i="5"/>
  <c r="BD144" i="5"/>
  <c r="AL144" i="5"/>
  <c r="AJ144" i="5"/>
  <c r="AH144" i="5"/>
  <c r="AG144" i="5"/>
  <c r="AF144" i="5"/>
  <c r="AC144" i="5"/>
  <c r="AB144" i="5"/>
  <c r="Z144" i="5"/>
  <c r="H144" i="5"/>
  <c r="AO144" i="5" s="1"/>
  <c r="G144" i="5"/>
  <c r="BW143" i="5"/>
  <c r="AX143" i="5"/>
  <c r="AO143" i="5"/>
  <c r="BH143" i="5" s="1"/>
  <c r="AD143" i="5" s="1"/>
  <c r="AL143" i="5"/>
  <c r="AJ143" i="5"/>
  <c r="AH143" i="5"/>
  <c r="AG143" i="5"/>
  <c r="AF143" i="5"/>
  <c r="AC143" i="5"/>
  <c r="AB143" i="5"/>
  <c r="Z143" i="5"/>
  <c r="O143" i="5"/>
  <c r="BF143" i="5" s="1"/>
  <c r="J143" i="5"/>
  <c r="H143" i="5"/>
  <c r="AP143" i="5" s="1"/>
  <c r="K143" i="5" s="1"/>
  <c r="G143" i="5"/>
  <c r="BJ143" i="5" s="1"/>
  <c r="BW142" i="5"/>
  <c r="BJ142" i="5"/>
  <c r="AL142" i="5"/>
  <c r="AJ142" i="5"/>
  <c r="AH142" i="5"/>
  <c r="AG142" i="5"/>
  <c r="AF142" i="5"/>
  <c r="AC142" i="5"/>
  <c r="AB142" i="5"/>
  <c r="Z142" i="5"/>
  <c r="H142" i="5"/>
  <c r="AO142" i="5" s="1"/>
  <c r="G142" i="5"/>
  <c r="BW141" i="5"/>
  <c r="AO141" i="5"/>
  <c r="AL141" i="5"/>
  <c r="AJ141" i="5"/>
  <c r="AH141" i="5"/>
  <c r="AG141" i="5"/>
  <c r="AF141" i="5"/>
  <c r="AC141" i="5"/>
  <c r="AB141" i="5"/>
  <c r="Z141" i="5"/>
  <c r="O141" i="5"/>
  <c r="BF141" i="5" s="1"/>
  <c r="H141" i="5"/>
  <c r="BD141" i="5" s="1"/>
  <c r="G141" i="5"/>
  <c r="BW140" i="5"/>
  <c r="BD140" i="5"/>
  <c r="AL140" i="5"/>
  <c r="AJ140" i="5"/>
  <c r="AH140" i="5"/>
  <c r="AG140" i="5"/>
  <c r="AF140" i="5"/>
  <c r="AC140" i="5"/>
  <c r="AB140" i="5"/>
  <c r="Z140" i="5"/>
  <c r="H140" i="5"/>
  <c r="AO140" i="5" s="1"/>
  <c r="G140" i="5"/>
  <c r="BW139" i="5"/>
  <c r="AO139" i="5"/>
  <c r="AL139" i="5"/>
  <c r="AJ139" i="5"/>
  <c r="AH139" i="5"/>
  <c r="AG139" i="5"/>
  <c r="AF139" i="5"/>
  <c r="AC139" i="5"/>
  <c r="AB139" i="5"/>
  <c r="Z139" i="5"/>
  <c r="O139" i="5"/>
  <c r="BF139" i="5" s="1"/>
  <c r="H139" i="5"/>
  <c r="AP139" i="5" s="1"/>
  <c r="G139" i="5"/>
  <c r="BW138" i="5"/>
  <c r="BJ138" i="5"/>
  <c r="BD138" i="5"/>
  <c r="AP138" i="5"/>
  <c r="AL138" i="5"/>
  <c r="AJ138" i="5"/>
  <c r="AH138" i="5"/>
  <c r="AG138" i="5"/>
  <c r="AF138" i="5"/>
  <c r="AC138" i="5"/>
  <c r="AB138" i="5"/>
  <c r="Z138" i="5"/>
  <c r="L138" i="5"/>
  <c r="H138" i="5"/>
  <c r="AO138" i="5" s="1"/>
  <c r="G138" i="5"/>
  <c r="BW137" i="5"/>
  <c r="AL137" i="5"/>
  <c r="AJ137" i="5"/>
  <c r="AH137" i="5"/>
  <c r="AG137" i="5"/>
  <c r="AF137" i="5"/>
  <c r="AC137" i="5"/>
  <c r="AB137" i="5"/>
  <c r="Z137" i="5"/>
  <c r="O137" i="5"/>
  <c r="BF137" i="5" s="1"/>
  <c r="H137" i="5"/>
  <c r="G137" i="5"/>
  <c r="BW136" i="5"/>
  <c r="AL136" i="5"/>
  <c r="AJ136" i="5"/>
  <c r="AH136" i="5"/>
  <c r="AG136" i="5"/>
  <c r="AF136" i="5"/>
  <c r="AC136" i="5"/>
  <c r="AB136" i="5"/>
  <c r="Z136" i="5"/>
  <c r="H136" i="5"/>
  <c r="G136" i="5"/>
  <c r="BW135" i="5"/>
  <c r="AX135" i="5"/>
  <c r="AO135" i="5"/>
  <c r="AL135" i="5"/>
  <c r="AJ135" i="5"/>
  <c r="AH135" i="5"/>
  <c r="AG135" i="5"/>
  <c r="AF135" i="5"/>
  <c r="AC135" i="5"/>
  <c r="AB135" i="5"/>
  <c r="Z135" i="5"/>
  <c r="O135" i="5"/>
  <c r="BF135" i="5" s="1"/>
  <c r="H135" i="5"/>
  <c r="AP135" i="5" s="1"/>
  <c r="G135" i="5"/>
  <c r="BJ135" i="5" s="1"/>
  <c r="BW134" i="5"/>
  <c r="AL134" i="5"/>
  <c r="AJ134" i="5"/>
  <c r="AH134" i="5"/>
  <c r="AG134" i="5"/>
  <c r="AF134" i="5"/>
  <c r="AC134" i="5"/>
  <c r="AB134" i="5"/>
  <c r="Z134" i="5"/>
  <c r="H134" i="5"/>
  <c r="AO134" i="5" s="1"/>
  <c r="G134" i="5"/>
  <c r="BW133" i="5"/>
  <c r="AL133" i="5"/>
  <c r="AJ133" i="5"/>
  <c r="AH133" i="5"/>
  <c r="AG133" i="5"/>
  <c r="AF133" i="5"/>
  <c r="AC133" i="5"/>
  <c r="AB133" i="5"/>
  <c r="Z133" i="5"/>
  <c r="O133" i="5"/>
  <c r="BF133" i="5" s="1"/>
  <c r="H133" i="5"/>
  <c r="G133" i="5"/>
  <c r="BW132" i="5"/>
  <c r="AL132" i="5"/>
  <c r="AJ132" i="5"/>
  <c r="AH132" i="5"/>
  <c r="AG132" i="5"/>
  <c r="AF132" i="5"/>
  <c r="AC132" i="5"/>
  <c r="AB132" i="5"/>
  <c r="Z132" i="5"/>
  <c r="H132" i="5"/>
  <c r="G132" i="5"/>
  <c r="BW131" i="5"/>
  <c r="AO131" i="5"/>
  <c r="AW131" i="5" s="1"/>
  <c r="AL131" i="5"/>
  <c r="AJ131" i="5"/>
  <c r="AH131" i="5"/>
  <c r="AG131" i="5"/>
  <c r="AF131" i="5"/>
  <c r="AC131" i="5"/>
  <c r="AB131" i="5"/>
  <c r="Z131" i="5"/>
  <c r="O131" i="5"/>
  <c r="BF131" i="5" s="1"/>
  <c r="H131" i="5"/>
  <c r="AP131" i="5" s="1"/>
  <c r="AX131" i="5" s="1"/>
  <c r="G131" i="5"/>
  <c r="BJ131" i="5" s="1"/>
  <c r="BW130" i="5"/>
  <c r="BD130" i="5"/>
  <c r="AL130" i="5"/>
  <c r="AJ130" i="5"/>
  <c r="AH130" i="5"/>
  <c r="AG130" i="5"/>
  <c r="AF130" i="5"/>
  <c r="AC130" i="5"/>
  <c r="AB130" i="5"/>
  <c r="Z130" i="5"/>
  <c r="H130" i="5"/>
  <c r="AO130" i="5" s="1"/>
  <c r="G130" i="5"/>
  <c r="BJ130" i="5" s="1"/>
  <c r="BW129" i="5"/>
  <c r="AL129" i="5"/>
  <c r="AJ129" i="5"/>
  <c r="AH129" i="5"/>
  <c r="AG129" i="5"/>
  <c r="AF129" i="5"/>
  <c r="AC129" i="5"/>
  <c r="AB129" i="5"/>
  <c r="Z129" i="5"/>
  <c r="O129" i="5"/>
  <c r="BF129" i="5" s="1"/>
  <c r="H129" i="5"/>
  <c r="G129" i="5"/>
  <c r="BJ129" i="5" s="1"/>
  <c r="BW128" i="5"/>
  <c r="AL128" i="5"/>
  <c r="AJ128" i="5"/>
  <c r="AH128" i="5"/>
  <c r="AG128" i="5"/>
  <c r="AF128" i="5"/>
  <c r="AC128" i="5"/>
  <c r="AB128" i="5"/>
  <c r="Z128" i="5"/>
  <c r="H128" i="5"/>
  <c r="BD128" i="5" s="1"/>
  <c r="G128" i="5"/>
  <c r="BW125" i="5"/>
  <c r="AL125" i="5"/>
  <c r="AJ125" i="5"/>
  <c r="AH125" i="5"/>
  <c r="AG125" i="5"/>
  <c r="AF125" i="5"/>
  <c r="AE125" i="5"/>
  <c r="AD125" i="5"/>
  <c r="AC125" i="5"/>
  <c r="AB125" i="5"/>
  <c r="O125" i="5"/>
  <c r="BF125" i="5" s="1"/>
  <c r="H125" i="5"/>
  <c r="G125" i="5"/>
  <c r="BW124" i="5"/>
  <c r="AL124" i="5"/>
  <c r="AJ124" i="5"/>
  <c r="AH124" i="5"/>
  <c r="AG124" i="5"/>
  <c r="AF124" i="5"/>
  <c r="AC124" i="5"/>
  <c r="AB124" i="5"/>
  <c r="Z124" i="5"/>
  <c r="H124" i="5"/>
  <c r="G124" i="5"/>
  <c r="BW123" i="5"/>
  <c r="BD123" i="5"/>
  <c r="AP123" i="5"/>
  <c r="AX123" i="5" s="1"/>
  <c r="AO123" i="5"/>
  <c r="AL123" i="5"/>
  <c r="AJ123" i="5"/>
  <c r="AH123" i="5"/>
  <c r="AG123" i="5"/>
  <c r="AF123" i="5"/>
  <c r="AC123" i="5"/>
  <c r="AB123" i="5"/>
  <c r="Z123" i="5"/>
  <c r="O123" i="5"/>
  <c r="H123" i="5"/>
  <c r="G123" i="5"/>
  <c r="AU122" i="5"/>
  <c r="BW121" i="5"/>
  <c r="AL121" i="5"/>
  <c r="AJ121" i="5"/>
  <c r="AH121" i="5"/>
  <c r="AG121" i="5"/>
  <c r="AF121" i="5"/>
  <c r="AE121" i="5"/>
  <c r="AD121" i="5"/>
  <c r="AC121" i="5"/>
  <c r="AB121" i="5"/>
  <c r="H121" i="5"/>
  <c r="L121" i="5" s="1"/>
  <c r="AK121" i="5" s="1"/>
  <c r="G121" i="5"/>
  <c r="BW120" i="5"/>
  <c r="AL120" i="5"/>
  <c r="AJ120" i="5"/>
  <c r="AH120" i="5"/>
  <c r="AG120" i="5"/>
  <c r="AF120" i="5"/>
  <c r="AC120" i="5"/>
  <c r="AB120" i="5"/>
  <c r="Z120" i="5"/>
  <c r="O120" i="5"/>
  <c r="BF120" i="5" s="1"/>
  <c r="H120" i="5"/>
  <c r="BD120" i="5" s="1"/>
  <c r="G120" i="5"/>
  <c r="BW119" i="5"/>
  <c r="AL119" i="5"/>
  <c r="AJ119" i="5"/>
  <c r="AH119" i="5"/>
  <c r="AG119" i="5"/>
  <c r="AF119" i="5"/>
  <c r="AC119" i="5"/>
  <c r="AB119" i="5"/>
  <c r="Z119" i="5"/>
  <c r="H119" i="5"/>
  <c r="BD119" i="5" s="1"/>
  <c r="G119" i="5"/>
  <c r="BW118" i="5"/>
  <c r="AP118" i="5"/>
  <c r="BI118" i="5" s="1"/>
  <c r="AE118" i="5" s="1"/>
  <c r="AL118" i="5"/>
  <c r="AJ118" i="5"/>
  <c r="AH118" i="5"/>
  <c r="AG118" i="5"/>
  <c r="AF118" i="5"/>
  <c r="AC118" i="5"/>
  <c r="AB118" i="5"/>
  <c r="Z118" i="5"/>
  <c r="O118" i="5"/>
  <c r="BF118" i="5" s="1"/>
  <c r="K118" i="5"/>
  <c r="H118" i="5"/>
  <c r="G118" i="5"/>
  <c r="BW117" i="5"/>
  <c r="BD117" i="5"/>
  <c r="AL117" i="5"/>
  <c r="AJ117" i="5"/>
  <c r="AH117" i="5"/>
  <c r="AG117" i="5"/>
  <c r="AF117" i="5"/>
  <c r="AC117" i="5"/>
  <c r="AB117" i="5"/>
  <c r="Z117" i="5"/>
  <c r="L117" i="5"/>
  <c r="AK117" i="5" s="1"/>
  <c r="H117" i="5"/>
  <c r="G117" i="5"/>
  <c r="BW116" i="5"/>
  <c r="AL116" i="5"/>
  <c r="AJ116" i="5"/>
  <c r="AH116" i="5"/>
  <c r="AG116" i="5"/>
  <c r="AF116" i="5"/>
  <c r="AC116" i="5"/>
  <c r="AB116" i="5"/>
  <c r="Z116" i="5"/>
  <c r="O116" i="5"/>
  <c r="BF116" i="5" s="1"/>
  <c r="H116" i="5"/>
  <c r="G116" i="5"/>
  <c r="BW115" i="5"/>
  <c r="AL115" i="5"/>
  <c r="AJ115" i="5"/>
  <c r="AH115" i="5"/>
  <c r="AG115" i="5"/>
  <c r="AF115" i="5"/>
  <c r="AC115" i="5"/>
  <c r="AB115" i="5"/>
  <c r="Z115" i="5"/>
  <c r="H115" i="5"/>
  <c r="BD115" i="5" s="1"/>
  <c r="G115" i="5"/>
  <c r="BW114" i="5"/>
  <c r="AL114" i="5"/>
  <c r="AJ114" i="5"/>
  <c r="AH114" i="5"/>
  <c r="AG114" i="5"/>
  <c r="AF114" i="5"/>
  <c r="AC114" i="5"/>
  <c r="AB114" i="5"/>
  <c r="Z114" i="5"/>
  <c r="O114" i="5"/>
  <c r="BF114" i="5" s="1"/>
  <c r="H114" i="5"/>
  <c r="G114" i="5"/>
  <c r="BW113" i="5"/>
  <c r="AL113" i="5"/>
  <c r="AJ113" i="5"/>
  <c r="AH113" i="5"/>
  <c r="AG113" i="5"/>
  <c r="AF113" i="5"/>
  <c r="AC113" i="5"/>
  <c r="AB113" i="5"/>
  <c r="Z113" i="5"/>
  <c r="H113" i="5"/>
  <c r="G113" i="5"/>
  <c r="BJ113" i="5" s="1"/>
  <c r="BW112" i="5"/>
  <c r="BD112" i="5"/>
  <c r="AL112" i="5"/>
  <c r="AJ112" i="5"/>
  <c r="AH112" i="5"/>
  <c r="AG112" i="5"/>
  <c r="AF112" i="5"/>
  <c r="AC112" i="5"/>
  <c r="AB112" i="5"/>
  <c r="Z112" i="5"/>
  <c r="O112" i="5"/>
  <c r="BF112" i="5" s="1"/>
  <c r="H112" i="5"/>
  <c r="G112" i="5"/>
  <c r="BW111" i="5"/>
  <c r="AL111" i="5"/>
  <c r="AJ111" i="5"/>
  <c r="AH111" i="5"/>
  <c r="AG111" i="5"/>
  <c r="AF111" i="5"/>
  <c r="AC111" i="5"/>
  <c r="AB111" i="5"/>
  <c r="Z111" i="5"/>
  <c r="H111" i="5"/>
  <c r="BD111" i="5" s="1"/>
  <c r="G111" i="5"/>
  <c r="BW110" i="5"/>
  <c r="AL110" i="5"/>
  <c r="AJ110" i="5"/>
  <c r="AH110" i="5"/>
  <c r="AG110" i="5"/>
  <c r="AF110" i="5"/>
  <c r="AC110" i="5"/>
  <c r="AB110" i="5"/>
  <c r="Z110" i="5"/>
  <c r="O110" i="5"/>
  <c r="BF110" i="5" s="1"/>
  <c r="H110" i="5"/>
  <c r="L110" i="5" s="1"/>
  <c r="G110" i="5"/>
  <c r="BW109" i="5"/>
  <c r="AL109" i="5"/>
  <c r="AJ109" i="5"/>
  <c r="AH109" i="5"/>
  <c r="AG109" i="5"/>
  <c r="AF109" i="5"/>
  <c r="AC109" i="5"/>
  <c r="AB109" i="5"/>
  <c r="Z109" i="5"/>
  <c r="H109" i="5"/>
  <c r="BD109" i="5" s="1"/>
  <c r="G109" i="5"/>
  <c r="BW108" i="5"/>
  <c r="AP108" i="5"/>
  <c r="AX108" i="5" s="1"/>
  <c r="AL108" i="5"/>
  <c r="AJ108" i="5"/>
  <c r="AH108" i="5"/>
  <c r="AG108" i="5"/>
  <c r="AF108" i="5"/>
  <c r="AC108" i="5"/>
  <c r="AB108" i="5"/>
  <c r="Z108" i="5"/>
  <c r="O108" i="5"/>
  <c r="BF108" i="5" s="1"/>
  <c r="J108" i="5"/>
  <c r="H108" i="5"/>
  <c r="AO108" i="5" s="1"/>
  <c r="BH108" i="5" s="1"/>
  <c r="AD108" i="5" s="1"/>
  <c r="G108" i="5"/>
  <c r="BW107" i="5"/>
  <c r="BD107" i="5"/>
  <c r="AP107" i="5"/>
  <c r="AL107" i="5"/>
  <c r="AJ107" i="5"/>
  <c r="AH107" i="5"/>
  <c r="AG107" i="5"/>
  <c r="AF107" i="5"/>
  <c r="AC107" i="5"/>
  <c r="AB107" i="5"/>
  <c r="Z107" i="5"/>
  <c r="H107" i="5"/>
  <c r="AO107" i="5" s="1"/>
  <c r="G107" i="5"/>
  <c r="BW106" i="5"/>
  <c r="AL106" i="5"/>
  <c r="AJ106" i="5"/>
  <c r="AH106" i="5"/>
  <c r="AG106" i="5"/>
  <c r="AF106" i="5"/>
  <c r="AC106" i="5"/>
  <c r="AB106" i="5"/>
  <c r="Z106" i="5"/>
  <c r="H106" i="5"/>
  <c r="BD106" i="5" s="1"/>
  <c r="G106" i="5"/>
  <c r="BW105" i="5"/>
  <c r="AP105" i="5"/>
  <c r="AX105" i="5" s="1"/>
  <c r="AO105" i="5"/>
  <c r="AL105" i="5"/>
  <c r="AJ105" i="5"/>
  <c r="AH105" i="5"/>
  <c r="AG105" i="5"/>
  <c r="AF105" i="5"/>
  <c r="AC105" i="5"/>
  <c r="AB105" i="5"/>
  <c r="Z105" i="5"/>
  <c r="O105" i="5"/>
  <c r="BF105" i="5" s="1"/>
  <c r="H105" i="5"/>
  <c r="BD105" i="5" s="1"/>
  <c r="G105" i="5"/>
  <c r="BW104" i="5"/>
  <c r="AL104" i="5"/>
  <c r="AJ104" i="5"/>
  <c r="AH104" i="5"/>
  <c r="AG104" i="5"/>
  <c r="AF104" i="5"/>
  <c r="AC104" i="5"/>
  <c r="AB104" i="5"/>
  <c r="Z104" i="5"/>
  <c r="H104" i="5"/>
  <c r="G104" i="5"/>
  <c r="BW103" i="5"/>
  <c r="AL103" i="5"/>
  <c r="AJ103" i="5"/>
  <c r="AH103" i="5"/>
  <c r="AG103" i="5"/>
  <c r="AF103" i="5"/>
  <c r="AC103" i="5"/>
  <c r="AB103" i="5"/>
  <c r="Z103" i="5"/>
  <c r="O103" i="5"/>
  <c r="BF103" i="5" s="1"/>
  <c r="H103" i="5"/>
  <c r="G103" i="5"/>
  <c r="BW102" i="5"/>
  <c r="AL102" i="5"/>
  <c r="AJ102" i="5"/>
  <c r="AH102" i="5"/>
  <c r="AG102" i="5"/>
  <c r="AF102" i="5"/>
  <c r="AC102" i="5"/>
  <c r="AB102" i="5"/>
  <c r="Z102" i="5"/>
  <c r="H102" i="5"/>
  <c r="G102" i="5"/>
  <c r="BW101" i="5"/>
  <c r="BD101" i="5"/>
  <c r="AL101" i="5"/>
  <c r="AJ101" i="5"/>
  <c r="AH101" i="5"/>
  <c r="AG101" i="5"/>
  <c r="AF101" i="5"/>
  <c r="AC101" i="5"/>
  <c r="AB101" i="5"/>
  <c r="Z101" i="5"/>
  <c r="O101" i="5"/>
  <c r="BF101" i="5" s="1"/>
  <c r="H101" i="5"/>
  <c r="G101" i="5"/>
  <c r="BW100" i="5"/>
  <c r="AL100" i="5"/>
  <c r="AJ100" i="5"/>
  <c r="AH100" i="5"/>
  <c r="AG100" i="5"/>
  <c r="AF100" i="5"/>
  <c r="AC100" i="5"/>
  <c r="AB100" i="5"/>
  <c r="Z100" i="5"/>
  <c r="H100" i="5"/>
  <c r="G100" i="5"/>
  <c r="BW99" i="5"/>
  <c r="AL99" i="5"/>
  <c r="AJ99" i="5"/>
  <c r="AH99" i="5"/>
  <c r="AG99" i="5"/>
  <c r="AF99" i="5"/>
  <c r="AC99" i="5"/>
  <c r="AB99" i="5"/>
  <c r="Z99" i="5"/>
  <c r="O99" i="5"/>
  <c r="BF99" i="5" s="1"/>
  <c r="H99" i="5"/>
  <c r="G99" i="5"/>
  <c r="BW98" i="5"/>
  <c r="AL98" i="5"/>
  <c r="AJ98" i="5"/>
  <c r="AH98" i="5"/>
  <c r="AG98" i="5"/>
  <c r="AF98" i="5"/>
  <c r="AC98" i="5"/>
  <c r="AB98" i="5"/>
  <c r="Z98" i="5"/>
  <c r="H98" i="5"/>
  <c r="AP98" i="5" s="1"/>
  <c r="G98" i="5"/>
  <c r="BW97" i="5"/>
  <c r="BD97" i="5"/>
  <c r="AL97" i="5"/>
  <c r="AJ97" i="5"/>
  <c r="AH97" i="5"/>
  <c r="AG97" i="5"/>
  <c r="AF97" i="5"/>
  <c r="AC97" i="5"/>
  <c r="AB97" i="5"/>
  <c r="Z97" i="5"/>
  <c r="O97" i="5"/>
  <c r="BF97" i="5" s="1"/>
  <c r="H97" i="5"/>
  <c r="AP97" i="5" s="1"/>
  <c r="AX97" i="5" s="1"/>
  <c r="G97" i="5"/>
  <c r="BJ97" i="5" s="1"/>
  <c r="BW96" i="5"/>
  <c r="BJ96" i="5"/>
  <c r="BD96" i="5"/>
  <c r="AL96" i="5"/>
  <c r="AJ96" i="5"/>
  <c r="AH96" i="5"/>
  <c r="AG96" i="5"/>
  <c r="AF96" i="5"/>
  <c r="AC96" i="5"/>
  <c r="AB96" i="5"/>
  <c r="Z96" i="5"/>
  <c r="H96" i="5"/>
  <c r="AP96" i="5" s="1"/>
  <c r="G96" i="5"/>
  <c r="BW95" i="5"/>
  <c r="BD95" i="5"/>
  <c r="AO95" i="5"/>
  <c r="BH95" i="5" s="1"/>
  <c r="AD95" i="5" s="1"/>
  <c r="AL95" i="5"/>
  <c r="AJ95" i="5"/>
  <c r="AH95" i="5"/>
  <c r="AG95" i="5"/>
  <c r="AF95" i="5"/>
  <c r="AC95" i="5"/>
  <c r="AB95" i="5"/>
  <c r="Z95" i="5"/>
  <c r="O95" i="5"/>
  <c r="H95" i="5"/>
  <c r="AP95" i="5" s="1"/>
  <c r="AX95" i="5" s="1"/>
  <c r="G95" i="5"/>
  <c r="BW92" i="5"/>
  <c r="AL92" i="5"/>
  <c r="AJ92" i="5"/>
  <c r="AH92" i="5"/>
  <c r="AG92" i="5"/>
  <c r="AF92" i="5"/>
  <c r="AE92" i="5"/>
  <c r="AD92" i="5"/>
  <c r="AC92" i="5"/>
  <c r="AB92" i="5"/>
  <c r="H92" i="5"/>
  <c r="AP92" i="5" s="1"/>
  <c r="K92" i="5" s="1"/>
  <c r="G92" i="5"/>
  <c r="BW91" i="5"/>
  <c r="AL91" i="5"/>
  <c r="AJ91" i="5"/>
  <c r="AH91" i="5"/>
  <c r="AG91" i="5"/>
  <c r="AF91" i="5"/>
  <c r="AC91" i="5"/>
  <c r="AB91" i="5"/>
  <c r="Z91" i="5"/>
  <c r="H91" i="5"/>
  <c r="BD91" i="5" s="1"/>
  <c r="G91" i="5"/>
  <c r="BW90" i="5"/>
  <c r="AL90" i="5"/>
  <c r="AU89" i="5" s="1"/>
  <c r="AJ90" i="5"/>
  <c r="AH90" i="5"/>
  <c r="AG90" i="5"/>
  <c r="AF90" i="5"/>
  <c r="AC90" i="5"/>
  <c r="AB90" i="5"/>
  <c r="Z90" i="5"/>
  <c r="H90" i="5"/>
  <c r="G90" i="5"/>
  <c r="AS89" i="5"/>
  <c r="BW88" i="5"/>
  <c r="AL88" i="5"/>
  <c r="AJ88" i="5"/>
  <c r="AH88" i="5"/>
  <c r="AG88" i="5"/>
  <c r="AF88" i="5"/>
  <c r="AE88" i="5"/>
  <c r="AD88" i="5"/>
  <c r="AC88" i="5"/>
  <c r="AB88" i="5"/>
  <c r="H88" i="5"/>
  <c r="AO88" i="5" s="1"/>
  <c r="G88" i="5"/>
  <c r="BW86" i="5"/>
  <c r="AL86" i="5"/>
  <c r="AJ86" i="5"/>
  <c r="AH86" i="5"/>
  <c r="AG86" i="5"/>
  <c r="AF86" i="5"/>
  <c r="AC86" i="5"/>
  <c r="AB86" i="5"/>
  <c r="Z86" i="5"/>
  <c r="H86" i="5"/>
  <c r="AP86" i="5" s="1"/>
  <c r="G86" i="5"/>
  <c r="BW85" i="5"/>
  <c r="AL85" i="5"/>
  <c r="AJ85" i="5"/>
  <c r="AH85" i="5"/>
  <c r="AG85" i="5"/>
  <c r="AF85" i="5"/>
  <c r="AC85" i="5"/>
  <c r="AB85" i="5"/>
  <c r="Z85" i="5"/>
  <c r="H85" i="5"/>
  <c r="BD85" i="5" s="1"/>
  <c r="G85" i="5"/>
  <c r="BW84" i="5"/>
  <c r="AL84" i="5"/>
  <c r="AJ84" i="5"/>
  <c r="AH84" i="5"/>
  <c r="AG84" i="5"/>
  <c r="AF84" i="5"/>
  <c r="AC84" i="5"/>
  <c r="AB84" i="5"/>
  <c r="Z84" i="5"/>
  <c r="H84" i="5"/>
  <c r="G84" i="5"/>
  <c r="BW83" i="5"/>
  <c r="AL83" i="5"/>
  <c r="AJ83" i="5"/>
  <c r="AH83" i="5"/>
  <c r="AG83" i="5"/>
  <c r="AF83" i="5"/>
  <c r="AC83" i="5"/>
  <c r="AB83" i="5"/>
  <c r="Z83" i="5"/>
  <c r="O83" i="5"/>
  <c r="BF83" i="5" s="1"/>
  <c r="H83" i="5"/>
  <c r="G83" i="5"/>
  <c r="BW82" i="5"/>
  <c r="AL82" i="5"/>
  <c r="AJ82" i="5"/>
  <c r="AH82" i="5"/>
  <c r="AG82" i="5"/>
  <c r="AF82" i="5"/>
  <c r="AC82" i="5"/>
  <c r="AB82" i="5"/>
  <c r="Z82" i="5"/>
  <c r="H82" i="5"/>
  <c r="AP82" i="5" s="1"/>
  <c r="G82" i="5"/>
  <c r="BW81" i="5"/>
  <c r="AL81" i="5"/>
  <c r="AJ81" i="5"/>
  <c r="AH81" i="5"/>
  <c r="AG81" i="5"/>
  <c r="AF81" i="5"/>
  <c r="AC81" i="5"/>
  <c r="AB81" i="5"/>
  <c r="Z81" i="5"/>
  <c r="O81" i="5"/>
  <c r="BF81" i="5" s="1"/>
  <c r="H81" i="5"/>
  <c r="G81" i="5"/>
  <c r="BW80" i="5"/>
  <c r="AL80" i="5"/>
  <c r="AJ80" i="5"/>
  <c r="AH80" i="5"/>
  <c r="AG80" i="5"/>
  <c r="AF80" i="5"/>
  <c r="AC80" i="5"/>
  <c r="AB80" i="5"/>
  <c r="Z80" i="5"/>
  <c r="H80" i="5"/>
  <c r="G80" i="5"/>
  <c r="BW79" i="5"/>
  <c r="AL79" i="5"/>
  <c r="AJ79" i="5"/>
  <c r="AH79" i="5"/>
  <c r="AG79" i="5"/>
  <c r="AF79" i="5"/>
  <c r="AC79" i="5"/>
  <c r="AB79" i="5"/>
  <c r="Z79" i="5"/>
  <c r="O79" i="5"/>
  <c r="BF79" i="5" s="1"/>
  <c r="H79" i="5"/>
  <c r="G79" i="5"/>
  <c r="BW78" i="5"/>
  <c r="AL78" i="5"/>
  <c r="AJ78" i="5"/>
  <c r="AH78" i="5"/>
  <c r="AG78" i="5"/>
  <c r="AF78" i="5"/>
  <c r="AC78" i="5"/>
  <c r="AB78" i="5"/>
  <c r="Z78" i="5"/>
  <c r="H78" i="5"/>
  <c r="AP78" i="5" s="1"/>
  <c r="G78" i="5"/>
  <c r="BW76" i="5"/>
  <c r="AL76" i="5"/>
  <c r="AJ76" i="5"/>
  <c r="AH76" i="5"/>
  <c r="AG76" i="5"/>
  <c r="AF76" i="5"/>
  <c r="AC76" i="5"/>
  <c r="AB76" i="5"/>
  <c r="Z76" i="5"/>
  <c r="O76" i="5"/>
  <c r="BF76" i="5" s="1"/>
  <c r="H76" i="5"/>
  <c r="G76" i="5"/>
  <c r="BW74" i="5"/>
  <c r="AL74" i="5"/>
  <c r="AJ74" i="5"/>
  <c r="AH74" i="5"/>
  <c r="AG74" i="5"/>
  <c r="AF74" i="5"/>
  <c r="AC74" i="5"/>
  <c r="AB74" i="5"/>
  <c r="Z74" i="5"/>
  <c r="H74" i="5"/>
  <c r="G74" i="5"/>
  <c r="BW72" i="5"/>
  <c r="AP72" i="5"/>
  <c r="BI72" i="5" s="1"/>
  <c r="AE72" i="5" s="1"/>
  <c r="AL72" i="5"/>
  <c r="AJ72" i="5"/>
  <c r="AH72" i="5"/>
  <c r="AG72" i="5"/>
  <c r="AF72" i="5"/>
  <c r="AC72" i="5"/>
  <c r="AB72" i="5"/>
  <c r="Z72" i="5"/>
  <c r="O72" i="5"/>
  <c r="BF72" i="5" s="1"/>
  <c r="K72" i="5"/>
  <c r="H72" i="5"/>
  <c r="AO72" i="5" s="1"/>
  <c r="G72" i="5"/>
  <c r="BW70" i="5"/>
  <c r="AL70" i="5"/>
  <c r="AJ70" i="5"/>
  <c r="AH70" i="5"/>
  <c r="AG70" i="5"/>
  <c r="AF70" i="5"/>
  <c r="AC70" i="5"/>
  <c r="AB70" i="5"/>
  <c r="Z70" i="5"/>
  <c r="H70" i="5"/>
  <c r="AP70" i="5" s="1"/>
  <c r="G70" i="5"/>
  <c r="BW68" i="5"/>
  <c r="AP68" i="5"/>
  <c r="AL68" i="5"/>
  <c r="AJ68" i="5"/>
  <c r="AH68" i="5"/>
  <c r="AG68" i="5"/>
  <c r="AF68" i="5"/>
  <c r="AC68" i="5"/>
  <c r="AB68" i="5"/>
  <c r="Z68" i="5"/>
  <c r="O68" i="5"/>
  <c r="BF68" i="5" s="1"/>
  <c r="H68" i="5"/>
  <c r="BD68" i="5" s="1"/>
  <c r="G68" i="5"/>
  <c r="BJ68" i="5" s="1"/>
  <c r="BW66" i="5"/>
  <c r="AL66" i="5"/>
  <c r="AJ66" i="5"/>
  <c r="AH66" i="5"/>
  <c r="AG66" i="5"/>
  <c r="AF66" i="5"/>
  <c r="AC66" i="5"/>
  <c r="AB66" i="5"/>
  <c r="Z66" i="5"/>
  <c r="H66" i="5"/>
  <c r="G66" i="5"/>
  <c r="BW64" i="5"/>
  <c r="AL64" i="5"/>
  <c r="AJ64" i="5"/>
  <c r="AH64" i="5"/>
  <c r="AG64" i="5"/>
  <c r="AF64" i="5"/>
  <c r="AC64" i="5"/>
  <c r="AB64" i="5"/>
  <c r="Z64" i="5"/>
  <c r="O64" i="5"/>
  <c r="BF64" i="5" s="1"/>
  <c r="H64" i="5"/>
  <c r="AO64" i="5" s="1"/>
  <c r="G64" i="5"/>
  <c r="BJ64" i="5" s="1"/>
  <c r="BW63" i="5"/>
  <c r="AL63" i="5"/>
  <c r="AJ63" i="5"/>
  <c r="AH63" i="5"/>
  <c r="AG63" i="5"/>
  <c r="AF63" i="5"/>
  <c r="AC63" i="5"/>
  <c r="AB63" i="5"/>
  <c r="Z63" i="5"/>
  <c r="H63" i="5"/>
  <c r="G63" i="5"/>
  <c r="BW62" i="5"/>
  <c r="AL62" i="5"/>
  <c r="AJ62" i="5"/>
  <c r="AH62" i="5"/>
  <c r="AG62" i="5"/>
  <c r="AF62" i="5"/>
  <c r="AC62" i="5"/>
  <c r="AB62" i="5"/>
  <c r="Z62" i="5"/>
  <c r="O62" i="5"/>
  <c r="BF62" i="5" s="1"/>
  <c r="H62" i="5"/>
  <c r="BD62" i="5" s="1"/>
  <c r="G62" i="5"/>
  <c r="BJ62" i="5" s="1"/>
  <c r="BW61" i="5"/>
  <c r="AL61" i="5"/>
  <c r="AJ61" i="5"/>
  <c r="AH61" i="5"/>
  <c r="AG61" i="5"/>
  <c r="AF61" i="5"/>
  <c r="AC61" i="5"/>
  <c r="AB61" i="5"/>
  <c r="Z61" i="5"/>
  <c r="H61" i="5"/>
  <c r="G61" i="5"/>
  <c r="BW60" i="5"/>
  <c r="AL60" i="5"/>
  <c r="AJ60" i="5"/>
  <c r="AH60" i="5"/>
  <c r="AG60" i="5"/>
  <c r="AF60" i="5"/>
  <c r="AC60" i="5"/>
  <c r="AB60" i="5"/>
  <c r="Z60" i="5"/>
  <c r="O60" i="5"/>
  <c r="BF60" i="5" s="1"/>
  <c r="H60" i="5"/>
  <c r="G60" i="5"/>
  <c r="BJ60" i="5" s="1"/>
  <c r="BW59" i="5"/>
  <c r="AL59" i="5"/>
  <c r="AJ59" i="5"/>
  <c r="AH59" i="5"/>
  <c r="AG59" i="5"/>
  <c r="AF59" i="5"/>
  <c r="AC59" i="5"/>
  <c r="AB59" i="5"/>
  <c r="Z59" i="5"/>
  <c r="H59" i="5"/>
  <c r="G59" i="5"/>
  <c r="BW58" i="5"/>
  <c r="AP58" i="5"/>
  <c r="AX58" i="5" s="1"/>
  <c r="AL58" i="5"/>
  <c r="AJ58" i="5"/>
  <c r="AH58" i="5"/>
  <c r="AG58" i="5"/>
  <c r="AF58" i="5"/>
  <c r="AC58" i="5"/>
  <c r="AB58" i="5"/>
  <c r="Z58" i="5"/>
  <c r="O58" i="5"/>
  <c r="BF58" i="5" s="1"/>
  <c r="H58" i="5"/>
  <c r="BD58" i="5" s="1"/>
  <c r="G58" i="5"/>
  <c r="BW56" i="5"/>
  <c r="AL56" i="5"/>
  <c r="AJ56" i="5"/>
  <c r="AH56" i="5"/>
  <c r="AG56" i="5"/>
  <c r="AF56" i="5"/>
  <c r="AC56" i="5"/>
  <c r="AB56" i="5"/>
  <c r="Z56" i="5"/>
  <c r="H56" i="5"/>
  <c r="G56" i="5"/>
  <c r="BW55" i="5"/>
  <c r="BI55" i="5"/>
  <c r="AP55" i="5"/>
  <c r="AX55" i="5" s="1"/>
  <c r="AL55" i="5"/>
  <c r="AJ55" i="5"/>
  <c r="AH55" i="5"/>
  <c r="AG55" i="5"/>
  <c r="AF55" i="5"/>
  <c r="AE55" i="5"/>
  <c r="AC55" i="5"/>
  <c r="AB55" i="5"/>
  <c r="Z55" i="5"/>
  <c r="O55" i="5"/>
  <c r="BF55" i="5" s="1"/>
  <c r="H55" i="5"/>
  <c r="AO55" i="5" s="1"/>
  <c r="G55" i="5"/>
  <c r="BJ55" i="5" s="1"/>
  <c r="BW54" i="5"/>
  <c r="AL54" i="5"/>
  <c r="AJ54" i="5"/>
  <c r="AH54" i="5"/>
  <c r="AG54" i="5"/>
  <c r="AF54" i="5"/>
  <c r="AC54" i="5"/>
  <c r="AB54" i="5"/>
  <c r="Z54" i="5"/>
  <c r="H54" i="5"/>
  <c r="G54" i="5"/>
  <c r="BW53" i="5"/>
  <c r="AL53" i="5"/>
  <c r="AJ53" i="5"/>
  <c r="AH53" i="5"/>
  <c r="AG53" i="5"/>
  <c r="AF53" i="5"/>
  <c r="AC53" i="5"/>
  <c r="AB53" i="5"/>
  <c r="Z53" i="5"/>
  <c r="O53" i="5"/>
  <c r="BF53" i="5" s="1"/>
  <c r="H53" i="5"/>
  <c r="BD53" i="5" s="1"/>
  <c r="G53" i="5"/>
  <c r="BJ53" i="5" s="1"/>
  <c r="BW50" i="5"/>
  <c r="AO50" i="5"/>
  <c r="J50" i="5" s="1"/>
  <c r="AL50" i="5"/>
  <c r="AJ50" i="5"/>
  <c r="AH50" i="5"/>
  <c r="AG50" i="5"/>
  <c r="AF50" i="5"/>
  <c r="AE50" i="5"/>
  <c r="AD50" i="5"/>
  <c r="AC50" i="5"/>
  <c r="AB50" i="5"/>
  <c r="O50" i="5"/>
  <c r="BF50" i="5" s="1"/>
  <c r="H50" i="5"/>
  <c r="G50" i="5"/>
  <c r="BJ50" i="5" s="1"/>
  <c r="Z50" i="5" s="1"/>
  <c r="BW49" i="5"/>
  <c r="BJ49" i="5"/>
  <c r="BD49" i="5"/>
  <c r="AP49" i="5"/>
  <c r="AO49" i="5"/>
  <c r="AL49" i="5"/>
  <c r="AJ49" i="5"/>
  <c r="AH49" i="5"/>
  <c r="AG49" i="5"/>
  <c r="AF49" i="5"/>
  <c r="AC49" i="5"/>
  <c r="AB49" i="5"/>
  <c r="Z49" i="5"/>
  <c r="H49" i="5"/>
  <c r="G49" i="5"/>
  <c r="BW48" i="5"/>
  <c r="AL48" i="5"/>
  <c r="AJ48" i="5"/>
  <c r="AH48" i="5"/>
  <c r="AG48" i="5"/>
  <c r="AF48" i="5"/>
  <c r="AC48" i="5"/>
  <c r="AB48" i="5"/>
  <c r="Z48" i="5"/>
  <c r="O48" i="5"/>
  <c r="BF48" i="5" s="1"/>
  <c r="H48" i="5"/>
  <c r="G48" i="5"/>
  <c r="BW47" i="5"/>
  <c r="AL47" i="5"/>
  <c r="AJ47" i="5"/>
  <c r="AH47" i="5"/>
  <c r="AG47" i="5"/>
  <c r="AF47" i="5"/>
  <c r="AC47" i="5"/>
  <c r="AB47" i="5"/>
  <c r="Z47" i="5"/>
  <c r="H47" i="5"/>
  <c r="G47" i="5"/>
  <c r="BW46" i="5"/>
  <c r="AL46" i="5"/>
  <c r="AJ46" i="5"/>
  <c r="AH46" i="5"/>
  <c r="AG46" i="5"/>
  <c r="AF46" i="5"/>
  <c r="AC46" i="5"/>
  <c r="AB46" i="5"/>
  <c r="Z46" i="5"/>
  <c r="O46" i="5"/>
  <c r="BF46" i="5" s="1"/>
  <c r="H46" i="5"/>
  <c r="AO46" i="5" s="1"/>
  <c r="G46" i="5"/>
  <c r="BW45" i="5"/>
  <c r="BD45" i="5"/>
  <c r="AP45" i="5"/>
  <c r="AO45" i="5"/>
  <c r="AL45" i="5"/>
  <c r="AJ45" i="5"/>
  <c r="AH45" i="5"/>
  <c r="AG45" i="5"/>
  <c r="AF45" i="5"/>
  <c r="AC45" i="5"/>
  <c r="AB45" i="5"/>
  <c r="Z45" i="5"/>
  <c r="O45" i="5"/>
  <c r="BF45" i="5" s="1"/>
  <c r="H45" i="5"/>
  <c r="L45" i="5" s="1"/>
  <c r="M45" i="5" s="1"/>
  <c r="G45" i="5"/>
  <c r="BJ45" i="5" s="1"/>
  <c r="BW44" i="5"/>
  <c r="BJ44" i="5"/>
  <c r="BF44" i="5"/>
  <c r="AL44" i="5"/>
  <c r="AJ44" i="5"/>
  <c r="AH44" i="5"/>
  <c r="AG44" i="5"/>
  <c r="AF44" i="5"/>
  <c r="AC44" i="5"/>
  <c r="AB44" i="5"/>
  <c r="Z44" i="5"/>
  <c r="O44" i="5"/>
  <c r="H44" i="5"/>
  <c r="L44" i="5" s="1"/>
  <c r="AK44" i="5" s="1"/>
  <c r="G44" i="5"/>
  <c r="BW43" i="5"/>
  <c r="BD43" i="5"/>
  <c r="AP43" i="5"/>
  <c r="AO43" i="5"/>
  <c r="AL43" i="5"/>
  <c r="AJ43" i="5"/>
  <c r="AH43" i="5"/>
  <c r="AG43" i="5"/>
  <c r="AF43" i="5"/>
  <c r="AC43" i="5"/>
  <c r="AB43" i="5"/>
  <c r="Z43" i="5"/>
  <c r="H43" i="5"/>
  <c r="G43" i="5"/>
  <c r="BW42" i="5"/>
  <c r="AL42" i="5"/>
  <c r="AJ42" i="5"/>
  <c r="AH42" i="5"/>
  <c r="AG42" i="5"/>
  <c r="AF42" i="5"/>
  <c r="AC42" i="5"/>
  <c r="AB42" i="5"/>
  <c r="Z42" i="5"/>
  <c r="O42" i="5"/>
  <c r="BF42" i="5" s="1"/>
  <c r="H42" i="5"/>
  <c r="G42" i="5"/>
  <c r="BW41" i="5"/>
  <c r="AL41" i="5"/>
  <c r="AJ41" i="5"/>
  <c r="AH41" i="5"/>
  <c r="AG41" i="5"/>
  <c r="AF41" i="5"/>
  <c r="AC41" i="5"/>
  <c r="AB41" i="5"/>
  <c r="Z41" i="5"/>
  <c r="H41" i="5"/>
  <c r="G41" i="5"/>
  <c r="BW38" i="5"/>
  <c r="AL38" i="5"/>
  <c r="AJ38" i="5"/>
  <c r="AH38" i="5"/>
  <c r="AG38" i="5"/>
  <c r="AF38" i="5"/>
  <c r="AE38" i="5"/>
  <c r="AD38" i="5"/>
  <c r="AC38" i="5"/>
  <c r="AB38" i="5"/>
  <c r="O38" i="5"/>
  <c r="BF38" i="5" s="1"/>
  <c r="H38" i="5"/>
  <c r="BD38" i="5" s="1"/>
  <c r="G38" i="5"/>
  <c r="BW37" i="5"/>
  <c r="BD37" i="5"/>
  <c r="AL37" i="5"/>
  <c r="AJ37" i="5"/>
  <c r="AH37" i="5"/>
  <c r="AG37" i="5"/>
  <c r="AF37" i="5"/>
  <c r="AC37" i="5"/>
  <c r="AB37" i="5"/>
  <c r="Z37" i="5"/>
  <c r="H37" i="5"/>
  <c r="AO37" i="5" s="1"/>
  <c r="AW37" i="5" s="1"/>
  <c r="G37" i="5"/>
  <c r="BJ37" i="5" s="1"/>
  <c r="BW36" i="5"/>
  <c r="AL36" i="5"/>
  <c r="AJ36" i="5"/>
  <c r="AH36" i="5"/>
  <c r="AG36" i="5"/>
  <c r="AF36" i="5"/>
  <c r="AC36" i="5"/>
  <c r="AB36" i="5"/>
  <c r="Z36" i="5"/>
  <c r="O36" i="5"/>
  <c r="BF36" i="5" s="1"/>
  <c r="H36" i="5"/>
  <c r="BD36" i="5" s="1"/>
  <c r="G36" i="5"/>
  <c r="BW35" i="5"/>
  <c r="AL35" i="5"/>
  <c r="AJ35" i="5"/>
  <c r="AH35" i="5"/>
  <c r="AG35" i="5"/>
  <c r="AF35" i="5"/>
  <c r="AC35" i="5"/>
  <c r="AB35" i="5"/>
  <c r="Z35" i="5"/>
  <c r="L35" i="5"/>
  <c r="H35" i="5"/>
  <c r="AO35" i="5" s="1"/>
  <c r="AW35" i="5" s="1"/>
  <c r="G35" i="5"/>
  <c r="BW34" i="5"/>
  <c r="BF34" i="5"/>
  <c r="AP34" i="5"/>
  <c r="AO34" i="5"/>
  <c r="AL34" i="5"/>
  <c r="AJ34" i="5"/>
  <c r="AH34" i="5"/>
  <c r="AG34" i="5"/>
  <c r="AF34" i="5"/>
  <c r="AC34" i="5"/>
  <c r="AB34" i="5"/>
  <c r="Z34" i="5"/>
  <c r="O34" i="5"/>
  <c r="H34" i="5"/>
  <c r="BD34" i="5" s="1"/>
  <c r="G34" i="5"/>
  <c r="BJ34" i="5" s="1"/>
  <c r="BW33" i="5"/>
  <c r="AL33" i="5"/>
  <c r="AJ33" i="5"/>
  <c r="AH33" i="5"/>
  <c r="AG33" i="5"/>
  <c r="AF33" i="5"/>
  <c r="AC33" i="5"/>
  <c r="AB33" i="5"/>
  <c r="Z33" i="5"/>
  <c r="H33" i="5"/>
  <c r="G33" i="5"/>
  <c r="BW32" i="5"/>
  <c r="BF32" i="5"/>
  <c r="AL32" i="5"/>
  <c r="AJ32" i="5"/>
  <c r="AH32" i="5"/>
  <c r="AG32" i="5"/>
  <c r="AF32" i="5"/>
  <c r="AC32" i="5"/>
  <c r="AB32" i="5"/>
  <c r="Z32" i="5"/>
  <c r="O32" i="5"/>
  <c r="H32" i="5"/>
  <c r="AP32" i="5" s="1"/>
  <c r="G32" i="5"/>
  <c r="BJ32" i="5" s="1"/>
  <c r="BW31" i="5"/>
  <c r="BJ31" i="5"/>
  <c r="AP31" i="5"/>
  <c r="AL31" i="5"/>
  <c r="AJ31" i="5"/>
  <c r="AH31" i="5"/>
  <c r="AG31" i="5"/>
  <c r="AF31" i="5"/>
  <c r="AC31" i="5"/>
  <c r="AB31" i="5"/>
  <c r="Z31" i="5"/>
  <c r="L31" i="5"/>
  <c r="AK31" i="5" s="1"/>
  <c r="H31" i="5"/>
  <c r="AO31" i="5" s="1"/>
  <c r="AW31" i="5" s="1"/>
  <c r="G31" i="5"/>
  <c r="BW30" i="5"/>
  <c r="BF30" i="5"/>
  <c r="AP30" i="5"/>
  <c r="AX30" i="5" s="1"/>
  <c r="AO30" i="5"/>
  <c r="AL30" i="5"/>
  <c r="AJ30" i="5"/>
  <c r="AH30" i="5"/>
  <c r="AG30" i="5"/>
  <c r="AF30" i="5"/>
  <c r="AC30" i="5"/>
  <c r="AB30" i="5"/>
  <c r="Z30" i="5"/>
  <c r="O30" i="5"/>
  <c r="H30" i="5"/>
  <c r="BD30" i="5" s="1"/>
  <c r="G30" i="5"/>
  <c r="BJ30" i="5" s="1"/>
  <c r="BW29" i="5"/>
  <c r="AL29" i="5"/>
  <c r="AJ29" i="5"/>
  <c r="AH29" i="5"/>
  <c r="AG29" i="5"/>
  <c r="AF29" i="5"/>
  <c r="AC29" i="5"/>
  <c r="AB29" i="5"/>
  <c r="Z29" i="5"/>
  <c r="H29" i="5"/>
  <c r="G29" i="5"/>
  <c r="BW26" i="5"/>
  <c r="BJ26" i="5"/>
  <c r="Z26" i="5" s="1"/>
  <c r="AP26" i="5"/>
  <c r="BI26" i="5" s="1"/>
  <c r="AO26" i="5"/>
  <c r="BH26" i="5" s="1"/>
  <c r="AL26" i="5"/>
  <c r="AJ26" i="5"/>
  <c r="AH26" i="5"/>
  <c r="AG26" i="5"/>
  <c r="AF26" i="5"/>
  <c r="AE26" i="5"/>
  <c r="AD26" i="5"/>
  <c r="AC26" i="5"/>
  <c r="AB26" i="5"/>
  <c r="O26" i="5"/>
  <c r="BF26" i="5" s="1"/>
  <c r="L26" i="5"/>
  <c r="K26" i="5"/>
  <c r="H26" i="5"/>
  <c r="BD26" i="5" s="1"/>
  <c r="G26" i="5"/>
  <c r="BW25" i="5"/>
  <c r="AO25" i="5"/>
  <c r="BH25" i="5" s="1"/>
  <c r="AD25" i="5" s="1"/>
  <c r="AL25" i="5"/>
  <c r="AJ25" i="5"/>
  <c r="AH25" i="5"/>
  <c r="AG25" i="5"/>
  <c r="AF25" i="5"/>
  <c r="AC25" i="5"/>
  <c r="AB25" i="5"/>
  <c r="Z25" i="5"/>
  <c r="L25" i="5"/>
  <c r="H25" i="5"/>
  <c r="AP25" i="5" s="1"/>
  <c r="G25" i="5"/>
  <c r="BW24" i="5"/>
  <c r="AL24" i="5"/>
  <c r="AJ24" i="5"/>
  <c r="AH24" i="5"/>
  <c r="AG24" i="5"/>
  <c r="AF24" i="5"/>
  <c r="AC24" i="5"/>
  <c r="AB24" i="5"/>
  <c r="Z24" i="5"/>
  <c r="H24" i="5"/>
  <c r="G24" i="5"/>
  <c r="BW22" i="5"/>
  <c r="AL22" i="5"/>
  <c r="AJ22" i="5"/>
  <c r="AH22" i="5"/>
  <c r="AG22" i="5"/>
  <c r="AF22" i="5"/>
  <c r="AC22" i="5"/>
  <c r="AB22" i="5"/>
  <c r="Z22" i="5"/>
  <c r="O22" i="5"/>
  <c r="BF22" i="5" s="1"/>
  <c r="H22" i="5"/>
  <c r="AP22" i="5" s="1"/>
  <c r="AX22" i="5" s="1"/>
  <c r="G22" i="5"/>
  <c r="BW20" i="5"/>
  <c r="BJ20" i="5"/>
  <c r="AL20" i="5"/>
  <c r="AJ20" i="5"/>
  <c r="AH20" i="5"/>
  <c r="AG20" i="5"/>
  <c r="AF20" i="5"/>
  <c r="AC20" i="5"/>
  <c r="AB20" i="5"/>
  <c r="Z20" i="5"/>
  <c r="O20" i="5"/>
  <c r="BF20" i="5" s="1"/>
  <c r="H20" i="5"/>
  <c r="BD20" i="5" s="1"/>
  <c r="G20" i="5"/>
  <c r="BW18" i="5"/>
  <c r="AL18" i="5"/>
  <c r="AJ18" i="5"/>
  <c r="AH18" i="5"/>
  <c r="AG18" i="5"/>
  <c r="AF18" i="5"/>
  <c r="AC18" i="5"/>
  <c r="AB18" i="5"/>
  <c r="Z18" i="5"/>
  <c r="H18" i="5"/>
  <c r="G18" i="5"/>
  <c r="BW17" i="5"/>
  <c r="AL17" i="5"/>
  <c r="AJ17" i="5"/>
  <c r="AH17" i="5"/>
  <c r="AG17" i="5"/>
  <c r="AF17" i="5"/>
  <c r="AC17" i="5"/>
  <c r="AB17" i="5"/>
  <c r="Z17" i="5"/>
  <c r="H17" i="5"/>
  <c r="BD17" i="5" s="1"/>
  <c r="G17" i="5"/>
  <c r="BW16" i="5"/>
  <c r="BD16" i="5"/>
  <c r="AL16" i="5"/>
  <c r="AJ16" i="5"/>
  <c r="AH16" i="5"/>
  <c r="AG16" i="5"/>
  <c r="AF16" i="5"/>
  <c r="AC16" i="5"/>
  <c r="AB16" i="5"/>
  <c r="Z16" i="5"/>
  <c r="O16" i="5"/>
  <c r="BF16" i="5" s="1"/>
  <c r="H16" i="5"/>
  <c r="AP16" i="5" s="1"/>
  <c r="AX16" i="5" s="1"/>
  <c r="G16" i="5"/>
  <c r="BW15" i="5"/>
  <c r="BD15" i="5"/>
  <c r="AL15" i="5"/>
  <c r="AJ15" i="5"/>
  <c r="AH15" i="5"/>
  <c r="AG15" i="5"/>
  <c r="AF15" i="5"/>
  <c r="AC15" i="5"/>
  <c r="AB15" i="5"/>
  <c r="Z15" i="5"/>
  <c r="O15" i="5"/>
  <c r="BF15" i="5" s="1"/>
  <c r="H15" i="5"/>
  <c r="G15" i="5"/>
  <c r="BW14" i="5"/>
  <c r="AL14" i="5"/>
  <c r="AJ14" i="5"/>
  <c r="AH14" i="5"/>
  <c r="AG14" i="5"/>
  <c r="AF14" i="5"/>
  <c r="C18" i="3" s="1"/>
  <c r="AC14" i="5"/>
  <c r="AB14" i="5"/>
  <c r="Z14" i="5"/>
  <c r="H14" i="5"/>
  <c r="AP14" i="5" s="1"/>
  <c r="G14" i="5"/>
  <c r="AX14" i="5" s="1"/>
  <c r="AU1" i="5"/>
  <c r="AT1" i="5"/>
  <c r="AS1" i="5"/>
  <c r="F44" i="4"/>
  <c r="I44" i="4" s="1"/>
  <c r="I43" i="4"/>
  <c r="F43" i="4"/>
  <c r="I42" i="4"/>
  <c r="F42" i="4"/>
  <c r="F40" i="4"/>
  <c r="I40" i="4" s="1"/>
  <c r="I39" i="4"/>
  <c r="F39" i="4"/>
  <c r="I38" i="4"/>
  <c r="F38" i="4"/>
  <c r="F36" i="4"/>
  <c r="I36" i="4" s="1"/>
  <c r="F29" i="4"/>
  <c r="I26" i="4"/>
  <c r="I25" i="4"/>
  <c r="I24" i="4"/>
  <c r="I23" i="4"/>
  <c r="I16" i="3" s="1"/>
  <c r="I22" i="4"/>
  <c r="I27" i="4" s="1"/>
  <c r="I21" i="4"/>
  <c r="I18" i="4"/>
  <c r="I17" i="4"/>
  <c r="I16" i="4"/>
  <c r="I15" i="4"/>
  <c r="F14" i="3" s="1"/>
  <c r="I10" i="4"/>
  <c r="F10" i="4"/>
  <c r="C10" i="4"/>
  <c r="F8" i="4"/>
  <c r="C8" i="4"/>
  <c r="F6" i="4"/>
  <c r="C6" i="4"/>
  <c r="F4" i="4"/>
  <c r="C4" i="4"/>
  <c r="F2" i="4"/>
  <c r="C2" i="4"/>
  <c r="I19" i="3"/>
  <c r="I18" i="3"/>
  <c r="I17" i="3"/>
  <c r="F16" i="3"/>
  <c r="I15" i="3"/>
  <c r="F15" i="3"/>
  <c r="F22" i="3" s="1"/>
  <c r="I14" i="3"/>
  <c r="I10" i="3"/>
  <c r="F10" i="3"/>
  <c r="C10" i="3"/>
  <c r="F8" i="3"/>
  <c r="C8" i="3"/>
  <c r="F6" i="3"/>
  <c r="C6" i="3"/>
  <c r="F4" i="3"/>
  <c r="C4" i="3"/>
  <c r="F2" i="3"/>
  <c r="C2" i="3"/>
  <c r="I85" i="2"/>
  <c r="I84" i="2"/>
  <c r="I80" i="2"/>
  <c r="I79" i="2"/>
  <c r="I75" i="2"/>
  <c r="I74" i="2"/>
  <c r="G70" i="2"/>
  <c r="G64" i="2"/>
  <c r="I62" i="2"/>
  <c r="G59" i="2"/>
  <c r="G53" i="2"/>
  <c r="I50" i="2"/>
  <c r="G46" i="2"/>
  <c r="G45" i="2"/>
  <c r="G41" i="2"/>
  <c r="I38" i="2"/>
  <c r="I36" i="2"/>
  <c r="I34" i="2"/>
  <c r="I32" i="2"/>
  <c r="I30" i="2"/>
  <c r="I28" i="2"/>
  <c r="I26" i="2"/>
  <c r="I23" i="2"/>
  <c r="I20" i="2"/>
  <c r="I17" i="2"/>
  <c r="I15" i="2"/>
  <c r="I13" i="2"/>
  <c r="I11" i="2"/>
  <c r="G8" i="2"/>
  <c r="C8" i="2"/>
  <c r="G6" i="2"/>
  <c r="C6" i="2"/>
  <c r="G4" i="2"/>
  <c r="C4" i="2"/>
  <c r="G2" i="2"/>
  <c r="C2" i="2"/>
  <c r="IS450" i="1"/>
  <c r="IR450" i="1"/>
  <c r="L450" i="1" s="1"/>
  <c r="L449" i="1" s="1"/>
  <c r="IS448" i="1"/>
  <c r="IR448" i="1"/>
  <c r="L448" i="1" s="1"/>
  <c r="IS447" i="1"/>
  <c r="IR447" i="1"/>
  <c r="L447" i="1" s="1"/>
  <c r="L446" i="1" s="1"/>
  <c r="IS445" i="1"/>
  <c r="IR445" i="1"/>
  <c r="IS441" i="1"/>
  <c r="L441" i="1" s="1"/>
  <c r="L440" i="1" s="1"/>
  <c r="IR441" i="1"/>
  <c r="IS439" i="1"/>
  <c r="IR439" i="1"/>
  <c r="IS438" i="1"/>
  <c r="IR438" i="1"/>
  <c r="L438" i="1" s="1"/>
  <c r="IS436" i="1"/>
  <c r="IR436" i="1"/>
  <c r="IS432" i="1"/>
  <c r="IR432" i="1"/>
  <c r="L432" i="1"/>
  <c r="L431" i="1"/>
  <c r="IS430" i="1"/>
  <c r="IR430" i="1"/>
  <c r="L430" i="1" s="1"/>
  <c r="IS429" i="1"/>
  <c r="IR429" i="1"/>
  <c r="IS427" i="1"/>
  <c r="IR427" i="1"/>
  <c r="L427" i="1" s="1"/>
  <c r="L426" i="1" s="1"/>
  <c r="IS423" i="1"/>
  <c r="IR423" i="1"/>
  <c r="L423" i="1"/>
  <c r="IS422" i="1"/>
  <c r="IR422" i="1"/>
  <c r="L422" i="1" s="1"/>
  <c r="IS421" i="1"/>
  <c r="IR421" i="1"/>
  <c r="L421" i="1" s="1"/>
  <c r="IS420" i="1"/>
  <c r="IR420" i="1"/>
  <c r="L420" i="1" s="1"/>
  <c r="IS419" i="1"/>
  <c r="IR419" i="1"/>
  <c r="L419" i="1" s="1"/>
  <c r="IS418" i="1"/>
  <c r="IR418" i="1"/>
  <c r="L418" i="1"/>
  <c r="IS417" i="1"/>
  <c r="IR417" i="1"/>
  <c r="L417" i="1" s="1"/>
  <c r="IS416" i="1"/>
  <c r="IR416" i="1"/>
  <c r="IS414" i="1"/>
  <c r="IR414" i="1"/>
  <c r="IS413" i="1"/>
  <c r="IR413" i="1"/>
  <c r="L413" i="1"/>
  <c r="IS412" i="1"/>
  <c r="IR412" i="1"/>
  <c r="L412" i="1" s="1"/>
  <c r="IS411" i="1"/>
  <c r="IR411" i="1"/>
  <c r="IS410" i="1"/>
  <c r="IR410" i="1"/>
  <c r="L410" i="1" s="1"/>
  <c r="IS408" i="1"/>
  <c r="IR408" i="1"/>
  <c r="L408" i="1" s="1"/>
  <c r="L407" i="1" s="1"/>
  <c r="IS406" i="1"/>
  <c r="IR406" i="1"/>
  <c r="IS404" i="1"/>
  <c r="IR404" i="1"/>
  <c r="IS402" i="1"/>
  <c r="IR402" i="1"/>
  <c r="L402" i="1" s="1"/>
  <c r="IS401" i="1"/>
  <c r="IR401" i="1"/>
  <c r="L401" i="1"/>
  <c r="IS399" i="1"/>
  <c r="IR399" i="1"/>
  <c r="L399" i="1" s="1"/>
  <c r="IS398" i="1"/>
  <c r="IR398" i="1"/>
  <c r="L398" i="1"/>
  <c r="IS397" i="1"/>
  <c r="IR397" i="1"/>
  <c r="L397" i="1" s="1"/>
  <c r="IS396" i="1"/>
  <c r="IR396" i="1"/>
  <c r="IS395" i="1"/>
  <c r="IR395" i="1"/>
  <c r="L395" i="1"/>
  <c r="IS393" i="1"/>
  <c r="IR393" i="1"/>
  <c r="L393" i="1"/>
  <c r="IS392" i="1"/>
  <c r="IR392" i="1"/>
  <c r="IS391" i="1"/>
  <c r="IR391" i="1"/>
  <c r="L391" i="1" s="1"/>
  <c r="IS390" i="1"/>
  <c r="IR390" i="1"/>
  <c r="L390" i="1" s="1"/>
  <c r="IS388" i="1"/>
  <c r="IR388" i="1"/>
  <c r="IS386" i="1"/>
  <c r="IR386" i="1"/>
  <c r="IS384" i="1"/>
  <c r="IR384" i="1"/>
  <c r="L384" i="1" s="1"/>
  <c r="IS383" i="1"/>
  <c r="IR383" i="1"/>
  <c r="L383" i="1"/>
  <c r="IS382" i="1"/>
  <c r="IR382" i="1"/>
  <c r="L382" i="1" s="1"/>
  <c r="IS381" i="1"/>
  <c r="IR381" i="1"/>
  <c r="L381" i="1" s="1"/>
  <c r="IS380" i="1"/>
  <c r="IR380" i="1"/>
  <c r="L380" i="1" s="1"/>
  <c r="IS379" i="1"/>
  <c r="IR379" i="1"/>
  <c r="L379" i="1" s="1"/>
  <c r="IS378" i="1"/>
  <c r="IR378" i="1"/>
  <c r="L378" i="1"/>
  <c r="IS375" i="1"/>
  <c r="IR375" i="1"/>
  <c r="L375" i="1"/>
  <c r="IS374" i="1"/>
  <c r="IR374" i="1"/>
  <c r="L374" i="1" s="1"/>
  <c r="IS373" i="1"/>
  <c r="IR373" i="1"/>
  <c r="L373" i="1" s="1"/>
  <c r="IS372" i="1"/>
  <c r="IR372" i="1"/>
  <c r="L372" i="1" s="1"/>
  <c r="IS371" i="1"/>
  <c r="IR371" i="1"/>
  <c r="L371" i="1" s="1"/>
  <c r="IS370" i="1"/>
  <c r="IR370" i="1"/>
  <c r="L370" i="1"/>
  <c r="IS369" i="1"/>
  <c r="IR369" i="1"/>
  <c r="L369" i="1" s="1"/>
  <c r="IS368" i="1"/>
  <c r="IR368" i="1"/>
  <c r="IS366" i="1"/>
  <c r="IR366" i="1"/>
  <c r="IS365" i="1"/>
  <c r="IR365" i="1"/>
  <c r="L365" i="1"/>
  <c r="IS364" i="1"/>
  <c r="IR364" i="1"/>
  <c r="L364" i="1" s="1"/>
  <c r="IS363" i="1"/>
  <c r="IR363" i="1"/>
  <c r="IS362" i="1"/>
  <c r="IR362" i="1"/>
  <c r="L362" i="1" s="1"/>
  <c r="IS360" i="1"/>
  <c r="IR360" i="1"/>
  <c r="L360" i="1" s="1"/>
  <c r="L359" i="1" s="1"/>
  <c r="IS358" i="1"/>
  <c r="IR358" i="1"/>
  <c r="IS356" i="1"/>
  <c r="IR356" i="1"/>
  <c r="IS354" i="1"/>
  <c r="IR354" i="1"/>
  <c r="L354" i="1" s="1"/>
  <c r="IS353" i="1"/>
  <c r="IR353" i="1"/>
  <c r="L353" i="1"/>
  <c r="IS351" i="1"/>
  <c r="IR351" i="1"/>
  <c r="L351" i="1" s="1"/>
  <c r="IS350" i="1"/>
  <c r="IR350" i="1"/>
  <c r="L350" i="1"/>
  <c r="IS349" i="1"/>
  <c r="IR349" i="1"/>
  <c r="L349" i="1" s="1"/>
  <c r="IS348" i="1"/>
  <c r="IR348" i="1"/>
  <c r="IS347" i="1"/>
  <c r="IR347" i="1"/>
  <c r="L347" i="1"/>
  <c r="IS345" i="1"/>
  <c r="IR345" i="1"/>
  <c r="L345" i="1"/>
  <c r="IS344" i="1"/>
  <c r="IR344" i="1"/>
  <c r="IS343" i="1"/>
  <c r="IR343" i="1"/>
  <c r="L343" i="1" s="1"/>
  <c r="IS342" i="1"/>
  <c r="IR342" i="1"/>
  <c r="L342" i="1" s="1"/>
  <c r="IS340" i="1"/>
  <c r="IR340" i="1"/>
  <c r="IS338" i="1"/>
  <c r="IR338" i="1"/>
  <c r="IS336" i="1"/>
  <c r="IR336" i="1"/>
  <c r="L336" i="1" s="1"/>
  <c r="IS335" i="1"/>
  <c r="IR335" i="1"/>
  <c r="L335" i="1"/>
  <c r="IS334" i="1"/>
  <c r="IR334" i="1"/>
  <c r="L334" i="1" s="1"/>
  <c r="IS333" i="1"/>
  <c r="IR333" i="1"/>
  <c r="L333" i="1" s="1"/>
  <c r="IS332" i="1"/>
  <c r="IR332" i="1"/>
  <c r="L332" i="1" s="1"/>
  <c r="IS331" i="1"/>
  <c r="IR331" i="1"/>
  <c r="L331" i="1" s="1"/>
  <c r="IS330" i="1"/>
  <c r="IR330" i="1"/>
  <c r="L330" i="1"/>
  <c r="IS327" i="1"/>
  <c r="IR327" i="1"/>
  <c r="L327" i="1"/>
  <c r="IS326" i="1"/>
  <c r="IR326" i="1"/>
  <c r="L326" i="1" s="1"/>
  <c r="IS325" i="1"/>
  <c r="IR325" i="1"/>
  <c r="L325" i="1" s="1"/>
  <c r="IS324" i="1"/>
  <c r="IR324" i="1"/>
  <c r="L324" i="1" s="1"/>
  <c r="IS323" i="1"/>
  <c r="IR323" i="1"/>
  <c r="L323" i="1" s="1"/>
  <c r="IS322" i="1"/>
  <c r="IR322" i="1"/>
  <c r="L322" i="1"/>
  <c r="IS321" i="1"/>
  <c r="IR321" i="1"/>
  <c r="L321" i="1" s="1"/>
  <c r="IS320" i="1"/>
  <c r="IR320" i="1"/>
  <c r="L320" i="1" s="1"/>
  <c r="IS318" i="1"/>
  <c r="IR318" i="1"/>
  <c r="IS317" i="1"/>
  <c r="IR317" i="1"/>
  <c r="L317" i="1"/>
  <c r="IS316" i="1"/>
  <c r="IR316" i="1"/>
  <c r="L316" i="1"/>
  <c r="IS315" i="1"/>
  <c r="IR315" i="1"/>
  <c r="IS314" i="1"/>
  <c r="IR314" i="1"/>
  <c r="L314" i="1" s="1"/>
  <c r="IS312" i="1"/>
  <c r="IR312" i="1"/>
  <c r="L312" i="1" s="1"/>
  <c r="L311" i="1" s="1"/>
  <c r="IS310" i="1"/>
  <c r="IR310" i="1"/>
  <c r="L310" i="1" s="1"/>
  <c r="L309" i="1" s="1"/>
  <c r="IS308" i="1"/>
  <c r="IR308" i="1"/>
  <c r="IS306" i="1"/>
  <c r="IR306" i="1"/>
  <c r="L306" i="1" s="1"/>
  <c r="IS305" i="1"/>
  <c r="IR305" i="1"/>
  <c r="L305" i="1"/>
  <c r="IS303" i="1"/>
  <c r="IR303" i="1"/>
  <c r="L303" i="1" s="1"/>
  <c r="IS302" i="1"/>
  <c r="IR302" i="1"/>
  <c r="L302" i="1"/>
  <c r="IS301" i="1"/>
  <c r="IR301" i="1"/>
  <c r="L301" i="1" s="1"/>
  <c r="IS300" i="1"/>
  <c r="IR300" i="1"/>
  <c r="IS299" i="1"/>
  <c r="IR299" i="1"/>
  <c r="L299" i="1"/>
  <c r="IS297" i="1"/>
  <c r="IR297" i="1"/>
  <c r="L297" i="1"/>
  <c r="IS296" i="1"/>
  <c r="IR296" i="1"/>
  <c r="L296" i="1" s="1"/>
  <c r="IS295" i="1"/>
  <c r="IR295" i="1"/>
  <c r="L295" i="1" s="1"/>
  <c r="IS294" i="1"/>
  <c r="IR294" i="1"/>
  <c r="L294" i="1" s="1"/>
  <c r="IS292" i="1"/>
  <c r="IR292" i="1"/>
  <c r="IS290" i="1"/>
  <c r="IR290" i="1"/>
  <c r="IS288" i="1"/>
  <c r="IR288" i="1"/>
  <c r="L288" i="1" s="1"/>
  <c r="IS287" i="1"/>
  <c r="IR287" i="1"/>
  <c r="L287" i="1"/>
  <c r="IS286" i="1"/>
  <c r="IR286" i="1"/>
  <c r="L286" i="1" s="1"/>
  <c r="IS285" i="1"/>
  <c r="IR285" i="1"/>
  <c r="L285" i="1" s="1"/>
  <c r="IS284" i="1"/>
  <c r="IR284" i="1"/>
  <c r="L284" i="1" s="1"/>
  <c r="IS283" i="1"/>
  <c r="IR283" i="1"/>
  <c r="L283" i="1" s="1"/>
  <c r="IS282" i="1"/>
  <c r="IR282" i="1"/>
  <c r="L282" i="1"/>
  <c r="IS279" i="1"/>
  <c r="IR279" i="1"/>
  <c r="L279" i="1"/>
  <c r="IS278" i="1"/>
  <c r="IR278" i="1"/>
  <c r="L278" i="1" s="1"/>
  <c r="IS277" i="1"/>
  <c r="IR277" i="1"/>
  <c r="L277" i="1" s="1"/>
  <c r="IS276" i="1"/>
  <c r="IR276" i="1"/>
  <c r="L276" i="1" s="1"/>
  <c r="IS275" i="1"/>
  <c r="IR275" i="1"/>
  <c r="L275" i="1" s="1"/>
  <c r="IS274" i="1"/>
  <c r="IR274" i="1"/>
  <c r="L274" i="1"/>
  <c r="IS273" i="1"/>
  <c r="IR273" i="1"/>
  <c r="L273" i="1" s="1"/>
  <c r="IS272" i="1"/>
  <c r="IR272" i="1"/>
  <c r="IS271" i="1"/>
  <c r="L271" i="1" s="1"/>
  <c r="IR271" i="1"/>
  <c r="IS270" i="1"/>
  <c r="IR270" i="1"/>
  <c r="L270" i="1"/>
  <c r="IS269" i="1"/>
  <c r="IR269" i="1"/>
  <c r="IS268" i="1"/>
  <c r="IR268" i="1"/>
  <c r="IS267" i="1"/>
  <c r="IR267" i="1"/>
  <c r="L267" i="1"/>
  <c r="IS264" i="1"/>
  <c r="IR264" i="1"/>
  <c r="L264" i="1" s="1"/>
  <c r="IS263" i="1"/>
  <c r="IR263" i="1"/>
  <c r="IS262" i="1"/>
  <c r="IR262" i="1"/>
  <c r="L262" i="1"/>
  <c r="IS261" i="1"/>
  <c r="IR261" i="1"/>
  <c r="L261" i="1" s="1"/>
  <c r="IS260" i="1"/>
  <c r="IR260" i="1"/>
  <c r="IS259" i="1"/>
  <c r="IR259" i="1"/>
  <c r="L259" i="1"/>
  <c r="IS258" i="1"/>
  <c r="IR258" i="1"/>
  <c r="L258" i="1"/>
  <c r="IS257" i="1"/>
  <c r="IR257" i="1"/>
  <c r="IS256" i="1"/>
  <c r="IR256" i="1"/>
  <c r="L256" i="1" s="1"/>
  <c r="IS255" i="1"/>
  <c r="IR255" i="1"/>
  <c r="L255" i="1"/>
  <c r="IS254" i="1"/>
  <c r="IR254" i="1"/>
  <c r="L254" i="1" s="1"/>
  <c r="IS253" i="1"/>
  <c r="IR253" i="1"/>
  <c r="L253" i="1" s="1"/>
  <c r="IS252" i="1"/>
  <c r="IR252" i="1"/>
  <c r="L252" i="1" s="1"/>
  <c r="IS249" i="1"/>
  <c r="IR249" i="1"/>
  <c r="L249" i="1" s="1"/>
  <c r="IS248" i="1"/>
  <c r="IR248" i="1"/>
  <c r="IS247" i="1"/>
  <c r="IR247" i="1"/>
  <c r="L247" i="1"/>
  <c r="IS246" i="1"/>
  <c r="IR246" i="1"/>
  <c r="L246" i="1"/>
  <c r="IS245" i="1"/>
  <c r="IR245" i="1"/>
  <c r="IS244" i="1"/>
  <c r="IR244" i="1"/>
  <c r="L244" i="1" s="1"/>
  <c r="IS243" i="1"/>
  <c r="IR243" i="1"/>
  <c r="L243" i="1"/>
  <c r="IS242" i="1"/>
  <c r="IR242" i="1"/>
  <c r="L242" i="1" s="1"/>
  <c r="IS241" i="1"/>
  <c r="IR241" i="1"/>
  <c r="L241" i="1" s="1"/>
  <c r="IS240" i="1"/>
  <c r="IR240" i="1"/>
  <c r="L240" i="1" s="1"/>
  <c r="IS239" i="1"/>
  <c r="IR239" i="1"/>
  <c r="L239" i="1" s="1"/>
  <c r="IS238" i="1"/>
  <c r="L238" i="1" s="1"/>
  <c r="IR238" i="1"/>
  <c r="IS237" i="1"/>
  <c r="IR237" i="1"/>
  <c r="L237" i="1" s="1"/>
  <c r="IS234" i="1"/>
  <c r="IR234" i="1"/>
  <c r="L234" i="1"/>
  <c r="IS233" i="1"/>
  <c r="IR233" i="1"/>
  <c r="IS232" i="1"/>
  <c r="IR232" i="1"/>
  <c r="L232" i="1" s="1"/>
  <c r="IS231" i="1"/>
  <c r="IR231" i="1"/>
  <c r="L231" i="1"/>
  <c r="IS230" i="1"/>
  <c r="IR230" i="1"/>
  <c r="IS229" i="1"/>
  <c r="IR229" i="1"/>
  <c r="L229" i="1" s="1"/>
  <c r="IS228" i="1"/>
  <c r="IR228" i="1"/>
  <c r="L228" i="1" s="1"/>
  <c r="IS227" i="1"/>
  <c r="IR227" i="1"/>
  <c r="IS226" i="1"/>
  <c r="IR226" i="1"/>
  <c r="L226" i="1"/>
  <c r="IS225" i="1"/>
  <c r="IR225" i="1"/>
  <c r="L225" i="1" s="1"/>
  <c r="IS224" i="1"/>
  <c r="IR224" i="1"/>
  <c r="L224" i="1" s="1"/>
  <c r="IS223" i="1"/>
  <c r="IR223" i="1"/>
  <c r="L223" i="1" s="1"/>
  <c r="IS222" i="1"/>
  <c r="IR222" i="1"/>
  <c r="L222" i="1"/>
  <c r="IS221" i="1"/>
  <c r="IR221" i="1"/>
  <c r="IS220" i="1"/>
  <c r="IR220" i="1"/>
  <c r="IS219" i="1"/>
  <c r="IR219" i="1"/>
  <c r="L219" i="1"/>
  <c r="IS218" i="1"/>
  <c r="IR218" i="1"/>
  <c r="L218" i="1" s="1"/>
  <c r="IS217" i="1"/>
  <c r="IR217" i="1"/>
  <c r="IS216" i="1"/>
  <c r="IR216" i="1"/>
  <c r="L216" i="1" s="1"/>
  <c r="IS215" i="1"/>
  <c r="IR215" i="1"/>
  <c r="L215" i="1"/>
  <c r="IS214" i="1"/>
  <c r="IR214" i="1"/>
  <c r="L214" i="1" s="1"/>
  <c r="IS213" i="1"/>
  <c r="IR213" i="1"/>
  <c r="L213" i="1" s="1"/>
  <c r="IS212" i="1"/>
  <c r="IR212" i="1"/>
  <c r="L212" i="1" s="1"/>
  <c r="IS211" i="1"/>
  <c r="IR211" i="1"/>
  <c r="IS210" i="1"/>
  <c r="IR210" i="1"/>
  <c r="L210" i="1"/>
  <c r="IS209" i="1"/>
  <c r="IR209" i="1"/>
  <c r="L209" i="1" s="1"/>
  <c r="IS208" i="1"/>
  <c r="IR208" i="1"/>
  <c r="L208" i="1" s="1"/>
  <c r="IS205" i="1"/>
  <c r="IR205" i="1"/>
  <c r="IS204" i="1"/>
  <c r="IR204" i="1"/>
  <c r="L204" i="1" s="1"/>
  <c r="IS203" i="1"/>
  <c r="IR203" i="1"/>
  <c r="L203" i="1"/>
  <c r="IS202" i="1"/>
  <c r="IR202" i="1"/>
  <c r="IS201" i="1"/>
  <c r="IR201" i="1"/>
  <c r="L201" i="1" s="1"/>
  <c r="IS200" i="1"/>
  <c r="IR200" i="1"/>
  <c r="L200" i="1" s="1"/>
  <c r="IS199" i="1"/>
  <c r="IR199" i="1"/>
  <c r="L199" i="1" s="1"/>
  <c r="IS198" i="1"/>
  <c r="IR198" i="1"/>
  <c r="L198" i="1"/>
  <c r="IS197" i="1"/>
  <c r="IR197" i="1"/>
  <c r="L197" i="1" s="1"/>
  <c r="IS196" i="1"/>
  <c r="IR196" i="1"/>
  <c r="IS195" i="1"/>
  <c r="IR195" i="1"/>
  <c r="L195" i="1" s="1"/>
  <c r="IS194" i="1"/>
  <c r="IR194" i="1"/>
  <c r="L194" i="1"/>
  <c r="IS193" i="1"/>
  <c r="IR193" i="1"/>
  <c r="L193" i="1" s="1"/>
  <c r="IS192" i="1"/>
  <c r="IR192" i="1"/>
  <c r="IS191" i="1"/>
  <c r="IR191" i="1"/>
  <c r="L191" i="1"/>
  <c r="IS190" i="1"/>
  <c r="IR190" i="1"/>
  <c r="L190" i="1"/>
  <c r="IS189" i="1"/>
  <c r="IR189" i="1"/>
  <c r="IS188" i="1"/>
  <c r="IR188" i="1"/>
  <c r="L188" i="1" s="1"/>
  <c r="IS187" i="1"/>
  <c r="IR187" i="1"/>
  <c r="L187" i="1"/>
  <c r="IS186" i="1"/>
  <c r="IR186" i="1"/>
  <c r="IS185" i="1"/>
  <c r="IR185" i="1"/>
  <c r="L185" i="1" s="1"/>
  <c r="IS184" i="1"/>
  <c r="IR184" i="1"/>
  <c r="L184" i="1" s="1"/>
  <c r="IS183" i="1"/>
  <c r="IR183" i="1"/>
  <c r="IS182" i="1"/>
  <c r="IR182" i="1"/>
  <c r="L182" i="1"/>
  <c r="IS181" i="1"/>
  <c r="IR181" i="1"/>
  <c r="L181" i="1" s="1"/>
  <c r="IS180" i="1"/>
  <c r="IR180" i="1"/>
  <c r="L180" i="1" s="1"/>
  <c r="IS179" i="1"/>
  <c r="IR179" i="1"/>
  <c r="L179" i="1" s="1"/>
  <c r="IS178" i="1"/>
  <c r="IR178" i="1"/>
  <c r="L178" i="1"/>
  <c r="IS177" i="1"/>
  <c r="IR177" i="1"/>
  <c r="IS174" i="1"/>
  <c r="L174" i="1" s="1"/>
  <c r="IR174" i="1"/>
  <c r="IS173" i="1"/>
  <c r="IR173" i="1"/>
  <c r="L173" i="1" s="1"/>
  <c r="IS172" i="1"/>
  <c r="IR172" i="1"/>
  <c r="L172" i="1" s="1"/>
  <c r="IS171" i="1"/>
  <c r="IR171" i="1"/>
  <c r="IS170" i="1"/>
  <c r="IR170" i="1"/>
  <c r="L170" i="1"/>
  <c r="IS169" i="1"/>
  <c r="IR169" i="1"/>
  <c r="L169" i="1" s="1"/>
  <c r="IS168" i="1"/>
  <c r="IR168" i="1"/>
  <c r="IS167" i="1"/>
  <c r="IR167" i="1"/>
  <c r="L167" i="1"/>
  <c r="IS166" i="1"/>
  <c r="IR166" i="1"/>
  <c r="L166" i="1"/>
  <c r="IS165" i="1"/>
  <c r="IR165" i="1"/>
  <c r="IS164" i="1"/>
  <c r="IR164" i="1"/>
  <c r="L164" i="1" s="1"/>
  <c r="IS163" i="1"/>
  <c r="IR163" i="1"/>
  <c r="L163" i="1"/>
  <c r="IS162" i="1"/>
  <c r="IR162" i="1"/>
  <c r="L162" i="1" s="1"/>
  <c r="IS161" i="1"/>
  <c r="IR161" i="1"/>
  <c r="L161" i="1" s="1"/>
  <c r="IS160" i="1"/>
  <c r="IR160" i="1"/>
  <c r="L160" i="1" s="1"/>
  <c r="IS159" i="1"/>
  <c r="IR159" i="1"/>
  <c r="L159" i="1"/>
  <c r="IS158" i="1"/>
  <c r="L158" i="1" s="1"/>
  <c r="IR158" i="1"/>
  <c r="IS157" i="1"/>
  <c r="IR157" i="1"/>
  <c r="L157" i="1" s="1"/>
  <c r="IS156" i="1"/>
  <c r="IR156" i="1"/>
  <c r="L156" i="1" s="1"/>
  <c r="IS155" i="1"/>
  <c r="IR155" i="1"/>
  <c r="L155" i="1" s="1"/>
  <c r="IS154" i="1"/>
  <c r="IR154" i="1"/>
  <c r="L154" i="1"/>
  <c r="IS153" i="1"/>
  <c r="IR153" i="1"/>
  <c r="L153" i="1" s="1"/>
  <c r="IS152" i="1"/>
  <c r="IR152" i="1"/>
  <c r="IS151" i="1"/>
  <c r="IR151" i="1"/>
  <c r="L151" i="1"/>
  <c r="IS150" i="1"/>
  <c r="IR150" i="1"/>
  <c r="L150" i="1"/>
  <c r="IS149" i="1"/>
  <c r="IR149" i="1"/>
  <c r="IS148" i="1"/>
  <c r="IR148" i="1"/>
  <c r="L148" i="1" s="1"/>
  <c r="IS145" i="1"/>
  <c r="IR145" i="1"/>
  <c r="L145" i="1" s="1"/>
  <c r="IS144" i="1"/>
  <c r="IR144" i="1"/>
  <c r="L144" i="1" s="1"/>
  <c r="IS143" i="1"/>
  <c r="IR143" i="1"/>
  <c r="IS141" i="1"/>
  <c r="IR141" i="1"/>
  <c r="L141" i="1"/>
  <c r="IS140" i="1"/>
  <c r="IR140" i="1"/>
  <c r="L140" i="1" s="1"/>
  <c r="IS139" i="1"/>
  <c r="IR139" i="1"/>
  <c r="IS138" i="1"/>
  <c r="IR138" i="1"/>
  <c r="L138" i="1" s="1"/>
  <c r="IS137" i="1"/>
  <c r="IR137" i="1"/>
  <c r="L137" i="1"/>
  <c r="IS136" i="1"/>
  <c r="IR136" i="1"/>
  <c r="L136" i="1" s="1"/>
  <c r="IS135" i="1"/>
  <c r="IR135" i="1"/>
  <c r="L135" i="1" s="1"/>
  <c r="IS134" i="1"/>
  <c r="IR134" i="1"/>
  <c r="L134" i="1" s="1"/>
  <c r="IS133" i="1"/>
  <c r="IR133" i="1"/>
  <c r="L133" i="1" s="1"/>
  <c r="IS132" i="1"/>
  <c r="IR132" i="1"/>
  <c r="L132" i="1"/>
  <c r="IS131" i="1"/>
  <c r="IR131" i="1"/>
  <c r="L131" i="1" s="1"/>
  <c r="IS130" i="1"/>
  <c r="IR130" i="1"/>
  <c r="IS129" i="1"/>
  <c r="IR129" i="1"/>
  <c r="L129" i="1" s="1"/>
  <c r="IS128" i="1"/>
  <c r="IR128" i="1"/>
  <c r="L128" i="1"/>
  <c r="IS127" i="1"/>
  <c r="IR127" i="1"/>
  <c r="IS126" i="1"/>
  <c r="IR126" i="1"/>
  <c r="IS125" i="1"/>
  <c r="IR125" i="1"/>
  <c r="L125" i="1"/>
  <c r="IS124" i="1"/>
  <c r="IR124" i="1"/>
  <c r="L124" i="1" s="1"/>
  <c r="IS123" i="1"/>
  <c r="IR123" i="1"/>
  <c r="IS122" i="1"/>
  <c r="IR122" i="1"/>
  <c r="L122" i="1" s="1"/>
  <c r="IS121" i="1"/>
  <c r="IR121" i="1"/>
  <c r="L121" i="1"/>
  <c r="IS120" i="1"/>
  <c r="IR120" i="1"/>
  <c r="IS119" i="1"/>
  <c r="IR119" i="1"/>
  <c r="L119" i="1" s="1"/>
  <c r="IS118" i="1"/>
  <c r="IR118" i="1"/>
  <c r="L118" i="1" s="1"/>
  <c r="IS117" i="1"/>
  <c r="IR117" i="1"/>
  <c r="L117" i="1" s="1"/>
  <c r="IS116" i="1"/>
  <c r="IR116" i="1"/>
  <c r="L116" i="1"/>
  <c r="IS115" i="1"/>
  <c r="IR115" i="1"/>
  <c r="L115" i="1" s="1"/>
  <c r="IS112" i="1"/>
  <c r="IR112" i="1"/>
  <c r="L112" i="1" s="1"/>
  <c r="IS111" i="1"/>
  <c r="IR111" i="1"/>
  <c r="IS110" i="1"/>
  <c r="IR110" i="1"/>
  <c r="L110" i="1" s="1"/>
  <c r="IS108" i="1"/>
  <c r="IR108" i="1"/>
  <c r="L108" i="1" s="1"/>
  <c r="IS107" i="1"/>
  <c r="IR107" i="1"/>
  <c r="L107" i="1" s="1"/>
  <c r="IS106" i="1"/>
  <c r="IR106" i="1"/>
  <c r="L106" i="1"/>
  <c r="IS105" i="1"/>
  <c r="IR105" i="1"/>
  <c r="L105" i="1" s="1"/>
  <c r="IS104" i="1"/>
  <c r="IR104" i="1"/>
  <c r="IS103" i="1"/>
  <c r="IR103" i="1"/>
  <c r="L103" i="1"/>
  <c r="IS102" i="1"/>
  <c r="IR102" i="1"/>
  <c r="L102" i="1"/>
  <c r="IS101" i="1"/>
  <c r="IR101" i="1"/>
  <c r="IS100" i="1"/>
  <c r="IR100" i="1"/>
  <c r="L100" i="1" s="1"/>
  <c r="IS99" i="1"/>
  <c r="IR99" i="1"/>
  <c r="L99" i="1"/>
  <c r="IS98" i="1"/>
  <c r="IR98" i="1"/>
  <c r="L98" i="1" s="1"/>
  <c r="IS97" i="1"/>
  <c r="IR97" i="1"/>
  <c r="L97" i="1" s="1"/>
  <c r="IS96" i="1"/>
  <c r="IR96" i="1"/>
  <c r="L96" i="1" s="1"/>
  <c r="IS95" i="1"/>
  <c r="IR95" i="1"/>
  <c r="L95" i="1" s="1"/>
  <c r="IS94" i="1"/>
  <c r="L94" i="1" s="1"/>
  <c r="IR94" i="1"/>
  <c r="IS93" i="1"/>
  <c r="IR93" i="1"/>
  <c r="L93" i="1" s="1"/>
  <c r="IS92" i="1"/>
  <c r="IR92" i="1"/>
  <c r="L92" i="1" s="1"/>
  <c r="IS91" i="1"/>
  <c r="IR91" i="1"/>
  <c r="IS90" i="1"/>
  <c r="IR90" i="1"/>
  <c r="L90" i="1"/>
  <c r="IS89" i="1"/>
  <c r="IR89" i="1"/>
  <c r="L89" i="1" s="1"/>
  <c r="IS88" i="1"/>
  <c r="IR88" i="1"/>
  <c r="IS87" i="1"/>
  <c r="IR87" i="1"/>
  <c r="L87" i="1"/>
  <c r="IS86" i="1"/>
  <c r="IR86" i="1"/>
  <c r="L86" i="1"/>
  <c r="IS85" i="1"/>
  <c r="IR85" i="1"/>
  <c r="IS84" i="1"/>
  <c r="IR84" i="1"/>
  <c r="L84" i="1" s="1"/>
  <c r="IS83" i="1"/>
  <c r="IR83" i="1"/>
  <c r="L83" i="1"/>
  <c r="IS82" i="1"/>
  <c r="IR82" i="1"/>
  <c r="IS79" i="1"/>
  <c r="IR79" i="1"/>
  <c r="L79" i="1"/>
  <c r="IS78" i="1"/>
  <c r="IR78" i="1"/>
  <c r="L78" i="1"/>
  <c r="IS77" i="1"/>
  <c r="IR77" i="1"/>
  <c r="IS75" i="1"/>
  <c r="IR75" i="1"/>
  <c r="L75" i="1" s="1"/>
  <c r="IS74" i="1"/>
  <c r="IR74" i="1"/>
  <c r="L74" i="1" s="1"/>
  <c r="IS73" i="1"/>
  <c r="IR73" i="1"/>
  <c r="L73" i="1" s="1"/>
  <c r="IS72" i="1"/>
  <c r="L72" i="1" s="1"/>
  <c r="IR72" i="1"/>
  <c r="IS71" i="1"/>
  <c r="IR71" i="1"/>
  <c r="L71" i="1" s="1"/>
  <c r="IS70" i="1"/>
  <c r="IR70" i="1"/>
  <c r="L70" i="1" s="1"/>
  <c r="IS69" i="1"/>
  <c r="IR69" i="1"/>
  <c r="IS68" i="1"/>
  <c r="IR68" i="1"/>
  <c r="L68" i="1"/>
  <c r="IS67" i="1"/>
  <c r="IR67" i="1"/>
  <c r="L67" i="1" s="1"/>
  <c r="IS66" i="1"/>
  <c r="IR66" i="1"/>
  <c r="IS65" i="1"/>
  <c r="IR65" i="1"/>
  <c r="L65" i="1"/>
  <c r="IS64" i="1"/>
  <c r="IR64" i="1"/>
  <c r="L64" i="1"/>
  <c r="IS63" i="1"/>
  <c r="IR63" i="1"/>
  <c r="IS62" i="1"/>
  <c r="IR62" i="1"/>
  <c r="L62" i="1" s="1"/>
  <c r="IS61" i="1"/>
  <c r="IR61" i="1"/>
  <c r="L61" i="1"/>
  <c r="IS60" i="1"/>
  <c r="IR60" i="1"/>
  <c r="L60" i="1"/>
  <c r="IS59" i="1"/>
  <c r="IR59" i="1"/>
  <c r="L59" i="1" s="1"/>
  <c r="IS58" i="1"/>
  <c r="IR58" i="1"/>
  <c r="L58" i="1" s="1"/>
  <c r="IS57" i="1"/>
  <c r="IR57" i="1"/>
  <c r="L57" i="1"/>
  <c r="IS56" i="1"/>
  <c r="L56" i="1" s="1"/>
  <c r="IR56" i="1"/>
  <c r="IS55" i="1"/>
  <c r="IR55" i="1"/>
  <c r="L55" i="1" s="1"/>
  <c r="IS54" i="1"/>
  <c r="IR54" i="1"/>
  <c r="L54" i="1" s="1"/>
  <c r="IS53" i="1"/>
  <c r="IR53" i="1"/>
  <c r="L53" i="1" s="1"/>
  <c r="IS52" i="1"/>
  <c r="IR52" i="1"/>
  <c r="L52" i="1"/>
  <c r="IS51" i="1"/>
  <c r="IR51" i="1"/>
  <c r="L51" i="1" s="1"/>
  <c r="IS50" i="1"/>
  <c r="IR50" i="1"/>
  <c r="IS49" i="1"/>
  <c r="IR49" i="1"/>
  <c r="L49" i="1"/>
  <c r="IS46" i="1"/>
  <c r="IR46" i="1"/>
  <c r="L46" i="1" s="1"/>
  <c r="IS45" i="1"/>
  <c r="IR45" i="1"/>
  <c r="L45" i="1" s="1"/>
  <c r="IS44" i="1"/>
  <c r="IR44" i="1"/>
  <c r="L44" i="1"/>
  <c r="IS43" i="1"/>
  <c r="IR43" i="1"/>
  <c r="L43" i="1" s="1"/>
  <c r="IS42" i="1"/>
  <c r="IR42" i="1"/>
  <c r="L42" i="1" s="1"/>
  <c r="IS41" i="1"/>
  <c r="L41" i="1" s="1"/>
  <c r="IR41" i="1"/>
  <c r="IS40" i="1"/>
  <c r="IR40" i="1"/>
  <c r="L40" i="1"/>
  <c r="IS39" i="1"/>
  <c r="IR39" i="1"/>
  <c r="IS38" i="1"/>
  <c r="IR38" i="1"/>
  <c r="IS37" i="1"/>
  <c r="IR37" i="1"/>
  <c r="L37" i="1"/>
  <c r="IS34" i="1"/>
  <c r="IR34" i="1"/>
  <c r="L34" i="1" s="1"/>
  <c r="IS33" i="1"/>
  <c r="IR33" i="1"/>
  <c r="L33" i="1" s="1"/>
  <c r="IS32" i="1"/>
  <c r="IR32" i="1"/>
  <c r="L32" i="1"/>
  <c r="IS31" i="1"/>
  <c r="IR31" i="1"/>
  <c r="L31" i="1" s="1"/>
  <c r="IS30" i="1"/>
  <c r="IR30" i="1"/>
  <c r="IS29" i="1"/>
  <c r="IR29" i="1"/>
  <c r="L29" i="1"/>
  <c r="IS28" i="1"/>
  <c r="IR28" i="1"/>
  <c r="L28" i="1"/>
  <c r="IS27" i="1"/>
  <c r="IR27" i="1"/>
  <c r="IS26" i="1"/>
  <c r="IR26" i="1"/>
  <c r="L26" i="1" s="1"/>
  <c r="IS25" i="1"/>
  <c r="IR25" i="1"/>
  <c r="L25" i="1"/>
  <c r="IS22" i="1"/>
  <c r="IR22" i="1"/>
  <c r="L22" i="1" s="1"/>
  <c r="IS21" i="1"/>
  <c r="L21" i="1" s="1"/>
  <c r="IR21" i="1"/>
  <c r="IS20" i="1"/>
  <c r="IR20" i="1"/>
  <c r="L20" i="1"/>
  <c r="IS19" i="1"/>
  <c r="IR19" i="1"/>
  <c r="IS18" i="1"/>
  <c r="IR18" i="1"/>
  <c r="IS17" i="1"/>
  <c r="IR17" i="1"/>
  <c r="L17" i="1"/>
  <c r="IS16" i="1"/>
  <c r="IR16" i="1"/>
  <c r="L16" i="1" s="1"/>
  <c r="IS15" i="1"/>
  <c r="IR15" i="1"/>
  <c r="IS14" i="1"/>
  <c r="IR14" i="1"/>
  <c r="L14" i="1" s="1"/>
  <c r="IS13" i="1"/>
  <c r="IR13" i="1"/>
  <c r="L13" i="1"/>
  <c r="I8" i="1"/>
  <c r="G8" i="1"/>
  <c r="D8" i="1"/>
  <c r="I6" i="1"/>
  <c r="G6" i="1"/>
  <c r="D6" i="1"/>
  <c r="I4" i="1"/>
  <c r="G4" i="1"/>
  <c r="D4" i="1"/>
  <c r="I2" i="1"/>
  <c r="G2" i="1"/>
  <c r="D2" i="1"/>
  <c r="L27" i="1" l="1"/>
  <c r="L30" i="1"/>
  <c r="L39" i="1"/>
  <c r="L91" i="1"/>
  <c r="L183" i="1"/>
  <c r="L227" i="1"/>
  <c r="L340" i="1"/>
  <c r="L339" i="1" s="1"/>
  <c r="L392" i="1"/>
  <c r="L406" i="1"/>
  <c r="L405" i="1" s="1"/>
  <c r="L416" i="1"/>
  <c r="L415" i="1" s="1"/>
  <c r="AX34" i="5"/>
  <c r="BI34" i="5"/>
  <c r="AE34" i="5" s="1"/>
  <c r="BH50" i="5"/>
  <c r="AW83" i="5"/>
  <c r="BC83" i="5" s="1"/>
  <c r="BD114" i="5"/>
  <c r="AP114" i="5"/>
  <c r="AO114" i="5"/>
  <c r="BH114" i="5" s="1"/>
  <c r="AD114" i="5" s="1"/>
  <c r="L114" i="5"/>
  <c r="M114" i="5" s="1"/>
  <c r="BD116" i="5"/>
  <c r="AP116" i="5"/>
  <c r="AO116" i="5"/>
  <c r="J116" i="5" s="1"/>
  <c r="BH222" i="5"/>
  <c r="AD222" i="5" s="1"/>
  <c r="J222" i="5"/>
  <c r="BD226" i="5"/>
  <c r="AO226" i="5"/>
  <c r="C20" i="3"/>
  <c r="BI31" i="5"/>
  <c r="AE31" i="5" s="1"/>
  <c r="K31" i="5"/>
  <c r="BD48" i="5"/>
  <c r="AO48" i="5"/>
  <c r="BH48" i="5" s="1"/>
  <c r="AD48" i="5" s="1"/>
  <c r="AO83" i="5"/>
  <c r="AP83" i="5"/>
  <c r="BD99" i="5"/>
  <c r="AP99" i="5"/>
  <c r="AX99" i="5" s="1"/>
  <c r="AO99" i="5"/>
  <c r="J99" i="5" s="1"/>
  <c r="BD103" i="5"/>
  <c r="AP103" i="5"/>
  <c r="AX103" i="5" s="1"/>
  <c r="AO103" i="5"/>
  <c r="BI173" i="5"/>
  <c r="AE173" i="5" s="1"/>
  <c r="K173" i="5"/>
  <c r="L19" i="1"/>
  <c r="L82" i="1"/>
  <c r="L120" i="1"/>
  <c r="L130" i="1"/>
  <c r="L171" i="1"/>
  <c r="L147" i="1" s="1"/>
  <c r="L146" i="1" s="1"/>
  <c r="L177" i="1"/>
  <c r="L221" i="1"/>
  <c r="L263" i="1"/>
  <c r="L272" i="1"/>
  <c r="L388" i="1"/>
  <c r="L387" i="1" s="1"/>
  <c r="C27" i="3"/>
  <c r="BD24" i="5"/>
  <c r="AP24" i="5"/>
  <c r="BI24" i="5" s="1"/>
  <c r="AE24" i="5" s="1"/>
  <c r="AO24" i="5"/>
  <c r="J24" i="5" s="1"/>
  <c r="BH30" i="5"/>
  <c r="AD30" i="5" s="1"/>
  <c r="J30" i="5"/>
  <c r="AW30" i="5"/>
  <c r="AO79" i="5"/>
  <c r="AP79" i="5"/>
  <c r="BD81" i="5"/>
  <c r="AP81" i="5"/>
  <c r="BI81" i="5" s="1"/>
  <c r="AE81" i="5" s="1"/>
  <c r="BH135" i="5"/>
  <c r="AD135" i="5" s="1"/>
  <c r="J135" i="5"/>
  <c r="BD175" i="5"/>
  <c r="AP175" i="5"/>
  <c r="BI175" i="5" s="1"/>
  <c r="AE175" i="5" s="1"/>
  <c r="AO175" i="5"/>
  <c r="BH218" i="5"/>
  <c r="AD218" i="5" s="1"/>
  <c r="J218" i="5"/>
  <c r="L220" i="5"/>
  <c r="M220" i="5" s="1"/>
  <c r="BD220" i="5"/>
  <c r="AP220" i="5"/>
  <c r="AO220" i="5"/>
  <c r="L69" i="1"/>
  <c r="L127" i="1"/>
  <c r="L202" i="1"/>
  <c r="L176" i="1" s="1"/>
  <c r="L175" i="1" s="1"/>
  <c r="L211" i="1"/>
  <c r="L269" i="1"/>
  <c r="AP42" i="5"/>
  <c r="AX42" i="5" s="1"/>
  <c r="BJ42" i="5"/>
  <c r="AX68" i="5"/>
  <c r="K68" i="5"/>
  <c r="BD76" i="5"/>
  <c r="AP76" i="5"/>
  <c r="AX76" i="5" s="1"/>
  <c r="BH105" i="5"/>
  <c r="AD105" i="5" s="1"/>
  <c r="J105" i="5"/>
  <c r="AO132" i="5"/>
  <c r="AP132" i="5"/>
  <c r="L132" i="5"/>
  <c r="M132" i="5" s="1"/>
  <c r="BJ132" i="5"/>
  <c r="BD132" i="5"/>
  <c r="BH34" i="5"/>
  <c r="AD34" i="5" s="1"/>
  <c r="J34" i="5"/>
  <c r="AW34" i="5"/>
  <c r="BC34" i="5" s="1"/>
  <c r="L319" i="1"/>
  <c r="AP18" i="5"/>
  <c r="AX18" i="5" s="1"/>
  <c r="AO18" i="5"/>
  <c r="BH18" i="5" s="1"/>
  <c r="AD18" i="5" s="1"/>
  <c r="BJ18" i="5"/>
  <c r="L18" i="5"/>
  <c r="AS28" i="5"/>
  <c r="AO60" i="5"/>
  <c r="AP60" i="5"/>
  <c r="BI68" i="5"/>
  <c r="AE68" i="5" s="1"/>
  <c r="AW125" i="5"/>
  <c r="BH139" i="5"/>
  <c r="AD139" i="5" s="1"/>
  <c r="J139" i="5"/>
  <c r="BD153" i="5"/>
  <c r="AO153" i="5"/>
  <c r="AW163" i="5"/>
  <c r="J163" i="5"/>
  <c r="BH178" i="5"/>
  <c r="AD178" i="5" s="1"/>
  <c r="AW178" i="5"/>
  <c r="BC178" i="5" s="1"/>
  <c r="AS254" i="5"/>
  <c r="BJ41" i="5"/>
  <c r="AO41" i="5"/>
  <c r="J41" i="5" s="1"/>
  <c r="L41" i="5"/>
  <c r="M41" i="5" s="1"/>
  <c r="BD41" i="5"/>
  <c r="AP41" i="5"/>
  <c r="AX41" i="5" s="1"/>
  <c r="AP100" i="5"/>
  <c r="K100" i="5" s="1"/>
  <c r="BD100" i="5"/>
  <c r="AO100" i="5"/>
  <c r="BH100" i="5" s="1"/>
  <c r="AD100" i="5" s="1"/>
  <c r="BJ100" i="5"/>
  <c r="L100" i="5"/>
  <c r="AP104" i="5"/>
  <c r="BJ104" i="5"/>
  <c r="BD104" i="5"/>
  <c r="AO104" i="5"/>
  <c r="BH104" i="5" s="1"/>
  <c r="AD104" i="5" s="1"/>
  <c r="BH123" i="5"/>
  <c r="AD123" i="5" s="1"/>
  <c r="J123" i="5"/>
  <c r="AX163" i="5"/>
  <c r="K163" i="5"/>
  <c r="K166" i="5"/>
  <c r="AP229" i="5"/>
  <c r="BD229" i="5"/>
  <c r="BI236" i="5"/>
  <c r="AE236" i="5" s="1"/>
  <c r="K236" i="5"/>
  <c r="AX236" i="5"/>
  <c r="L50" i="1"/>
  <c r="L143" i="1"/>
  <c r="L142" i="1" s="1"/>
  <c r="L186" i="1"/>
  <c r="L196" i="1"/>
  <c r="L230" i="1"/>
  <c r="L292" i="1"/>
  <c r="L291" i="1" s="1"/>
  <c r="L344" i="1"/>
  <c r="L358" i="1"/>
  <c r="L357" i="1" s="1"/>
  <c r="L368" i="1"/>
  <c r="L367" i="1" s="1"/>
  <c r="L445" i="1"/>
  <c r="L444" i="1" s="1"/>
  <c r="AP15" i="5"/>
  <c r="AO15" i="5"/>
  <c r="AW15" i="5" s="1"/>
  <c r="BJ15" i="5"/>
  <c r="L15" i="5"/>
  <c r="L13" i="5" s="1"/>
  <c r="AK35" i="5"/>
  <c r="M35" i="5"/>
  <c r="K45" i="5"/>
  <c r="BI45" i="5"/>
  <c r="AE45" i="5" s="1"/>
  <c r="BJ47" i="5"/>
  <c r="AO47" i="5"/>
  <c r="L47" i="5"/>
  <c r="M47" i="5" s="1"/>
  <c r="BD47" i="5"/>
  <c r="AP47" i="5"/>
  <c r="L104" i="5"/>
  <c r="BD129" i="5"/>
  <c r="AO129" i="5"/>
  <c r="AU127" i="5"/>
  <c r="BD137" i="5"/>
  <c r="AO137" i="5"/>
  <c r="AO148" i="5"/>
  <c r="AW148" i="5" s="1"/>
  <c r="BD148" i="5"/>
  <c r="AP148" i="5"/>
  <c r="BH151" i="5"/>
  <c r="AD151" i="5" s="1"/>
  <c r="J151" i="5"/>
  <c r="BJ175" i="5"/>
  <c r="BH214" i="5"/>
  <c r="AD214" i="5" s="1"/>
  <c r="J214" i="5"/>
  <c r="BD472" i="5"/>
  <c r="AP472" i="5"/>
  <c r="AO472" i="5"/>
  <c r="AP125" i="5"/>
  <c r="AO125" i="5"/>
  <c r="AW161" i="5"/>
  <c r="BD173" i="5"/>
  <c r="BD183" i="5"/>
  <c r="AP183" i="5"/>
  <c r="BH210" i="5"/>
  <c r="AD210" i="5" s="1"/>
  <c r="J210" i="5"/>
  <c r="AP212" i="5"/>
  <c r="AO212" i="5"/>
  <c r="J216" i="5"/>
  <c r="AO231" i="5"/>
  <c r="AP231" i="5"/>
  <c r="BJ231" i="5"/>
  <c r="BD231" i="5"/>
  <c r="AX249" i="5"/>
  <c r="K249" i="5"/>
  <c r="L256" i="5"/>
  <c r="M256" i="5" s="1"/>
  <c r="BD256" i="5"/>
  <c r="AP281" i="5"/>
  <c r="K281" i="5" s="1"/>
  <c r="AO283" i="5"/>
  <c r="BJ283" i="5"/>
  <c r="AO297" i="5"/>
  <c r="AP297" i="5"/>
  <c r="BD328" i="5"/>
  <c r="L328" i="5"/>
  <c r="AK328" i="5" s="1"/>
  <c r="BJ328" i="5"/>
  <c r="AP328" i="5"/>
  <c r="AX328" i="5" s="1"/>
  <c r="AO328" i="5"/>
  <c r="BH96" i="5"/>
  <c r="AD96" i="5" s="1"/>
  <c r="BD108" i="5"/>
  <c r="AX118" i="5"/>
  <c r="AS127" i="5"/>
  <c r="AP134" i="5"/>
  <c r="BD154" i="5"/>
  <c r="BJ173" i="5"/>
  <c r="L183" i="5"/>
  <c r="BJ186" i="5"/>
  <c r="AW196" i="5"/>
  <c r="J196" i="5"/>
  <c r="BI214" i="5"/>
  <c r="AE214" i="5" s="1"/>
  <c r="AP228" i="5"/>
  <c r="AO228" i="5"/>
  <c r="BJ230" i="5"/>
  <c r="L231" i="5"/>
  <c r="AO256" i="5"/>
  <c r="AW256" i="5" s="1"/>
  <c r="BH258" i="5"/>
  <c r="AD258" i="5" s="1"/>
  <c r="BJ296" i="5"/>
  <c r="L297" i="5"/>
  <c r="M297" i="5" s="1"/>
  <c r="BI311" i="5"/>
  <c r="K311" i="5"/>
  <c r="AW334" i="5"/>
  <c r="BH334" i="5"/>
  <c r="AD334" i="5" s="1"/>
  <c r="BD359" i="5"/>
  <c r="AP359" i="5"/>
  <c r="AO359" i="5"/>
  <c r="BH414" i="5"/>
  <c r="AB414" i="5" s="1"/>
  <c r="J414" i="5"/>
  <c r="AW414" i="5"/>
  <c r="AW170" i="5"/>
  <c r="J170" i="5"/>
  <c r="AO190" i="5"/>
  <c r="AV200" i="5"/>
  <c r="BH206" i="5"/>
  <c r="AD206" i="5" s="1"/>
  <c r="J206" i="5"/>
  <c r="AW208" i="5"/>
  <c r="AW214" i="5"/>
  <c r="AO244" i="5"/>
  <c r="AP244" i="5"/>
  <c r="AX244" i="5" s="1"/>
  <c r="AX251" i="5"/>
  <c r="BI251" i="5"/>
  <c r="AE251" i="5" s="1"/>
  <c r="AP296" i="5"/>
  <c r="AX296" i="5" s="1"/>
  <c r="BD296" i="5"/>
  <c r="AO345" i="5"/>
  <c r="AP345" i="5"/>
  <c r="BD204" i="5"/>
  <c r="AP204" i="5"/>
  <c r="AO204" i="5"/>
  <c r="AW204" i="5" s="1"/>
  <c r="AW212" i="5"/>
  <c r="L293" i="1"/>
  <c r="L341" i="1"/>
  <c r="L389" i="1"/>
  <c r="L20" i="5"/>
  <c r="AK20" i="5" s="1"/>
  <c r="BJ25" i="5"/>
  <c r="AU40" i="5"/>
  <c r="M31" i="5"/>
  <c r="L439" i="1"/>
  <c r="L437" i="1" s="1"/>
  <c r="L14" i="5"/>
  <c r="AO17" i="5"/>
  <c r="J17" i="5" s="1"/>
  <c r="AO20" i="5"/>
  <c r="AW26" i="5"/>
  <c r="BC26" i="5" s="1"/>
  <c r="BJ35" i="5"/>
  <c r="AP112" i="5"/>
  <c r="AO112" i="5"/>
  <c r="BH112" i="5" s="1"/>
  <c r="AD112" i="5" s="1"/>
  <c r="BD134" i="5"/>
  <c r="L111" i="1"/>
  <c r="AO14" i="5"/>
  <c r="BH14" i="5" s="1"/>
  <c r="AD14" i="5" s="1"/>
  <c r="AP17" i="5"/>
  <c r="AP20" i="5"/>
  <c r="BD22" i="5"/>
  <c r="AX26" i="5"/>
  <c r="BH31" i="5"/>
  <c r="AD31" i="5" s="1"/>
  <c r="AW43" i="5"/>
  <c r="BJ58" i="5"/>
  <c r="L96" i="5"/>
  <c r="AO98" i="5"/>
  <c r="BJ101" i="5"/>
  <c r="AP102" i="5"/>
  <c r="BD102" i="5"/>
  <c r="BJ105" i="5"/>
  <c r="AO110" i="5"/>
  <c r="BD113" i="5"/>
  <c r="L113" i="5"/>
  <c r="AO120" i="5"/>
  <c r="AO136" i="5"/>
  <c r="BH136" i="5" s="1"/>
  <c r="AD136" i="5" s="1"/>
  <c r="BD136" i="5"/>
  <c r="AP136" i="5"/>
  <c r="BH138" i="5"/>
  <c r="AD138" i="5" s="1"/>
  <c r="L142" i="5"/>
  <c r="AP146" i="5"/>
  <c r="AO149" i="5"/>
  <c r="AW149" i="5" s="1"/>
  <c r="AO161" i="5"/>
  <c r="BH174" i="5"/>
  <c r="AD174" i="5" s="1"/>
  <c r="BH182" i="5"/>
  <c r="AD182" i="5" s="1"/>
  <c r="AW182" i="5"/>
  <c r="AO189" i="5"/>
  <c r="BI196" i="5"/>
  <c r="AE196" i="5" s="1"/>
  <c r="AP206" i="5"/>
  <c r="BD208" i="5"/>
  <c r="AO208" i="5"/>
  <c r="L212" i="5"/>
  <c r="M212" i="5" s="1"/>
  <c r="AP216" i="5"/>
  <c r="AS225" i="5"/>
  <c r="BJ243" i="5"/>
  <c r="AO264" i="5"/>
  <c r="BH264" i="5" s="1"/>
  <c r="AD264" i="5" s="1"/>
  <c r="L264" i="5"/>
  <c r="BH268" i="5"/>
  <c r="AD268" i="5" s="1"/>
  <c r="AP289" i="5"/>
  <c r="BD289" i="5"/>
  <c r="BD184" i="5"/>
  <c r="AO184" i="5"/>
  <c r="AW188" i="5"/>
  <c r="J188" i="5"/>
  <c r="BH249" i="5"/>
  <c r="AD249" i="5" s="1"/>
  <c r="AW249" i="5"/>
  <c r="BC249" i="5" s="1"/>
  <c r="J249" i="5"/>
  <c r="AW277" i="5"/>
  <c r="AV277" i="5" s="1"/>
  <c r="J277" i="5"/>
  <c r="AO279" i="5"/>
  <c r="AP279" i="5"/>
  <c r="AO281" i="5"/>
  <c r="AW281" i="5" s="1"/>
  <c r="L281" i="5"/>
  <c r="AK281" i="5" s="1"/>
  <c r="BJ281" i="5"/>
  <c r="L281" i="1"/>
  <c r="L329" i="1"/>
  <c r="L377" i="1"/>
  <c r="AS13" i="5"/>
  <c r="AP35" i="5"/>
  <c r="AU52" i="5"/>
  <c r="BI58" i="5"/>
  <c r="AE58" i="5" s="1"/>
  <c r="AU13" i="5"/>
  <c r="L37" i="5"/>
  <c r="AK37" i="5" s="1"/>
  <c r="AP85" i="5"/>
  <c r="AX91" i="5"/>
  <c r="BI123" i="5"/>
  <c r="AE123" i="5" s="1"/>
  <c r="AO128" i="5"/>
  <c r="AP128" i="5"/>
  <c r="L128" i="5"/>
  <c r="AO152" i="5"/>
  <c r="BD152" i="5"/>
  <c r="L15" i="1"/>
  <c r="L12" i="1" s="1"/>
  <c r="L18" i="1"/>
  <c r="L38" i="1"/>
  <c r="L123" i="1"/>
  <c r="L114" i="1" s="1"/>
  <c r="L113" i="1" s="1"/>
  <c r="L126" i="1"/>
  <c r="L139" i="1"/>
  <c r="L189" i="1"/>
  <c r="L192" i="1"/>
  <c r="L205" i="1"/>
  <c r="L217" i="1"/>
  <c r="L207" i="1" s="1"/>
  <c r="L206" i="1" s="1"/>
  <c r="L220" i="1"/>
  <c r="L233" i="1"/>
  <c r="L268" i="1"/>
  <c r="L290" i="1"/>
  <c r="L289" i="1" s="1"/>
  <c r="L308" i="1"/>
  <c r="L307" i="1" s="1"/>
  <c r="L315" i="1"/>
  <c r="L318" i="1"/>
  <c r="L313" i="1" s="1"/>
  <c r="L338" i="1"/>
  <c r="L337" i="1" s="1"/>
  <c r="L356" i="1"/>
  <c r="L355" i="1" s="1"/>
  <c r="L363" i="1"/>
  <c r="L366" i="1"/>
  <c r="L386" i="1"/>
  <c r="L385" i="1" s="1"/>
  <c r="L404" i="1"/>
  <c r="L403" i="1" s="1"/>
  <c r="L411" i="1"/>
  <c r="L414" i="1"/>
  <c r="L429" i="1"/>
  <c r="L428" i="1" s="1"/>
  <c r="BJ14" i="5"/>
  <c r="AW20" i="5"/>
  <c r="AX25" i="5"/>
  <c r="J26" i="5"/>
  <c r="AP37" i="5"/>
  <c r="BI37" i="5" s="1"/>
  <c r="AE37" i="5" s="1"/>
  <c r="AP53" i="5"/>
  <c r="AX53" i="5" s="1"/>
  <c r="AP62" i="5"/>
  <c r="AP64" i="5"/>
  <c r="AX64" i="5" s="1"/>
  <c r="BJ72" i="5"/>
  <c r="AP88" i="5"/>
  <c r="AP91" i="5"/>
  <c r="AS94" i="5"/>
  <c r="AO96" i="5"/>
  <c r="AO97" i="5"/>
  <c r="BD98" i="5"/>
  <c r="AP101" i="5"/>
  <c r="AX101" i="5" s="1"/>
  <c r="AO101" i="5"/>
  <c r="AO102" i="5"/>
  <c r="AO106" i="5"/>
  <c r="BH106" i="5" s="1"/>
  <c r="AD106" i="5" s="1"/>
  <c r="AW108" i="5"/>
  <c r="AP110" i="5"/>
  <c r="BI110" i="5" s="1"/>
  <c r="AE110" i="5" s="1"/>
  <c r="AP120" i="5"/>
  <c r="BI120" i="5" s="1"/>
  <c r="AE120" i="5" s="1"/>
  <c r="AW123" i="5"/>
  <c r="AV123" i="5" s="1"/>
  <c r="BJ128" i="5"/>
  <c r="AP130" i="5"/>
  <c r="BH131" i="5"/>
  <c r="AD131" i="5" s="1"/>
  <c r="BD133" i="5"/>
  <c r="AO133" i="5"/>
  <c r="AW133" i="5" s="1"/>
  <c r="AP142" i="5"/>
  <c r="BD146" i="5"/>
  <c r="BJ156" i="5"/>
  <c r="AP161" i="5"/>
  <c r="AP174" i="5"/>
  <c r="BD174" i="5"/>
  <c r="AO174" i="5"/>
  <c r="J174" i="5" s="1"/>
  <c r="L179" i="5"/>
  <c r="M179" i="5" s="1"/>
  <c r="BJ183" i="5"/>
  <c r="AO186" i="5"/>
  <c r="AW186" i="5" s="1"/>
  <c r="AV186" i="5" s="1"/>
  <c r="BJ188" i="5"/>
  <c r="AP189" i="5"/>
  <c r="AO198" i="5"/>
  <c r="K214" i="5"/>
  <c r="BD216" i="5"/>
  <c r="K218" i="5"/>
  <c r="K222" i="5"/>
  <c r="AO227" i="5"/>
  <c r="AW227" i="5" s="1"/>
  <c r="BD227" i="5"/>
  <c r="AP227" i="5"/>
  <c r="AO230" i="5"/>
  <c r="AP232" i="5"/>
  <c r="AX232" i="5" s="1"/>
  <c r="AO232" i="5"/>
  <c r="AO235" i="5"/>
  <c r="L235" i="5"/>
  <c r="AO240" i="5"/>
  <c r="BH240" i="5" s="1"/>
  <c r="AD240" i="5" s="1"/>
  <c r="L240" i="5"/>
  <c r="BD243" i="5"/>
  <c r="AP243" i="5"/>
  <c r="BJ245" i="5"/>
  <c r="AO260" i="5"/>
  <c r="L260" i="5"/>
  <c r="BH261" i="5"/>
  <c r="AD261" i="5" s="1"/>
  <c r="J261" i="5"/>
  <c r="AO268" i="5"/>
  <c r="AP268" i="5"/>
  <c r="AK273" i="5"/>
  <c r="M273" i="5"/>
  <c r="AW275" i="5"/>
  <c r="AS287" i="5"/>
  <c r="AP293" i="5"/>
  <c r="BD293" i="5"/>
  <c r="AO293" i="5"/>
  <c r="L293" i="5"/>
  <c r="AX303" i="5"/>
  <c r="K303" i="5"/>
  <c r="BJ308" i="5"/>
  <c r="AP315" i="5"/>
  <c r="BD320" i="5"/>
  <c r="AP320" i="5"/>
  <c r="AX320" i="5" s="1"/>
  <c r="AS362" i="5"/>
  <c r="BD365" i="5"/>
  <c r="AO365" i="5"/>
  <c r="AW365" i="5" s="1"/>
  <c r="L63" i="1"/>
  <c r="L66" i="1"/>
  <c r="L77" i="1"/>
  <c r="L76" i="1" s="1"/>
  <c r="L85" i="1"/>
  <c r="L88" i="1"/>
  <c r="L81" i="1" s="1"/>
  <c r="L101" i="1"/>
  <c r="L104" i="1"/>
  <c r="L149" i="1"/>
  <c r="L152" i="1"/>
  <c r="L165" i="1"/>
  <c r="L168" i="1"/>
  <c r="L245" i="1"/>
  <c r="L248" i="1"/>
  <c r="L236" i="1" s="1"/>
  <c r="L235" i="1" s="1"/>
  <c r="L257" i="1"/>
  <c r="L260" i="1"/>
  <c r="L300" i="1"/>
  <c r="L348" i="1"/>
  <c r="L396" i="1"/>
  <c r="L436" i="1"/>
  <c r="L435" i="1" s="1"/>
  <c r="C19" i="3"/>
  <c r="K58" i="5"/>
  <c r="BJ76" i="5"/>
  <c r="BJ79" i="5"/>
  <c r="BI86" i="5"/>
  <c r="AE86" i="5" s="1"/>
  <c r="AW114" i="5"/>
  <c r="BD118" i="5"/>
  <c r="AO118" i="5"/>
  <c r="BD125" i="5"/>
  <c r="BD142" i="5"/>
  <c r="BJ146" i="5"/>
  <c r="L166" i="5"/>
  <c r="AO166" i="5"/>
  <c r="L173" i="5"/>
  <c r="M173" i="5" s="1"/>
  <c r="BD185" i="5"/>
  <c r="AP185" i="5"/>
  <c r="BD192" i="5"/>
  <c r="AP192" i="5"/>
  <c r="AP198" i="5"/>
  <c r="BH200" i="5"/>
  <c r="AD200" i="5" s="1"/>
  <c r="J200" i="5"/>
  <c r="J202" i="5"/>
  <c r="K208" i="5"/>
  <c r="AW210" i="5"/>
  <c r="BD212" i="5"/>
  <c r="AW220" i="5"/>
  <c r="BJ226" i="5"/>
  <c r="AO236" i="5"/>
  <c r="BD245" i="5"/>
  <c r="AO245" i="5"/>
  <c r="BD258" i="5"/>
  <c r="L258" i="5"/>
  <c r="AK258" i="5" s="1"/>
  <c r="BJ258" i="5"/>
  <c r="AO275" i="5"/>
  <c r="AP275" i="5"/>
  <c r="K277" i="5"/>
  <c r="AU287" i="5"/>
  <c r="AO296" i="5"/>
  <c r="BH300" i="5"/>
  <c r="J300" i="5"/>
  <c r="BD308" i="5"/>
  <c r="AP308" i="5"/>
  <c r="BD345" i="5"/>
  <c r="AS349" i="5"/>
  <c r="AU362" i="5"/>
  <c r="BJ376" i="5"/>
  <c r="Z376" i="5" s="1"/>
  <c r="AX389" i="5"/>
  <c r="BI389" i="5"/>
  <c r="AE389" i="5" s="1"/>
  <c r="K389" i="5"/>
  <c r="K388" i="5" s="1"/>
  <c r="E57" i="2" s="1"/>
  <c r="AO398" i="5"/>
  <c r="AP398" i="5"/>
  <c r="BH474" i="5"/>
  <c r="J474" i="5"/>
  <c r="J473" i="5" s="1"/>
  <c r="D83" i="2" s="1"/>
  <c r="AX334" i="5"/>
  <c r="BC334" i="5" s="1"/>
  <c r="BI334" i="5"/>
  <c r="AE334" i="5" s="1"/>
  <c r="BC342" i="5"/>
  <c r="BD376" i="5"/>
  <c r="AP376" i="5"/>
  <c r="BD383" i="5"/>
  <c r="AO383" i="5"/>
  <c r="AP480" i="5"/>
  <c r="AO480" i="5"/>
  <c r="L480" i="5"/>
  <c r="BJ480" i="5"/>
  <c r="AP294" i="5"/>
  <c r="AX294" i="5" s="1"/>
  <c r="BJ294" i="5"/>
  <c r="AO318" i="5"/>
  <c r="AP318" i="5"/>
  <c r="AO322" i="5"/>
  <c r="AW322" i="5" s="1"/>
  <c r="AP322" i="5"/>
  <c r="K322" i="5" s="1"/>
  <c r="AO350" i="5"/>
  <c r="AX396" i="5"/>
  <c r="K396" i="5"/>
  <c r="BJ421" i="5"/>
  <c r="BD421" i="5"/>
  <c r="AP421" i="5"/>
  <c r="AO421" i="5"/>
  <c r="L421" i="5"/>
  <c r="M421" i="5" s="1"/>
  <c r="M420" i="5" s="1"/>
  <c r="BD454" i="5"/>
  <c r="BJ454" i="5"/>
  <c r="Z454" i="5" s="1"/>
  <c r="AP454" i="5"/>
  <c r="BI454" i="5" s="1"/>
  <c r="AO454" i="5"/>
  <c r="AW454" i="5" s="1"/>
  <c r="L454" i="5"/>
  <c r="AW401" i="5"/>
  <c r="J401" i="5"/>
  <c r="BJ107" i="5"/>
  <c r="BJ147" i="5"/>
  <c r="BH150" i="5"/>
  <c r="AD150" i="5" s="1"/>
  <c r="BI172" i="5"/>
  <c r="AE172" i="5" s="1"/>
  <c r="AS194" i="5"/>
  <c r="AW202" i="5"/>
  <c r="BI207" i="5"/>
  <c r="AE207" i="5" s="1"/>
  <c r="AW218" i="5"/>
  <c r="BD239" i="5"/>
  <c r="AO239" i="5"/>
  <c r="AW239" i="5" s="1"/>
  <c r="AU254" i="5"/>
  <c r="BJ265" i="5"/>
  <c r="L277" i="5"/>
  <c r="BJ284" i="5"/>
  <c r="AP295" i="5"/>
  <c r="AW353" i="5"/>
  <c r="BJ366" i="5"/>
  <c r="L366" i="5"/>
  <c r="AO367" i="5"/>
  <c r="AO375" i="5"/>
  <c r="BJ375" i="5"/>
  <c r="AO376" i="5"/>
  <c r="AP383" i="5"/>
  <c r="AX383" i="5" s="1"/>
  <c r="BI426" i="5"/>
  <c r="AE426" i="5" s="1"/>
  <c r="K426" i="5"/>
  <c r="BD480" i="5"/>
  <c r="AW110" i="5"/>
  <c r="AU94" i="5"/>
  <c r="AW120" i="5"/>
  <c r="BJ139" i="5"/>
  <c r="AP140" i="5"/>
  <c r="AP144" i="5"/>
  <c r="BH146" i="5"/>
  <c r="AD146" i="5" s="1"/>
  <c r="BH154" i="5"/>
  <c r="BJ163" i="5"/>
  <c r="BI164" i="5"/>
  <c r="AE164" i="5" s="1"/>
  <c r="BI219" i="5"/>
  <c r="AE219" i="5" s="1"/>
  <c r="AW222" i="5"/>
  <c r="AU225" i="5"/>
  <c r="AW234" i="5"/>
  <c r="BH234" i="5"/>
  <c r="AD234" i="5" s="1"/>
  <c r="BJ236" i="5"/>
  <c r="J255" i="5"/>
  <c r="BH255" i="5"/>
  <c r="AD255" i="5" s="1"/>
  <c r="AO262" i="5"/>
  <c r="BI274" i="5"/>
  <c r="AE274" i="5" s="1"/>
  <c r="AP292" i="5"/>
  <c r="AX292" i="5" s="1"/>
  <c r="BD292" i="5"/>
  <c r="AO294" i="5"/>
  <c r="BD295" i="5"/>
  <c r="L334" i="5"/>
  <c r="L333" i="5" s="1"/>
  <c r="F45" i="2" s="1"/>
  <c r="I45" i="2" s="1"/>
  <c r="BI353" i="5"/>
  <c r="K353" i="5"/>
  <c r="BD364" i="5"/>
  <c r="AO366" i="5"/>
  <c r="BH366" i="5" s="1"/>
  <c r="AB366" i="5" s="1"/>
  <c r="J369" i="5"/>
  <c r="BH371" i="5"/>
  <c r="AB371" i="5" s="1"/>
  <c r="BJ373" i="5"/>
  <c r="AU374" i="5"/>
  <c r="BD389" i="5"/>
  <c r="AO389" i="5"/>
  <c r="K415" i="5"/>
  <c r="BI415" i="5"/>
  <c r="AC415" i="5" s="1"/>
  <c r="BI417" i="5"/>
  <c r="K417" i="5"/>
  <c r="BD273" i="5"/>
  <c r="BJ273" i="5"/>
  <c r="AP290" i="5"/>
  <c r="AX290" i="5" s="1"/>
  <c r="AO290" i="5"/>
  <c r="BH290" i="5" s="1"/>
  <c r="AD290" i="5" s="1"/>
  <c r="AP298" i="5"/>
  <c r="AX298" i="5" s="1"/>
  <c r="AO298" i="5"/>
  <c r="J298" i="5" s="1"/>
  <c r="AU302" i="5"/>
  <c r="AS316" i="5"/>
  <c r="AS321" i="5"/>
  <c r="BD342" i="5"/>
  <c r="L342" i="5"/>
  <c r="AK342" i="5" s="1"/>
  <c r="BD350" i="5"/>
  <c r="AP350" i="5"/>
  <c r="BD373" i="5"/>
  <c r="AP373" i="5"/>
  <c r="AX386" i="5"/>
  <c r="K386" i="5"/>
  <c r="BI431" i="5"/>
  <c r="AE431" i="5" s="1"/>
  <c r="K431" i="5"/>
  <c r="BJ232" i="5"/>
  <c r="BJ270" i="5"/>
  <c r="Z270" i="5" s="1"/>
  <c r="AW298" i="5"/>
  <c r="BJ300" i="5"/>
  <c r="Z300" i="5" s="1"/>
  <c r="BJ318" i="5"/>
  <c r="AU321" i="5"/>
  <c r="AS339" i="5"/>
  <c r="BJ356" i="5"/>
  <c r="Z356" i="5" s="1"/>
  <c r="AW359" i="5"/>
  <c r="AU379" i="5"/>
  <c r="AP393" i="5"/>
  <c r="L401" i="5"/>
  <c r="BJ405" i="5"/>
  <c r="Z405" i="5" s="1"/>
  <c r="AP407" i="5"/>
  <c r="K407" i="5" s="1"/>
  <c r="BJ411" i="5"/>
  <c r="AO424" i="5"/>
  <c r="BJ426" i="5"/>
  <c r="BD431" i="5"/>
  <c r="BD446" i="5"/>
  <c r="AS448" i="5"/>
  <c r="AP451" i="5"/>
  <c r="BJ455" i="5"/>
  <c r="Z455" i="5" s="1"/>
  <c r="BD460" i="5"/>
  <c r="BJ471" i="5"/>
  <c r="AP474" i="5"/>
  <c r="AU479" i="5"/>
  <c r="BJ415" i="5"/>
  <c r="AP424" i="5"/>
  <c r="K424" i="5" s="1"/>
  <c r="AW426" i="5"/>
  <c r="BJ431" i="5"/>
  <c r="BH434" i="5"/>
  <c r="AD434" i="5" s="1"/>
  <c r="BJ441" i="5"/>
  <c r="AO445" i="5"/>
  <c r="AU448" i="5"/>
  <c r="BM460" i="5"/>
  <c r="BD474" i="5"/>
  <c r="AO478" i="5"/>
  <c r="J478" i="5" s="1"/>
  <c r="J477" i="5" s="1"/>
  <c r="D86" i="2" s="1"/>
  <c r="AO396" i="5"/>
  <c r="AU422" i="5"/>
  <c r="AW431" i="5"/>
  <c r="BJ451" i="5"/>
  <c r="Z451" i="5" s="1"/>
  <c r="AP478" i="5"/>
  <c r="AP483" i="5"/>
  <c r="AU433" i="5"/>
  <c r="BJ241" i="5"/>
  <c r="BJ263" i="5"/>
  <c r="AU272" i="5"/>
  <c r="BD288" i="5"/>
  <c r="AW345" i="5"/>
  <c r="AP378" i="5"/>
  <c r="AS385" i="5"/>
  <c r="AW393" i="5"/>
  <c r="AS394" i="5"/>
  <c r="BJ401" i="5"/>
  <c r="AP401" i="5"/>
  <c r="AW408" i="5"/>
  <c r="AP411" i="5"/>
  <c r="L415" i="5"/>
  <c r="L426" i="5"/>
  <c r="M426" i="5" s="1"/>
  <c r="AU427" i="5"/>
  <c r="AS427" i="5"/>
  <c r="AO434" i="5"/>
  <c r="BD435" i="5"/>
  <c r="AW443" i="5"/>
  <c r="BI445" i="5"/>
  <c r="AC445" i="5" s="1"/>
  <c r="L451" i="5"/>
  <c r="BD453" i="5"/>
  <c r="BO481" i="5"/>
  <c r="BJ483" i="5"/>
  <c r="BJ383" i="5"/>
  <c r="BJ389" i="5"/>
  <c r="BJ396" i="5"/>
  <c r="J408" i="5"/>
  <c r="AX408" i="5"/>
  <c r="AO415" i="5"/>
  <c r="AW415" i="5" s="1"/>
  <c r="AU410" i="5"/>
  <c r="AO426" i="5"/>
  <c r="BI429" i="5"/>
  <c r="AE429" i="5" s="1"/>
  <c r="L431" i="5"/>
  <c r="M431" i="5" s="1"/>
  <c r="AP434" i="5"/>
  <c r="K434" i="5" s="1"/>
  <c r="BJ445" i="5"/>
  <c r="AS461" i="5"/>
  <c r="BM478" i="5"/>
  <c r="L483" i="5"/>
  <c r="BS483" i="5"/>
  <c r="K408" i="5"/>
  <c r="AW421" i="5"/>
  <c r="AP441" i="5"/>
  <c r="K445" i="5"/>
  <c r="BI450" i="5"/>
  <c r="AX454" i="5"/>
  <c r="BD456" i="5"/>
  <c r="AP460" i="5"/>
  <c r="AX460" i="5" s="1"/>
  <c r="BO472" i="5"/>
  <c r="AX480" i="5"/>
  <c r="L304" i="1"/>
  <c r="L352" i="1"/>
  <c r="L400" i="1"/>
  <c r="L442" i="1"/>
  <c r="L36" i="1"/>
  <c r="L35" i="1" s="1"/>
  <c r="L109" i="1"/>
  <c r="L251" i="1"/>
  <c r="L250" i="1" s="1"/>
  <c r="L266" i="1"/>
  <c r="L265" i="1" s="1"/>
  <c r="L24" i="1"/>
  <c r="L23" i="1" s="1"/>
  <c r="L48" i="1"/>
  <c r="L298" i="1"/>
  <c r="L346" i="1"/>
  <c r="L361" i="1"/>
  <c r="L394" i="1"/>
  <c r="L409" i="1"/>
  <c r="L376" i="1" s="1"/>
  <c r="L424" i="1"/>
  <c r="L425" i="1"/>
  <c r="AP33" i="5"/>
  <c r="AO33" i="5"/>
  <c r="J33" i="5" s="1"/>
  <c r="BD33" i="5"/>
  <c r="I22" i="3"/>
  <c r="AP29" i="5"/>
  <c r="AO29" i="5"/>
  <c r="J29" i="5" s="1"/>
  <c r="BD29" i="5"/>
  <c r="C29" i="3"/>
  <c r="F29" i="3" s="1"/>
  <c r="AU28" i="5"/>
  <c r="J14" i="5"/>
  <c r="J25" i="5"/>
  <c r="BI32" i="5"/>
  <c r="AE32" i="5" s="1"/>
  <c r="K32" i="5"/>
  <c r="AX32" i="5"/>
  <c r="M14" i="5"/>
  <c r="AK14" i="5"/>
  <c r="M18" i="5"/>
  <c r="AK18" i="5"/>
  <c r="M25" i="5"/>
  <c r="AK25" i="5"/>
  <c r="BC30" i="5"/>
  <c r="AK26" i="5"/>
  <c r="M26" i="5"/>
  <c r="AW17" i="5"/>
  <c r="BJ17" i="5"/>
  <c r="L17" i="5"/>
  <c r="BI17" i="5"/>
  <c r="AE17" i="5" s="1"/>
  <c r="K17" i="5"/>
  <c r="AX17" i="5"/>
  <c r="O17" i="5"/>
  <c r="BF17" i="5" s="1"/>
  <c r="BH17" i="5"/>
  <c r="AD17" i="5" s="1"/>
  <c r="M20" i="5"/>
  <c r="AW24" i="5"/>
  <c r="BJ24" i="5"/>
  <c r="L24" i="5"/>
  <c r="O24" i="5"/>
  <c r="BF24" i="5" s="1"/>
  <c r="BH24" i="5"/>
  <c r="AD24" i="5" s="1"/>
  <c r="BI30" i="5"/>
  <c r="AE30" i="5" s="1"/>
  <c r="K34" i="5"/>
  <c r="BI16" i="5"/>
  <c r="AE16" i="5" s="1"/>
  <c r="K16" i="5"/>
  <c r="BH16" i="5"/>
  <c r="AD16" i="5" s="1"/>
  <c r="BJ16" i="5"/>
  <c r="L16" i="5"/>
  <c r="BI22" i="5"/>
  <c r="AE22" i="5" s="1"/>
  <c r="K22" i="5"/>
  <c r="BJ22" i="5"/>
  <c r="L22" i="5"/>
  <c r="K30" i="5"/>
  <c r="AX33" i="5"/>
  <c r="BH35" i="5"/>
  <c r="AD35" i="5" s="1"/>
  <c r="AV43" i="5"/>
  <c r="BH46" i="5"/>
  <c r="AD46" i="5" s="1"/>
  <c r="J46" i="5"/>
  <c r="AW46" i="5"/>
  <c r="BD14" i="5"/>
  <c r="BD18" i="5"/>
  <c r="BD25" i="5"/>
  <c r="AW41" i="5"/>
  <c r="BI41" i="5"/>
  <c r="AE41" i="5" s="1"/>
  <c r="L43" i="5"/>
  <c r="AX43" i="5"/>
  <c r="BD44" i="5"/>
  <c r="AP44" i="5"/>
  <c r="AX44" i="5" s="1"/>
  <c r="J48" i="5"/>
  <c r="AW64" i="5"/>
  <c r="BH64" i="5"/>
  <c r="AD64" i="5" s="1"/>
  <c r="J64" i="5"/>
  <c r="BI92" i="5"/>
  <c r="BH99" i="5"/>
  <c r="AD99" i="5" s="1"/>
  <c r="O43" i="5"/>
  <c r="BF43" i="5" s="1"/>
  <c r="BC43" i="5"/>
  <c r="AX47" i="5"/>
  <c r="O47" i="5"/>
  <c r="BF47" i="5" s="1"/>
  <c r="AW47" i="5"/>
  <c r="BH47" i="5"/>
  <c r="AD47" i="5" s="1"/>
  <c r="J47" i="5"/>
  <c r="BH49" i="5"/>
  <c r="AD49" i="5" s="1"/>
  <c r="J49" i="5"/>
  <c r="AX49" i="5"/>
  <c r="O49" i="5"/>
  <c r="BF49" i="5" s="1"/>
  <c r="AW49" i="5"/>
  <c r="BI49" i="5"/>
  <c r="AE49" i="5" s="1"/>
  <c r="K49" i="5"/>
  <c r="K64" i="5"/>
  <c r="AP66" i="5"/>
  <c r="AX66" i="5" s="1"/>
  <c r="AO66" i="5"/>
  <c r="AW66" i="5" s="1"/>
  <c r="BD66" i="5"/>
  <c r="K76" i="5"/>
  <c r="K81" i="5"/>
  <c r="J95" i="5"/>
  <c r="AX98" i="5"/>
  <c r="O98" i="5"/>
  <c r="BF98" i="5" s="1"/>
  <c r="AW98" i="5"/>
  <c r="BJ98" i="5"/>
  <c r="L98" i="5"/>
  <c r="BI98" i="5"/>
  <c r="AE98" i="5" s="1"/>
  <c r="K98" i="5"/>
  <c r="BH98" i="5"/>
  <c r="AD98" i="5" s="1"/>
  <c r="J98" i="5"/>
  <c r="AX115" i="5"/>
  <c r="O115" i="5"/>
  <c r="BF115" i="5" s="1"/>
  <c r="K115" i="5"/>
  <c r="BH115" i="5"/>
  <c r="AD115" i="5" s="1"/>
  <c r="L115" i="5"/>
  <c r="BJ115" i="5"/>
  <c r="AK138" i="5"/>
  <c r="M138" i="5"/>
  <c r="AW158" i="5"/>
  <c r="J158" i="5"/>
  <c r="BH158" i="5"/>
  <c r="AW60" i="5"/>
  <c r="BH60" i="5"/>
  <c r="AD60" i="5" s="1"/>
  <c r="J60" i="5"/>
  <c r="AP63" i="5"/>
  <c r="BI63" i="5" s="1"/>
  <c r="AE63" i="5" s="1"/>
  <c r="AO63" i="5"/>
  <c r="AW63" i="5" s="1"/>
  <c r="BD63" i="5"/>
  <c r="AK96" i="5"/>
  <c r="M96" i="5"/>
  <c r="AX187" i="5"/>
  <c r="O187" i="5"/>
  <c r="BF187" i="5" s="1"/>
  <c r="AW187" i="5"/>
  <c r="BI187" i="5"/>
  <c r="AE187" i="5" s="1"/>
  <c r="K187" i="5"/>
  <c r="BH187" i="5"/>
  <c r="AD187" i="5" s="1"/>
  <c r="J187" i="5"/>
  <c r="L187" i="5"/>
  <c r="BJ187" i="5"/>
  <c r="K14" i="5"/>
  <c r="BI14" i="5"/>
  <c r="AE14" i="5" s="1"/>
  <c r="K18" i="5"/>
  <c r="BI18" i="5"/>
  <c r="AE18" i="5" s="1"/>
  <c r="K25" i="5"/>
  <c r="BI25" i="5"/>
  <c r="AE25" i="5" s="1"/>
  <c r="L30" i="5"/>
  <c r="AV30" i="5"/>
  <c r="O31" i="5"/>
  <c r="BF31" i="5" s="1"/>
  <c r="AX31" i="5"/>
  <c r="BC31" i="5" s="1"/>
  <c r="BD32" i="5"/>
  <c r="BH33" i="5"/>
  <c r="AD33" i="5" s="1"/>
  <c r="L34" i="5"/>
  <c r="AV34" i="5"/>
  <c r="O35" i="5"/>
  <c r="BF35" i="5" s="1"/>
  <c r="AX35" i="5"/>
  <c r="BC35" i="5" s="1"/>
  <c r="BJ36" i="5"/>
  <c r="K41" i="5"/>
  <c r="BI42" i="5"/>
  <c r="AE42" i="5" s="1"/>
  <c r="K42" i="5"/>
  <c r="AO42" i="5"/>
  <c r="BH43" i="5"/>
  <c r="AD43" i="5" s="1"/>
  <c r="M44" i="5"/>
  <c r="AK45" i="5"/>
  <c r="K47" i="5"/>
  <c r="BI47" i="5"/>
  <c r="AE47" i="5" s="1"/>
  <c r="L49" i="5"/>
  <c r="BI53" i="5"/>
  <c r="AE53" i="5" s="1"/>
  <c r="K60" i="5"/>
  <c r="AP61" i="5"/>
  <c r="K61" i="5" s="1"/>
  <c r="AO61" i="5"/>
  <c r="AW61" i="5" s="1"/>
  <c r="BD61" i="5"/>
  <c r="AW88" i="5"/>
  <c r="AX102" i="5"/>
  <c r="O102" i="5"/>
  <c r="BF102" i="5" s="1"/>
  <c r="AW102" i="5"/>
  <c r="BJ102" i="5"/>
  <c r="L102" i="5"/>
  <c r="BI102" i="5"/>
  <c r="AE102" i="5" s="1"/>
  <c r="K102" i="5"/>
  <c r="BH102" i="5"/>
  <c r="AD102" i="5" s="1"/>
  <c r="J102" i="5"/>
  <c r="AX136" i="5"/>
  <c r="O136" i="5"/>
  <c r="BF136" i="5" s="1"/>
  <c r="BJ136" i="5"/>
  <c r="L136" i="5"/>
  <c r="BI136" i="5"/>
  <c r="AE136" i="5" s="1"/>
  <c r="K136" i="5"/>
  <c r="BF156" i="5"/>
  <c r="BH176" i="5"/>
  <c r="AD176" i="5" s="1"/>
  <c r="J176" i="5"/>
  <c r="AW176" i="5"/>
  <c r="AK227" i="5"/>
  <c r="M227" i="5"/>
  <c r="AO36" i="5"/>
  <c r="BI43" i="5"/>
  <c r="AE43" i="5" s="1"/>
  <c r="AW55" i="5"/>
  <c r="BH55" i="5"/>
  <c r="AD55" i="5" s="1"/>
  <c r="J55" i="5"/>
  <c r="AP59" i="5"/>
  <c r="BI59" i="5" s="1"/>
  <c r="AE59" i="5" s="1"/>
  <c r="AO59" i="5"/>
  <c r="AW59" i="5" s="1"/>
  <c r="BD59" i="5"/>
  <c r="AP74" i="5"/>
  <c r="AX74" i="5" s="1"/>
  <c r="AO74" i="5"/>
  <c r="AW74" i="5" s="1"/>
  <c r="BD74" i="5"/>
  <c r="L80" i="5"/>
  <c r="AP80" i="5"/>
  <c r="AX80" i="5" s="1"/>
  <c r="AO80" i="5"/>
  <c r="AW80" i="5" s="1"/>
  <c r="BD80" i="5"/>
  <c r="AP84" i="5"/>
  <c r="K84" i="5" s="1"/>
  <c r="AO84" i="5"/>
  <c r="AW84" i="5" s="1"/>
  <c r="BD84" i="5"/>
  <c r="AK100" i="5"/>
  <c r="M100" i="5"/>
  <c r="AW129" i="5"/>
  <c r="J129" i="5"/>
  <c r="BH129" i="5"/>
  <c r="AD129" i="5" s="1"/>
  <c r="AK132" i="5"/>
  <c r="AW141" i="5"/>
  <c r="J141" i="5"/>
  <c r="BH141" i="5"/>
  <c r="AD141" i="5" s="1"/>
  <c r="AW14" i="5"/>
  <c r="AW25" i="5"/>
  <c r="L29" i="5"/>
  <c r="BJ29" i="5"/>
  <c r="BD31" i="5"/>
  <c r="AO32" i="5"/>
  <c r="L33" i="5"/>
  <c r="BJ33" i="5"/>
  <c r="BD35" i="5"/>
  <c r="AP36" i="5"/>
  <c r="K36" i="5" s="1"/>
  <c r="BH37" i="5"/>
  <c r="AD37" i="5" s="1"/>
  <c r="J37" i="5"/>
  <c r="AX37" i="5"/>
  <c r="BC37" i="5" s="1"/>
  <c r="O37" i="5"/>
  <c r="BF37" i="5" s="1"/>
  <c r="BJ38" i="5"/>
  <c r="Z38" i="5" s="1"/>
  <c r="AO38" i="5"/>
  <c r="O41" i="5"/>
  <c r="BJ43" i="5"/>
  <c r="BJ46" i="5"/>
  <c r="AK47" i="5"/>
  <c r="AW48" i="5"/>
  <c r="AP50" i="5"/>
  <c r="AX50" i="5" s="1"/>
  <c r="BD50" i="5"/>
  <c r="K55" i="5"/>
  <c r="L56" i="5"/>
  <c r="AP56" i="5"/>
  <c r="BI56" i="5" s="1"/>
  <c r="AE56" i="5" s="1"/>
  <c r="AO56" i="5"/>
  <c r="AW56" i="5" s="1"/>
  <c r="BD56" i="5"/>
  <c r="AW72" i="5"/>
  <c r="BH72" i="5"/>
  <c r="AD72" i="5" s="1"/>
  <c r="J72" i="5"/>
  <c r="BI76" i="5"/>
  <c r="AE76" i="5" s="1"/>
  <c r="AW79" i="5"/>
  <c r="BH79" i="5"/>
  <c r="AD79" i="5" s="1"/>
  <c r="J79" i="5"/>
  <c r="AW106" i="5"/>
  <c r="O106" i="5"/>
  <c r="BF106" i="5" s="1"/>
  <c r="L106" i="5"/>
  <c r="BJ106" i="5"/>
  <c r="J106" i="5"/>
  <c r="BI106" i="5"/>
  <c r="AE106" i="5" s="1"/>
  <c r="M121" i="5"/>
  <c r="BC163" i="5"/>
  <c r="AV163" i="5"/>
  <c r="O14" i="5"/>
  <c r="AO16" i="5"/>
  <c r="J16" i="5" s="1"/>
  <c r="O18" i="5"/>
  <c r="BF18" i="5" s="1"/>
  <c r="AO22" i="5"/>
  <c r="AW22" i="5" s="1"/>
  <c r="O25" i="5"/>
  <c r="BF25" i="5" s="1"/>
  <c r="AW33" i="5"/>
  <c r="AP38" i="5"/>
  <c r="AS40" i="5"/>
  <c r="L42" i="5"/>
  <c r="J43" i="5"/>
  <c r="AO44" i="5"/>
  <c r="BH45" i="5"/>
  <c r="AD45" i="5" s="1"/>
  <c r="J45" i="5"/>
  <c r="AX45" i="5"/>
  <c r="AW45" i="5"/>
  <c r="AP46" i="5"/>
  <c r="AX46" i="5" s="1"/>
  <c r="BD46" i="5"/>
  <c r="K53" i="5"/>
  <c r="AP54" i="5"/>
  <c r="BI54" i="5" s="1"/>
  <c r="AE54" i="5" s="1"/>
  <c r="AO54" i="5"/>
  <c r="AW54" i="5" s="1"/>
  <c r="BD54" i="5"/>
  <c r="BI64" i="5"/>
  <c r="AE64" i="5" s="1"/>
  <c r="AP90" i="5"/>
  <c r="K90" i="5" s="1"/>
  <c r="AO90" i="5"/>
  <c r="AW90" i="5" s="1"/>
  <c r="BD90" i="5"/>
  <c r="AK104" i="5"/>
  <c r="M104" i="5"/>
  <c r="AK113" i="5"/>
  <c r="M113" i="5"/>
  <c r="O29" i="5"/>
  <c r="J31" i="5"/>
  <c r="L32" i="5"/>
  <c r="O33" i="5"/>
  <c r="BF33" i="5" s="1"/>
  <c r="J35" i="5"/>
  <c r="L36" i="5"/>
  <c r="K37" i="5"/>
  <c r="AK41" i="5"/>
  <c r="BH41" i="5"/>
  <c r="AD41" i="5" s="1"/>
  <c r="BD42" i="5"/>
  <c r="K43" i="5"/>
  <c r="AS52" i="5"/>
  <c r="BI70" i="5"/>
  <c r="AE70" i="5" s="1"/>
  <c r="BI78" i="5"/>
  <c r="AE78" i="5" s="1"/>
  <c r="BI82" i="5"/>
  <c r="AE82" i="5" s="1"/>
  <c r="AW95" i="5"/>
  <c r="AW99" i="5"/>
  <c r="BH134" i="5"/>
  <c r="AD134" i="5" s="1"/>
  <c r="J134" i="5"/>
  <c r="AX134" i="5"/>
  <c r="O134" i="5"/>
  <c r="BF134" i="5" s="1"/>
  <c r="AW134" i="5"/>
  <c r="BI134" i="5"/>
  <c r="AE134" i="5" s="1"/>
  <c r="K134" i="5"/>
  <c r="L134" i="5"/>
  <c r="BJ134" i="5"/>
  <c r="AS160" i="5"/>
  <c r="AW50" i="5"/>
  <c r="AO53" i="5"/>
  <c r="L54" i="5"/>
  <c r="BJ54" i="5"/>
  <c r="AO58" i="5"/>
  <c r="L59" i="5"/>
  <c r="BJ59" i="5"/>
  <c r="AO62" i="5"/>
  <c r="L63" i="5"/>
  <c r="BJ63" i="5"/>
  <c r="AO68" i="5"/>
  <c r="L70" i="5"/>
  <c r="BJ70" i="5"/>
  <c r="AX72" i="5"/>
  <c r="AO76" i="5"/>
  <c r="L78" i="5"/>
  <c r="BJ78" i="5"/>
  <c r="AX79" i="5"/>
  <c r="AO81" i="5"/>
  <c r="L82" i="5"/>
  <c r="BJ82" i="5"/>
  <c r="AX83" i="5"/>
  <c r="AO85" i="5"/>
  <c r="AW85" i="5" s="1"/>
  <c r="BH85" i="5"/>
  <c r="AD85" i="5" s="1"/>
  <c r="L86" i="5"/>
  <c r="BJ86" i="5"/>
  <c r="O88" i="5"/>
  <c r="BF88" i="5" s="1"/>
  <c r="AX88" i="5"/>
  <c r="J91" i="5"/>
  <c r="AO91" i="5"/>
  <c r="BH91" i="5" s="1"/>
  <c r="AD91" i="5" s="1"/>
  <c r="L92" i="5"/>
  <c r="BJ92" i="5"/>
  <c r="Z92" i="5" s="1"/>
  <c r="BF95" i="5"/>
  <c r="K96" i="5"/>
  <c r="BI96" i="5"/>
  <c r="AE96" i="5" s="1"/>
  <c r="AW97" i="5"/>
  <c r="AW101" i="5"/>
  <c r="K104" i="5"/>
  <c r="BI104" i="5"/>
  <c r="AE104" i="5" s="1"/>
  <c r="AW105" i="5"/>
  <c r="L107" i="5"/>
  <c r="AX107" i="5"/>
  <c r="K108" i="5"/>
  <c r="M110" i="5"/>
  <c r="AK110" i="5"/>
  <c r="AX110" i="5"/>
  <c r="BC110" i="5" s="1"/>
  <c r="AW112" i="5"/>
  <c r="AP113" i="5"/>
  <c r="AO113" i="5"/>
  <c r="AW113" i="5" s="1"/>
  <c r="AX120" i="5"/>
  <c r="BC120" i="5" s="1"/>
  <c r="J131" i="5"/>
  <c r="BI139" i="5"/>
  <c r="AE139" i="5" s="1"/>
  <c r="K139" i="5"/>
  <c r="AX148" i="5"/>
  <c r="O148" i="5"/>
  <c r="BF148" i="5" s="1"/>
  <c r="BJ148" i="5"/>
  <c r="L148" i="5"/>
  <c r="BI148" i="5"/>
  <c r="AE148" i="5" s="1"/>
  <c r="K148" i="5"/>
  <c r="J148" i="5"/>
  <c r="J149" i="5"/>
  <c r="AK150" i="5"/>
  <c r="M150" i="5"/>
  <c r="AP162" i="5"/>
  <c r="AX162" i="5" s="1"/>
  <c r="AO162" i="5"/>
  <c r="AW162" i="5" s="1"/>
  <c r="BD162" i="5"/>
  <c r="BI170" i="5"/>
  <c r="AE170" i="5" s="1"/>
  <c r="BI179" i="5"/>
  <c r="AE179" i="5" s="1"/>
  <c r="K179" i="5"/>
  <c r="M192" i="5"/>
  <c r="AK192" i="5"/>
  <c r="K44" i="5"/>
  <c r="AP48" i="5"/>
  <c r="AX48" i="5" s="1"/>
  <c r="L53" i="5"/>
  <c r="O54" i="5"/>
  <c r="BF54" i="5" s="1"/>
  <c r="AX54" i="5"/>
  <c r="BD55" i="5"/>
  <c r="BH56" i="5"/>
  <c r="AD56" i="5" s="1"/>
  <c r="L58" i="5"/>
  <c r="O59" i="5"/>
  <c r="BF59" i="5" s="1"/>
  <c r="AX59" i="5"/>
  <c r="BD60" i="5"/>
  <c r="L62" i="5"/>
  <c r="O63" i="5"/>
  <c r="BF63" i="5" s="1"/>
  <c r="AX63" i="5"/>
  <c r="BD64" i="5"/>
  <c r="J66" i="5"/>
  <c r="L68" i="5"/>
  <c r="O70" i="5"/>
  <c r="BF70" i="5" s="1"/>
  <c r="AX70" i="5"/>
  <c r="BD72" i="5"/>
  <c r="J74" i="5"/>
  <c r="BH74" i="5"/>
  <c r="AD74" i="5" s="1"/>
  <c r="L76" i="5"/>
  <c r="O78" i="5"/>
  <c r="BF78" i="5" s="1"/>
  <c r="AX78" i="5"/>
  <c r="BD79" i="5"/>
  <c r="J80" i="5"/>
  <c r="BH80" i="5"/>
  <c r="AD80" i="5" s="1"/>
  <c r="L81" i="5"/>
  <c r="BJ81" i="5"/>
  <c r="O82" i="5"/>
  <c r="BF82" i="5" s="1"/>
  <c r="AX82" i="5"/>
  <c r="BD83" i="5"/>
  <c r="L85" i="5"/>
  <c r="BJ85" i="5"/>
  <c r="O86" i="5"/>
  <c r="BF86" i="5" s="1"/>
  <c r="AX86" i="5"/>
  <c r="BD88" i="5"/>
  <c r="L91" i="5"/>
  <c r="BJ91" i="5"/>
  <c r="O92" i="5"/>
  <c r="BF92" i="5" s="1"/>
  <c r="AX92" i="5"/>
  <c r="K95" i="5"/>
  <c r="BI95" i="5"/>
  <c r="AE95" i="5" s="1"/>
  <c r="AW96" i="5"/>
  <c r="K99" i="5"/>
  <c r="BI99" i="5"/>
  <c r="AE99" i="5" s="1"/>
  <c r="AW100" i="5"/>
  <c r="O107" i="5"/>
  <c r="BF107" i="5" s="1"/>
  <c r="BI108" i="5"/>
  <c r="AE108" i="5" s="1"/>
  <c r="K110" i="5"/>
  <c r="J112" i="5"/>
  <c r="AP115" i="5"/>
  <c r="BI115" i="5" s="1"/>
  <c r="AE115" i="5" s="1"/>
  <c r="AO115" i="5"/>
  <c r="J115" i="5" s="1"/>
  <c r="K120" i="5"/>
  <c r="J133" i="5"/>
  <c r="AK235" i="5"/>
  <c r="M235" i="5"/>
  <c r="O244" i="5"/>
  <c r="BF244" i="5" s="1"/>
  <c r="BH244" i="5"/>
  <c r="AD244" i="5" s="1"/>
  <c r="J244" i="5"/>
  <c r="BJ244" i="5"/>
  <c r="L244" i="5"/>
  <c r="AW244" i="5"/>
  <c r="M288" i="5"/>
  <c r="AK288" i="5"/>
  <c r="L48" i="5"/>
  <c r="BJ48" i="5"/>
  <c r="K56" i="5"/>
  <c r="K66" i="5"/>
  <c r="BI66" i="5"/>
  <c r="AE66" i="5" s="1"/>
  <c r="K80" i="5"/>
  <c r="BI80" i="5"/>
  <c r="AE80" i="5" s="1"/>
  <c r="BI84" i="5"/>
  <c r="AE84" i="5" s="1"/>
  <c r="AW91" i="5"/>
  <c r="L95" i="5"/>
  <c r="BJ95" i="5"/>
  <c r="O96" i="5"/>
  <c r="BF96" i="5" s="1"/>
  <c r="AX96" i="5"/>
  <c r="L99" i="5"/>
  <c r="BJ99" i="5"/>
  <c r="O100" i="5"/>
  <c r="BF100" i="5" s="1"/>
  <c r="AX100" i="5"/>
  <c r="L103" i="5"/>
  <c r="BJ103" i="5"/>
  <c r="O104" i="5"/>
  <c r="BF104" i="5" s="1"/>
  <c r="AX104" i="5"/>
  <c r="O117" i="5"/>
  <c r="BF117" i="5" s="1"/>
  <c r="K123" i="5"/>
  <c r="AX128" i="5"/>
  <c r="O128" i="5"/>
  <c r="AW128" i="5"/>
  <c r="BI128" i="5"/>
  <c r="AE128" i="5" s="1"/>
  <c r="K128" i="5"/>
  <c r="BH128" i="5"/>
  <c r="AD128" i="5" s="1"/>
  <c r="J128" i="5"/>
  <c r="AV131" i="5"/>
  <c r="BC131" i="5"/>
  <c r="BI135" i="5"/>
  <c r="AE135" i="5" s="1"/>
  <c r="K135" i="5"/>
  <c r="AX144" i="5"/>
  <c r="O144" i="5"/>
  <c r="BF144" i="5" s="1"/>
  <c r="AW144" i="5"/>
  <c r="BJ144" i="5"/>
  <c r="L144" i="5"/>
  <c r="BI144" i="5"/>
  <c r="AE144" i="5" s="1"/>
  <c r="K144" i="5"/>
  <c r="BH144" i="5"/>
  <c r="AD144" i="5" s="1"/>
  <c r="J144" i="5"/>
  <c r="J145" i="5"/>
  <c r="AK146" i="5"/>
  <c r="M146" i="5"/>
  <c r="BI163" i="5"/>
  <c r="AE163" i="5" s="1"/>
  <c r="M166" i="5"/>
  <c r="AK166" i="5"/>
  <c r="BJ56" i="5"/>
  <c r="L61" i="5"/>
  <c r="BJ61" i="5"/>
  <c r="L66" i="5"/>
  <c r="BJ66" i="5"/>
  <c r="BD70" i="5"/>
  <c r="L74" i="5"/>
  <c r="BJ74" i="5"/>
  <c r="BD78" i="5"/>
  <c r="BJ80" i="5"/>
  <c r="BD82" i="5"/>
  <c r="J83" i="5"/>
  <c r="BH83" i="5"/>
  <c r="AD83" i="5" s="1"/>
  <c r="L84" i="5"/>
  <c r="BJ84" i="5"/>
  <c r="O85" i="5"/>
  <c r="BF85" i="5" s="1"/>
  <c r="BD86" i="5"/>
  <c r="J88" i="5"/>
  <c r="BH88" i="5"/>
  <c r="L90" i="5"/>
  <c r="BJ90" i="5"/>
  <c r="O91" i="5"/>
  <c r="BF91" i="5" s="1"/>
  <c r="BD92" i="5"/>
  <c r="AP106" i="5"/>
  <c r="AX106" i="5" s="1"/>
  <c r="J109" i="5"/>
  <c r="O109" i="5"/>
  <c r="BF109" i="5" s="1"/>
  <c r="J114" i="5"/>
  <c r="AX114" i="5"/>
  <c r="BC114" i="5" s="1"/>
  <c r="AP117" i="5"/>
  <c r="BI117" i="5" s="1"/>
  <c r="AE117" i="5" s="1"/>
  <c r="AO117" i="5"/>
  <c r="AW117" i="5" s="1"/>
  <c r="BJ117" i="5"/>
  <c r="AX119" i="5"/>
  <c r="O119" i="5"/>
  <c r="BF119" i="5" s="1"/>
  <c r="BI119" i="5"/>
  <c r="AE119" i="5" s="1"/>
  <c r="AS122" i="5"/>
  <c r="AX139" i="5"/>
  <c r="BH142" i="5"/>
  <c r="AD142" i="5" s="1"/>
  <c r="BH149" i="5"/>
  <c r="AD149" i="5" s="1"/>
  <c r="L168" i="5"/>
  <c r="AP168" i="5"/>
  <c r="BI168" i="5" s="1"/>
  <c r="AE168" i="5" s="1"/>
  <c r="AO168" i="5"/>
  <c r="AW168" i="5" s="1"/>
  <c r="BD168" i="5"/>
  <c r="BD180" i="5"/>
  <c r="BJ180" i="5"/>
  <c r="L180" i="5"/>
  <c r="AP180" i="5"/>
  <c r="AX180" i="5" s="1"/>
  <c r="AO180" i="5"/>
  <c r="AP201" i="5"/>
  <c r="AX201" i="5" s="1"/>
  <c r="AO201" i="5"/>
  <c r="AW201" i="5" s="1"/>
  <c r="BD201" i="5"/>
  <c r="AW263" i="5"/>
  <c r="J263" i="5"/>
  <c r="BH263" i="5"/>
  <c r="AD263" i="5" s="1"/>
  <c r="BI107" i="5"/>
  <c r="AE107" i="5" s="1"/>
  <c r="BH107" i="5"/>
  <c r="AD107" i="5" s="1"/>
  <c r="J107" i="5"/>
  <c r="AV108" i="5"/>
  <c r="AP109" i="5"/>
  <c r="BI109" i="5" s="1"/>
  <c r="AE109" i="5" s="1"/>
  <c r="AO109" i="5"/>
  <c r="AW109" i="5" s="1"/>
  <c r="BJ109" i="5"/>
  <c r="O111" i="5"/>
  <c r="BF111" i="5" s="1"/>
  <c r="J111" i="5"/>
  <c r="AP119" i="5"/>
  <c r="K119" i="5" s="1"/>
  <c r="AO119" i="5"/>
  <c r="AW119" i="5" s="1"/>
  <c r="BJ119" i="5"/>
  <c r="AP124" i="5"/>
  <c r="K124" i="5" s="1"/>
  <c r="AO124" i="5"/>
  <c r="AW124" i="5" s="1"/>
  <c r="BD124" i="5"/>
  <c r="M128" i="5"/>
  <c r="AK128" i="5"/>
  <c r="BH130" i="5"/>
  <c r="AD130" i="5" s="1"/>
  <c r="J130" i="5"/>
  <c r="AX130" i="5"/>
  <c r="O130" i="5"/>
  <c r="BF130" i="5" s="1"/>
  <c r="AW130" i="5"/>
  <c r="BI130" i="5"/>
  <c r="AE130" i="5" s="1"/>
  <c r="K130" i="5"/>
  <c r="AX152" i="5"/>
  <c r="O152" i="5"/>
  <c r="BF152" i="5" s="1"/>
  <c r="AW152" i="5"/>
  <c r="BJ152" i="5"/>
  <c r="L152" i="5"/>
  <c r="BI152" i="5"/>
  <c r="AE152" i="5" s="1"/>
  <c r="K152" i="5"/>
  <c r="BH152" i="5"/>
  <c r="AD152" i="5" s="1"/>
  <c r="J152" i="5"/>
  <c r="AK154" i="5"/>
  <c r="M154" i="5"/>
  <c r="AX157" i="5"/>
  <c r="O157" i="5"/>
  <c r="BF157" i="5" s="1"/>
  <c r="AW157" i="5"/>
  <c r="BJ157" i="5"/>
  <c r="L157" i="5"/>
  <c r="BI157" i="5"/>
  <c r="AE157" i="5" s="1"/>
  <c r="K157" i="5"/>
  <c r="BH157" i="5"/>
  <c r="AD157" i="5" s="1"/>
  <c r="J157" i="5"/>
  <c r="J155" i="5" s="1"/>
  <c r="D25" i="2" s="1"/>
  <c r="BC170" i="5"/>
  <c r="AV170" i="5"/>
  <c r="L38" i="5"/>
  <c r="BI46" i="5"/>
  <c r="AE46" i="5" s="1"/>
  <c r="L55" i="5"/>
  <c r="O56" i="5"/>
  <c r="BF56" i="5" s="1"/>
  <c r="L60" i="5"/>
  <c r="O61" i="5"/>
  <c r="BF61" i="5" s="1"/>
  <c r="BH63" i="5"/>
  <c r="AD63" i="5" s="1"/>
  <c r="L64" i="5"/>
  <c r="O66" i="5"/>
  <c r="BF66" i="5" s="1"/>
  <c r="AO70" i="5"/>
  <c r="AW70" i="5" s="1"/>
  <c r="BH70" i="5"/>
  <c r="AD70" i="5" s="1"/>
  <c r="L72" i="5"/>
  <c r="O74" i="5"/>
  <c r="BF74" i="5" s="1"/>
  <c r="AO78" i="5"/>
  <c r="AW78" i="5" s="1"/>
  <c r="L79" i="5"/>
  <c r="O80" i="5"/>
  <c r="BF80" i="5" s="1"/>
  <c r="AO82" i="5"/>
  <c r="AW82" i="5" s="1"/>
  <c r="L83" i="5"/>
  <c r="BJ83" i="5"/>
  <c r="O84" i="5"/>
  <c r="BF84" i="5" s="1"/>
  <c r="AO86" i="5"/>
  <c r="AW86" i="5" s="1"/>
  <c r="L88" i="5"/>
  <c r="BJ88" i="5"/>
  <c r="Z88" i="5" s="1"/>
  <c r="O90" i="5"/>
  <c r="AO92" i="5"/>
  <c r="K97" i="5"/>
  <c r="BI97" i="5"/>
  <c r="AE97" i="5" s="1"/>
  <c r="K101" i="5"/>
  <c r="BI101" i="5"/>
  <c r="AE101" i="5" s="1"/>
  <c r="K105" i="5"/>
  <c r="BI105" i="5"/>
  <c r="AE105" i="5" s="1"/>
  <c r="L109" i="5"/>
  <c r="AP111" i="5"/>
  <c r="AX111" i="5" s="1"/>
  <c r="AO111" i="5"/>
  <c r="AW111" i="5" s="1"/>
  <c r="BJ111" i="5"/>
  <c r="M117" i="5"/>
  <c r="AW118" i="5"/>
  <c r="L119" i="5"/>
  <c r="AX140" i="5"/>
  <c r="O140" i="5"/>
  <c r="BF140" i="5" s="1"/>
  <c r="AW140" i="5"/>
  <c r="BJ140" i="5"/>
  <c r="L140" i="5"/>
  <c r="BI140" i="5"/>
  <c r="AE140" i="5" s="1"/>
  <c r="K140" i="5"/>
  <c r="BH140" i="5"/>
  <c r="AD140" i="5" s="1"/>
  <c r="J140" i="5"/>
  <c r="AK142" i="5"/>
  <c r="M142" i="5"/>
  <c r="AX147" i="5"/>
  <c r="BI203" i="5"/>
  <c r="AE203" i="5" s="1"/>
  <c r="L46" i="5"/>
  <c r="L50" i="5"/>
  <c r="K54" i="5"/>
  <c r="K59" i="5"/>
  <c r="K63" i="5"/>
  <c r="K70" i="5"/>
  <c r="K78" i="5"/>
  <c r="K82" i="5"/>
  <c r="K86" i="5"/>
  <c r="J96" i="5"/>
  <c r="L97" i="5"/>
  <c r="J100" i="5"/>
  <c r="L101" i="5"/>
  <c r="L105" i="5"/>
  <c r="K107" i="5"/>
  <c r="AW107" i="5"/>
  <c r="BC108" i="5"/>
  <c r="L111" i="5"/>
  <c r="BI113" i="5"/>
  <c r="AE113" i="5" s="1"/>
  <c r="K113" i="5"/>
  <c r="AX113" i="5"/>
  <c r="O113" i="5"/>
  <c r="BF113" i="5" s="1"/>
  <c r="AV120" i="5"/>
  <c r="AP121" i="5"/>
  <c r="BI121" i="5" s="1"/>
  <c r="AO121" i="5"/>
  <c r="AW121" i="5" s="1"/>
  <c r="BD121" i="5"/>
  <c r="L130" i="5"/>
  <c r="BI131" i="5"/>
  <c r="AE131" i="5" s="1"/>
  <c r="K131" i="5"/>
  <c r="AX132" i="5"/>
  <c r="O132" i="5"/>
  <c r="BF132" i="5" s="1"/>
  <c r="AW132" i="5"/>
  <c r="BI132" i="5"/>
  <c r="AE132" i="5" s="1"/>
  <c r="K132" i="5"/>
  <c r="BH132" i="5"/>
  <c r="AD132" i="5" s="1"/>
  <c r="J132" i="5"/>
  <c r="BH133" i="5"/>
  <c r="AD133" i="5" s="1"/>
  <c r="BH145" i="5"/>
  <c r="AD145" i="5" s="1"/>
  <c r="M183" i="5"/>
  <c r="AK183" i="5"/>
  <c r="AV196" i="5"/>
  <c r="BC196" i="5"/>
  <c r="BC210" i="5"/>
  <c r="AV210" i="5"/>
  <c r="BJ121" i="5"/>
  <c r="Z121" i="5" s="1"/>
  <c r="AW135" i="5"/>
  <c r="K138" i="5"/>
  <c r="BI138" i="5"/>
  <c r="AE138" i="5" s="1"/>
  <c r="AW139" i="5"/>
  <c r="K142" i="5"/>
  <c r="BI142" i="5"/>
  <c r="AE142" i="5" s="1"/>
  <c r="AW143" i="5"/>
  <c r="K146" i="5"/>
  <c r="BI146" i="5"/>
  <c r="AE146" i="5" s="1"/>
  <c r="AW147" i="5"/>
  <c r="K150" i="5"/>
  <c r="BI150" i="5"/>
  <c r="AE150" i="5" s="1"/>
  <c r="AW151" i="5"/>
  <c r="K154" i="5"/>
  <c r="BI154" i="5"/>
  <c r="AW156" i="5"/>
  <c r="AX161" i="5"/>
  <c r="BC161" i="5" s="1"/>
  <c r="BH163" i="5"/>
  <c r="AD163" i="5" s="1"/>
  <c r="L164" i="5"/>
  <c r="BJ164" i="5"/>
  <c r="AX166" i="5"/>
  <c r="BH170" i="5"/>
  <c r="AD170" i="5" s="1"/>
  <c r="L172" i="5"/>
  <c r="BJ172" i="5"/>
  <c r="L175" i="5"/>
  <c r="BH177" i="5"/>
  <c r="AD177" i="5" s="1"/>
  <c r="J177" i="5"/>
  <c r="AX177" i="5"/>
  <c r="O177" i="5"/>
  <c r="BF177" i="5" s="1"/>
  <c r="AW177" i="5"/>
  <c r="J178" i="5"/>
  <c r="AK185" i="5"/>
  <c r="AP199" i="5"/>
  <c r="AO199" i="5"/>
  <c r="AW199" i="5" s="1"/>
  <c r="BD199" i="5"/>
  <c r="L199" i="5"/>
  <c r="K200" i="5"/>
  <c r="AP205" i="5"/>
  <c r="AX205" i="5" s="1"/>
  <c r="AO205" i="5"/>
  <c r="AW205" i="5" s="1"/>
  <c r="BD205" i="5"/>
  <c r="BC214" i="5"/>
  <c r="AV214" i="5"/>
  <c r="BI223" i="5"/>
  <c r="BI228" i="5"/>
  <c r="AE228" i="5" s="1"/>
  <c r="K228" i="5"/>
  <c r="BJ237" i="5"/>
  <c r="O237" i="5"/>
  <c r="BF237" i="5" s="1"/>
  <c r="L237" i="5"/>
  <c r="AP246" i="5"/>
  <c r="BI246" i="5" s="1"/>
  <c r="AE246" i="5" s="1"/>
  <c r="AO246" i="5"/>
  <c r="BH246" i="5" s="1"/>
  <c r="AD246" i="5" s="1"/>
  <c r="BD246" i="5"/>
  <c r="AK256" i="5"/>
  <c r="L108" i="5"/>
  <c r="BJ108" i="5"/>
  <c r="BD110" i="5"/>
  <c r="L112" i="5"/>
  <c r="BJ112" i="5"/>
  <c r="AK114" i="5"/>
  <c r="L116" i="5"/>
  <c r="BJ116" i="5"/>
  <c r="L120" i="5"/>
  <c r="BJ120" i="5"/>
  <c r="O121" i="5"/>
  <c r="BF121" i="5" s="1"/>
  <c r="AX121" i="5"/>
  <c r="J124" i="5"/>
  <c r="L125" i="5"/>
  <c r="BJ125" i="5"/>
  <c r="Z125" i="5" s="1"/>
  <c r="AP129" i="5"/>
  <c r="AP133" i="5"/>
  <c r="AP137" i="5"/>
  <c r="AW138" i="5"/>
  <c r="AP141" i="5"/>
  <c r="AW142" i="5"/>
  <c r="AP145" i="5"/>
  <c r="AW146" i="5"/>
  <c r="AP149" i="5"/>
  <c r="AW150" i="5"/>
  <c r="AP153" i="5"/>
  <c r="AX153" i="5" s="1"/>
  <c r="AW154" i="5"/>
  <c r="K158" i="5"/>
  <c r="AP158" i="5"/>
  <c r="AX158" i="5" s="1"/>
  <c r="L163" i="5"/>
  <c r="O164" i="5"/>
  <c r="BF164" i="5" s="1"/>
  <c r="AX164" i="5"/>
  <c r="BD166" i="5"/>
  <c r="J168" i="5"/>
  <c r="L170" i="5"/>
  <c r="O172" i="5"/>
  <c r="BF172" i="5" s="1"/>
  <c r="AX172" i="5"/>
  <c r="AW173" i="5"/>
  <c r="AK173" i="5"/>
  <c r="BH173" i="5"/>
  <c r="AD173" i="5" s="1"/>
  <c r="O174" i="5"/>
  <c r="BF174" i="5" s="1"/>
  <c r="K177" i="5"/>
  <c r="AX179" i="5"/>
  <c r="O179" i="5"/>
  <c r="BF179" i="5" s="1"/>
  <c r="AW179" i="5"/>
  <c r="BH179" i="5"/>
  <c r="AD179" i="5" s="1"/>
  <c r="J179" i="5"/>
  <c r="BJ182" i="5"/>
  <c r="BH188" i="5"/>
  <c r="AD188" i="5" s="1"/>
  <c r="AP203" i="5"/>
  <c r="AX203" i="5" s="1"/>
  <c r="AO203" i="5"/>
  <c r="AW203" i="5" s="1"/>
  <c r="BD203" i="5"/>
  <c r="L203" i="5"/>
  <c r="BI210" i="5"/>
  <c r="AE210" i="5" s="1"/>
  <c r="AP221" i="5"/>
  <c r="AX221" i="5" s="1"/>
  <c r="AO221" i="5"/>
  <c r="AW221" i="5" s="1"/>
  <c r="BD221" i="5"/>
  <c r="AX233" i="5"/>
  <c r="O233" i="5"/>
  <c r="BF233" i="5" s="1"/>
  <c r="BJ233" i="5"/>
  <c r="L233" i="5"/>
  <c r="BI233" i="5"/>
  <c r="AE233" i="5" s="1"/>
  <c r="K233" i="5"/>
  <c r="AV251" i="5"/>
  <c r="BC251" i="5"/>
  <c r="BF123" i="5"/>
  <c r="BI124" i="5"/>
  <c r="AE124" i="5" s="1"/>
  <c r="L129" i="5"/>
  <c r="BD131" i="5"/>
  <c r="L133" i="5"/>
  <c r="BJ133" i="5"/>
  <c r="BD135" i="5"/>
  <c r="L137" i="5"/>
  <c r="BJ137" i="5"/>
  <c r="O138" i="5"/>
  <c r="BF138" i="5" s="1"/>
  <c r="AX138" i="5"/>
  <c r="BD139" i="5"/>
  <c r="L141" i="5"/>
  <c r="BJ141" i="5"/>
  <c r="O142" i="5"/>
  <c r="BF142" i="5" s="1"/>
  <c r="AX142" i="5"/>
  <c r="BD143" i="5"/>
  <c r="L145" i="5"/>
  <c r="BJ145" i="5"/>
  <c r="O146" i="5"/>
  <c r="BF146" i="5" s="1"/>
  <c r="AX146" i="5"/>
  <c r="BD147" i="5"/>
  <c r="L149" i="5"/>
  <c r="BJ149" i="5"/>
  <c r="O150" i="5"/>
  <c r="BF150" i="5" s="1"/>
  <c r="AX150" i="5"/>
  <c r="BD151" i="5"/>
  <c r="L153" i="5"/>
  <c r="BJ153" i="5"/>
  <c r="O154" i="5"/>
  <c r="BF154" i="5" s="1"/>
  <c r="AX154" i="5"/>
  <c r="BD156" i="5"/>
  <c r="L158" i="5"/>
  <c r="BJ158" i="5"/>
  <c r="Z158" i="5" s="1"/>
  <c r="BF161" i="5"/>
  <c r="K162" i="5"/>
  <c r="BI162" i="5"/>
  <c r="AE162" i="5" s="1"/>
  <c r="L177" i="5"/>
  <c r="BI177" i="5"/>
  <c r="AE177" i="5" s="1"/>
  <c r="AP182" i="5"/>
  <c r="AX182" i="5" s="1"/>
  <c r="AV182" i="5" s="1"/>
  <c r="BD182" i="5"/>
  <c r="BI215" i="5"/>
  <c r="AE215" i="5" s="1"/>
  <c r="AP217" i="5"/>
  <c r="AX217" i="5" s="1"/>
  <c r="AO217" i="5"/>
  <c r="AW217" i="5" s="1"/>
  <c r="BD217" i="5"/>
  <c r="BH231" i="5"/>
  <c r="AD231" i="5" s="1"/>
  <c r="L124" i="5"/>
  <c r="BJ124" i="5"/>
  <c r="L162" i="5"/>
  <c r="BJ162" i="5"/>
  <c r="BD164" i="5"/>
  <c r="BJ168" i="5"/>
  <c r="BD172" i="5"/>
  <c r="AX175" i="5"/>
  <c r="O175" i="5"/>
  <c r="BF175" i="5" s="1"/>
  <c r="AW175" i="5"/>
  <c r="BH175" i="5"/>
  <c r="AD175" i="5" s="1"/>
  <c r="BJ177" i="5"/>
  <c r="BH181" i="5"/>
  <c r="AD181" i="5" s="1"/>
  <c r="J181" i="5"/>
  <c r="AX181" i="5"/>
  <c r="O181" i="5"/>
  <c r="BF181" i="5" s="1"/>
  <c r="AW181" i="5"/>
  <c r="J182" i="5"/>
  <c r="BH189" i="5"/>
  <c r="AD189" i="5" s="1"/>
  <c r="J189" i="5"/>
  <c r="AX189" i="5"/>
  <c r="O189" i="5"/>
  <c r="BF189" i="5" s="1"/>
  <c r="AW189" i="5"/>
  <c r="BI189" i="5"/>
  <c r="AE189" i="5" s="1"/>
  <c r="K189" i="5"/>
  <c r="BJ189" i="5"/>
  <c r="K210" i="5"/>
  <c r="BI211" i="5"/>
  <c r="AE211" i="5" s="1"/>
  <c r="AX228" i="5"/>
  <c r="BI232" i="5"/>
  <c r="AE232" i="5" s="1"/>
  <c r="K232" i="5"/>
  <c r="AK240" i="5"/>
  <c r="M240" i="5"/>
  <c r="BI245" i="5"/>
  <c r="AE245" i="5" s="1"/>
  <c r="AX245" i="5"/>
  <c r="K245" i="5"/>
  <c r="BI247" i="5"/>
  <c r="AE247" i="5" s="1"/>
  <c r="K247" i="5"/>
  <c r="AX247" i="5"/>
  <c r="BD176" i="5"/>
  <c r="BJ176" i="5"/>
  <c r="L176" i="5"/>
  <c r="AP176" i="5"/>
  <c r="AX176" i="5" s="1"/>
  <c r="BC186" i="5"/>
  <c r="BC200" i="5"/>
  <c r="AP213" i="5"/>
  <c r="K213" i="5" s="1"/>
  <c r="AO213" i="5"/>
  <c r="AW213" i="5" s="1"/>
  <c r="BD213" i="5"/>
  <c r="BC222" i="5"/>
  <c r="AV222" i="5"/>
  <c r="AK231" i="5"/>
  <c r="M231" i="5"/>
  <c r="AW243" i="5"/>
  <c r="BH243" i="5"/>
  <c r="AD243" i="5" s="1"/>
  <c r="J243" i="5"/>
  <c r="BJ110" i="5"/>
  <c r="BJ114" i="5"/>
  <c r="L118" i="5"/>
  <c r="BJ118" i="5"/>
  <c r="BH121" i="5"/>
  <c r="L123" i="5"/>
  <c r="BJ123" i="5"/>
  <c r="O124" i="5"/>
  <c r="BF124" i="5" s="1"/>
  <c r="BI143" i="5"/>
  <c r="AE143" i="5" s="1"/>
  <c r="BI147" i="5"/>
  <c r="AE147" i="5" s="1"/>
  <c r="K151" i="5"/>
  <c r="BI151" i="5"/>
  <c r="AE151" i="5" s="1"/>
  <c r="K156" i="5"/>
  <c r="BI156" i="5"/>
  <c r="AE156" i="5" s="1"/>
  <c r="L161" i="5"/>
  <c r="BJ161" i="5"/>
  <c r="O162" i="5"/>
  <c r="BF162" i="5" s="1"/>
  <c r="AO164" i="5"/>
  <c r="AW164" i="5" s="1"/>
  <c r="BH164" i="5"/>
  <c r="AD164" i="5" s="1"/>
  <c r="BJ166" i="5"/>
  <c r="O168" i="5"/>
  <c r="BF168" i="5" s="1"/>
  <c r="AO172" i="5"/>
  <c r="AW172" i="5" s="1"/>
  <c r="BJ174" i="5"/>
  <c r="L174" i="5"/>
  <c r="BI174" i="5"/>
  <c r="AE174" i="5" s="1"/>
  <c r="K174" i="5"/>
  <c r="AW174" i="5"/>
  <c r="J175" i="5"/>
  <c r="AK179" i="5"/>
  <c r="BJ179" i="5"/>
  <c r="K181" i="5"/>
  <c r="O183" i="5"/>
  <c r="BF183" i="5" s="1"/>
  <c r="AW183" i="5"/>
  <c r="BH183" i="5"/>
  <c r="AD183" i="5" s="1"/>
  <c r="J183" i="5"/>
  <c r="J184" i="5"/>
  <c r="BH185" i="5"/>
  <c r="AD185" i="5" s="1"/>
  <c r="J185" i="5"/>
  <c r="AX185" i="5"/>
  <c r="O185" i="5"/>
  <c r="BF185" i="5" s="1"/>
  <c r="AW185" i="5"/>
  <c r="BI185" i="5"/>
  <c r="AE185" i="5" s="1"/>
  <c r="K185" i="5"/>
  <c r="BJ185" i="5"/>
  <c r="L189" i="5"/>
  <c r="AP195" i="5"/>
  <c r="K195" i="5" s="1"/>
  <c r="AO195" i="5"/>
  <c r="AW195" i="5" s="1"/>
  <c r="BD195" i="5"/>
  <c r="L195" i="5"/>
  <c r="K196" i="5"/>
  <c r="BI200" i="5"/>
  <c r="AE200" i="5" s="1"/>
  <c r="AV202" i="5"/>
  <c r="BC202" i="5"/>
  <c r="AP209" i="5"/>
  <c r="AX209" i="5" s="1"/>
  <c r="AO209" i="5"/>
  <c r="AW209" i="5" s="1"/>
  <c r="BD209" i="5"/>
  <c r="BC218" i="5"/>
  <c r="AV218" i="5"/>
  <c r="BI222" i="5"/>
  <c r="AE222" i="5" s="1"/>
  <c r="AX229" i="5"/>
  <c r="O229" i="5"/>
  <c r="BF229" i="5" s="1"/>
  <c r="BJ229" i="5"/>
  <c r="L229" i="5"/>
  <c r="BI229" i="5"/>
  <c r="AE229" i="5" s="1"/>
  <c r="K229" i="5"/>
  <c r="K121" i="5"/>
  <c r="L131" i="5"/>
  <c r="L135" i="5"/>
  <c r="J138" i="5"/>
  <c r="L139" i="5"/>
  <c r="J142" i="5"/>
  <c r="L143" i="5"/>
  <c r="J146" i="5"/>
  <c r="L147" i="5"/>
  <c r="J150" i="5"/>
  <c r="L151" i="5"/>
  <c r="J154" i="5"/>
  <c r="L156" i="5"/>
  <c r="K164" i="5"/>
  <c r="K172" i="5"/>
  <c r="AX173" i="5"/>
  <c r="AX174" i="5"/>
  <c r="K175" i="5"/>
  <c r="AP178" i="5"/>
  <c r="AX178" i="5" s="1"/>
  <c r="BD178" i="5"/>
  <c r="L181" i="5"/>
  <c r="BI181" i="5"/>
  <c r="AE181" i="5" s="1"/>
  <c r="BH186" i="5"/>
  <c r="AD186" i="5" s="1"/>
  <c r="AX192" i="5"/>
  <c r="O192" i="5"/>
  <c r="BF192" i="5" s="1"/>
  <c r="AW192" i="5"/>
  <c r="BI192" i="5"/>
  <c r="K192" i="5"/>
  <c r="BH192" i="5"/>
  <c r="J192" i="5"/>
  <c r="AU194" i="5"/>
  <c r="AP197" i="5"/>
  <c r="K197" i="5" s="1"/>
  <c r="AO197" i="5"/>
  <c r="AW197" i="5" s="1"/>
  <c r="BD197" i="5"/>
  <c r="K198" i="5"/>
  <c r="BI199" i="5"/>
  <c r="AE199" i="5" s="1"/>
  <c r="BI202" i="5"/>
  <c r="AE202" i="5" s="1"/>
  <c r="BI218" i="5"/>
  <c r="AE218" i="5" s="1"/>
  <c r="BH227" i="5"/>
  <c r="AD227" i="5" s="1"/>
  <c r="BH235" i="5"/>
  <c r="AD235" i="5" s="1"/>
  <c r="O248" i="5"/>
  <c r="BF248" i="5" s="1"/>
  <c r="BJ248" i="5"/>
  <c r="L248" i="5"/>
  <c r="BH248" i="5"/>
  <c r="AD248" i="5" s="1"/>
  <c r="J248" i="5"/>
  <c r="BI248" i="5"/>
  <c r="AE248" i="5" s="1"/>
  <c r="AW248" i="5"/>
  <c r="AX273" i="5"/>
  <c r="BC273" i="5" s="1"/>
  <c r="K273" i="5"/>
  <c r="BI273" i="5"/>
  <c r="AE273" i="5" s="1"/>
  <c r="BJ195" i="5"/>
  <c r="BH198" i="5"/>
  <c r="AD198" i="5" s="1"/>
  <c r="BJ199" i="5"/>
  <c r="BJ203" i="5"/>
  <c r="AX204" i="5"/>
  <c r="L207" i="5"/>
  <c r="BJ207" i="5"/>
  <c r="AX208" i="5"/>
  <c r="AV208" i="5" s="1"/>
  <c r="L211" i="5"/>
  <c r="BJ211" i="5"/>
  <c r="AX212" i="5"/>
  <c r="AV212" i="5" s="1"/>
  <c r="L215" i="5"/>
  <c r="BJ215" i="5"/>
  <c r="AX216" i="5"/>
  <c r="BC216" i="5" s="1"/>
  <c r="L219" i="5"/>
  <c r="BJ219" i="5"/>
  <c r="AX220" i="5"/>
  <c r="BC220" i="5" s="1"/>
  <c r="L223" i="5"/>
  <c r="BJ223" i="5"/>
  <c r="Z223" i="5" s="1"/>
  <c r="BF226" i="5"/>
  <c r="K227" i="5"/>
  <c r="BI227" i="5"/>
  <c r="AE227" i="5" s="1"/>
  <c r="AW228" i="5"/>
  <c r="K231" i="5"/>
  <c r="BI231" i="5"/>
  <c r="AE231" i="5" s="1"/>
  <c r="AW232" i="5"/>
  <c r="K235" i="5"/>
  <c r="BI235" i="5"/>
  <c r="AE235" i="5" s="1"/>
  <c r="AW236" i="5"/>
  <c r="L238" i="5"/>
  <c r="O246" i="5"/>
  <c r="BF246" i="5" s="1"/>
  <c r="BF255" i="5"/>
  <c r="BH279" i="5"/>
  <c r="AD279" i="5" s="1"/>
  <c r="J279" i="5"/>
  <c r="K180" i="5"/>
  <c r="AP184" i="5"/>
  <c r="AX184" i="5" s="1"/>
  <c r="AP188" i="5"/>
  <c r="AX188" i="5" s="1"/>
  <c r="AV188" i="5" s="1"/>
  <c r="O195" i="5"/>
  <c r="J197" i="5"/>
  <c r="L198" i="5"/>
  <c r="O199" i="5"/>
  <c r="BF199" i="5" s="1"/>
  <c r="AX199" i="5"/>
  <c r="L202" i="5"/>
  <c r="BJ202" i="5"/>
  <c r="O203" i="5"/>
  <c r="BF203" i="5" s="1"/>
  <c r="BH205" i="5"/>
  <c r="AD205" i="5" s="1"/>
  <c r="L206" i="5"/>
  <c r="BJ206" i="5"/>
  <c r="O207" i="5"/>
  <c r="BF207" i="5" s="1"/>
  <c r="AX207" i="5"/>
  <c r="AK208" i="5"/>
  <c r="L210" i="5"/>
  <c r="BJ210" i="5"/>
  <c r="O211" i="5"/>
  <c r="BF211" i="5" s="1"/>
  <c r="AX211" i="5"/>
  <c r="L214" i="5"/>
  <c r="BJ214" i="5"/>
  <c r="O215" i="5"/>
  <c r="BF215" i="5" s="1"/>
  <c r="AX215" i="5"/>
  <c r="BH217" i="5"/>
  <c r="AD217" i="5" s="1"/>
  <c r="L218" i="5"/>
  <c r="BJ218" i="5"/>
  <c r="O219" i="5"/>
  <c r="BF219" i="5" s="1"/>
  <c r="AX219" i="5"/>
  <c r="AK220" i="5"/>
  <c r="J221" i="5"/>
  <c r="BH221" i="5"/>
  <c r="AD221" i="5" s="1"/>
  <c r="L222" i="5"/>
  <c r="BJ222" i="5"/>
  <c r="O223" i="5"/>
  <c r="BF223" i="5" s="1"/>
  <c r="AX223" i="5"/>
  <c r="AP226" i="5"/>
  <c r="AP230" i="5"/>
  <c r="AW231" i="5"/>
  <c r="AP234" i="5"/>
  <c r="AW235" i="5"/>
  <c r="J245" i="5"/>
  <c r="L246" i="5"/>
  <c r="BJ246" i="5"/>
  <c r="BH251" i="5"/>
  <c r="AD251" i="5" s="1"/>
  <c r="J251" i="5"/>
  <c r="AP276" i="5"/>
  <c r="AX276" i="5" s="1"/>
  <c r="AO276" i="5"/>
  <c r="AW276" i="5" s="1"/>
  <c r="BD276" i="5"/>
  <c r="BI278" i="5"/>
  <c r="AE278" i="5" s="1"/>
  <c r="BI309" i="5"/>
  <c r="AC309" i="5" s="1"/>
  <c r="K309" i="5"/>
  <c r="L184" i="5"/>
  <c r="BJ184" i="5"/>
  <c r="BD186" i="5"/>
  <c r="L188" i="5"/>
  <c r="BD190" i="5"/>
  <c r="K201" i="5"/>
  <c r="BI201" i="5"/>
  <c r="AE201" i="5" s="1"/>
  <c r="K217" i="5"/>
  <c r="K221" i="5"/>
  <c r="BI221" i="5"/>
  <c r="AE221" i="5" s="1"/>
  <c r="L226" i="5"/>
  <c r="O227" i="5"/>
  <c r="BF227" i="5" s="1"/>
  <c r="AX227" i="5"/>
  <c r="BD228" i="5"/>
  <c r="AO229" i="5"/>
  <c r="BH229" i="5" s="1"/>
  <c r="AD229" i="5" s="1"/>
  <c r="L230" i="5"/>
  <c r="O231" i="5"/>
  <c r="BF231" i="5" s="1"/>
  <c r="AX231" i="5"/>
  <c r="BD232" i="5"/>
  <c r="AO233" i="5"/>
  <c r="BH233" i="5" s="1"/>
  <c r="AD233" i="5" s="1"/>
  <c r="L234" i="5"/>
  <c r="O235" i="5"/>
  <c r="BF235" i="5" s="1"/>
  <c r="AX235" i="5"/>
  <c r="AO237" i="5"/>
  <c r="AW237" i="5" s="1"/>
  <c r="BH239" i="5"/>
  <c r="AD239" i="5" s="1"/>
  <c r="BI240" i="5"/>
  <c r="AE240" i="5" s="1"/>
  <c r="AX243" i="5"/>
  <c r="BD244" i="5"/>
  <c r="K251" i="5"/>
  <c r="AP252" i="5"/>
  <c r="K252" i="5" s="1"/>
  <c r="AO252" i="5"/>
  <c r="AW252" i="5" s="1"/>
  <c r="BD252" i="5"/>
  <c r="BH267" i="5"/>
  <c r="AD267" i="5" s="1"/>
  <c r="BH275" i="5"/>
  <c r="AD275" i="5" s="1"/>
  <c r="J275" i="5"/>
  <c r="M293" i="5"/>
  <c r="AK293" i="5"/>
  <c r="BH196" i="5"/>
  <c r="AD196" i="5" s="1"/>
  <c r="L197" i="5"/>
  <c r="BJ197" i="5"/>
  <c r="L201" i="5"/>
  <c r="BJ201" i="5"/>
  <c r="L205" i="5"/>
  <c r="BJ205" i="5"/>
  <c r="BD207" i="5"/>
  <c r="L209" i="5"/>
  <c r="BJ209" i="5"/>
  <c r="BD211" i="5"/>
  <c r="L213" i="5"/>
  <c r="BJ213" i="5"/>
  <c r="BD215" i="5"/>
  <c r="L217" i="5"/>
  <c r="BJ217" i="5"/>
  <c r="BD219" i="5"/>
  <c r="L221" i="5"/>
  <c r="BJ221" i="5"/>
  <c r="BD223" i="5"/>
  <c r="AP237" i="5"/>
  <c r="K237" i="5" s="1"/>
  <c r="AP238" i="5"/>
  <c r="BI238" i="5" s="1"/>
  <c r="AE238" i="5" s="1"/>
  <c r="BJ247" i="5"/>
  <c r="AP250" i="5"/>
  <c r="BI250" i="5" s="1"/>
  <c r="AE250" i="5" s="1"/>
  <c r="AO250" i="5"/>
  <c r="AW250" i="5" s="1"/>
  <c r="BD250" i="5"/>
  <c r="BJ250" i="5"/>
  <c r="L250" i="5"/>
  <c r="BH260" i="5"/>
  <c r="AD260" i="5" s="1"/>
  <c r="J260" i="5"/>
  <c r="AX260" i="5"/>
  <c r="O260" i="5"/>
  <c r="BF260" i="5" s="1"/>
  <c r="AW260" i="5"/>
  <c r="BI260" i="5"/>
  <c r="AE260" i="5" s="1"/>
  <c r="K260" i="5"/>
  <c r="AX262" i="5"/>
  <c r="O262" i="5"/>
  <c r="BF262" i="5" s="1"/>
  <c r="AW262" i="5"/>
  <c r="BJ262" i="5"/>
  <c r="L262" i="5"/>
  <c r="BI262" i="5"/>
  <c r="AE262" i="5" s="1"/>
  <c r="K262" i="5"/>
  <c r="BH262" i="5"/>
  <c r="AD262" i="5" s="1"/>
  <c r="J262" i="5"/>
  <c r="M291" i="5"/>
  <c r="AK291" i="5"/>
  <c r="BH238" i="5"/>
  <c r="AD238" i="5" s="1"/>
  <c r="J238" i="5"/>
  <c r="O238" i="5"/>
  <c r="BF238" i="5" s="1"/>
  <c r="AO247" i="5"/>
  <c r="BD247" i="5"/>
  <c r="AX266" i="5"/>
  <c r="O266" i="5"/>
  <c r="BF266" i="5" s="1"/>
  <c r="AW266" i="5"/>
  <c r="BJ266" i="5"/>
  <c r="L266" i="5"/>
  <c r="BI266" i="5"/>
  <c r="AE266" i="5" s="1"/>
  <c r="K266" i="5"/>
  <c r="BH266" i="5"/>
  <c r="AD266" i="5" s="1"/>
  <c r="J266" i="5"/>
  <c r="BH299" i="5"/>
  <c r="AD299" i="5" s="1"/>
  <c r="J299" i="5"/>
  <c r="AX299" i="5"/>
  <c r="O299" i="5"/>
  <c r="BF299" i="5" s="1"/>
  <c r="AW299" i="5"/>
  <c r="BI299" i="5"/>
  <c r="AE299" i="5" s="1"/>
  <c r="K299" i="5"/>
  <c r="L299" i="5"/>
  <c r="K178" i="5"/>
  <c r="BI178" i="5"/>
  <c r="AE178" i="5" s="1"/>
  <c r="K182" i="5"/>
  <c r="K186" i="5"/>
  <c r="BI186" i="5"/>
  <c r="AE186" i="5" s="1"/>
  <c r="K190" i="5"/>
  <c r="BI190" i="5"/>
  <c r="AE190" i="5" s="1"/>
  <c r="BH195" i="5"/>
  <c r="AD195" i="5" s="1"/>
  <c r="L196" i="5"/>
  <c r="O197" i="5"/>
  <c r="BF197" i="5" s="1"/>
  <c r="J199" i="5"/>
  <c r="BH199" i="5"/>
  <c r="AD199" i="5" s="1"/>
  <c r="L200" i="5"/>
  <c r="BJ200" i="5"/>
  <c r="O201" i="5"/>
  <c r="BF201" i="5" s="1"/>
  <c r="J203" i="5"/>
  <c r="BH203" i="5"/>
  <c r="AD203" i="5" s="1"/>
  <c r="L204" i="5"/>
  <c r="BJ204" i="5"/>
  <c r="O205" i="5"/>
  <c r="BF205" i="5" s="1"/>
  <c r="J207" i="5"/>
  <c r="AO207" i="5"/>
  <c r="AW207" i="5" s="1"/>
  <c r="BJ208" i="5"/>
  <c r="O209" i="5"/>
  <c r="BF209" i="5" s="1"/>
  <c r="AO211" i="5"/>
  <c r="AW211" i="5" s="1"/>
  <c r="BH211" i="5"/>
  <c r="AD211" i="5" s="1"/>
  <c r="BJ212" i="5"/>
  <c r="O213" i="5"/>
  <c r="BF213" i="5" s="1"/>
  <c r="AO215" i="5"/>
  <c r="AW215" i="5" s="1"/>
  <c r="L216" i="5"/>
  <c r="BJ216" i="5"/>
  <c r="O217" i="5"/>
  <c r="BF217" i="5" s="1"/>
  <c r="J219" i="5"/>
  <c r="AO219" i="5"/>
  <c r="AW219" i="5" s="1"/>
  <c r="BJ220" i="5"/>
  <c r="O221" i="5"/>
  <c r="BF221" i="5" s="1"/>
  <c r="AO223" i="5"/>
  <c r="AW223" i="5" s="1"/>
  <c r="AW238" i="5"/>
  <c r="AP239" i="5"/>
  <c r="AX240" i="5"/>
  <c r="O240" i="5"/>
  <c r="BF240" i="5" s="1"/>
  <c r="J240" i="5"/>
  <c r="BH242" i="5"/>
  <c r="AD242" i="5" s="1"/>
  <c r="O242" i="5"/>
  <c r="BF242" i="5" s="1"/>
  <c r="AW246" i="5"/>
  <c r="AK260" i="5"/>
  <c r="M260" i="5"/>
  <c r="J267" i="5"/>
  <c r="AS272" i="5"/>
  <c r="AK295" i="5"/>
  <c r="AP336" i="5"/>
  <c r="AX336" i="5" s="1"/>
  <c r="AO336" i="5"/>
  <c r="AW336" i="5" s="1"/>
  <c r="BD336" i="5"/>
  <c r="BJ336" i="5"/>
  <c r="L336" i="5"/>
  <c r="L178" i="5"/>
  <c r="L182" i="5"/>
  <c r="L186" i="5"/>
  <c r="L190" i="5"/>
  <c r="K199" i="5"/>
  <c r="K207" i="5"/>
  <c r="K211" i="5"/>
  <c r="K215" i="5"/>
  <c r="K219" i="5"/>
  <c r="K223" i="5"/>
  <c r="L228" i="5"/>
  <c r="J231" i="5"/>
  <c r="L232" i="5"/>
  <c r="J235" i="5"/>
  <c r="L236" i="5"/>
  <c r="J239" i="5"/>
  <c r="AW240" i="5"/>
  <c r="BD241" i="5"/>
  <c r="L241" i="5"/>
  <c r="AP241" i="5"/>
  <c r="AP242" i="5"/>
  <c r="BI242" i="5" s="1"/>
  <c r="AE242" i="5" s="1"/>
  <c r="AO242" i="5"/>
  <c r="AW242" i="5" s="1"/>
  <c r="AP248" i="5"/>
  <c r="K248" i="5" s="1"/>
  <c r="AV249" i="5"/>
  <c r="AX256" i="5"/>
  <c r="O256" i="5"/>
  <c r="BF256" i="5" s="1"/>
  <c r="BI256" i="5"/>
  <c r="AE256" i="5" s="1"/>
  <c r="K256" i="5"/>
  <c r="BJ256" i="5"/>
  <c r="AK264" i="5"/>
  <c r="M264" i="5"/>
  <c r="AK268" i="5"/>
  <c r="M268" i="5"/>
  <c r="BI277" i="5"/>
  <c r="AE277" i="5" s="1"/>
  <c r="AW279" i="5"/>
  <c r="BD280" i="5"/>
  <c r="AP280" i="5"/>
  <c r="J294" i="5"/>
  <c r="BH294" i="5"/>
  <c r="AD294" i="5" s="1"/>
  <c r="AW255" i="5"/>
  <c r="AW261" i="5"/>
  <c r="K264" i="5"/>
  <c r="BI264" i="5"/>
  <c r="AE264" i="5" s="1"/>
  <c r="AW265" i="5"/>
  <c r="K268" i="5"/>
  <c r="BI268" i="5"/>
  <c r="AE268" i="5" s="1"/>
  <c r="AW270" i="5"/>
  <c r="BH273" i="5"/>
  <c r="AD273" i="5" s="1"/>
  <c r="L274" i="5"/>
  <c r="BJ274" i="5"/>
  <c r="AX275" i="5"/>
  <c r="AV275" i="5" s="1"/>
  <c r="BH277" i="5"/>
  <c r="AD277" i="5" s="1"/>
  <c r="L278" i="5"/>
  <c r="BJ278" i="5"/>
  <c r="AX279" i="5"/>
  <c r="BJ280" i="5"/>
  <c r="BI280" i="5"/>
  <c r="AE280" i="5" s="1"/>
  <c r="BD285" i="5"/>
  <c r="AS302" i="5"/>
  <c r="AW318" i="5"/>
  <c r="BH318" i="5"/>
  <c r="AD318" i="5" s="1"/>
  <c r="J318" i="5"/>
  <c r="BJ319" i="5"/>
  <c r="L319" i="5"/>
  <c r="AP319" i="5"/>
  <c r="AO319" i="5"/>
  <c r="AW319" i="5" s="1"/>
  <c r="BD319" i="5"/>
  <c r="L245" i="5"/>
  <c r="L249" i="5"/>
  <c r="O250" i="5"/>
  <c r="BF250" i="5" s="1"/>
  <c r="BD251" i="5"/>
  <c r="AP258" i="5"/>
  <c r="AP263" i="5"/>
  <c r="AW264" i="5"/>
  <c r="AP267" i="5"/>
  <c r="AW268" i="5"/>
  <c r="O274" i="5"/>
  <c r="BF274" i="5" s="1"/>
  <c r="AX274" i="5"/>
  <c r="BD275" i="5"/>
  <c r="O278" i="5"/>
  <c r="BF278" i="5" s="1"/>
  <c r="AX278" i="5"/>
  <c r="BD279" i="5"/>
  <c r="J280" i="5"/>
  <c r="AX281" i="5"/>
  <c r="BC281" i="5" s="1"/>
  <c r="O281" i="5"/>
  <c r="BF281" i="5" s="1"/>
  <c r="BH281" i="5"/>
  <c r="AD281" i="5" s="1"/>
  <c r="J281" i="5"/>
  <c r="BJ282" i="5"/>
  <c r="AO282" i="5"/>
  <c r="AP283" i="5"/>
  <c r="AW290" i="5"/>
  <c r="L313" i="5"/>
  <c r="AP313" i="5"/>
  <c r="AX313" i="5" s="1"/>
  <c r="AO313" i="5"/>
  <c r="AW313" i="5" s="1"/>
  <c r="BD313" i="5"/>
  <c r="AP387" i="5"/>
  <c r="AO387" i="5"/>
  <c r="AW387" i="5" s="1"/>
  <c r="BD387" i="5"/>
  <c r="BI252" i="5"/>
  <c r="O264" i="5"/>
  <c r="BF264" i="5" s="1"/>
  <c r="AX264" i="5"/>
  <c r="BJ267" i="5"/>
  <c r="O268" i="5"/>
  <c r="BF268" i="5" s="1"/>
  <c r="AX268" i="5"/>
  <c r="K276" i="5"/>
  <c r="BI276" i="5"/>
  <c r="AE276" i="5" s="1"/>
  <c r="K280" i="5"/>
  <c r="AW280" i="5"/>
  <c r="AP282" i="5"/>
  <c r="BH283" i="5"/>
  <c r="AD283" i="5" s="1"/>
  <c r="J283" i="5"/>
  <c r="AX283" i="5"/>
  <c r="O283" i="5"/>
  <c r="BF283" i="5" s="1"/>
  <c r="AO284" i="5"/>
  <c r="BJ292" i="5"/>
  <c r="L292" i="5"/>
  <c r="BI292" i="5"/>
  <c r="AE292" i="5" s="1"/>
  <c r="K292" i="5"/>
  <c r="AW292" i="5"/>
  <c r="AW294" i="5"/>
  <c r="AX297" i="5"/>
  <c r="O297" i="5"/>
  <c r="BF297" i="5" s="1"/>
  <c r="AW297" i="5"/>
  <c r="BI297" i="5"/>
  <c r="AE297" i="5" s="1"/>
  <c r="K297" i="5"/>
  <c r="BH297" i="5"/>
  <c r="AD297" i="5" s="1"/>
  <c r="J297" i="5"/>
  <c r="BJ297" i="5"/>
  <c r="BI317" i="5"/>
  <c r="AE317" i="5" s="1"/>
  <c r="K317" i="5"/>
  <c r="L252" i="5"/>
  <c r="BJ252" i="5"/>
  <c r="Z252" i="5" s="1"/>
  <c r="M258" i="5"/>
  <c r="M263" i="5"/>
  <c r="M267" i="5"/>
  <c r="BD274" i="5"/>
  <c r="L276" i="5"/>
  <c r="BJ276" i="5"/>
  <c r="BD278" i="5"/>
  <c r="L280" i="5"/>
  <c r="AX280" i="5"/>
  <c r="AW283" i="5"/>
  <c r="AP284" i="5"/>
  <c r="O285" i="5"/>
  <c r="BF285" i="5" s="1"/>
  <c r="BH285" i="5"/>
  <c r="J285" i="5"/>
  <c r="AP285" i="5"/>
  <c r="BI285" i="5" s="1"/>
  <c r="AX289" i="5"/>
  <c r="AW289" i="5"/>
  <c r="BI289" i="5"/>
  <c r="AE289" i="5" s="1"/>
  <c r="K289" i="5"/>
  <c r="J290" i="5"/>
  <c r="BH292" i="5"/>
  <c r="AD292" i="5" s="1"/>
  <c r="BI303" i="5"/>
  <c r="AC303" i="5" s="1"/>
  <c r="AW305" i="5"/>
  <c r="BH305" i="5"/>
  <c r="AB305" i="5" s="1"/>
  <c r="J305" i="5"/>
  <c r="L306" i="5"/>
  <c r="AP306" i="5"/>
  <c r="AO306" i="5"/>
  <c r="AW306" i="5" s="1"/>
  <c r="BD306" i="5"/>
  <c r="AU316" i="5"/>
  <c r="AK290" i="5"/>
  <c r="M290" i="5"/>
  <c r="AK297" i="5"/>
  <c r="BC298" i="5"/>
  <c r="AV298" i="5"/>
  <c r="BD326" i="5"/>
  <c r="AP326" i="5"/>
  <c r="K326" i="5" s="1"/>
  <c r="AP332" i="5"/>
  <c r="BI332" i="5" s="1"/>
  <c r="AE332" i="5" s="1"/>
  <c r="AO332" i="5"/>
  <c r="AW332" i="5" s="1"/>
  <c r="BJ332" i="5"/>
  <c r="L332" i="5"/>
  <c r="BD332" i="5"/>
  <c r="L239" i="5"/>
  <c r="L243" i="5"/>
  <c r="L247" i="5"/>
  <c r="J250" i="5"/>
  <c r="BH250" i="5"/>
  <c r="AD250" i="5" s="1"/>
  <c r="L251" i="5"/>
  <c r="BJ251" i="5"/>
  <c r="O252" i="5"/>
  <c r="BF252" i="5" s="1"/>
  <c r="K255" i="5"/>
  <c r="BI255" i="5"/>
  <c r="AE255" i="5" s="1"/>
  <c r="K261" i="5"/>
  <c r="BI261" i="5"/>
  <c r="AE261" i="5" s="1"/>
  <c r="K265" i="5"/>
  <c r="BI265" i="5"/>
  <c r="AE265" i="5" s="1"/>
  <c r="K270" i="5"/>
  <c r="BI270" i="5"/>
  <c r="AO274" i="5"/>
  <c r="AW274" i="5" s="1"/>
  <c r="L275" i="5"/>
  <c r="BJ275" i="5"/>
  <c r="O276" i="5"/>
  <c r="BF276" i="5" s="1"/>
  <c r="AO278" i="5"/>
  <c r="AW278" i="5" s="1"/>
  <c r="BH278" i="5"/>
  <c r="AD278" i="5" s="1"/>
  <c r="L279" i="5"/>
  <c r="BJ279" i="5"/>
  <c r="O280" i="5"/>
  <c r="BF280" i="5" s="1"/>
  <c r="M281" i="5"/>
  <c r="L283" i="5"/>
  <c r="BD283" i="5"/>
  <c r="AW285" i="5"/>
  <c r="BI288" i="5"/>
  <c r="AE288" i="5" s="1"/>
  <c r="K288" i="5"/>
  <c r="AW288" i="5"/>
  <c r="J289" i="5"/>
  <c r="O292" i="5"/>
  <c r="BF292" i="5" s="1"/>
  <c r="AX293" i="5"/>
  <c r="O293" i="5"/>
  <c r="BF293" i="5" s="1"/>
  <c r="AW293" i="5"/>
  <c r="BI293" i="5"/>
  <c r="AE293" i="5" s="1"/>
  <c r="K293" i="5"/>
  <c r="BH298" i="5"/>
  <c r="AD298" i="5" s="1"/>
  <c r="BH304" i="5"/>
  <c r="AB304" i="5" s="1"/>
  <c r="BI308" i="5"/>
  <c r="AC308" i="5" s="1"/>
  <c r="AW311" i="5"/>
  <c r="BH311" i="5"/>
  <c r="J311" i="5"/>
  <c r="K250" i="5"/>
  <c r="L255" i="5"/>
  <c r="L261" i="5"/>
  <c r="J264" i="5"/>
  <c r="L265" i="5"/>
  <c r="J268" i="5"/>
  <c r="L270" i="5"/>
  <c r="K274" i="5"/>
  <c r="K278" i="5"/>
  <c r="BH280" i="5"/>
  <c r="AD280" i="5" s="1"/>
  <c r="BI281" i="5"/>
  <c r="AE281" i="5" s="1"/>
  <c r="L285" i="5"/>
  <c r="AX288" i="5"/>
  <c r="L289" i="5"/>
  <c r="BH289" i="5"/>
  <c r="AD289" i="5" s="1"/>
  <c r="BH291" i="5"/>
  <c r="AD291" i="5" s="1"/>
  <c r="J291" i="5"/>
  <c r="AW291" i="5"/>
  <c r="BI291" i="5"/>
  <c r="AE291" i="5" s="1"/>
  <c r="K291" i="5"/>
  <c r="AX291" i="5"/>
  <c r="BH295" i="5"/>
  <c r="AD295" i="5" s="1"/>
  <c r="J295" i="5"/>
  <c r="AX295" i="5"/>
  <c r="O295" i="5"/>
  <c r="BF295" i="5" s="1"/>
  <c r="AW295" i="5"/>
  <c r="BI295" i="5"/>
  <c r="AE295" i="5" s="1"/>
  <c r="K295" i="5"/>
  <c r="BJ295" i="5"/>
  <c r="BI304" i="5"/>
  <c r="AC304" i="5" s="1"/>
  <c r="K304" i="5"/>
  <c r="BI315" i="5"/>
  <c r="AE315" i="5" s="1"/>
  <c r="AX319" i="5"/>
  <c r="AO326" i="5"/>
  <c r="BH326" i="5" s="1"/>
  <c r="AD326" i="5" s="1"/>
  <c r="AK366" i="5"/>
  <c r="M366" i="5"/>
  <c r="AW296" i="5"/>
  <c r="AW300" i="5"/>
  <c r="AO303" i="5"/>
  <c r="L304" i="5"/>
  <c r="BJ304" i="5"/>
  <c r="AX305" i="5"/>
  <c r="AO308" i="5"/>
  <c r="L309" i="5"/>
  <c r="BJ309" i="5"/>
  <c r="AX311" i="5"/>
  <c r="AO315" i="5"/>
  <c r="L317" i="5"/>
  <c r="BJ317" i="5"/>
  <c r="AX318" i="5"/>
  <c r="AO320" i="5"/>
  <c r="O322" i="5"/>
  <c r="BD322" i="5"/>
  <c r="K324" i="5"/>
  <c r="AW324" i="5"/>
  <c r="O326" i="5"/>
  <c r="BF326" i="5" s="1"/>
  <c r="M328" i="5"/>
  <c r="AW331" i="5"/>
  <c r="BJ331" i="5"/>
  <c r="L331" i="5"/>
  <c r="O332" i="5"/>
  <c r="BF332" i="5" s="1"/>
  <c r="AK334" i="5"/>
  <c r="AT333" i="5" s="1"/>
  <c r="M334" i="5"/>
  <c r="M333" i="5" s="1"/>
  <c r="AW338" i="5"/>
  <c r="BJ338" i="5"/>
  <c r="L338" i="5"/>
  <c r="BH338" i="5"/>
  <c r="AB338" i="5" s="1"/>
  <c r="J338" i="5"/>
  <c r="J337" i="5" s="1"/>
  <c r="D47" i="2" s="1"/>
  <c r="AP340" i="5"/>
  <c r="AX340" i="5" s="1"/>
  <c r="AO340" i="5"/>
  <c r="AW340" i="5" s="1"/>
  <c r="AP347" i="5"/>
  <c r="AX347" i="5" s="1"/>
  <c r="AO347" i="5"/>
  <c r="AW347" i="5" s="1"/>
  <c r="BD347" i="5"/>
  <c r="AX368" i="5"/>
  <c r="O368" i="5"/>
  <c r="BF368" i="5" s="1"/>
  <c r="BJ368" i="5"/>
  <c r="L368" i="5"/>
  <c r="BI368" i="5"/>
  <c r="AC368" i="5" s="1"/>
  <c r="K368" i="5"/>
  <c r="K413" i="5"/>
  <c r="BI413" i="5"/>
  <c r="AC413" i="5" s="1"/>
  <c r="L282" i="5"/>
  <c r="K290" i="5"/>
  <c r="BI290" i="5"/>
  <c r="AE290" i="5" s="1"/>
  <c r="K298" i="5"/>
  <c r="BI298" i="5"/>
  <c r="AE298" i="5" s="1"/>
  <c r="L303" i="5"/>
  <c r="O304" i="5"/>
  <c r="BF304" i="5" s="1"/>
  <c r="AX304" i="5"/>
  <c r="BD305" i="5"/>
  <c r="BH306" i="5"/>
  <c r="AB306" i="5" s="1"/>
  <c r="L308" i="5"/>
  <c r="O309" i="5"/>
  <c r="BF309" i="5" s="1"/>
  <c r="AX309" i="5"/>
  <c r="BD311" i="5"/>
  <c r="J313" i="5"/>
  <c r="J312" i="5" s="1"/>
  <c r="D40" i="2" s="1"/>
  <c r="BH313" i="5"/>
  <c r="AB313" i="5" s="1"/>
  <c r="L315" i="5"/>
  <c r="O317" i="5"/>
  <c r="AX317" i="5"/>
  <c r="BD318" i="5"/>
  <c r="J319" i="5"/>
  <c r="BH319" i="5"/>
  <c r="AD319" i="5" s="1"/>
  <c r="L320" i="5"/>
  <c r="BJ320" i="5"/>
  <c r="Z320" i="5" s="1"/>
  <c r="J326" i="5"/>
  <c r="BI328" i="5"/>
  <c r="AE328" i="5" s="1"/>
  <c r="J331" i="5"/>
  <c r="AX331" i="5"/>
  <c r="K338" i="5"/>
  <c r="K337" i="5" s="1"/>
  <c r="E47" i="2" s="1"/>
  <c r="BI338" i="5"/>
  <c r="AC338" i="5" s="1"/>
  <c r="BI342" i="5"/>
  <c r="AC342" i="5" s="1"/>
  <c r="BI351" i="5"/>
  <c r="AV353" i="5"/>
  <c r="BC356" i="5"/>
  <c r="AV356" i="5"/>
  <c r="AX360" i="5"/>
  <c r="AX364" i="5"/>
  <c r="O364" i="5"/>
  <c r="BF364" i="5" s="1"/>
  <c r="BJ364" i="5"/>
  <c r="L364" i="5"/>
  <c r="BI364" i="5"/>
  <c r="AC364" i="5" s="1"/>
  <c r="K364" i="5"/>
  <c r="BH364" i="5"/>
  <c r="AB364" i="5" s="1"/>
  <c r="J365" i="5"/>
  <c r="AW445" i="5"/>
  <c r="BH445" i="5"/>
  <c r="AB445" i="5" s="1"/>
  <c r="J445" i="5"/>
  <c r="BH322" i="5"/>
  <c r="AD322" i="5" s="1"/>
  <c r="J322" i="5"/>
  <c r="BJ322" i="5"/>
  <c r="O337" i="5"/>
  <c r="G47" i="2" s="1"/>
  <c r="BF338" i="5"/>
  <c r="AP360" i="5"/>
  <c r="K360" i="5" s="1"/>
  <c r="AO360" i="5"/>
  <c r="J360" i="5" s="1"/>
  <c r="BD360" i="5"/>
  <c r="L370" i="5"/>
  <c r="F52" i="2" s="1"/>
  <c r="I52" i="2" s="1"/>
  <c r="AK371" i="5"/>
  <c r="AT370" i="5" s="1"/>
  <c r="M371" i="5"/>
  <c r="M370" i="5" s="1"/>
  <c r="AX377" i="5"/>
  <c r="O377" i="5"/>
  <c r="BF377" i="5" s="1"/>
  <c r="BH377" i="5"/>
  <c r="AD377" i="5" s="1"/>
  <c r="J377" i="5"/>
  <c r="BJ377" i="5"/>
  <c r="BI377" i="5"/>
  <c r="AE377" i="5" s="1"/>
  <c r="L377" i="5"/>
  <c r="K377" i="5"/>
  <c r="AW377" i="5"/>
  <c r="M294" i="5"/>
  <c r="M298" i="5"/>
  <c r="BD304" i="5"/>
  <c r="BJ306" i="5"/>
  <c r="BD309" i="5"/>
  <c r="BJ313" i="5"/>
  <c r="BD317" i="5"/>
  <c r="AV322" i="5"/>
  <c r="L326" i="5"/>
  <c r="AW326" i="5"/>
  <c r="O331" i="5"/>
  <c r="AU339" i="5"/>
  <c r="K342" i="5"/>
  <c r="BI356" i="5"/>
  <c r="O385" i="5"/>
  <c r="G56" i="2" s="1"/>
  <c r="BJ324" i="5"/>
  <c r="L324" i="5"/>
  <c r="BH324" i="5"/>
  <c r="AD324" i="5" s="1"/>
  <c r="K329" i="5"/>
  <c r="K356" i="5"/>
  <c r="BH365" i="5"/>
  <c r="AB365" i="5" s="1"/>
  <c r="L284" i="5"/>
  <c r="K296" i="5"/>
  <c r="BI296" i="5"/>
  <c r="AE296" i="5" s="1"/>
  <c r="K300" i="5"/>
  <c r="BI300" i="5"/>
  <c r="AO304" i="5"/>
  <c r="AW304" i="5" s="1"/>
  <c r="L305" i="5"/>
  <c r="O306" i="5"/>
  <c r="BF306" i="5" s="1"/>
  <c r="AO309" i="5"/>
  <c r="AW309" i="5" s="1"/>
  <c r="L311" i="5"/>
  <c r="O313" i="5"/>
  <c r="AO317" i="5"/>
  <c r="AW317" i="5" s="1"/>
  <c r="L318" i="5"/>
  <c r="O319" i="5"/>
  <c r="BF319" i="5" s="1"/>
  <c r="L322" i="5"/>
  <c r="AX322" i="5"/>
  <c r="BC322" i="5" s="1"/>
  <c r="BI324" i="5"/>
  <c r="AE324" i="5" s="1"/>
  <c r="K328" i="5"/>
  <c r="AP329" i="5"/>
  <c r="BI329" i="5" s="1"/>
  <c r="AO329" i="5"/>
  <c r="J329" i="5" s="1"/>
  <c r="AX329" i="5"/>
  <c r="BI331" i="5"/>
  <c r="AE331" i="5" s="1"/>
  <c r="J334" i="5"/>
  <c r="J333" i="5" s="1"/>
  <c r="D45" i="2" s="1"/>
  <c r="BD340" i="5"/>
  <c r="AP343" i="5"/>
  <c r="AX343" i="5" s="1"/>
  <c r="AO343" i="5"/>
  <c r="AW343" i="5" s="1"/>
  <c r="BD343" i="5"/>
  <c r="BJ343" i="5"/>
  <c r="L343" i="5"/>
  <c r="AP354" i="5"/>
  <c r="K354" i="5" s="1"/>
  <c r="AO354" i="5"/>
  <c r="AW354" i="5" s="1"/>
  <c r="BD354" i="5"/>
  <c r="BF363" i="5"/>
  <c r="BI378" i="5"/>
  <c r="AE378" i="5" s="1"/>
  <c r="AX378" i="5"/>
  <c r="K378" i="5"/>
  <c r="L296" i="5"/>
  <c r="L300" i="5"/>
  <c r="J324" i="5"/>
  <c r="L329" i="5"/>
  <c r="K334" i="5"/>
  <c r="K333" i="5" s="1"/>
  <c r="E45" i="2" s="1"/>
  <c r="AX338" i="5"/>
  <c r="O340" i="5"/>
  <c r="BJ340" i="5"/>
  <c r="L340" i="5"/>
  <c r="BI340" i="5"/>
  <c r="AC340" i="5" s="1"/>
  <c r="J340" i="5"/>
  <c r="AV342" i="5"/>
  <c r="AU349" i="5"/>
  <c r="BI358" i="5"/>
  <c r="AV359" i="5"/>
  <c r="BC359" i="5"/>
  <c r="AW376" i="5"/>
  <c r="BH376" i="5"/>
  <c r="J376" i="5"/>
  <c r="BI381" i="5"/>
  <c r="AE381" i="5" s="1"/>
  <c r="K381" i="5"/>
  <c r="BH342" i="5"/>
  <c r="AB342" i="5" s="1"/>
  <c r="BH350" i="5"/>
  <c r="AB350" i="5" s="1"/>
  <c r="L351" i="5"/>
  <c r="BJ351" i="5"/>
  <c r="Z351" i="5" s="1"/>
  <c r="AX353" i="5"/>
  <c r="BC353" i="5" s="1"/>
  <c r="BH356" i="5"/>
  <c r="L358" i="5"/>
  <c r="BJ358" i="5"/>
  <c r="Z358" i="5" s="1"/>
  <c r="AX359" i="5"/>
  <c r="AW363" i="5"/>
  <c r="K366" i="5"/>
  <c r="BI366" i="5"/>
  <c r="AC366" i="5" s="1"/>
  <c r="K371" i="5"/>
  <c r="K370" i="5" s="1"/>
  <c r="E52" i="2" s="1"/>
  <c r="BI371" i="5"/>
  <c r="AC371" i="5" s="1"/>
  <c r="AX387" i="5"/>
  <c r="BI402" i="5"/>
  <c r="J354" i="5"/>
  <c r="BH354" i="5"/>
  <c r="AP365" i="5"/>
  <c r="AW366" i="5"/>
  <c r="AP369" i="5"/>
  <c r="AW371" i="5"/>
  <c r="J378" i="5"/>
  <c r="AW378" i="5"/>
  <c r="AO381" i="5"/>
  <c r="BD381" i="5"/>
  <c r="BH393" i="5"/>
  <c r="AB393" i="5" s="1"/>
  <c r="J393" i="5"/>
  <c r="J392" i="5" s="1"/>
  <c r="D59" i="2" s="1"/>
  <c r="AP395" i="5"/>
  <c r="K395" i="5" s="1"/>
  <c r="AO395" i="5"/>
  <c r="AW395" i="5" s="1"/>
  <c r="BD395" i="5"/>
  <c r="BD404" i="5"/>
  <c r="AP404" i="5"/>
  <c r="BI404" i="5" s="1"/>
  <c r="AP444" i="5"/>
  <c r="K444" i="5" s="1"/>
  <c r="BD444" i="5"/>
  <c r="AO444" i="5"/>
  <c r="M342" i="5"/>
  <c r="M350" i="5"/>
  <c r="M356" i="5"/>
  <c r="BD363" i="5"/>
  <c r="AO364" i="5"/>
  <c r="AW364" i="5" s="1"/>
  <c r="L365" i="5"/>
  <c r="BJ365" i="5"/>
  <c r="O366" i="5"/>
  <c r="BF366" i="5" s="1"/>
  <c r="AX366" i="5"/>
  <c r="BD367" i="5"/>
  <c r="AO368" i="5"/>
  <c r="AW368" i="5" s="1"/>
  <c r="L369" i="5"/>
  <c r="BJ369" i="5"/>
  <c r="Z369" i="5" s="1"/>
  <c r="O371" i="5"/>
  <c r="AX371" i="5"/>
  <c r="BI373" i="5"/>
  <c r="AE373" i="5" s="1"/>
  <c r="BI375" i="5"/>
  <c r="AE375" i="5" s="1"/>
  <c r="BH375" i="5"/>
  <c r="AD375" i="5" s="1"/>
  <c r="J375" i="5"/>
  <c r="AX375" i="5"/>
  <c r="O375" i="5"/>
  <c r="AX376" i="5"/>
  <c r="BD377" i="5"/>
  <c r="K383" i="5"/>
  <c r="BI383" i="5"/>
  <c r="AE383" i="5" s="1"/>
  <c r="BI391" i="5"/>
  <c r="AC391" i="5" s="1"/>
  <c r="J345" i="5"/>
  <c r="BH345" i="5"/>
  <c r="AB345" i="5" s="1"/>
  <c r="L347" i="5"/>
  <c r="BJ347" i="5"/>
  <c r="BD351" i="5"/>
  <c r="J353" i="5"/>
  <c r="BH353" i="5"/>
  <c r="L354" i="5"/>
  <c r="BJ354" i="5"/>
  <c r="Z354" i="5" s="1"/>
  <c r="BD358" i="5"/>
  <c r="J359" i="5"/>
  <c r="BH359" i="5"/>
  <c r="L360" i="5"/>
  <c r="BJ360" i="5"/>
  <c r="Z360" i="5" s="1"/>
  <c r="AO373" i="5"/>
  <c r="AW375" i="5"/>
  <c r="AO404" i="5"/>
  <c r="BH404" i="5" s="1"/>
  <c r="O380" i="5"/>
  <c r="BI384" i="5"/>
  <c r="BD439" i="5"/>
  <c r="L439" i="5"/>
  <c r="BJ439" i="5"/>
  <c r="AO439" i="5"/>
  <c r="AP439" i="5"/>
  <c r="L345" i="5"/>
  <c r="BJ345" i="5"/>
  <c r="O347" i="5"/>
  <c r="BF347" i="5" s="1"/>
  <c r="J351" i="5"/>
  <c r="AO351" i="5"/>
  <c r="AW351" i="5" s="1"/>
  <c r="BH351" i="5"/>
  <c r="L353" i="5"/>
  <c r="BJ353" i="5"/>
  <c r="Z353" i="5" s="1"/>
  <c r="O354" i="5"/>
  <c r="AO358" i="5"/>
  <c r="AW358" i="5" s="1"/>
  <c r="L359" i="5"/>
  <c r="BJ359" i="5"/>
  <c r="Z359" i="5" s="1"/>
  <c r="O360" i="5"/>
  <c r="BF360" i="5" s="1"/>
  <c r="K363" i="5"/>
  <c r="BI363" i="5"/>
  <c r="AC363" i="5" s="1"/>
  <c r="K367" i="5"/>
  <c r="BI367" i="5"/>
  <c r="AC367" i="5" s="1"/>
  <c r="K373" i="5"/>
  <c r="K372" i="5" s="1"/>
  <c r="E53" i="2" s="1"/>
  <c r="AW373" i="5"/>
  <c r="L375" i="5"/>
  <c r="BD375" i="5"/>
  <c r="AP380" i="5"/>
  <c r="BI380" i="5" s="1"/>
  <c r="AE380" i="5" s="1"/>
  <c r="AO380" i="5"/>
  <c r="J380" i="5" s="1"/>
  <c r="AX382" i="5"/>
  <c r="O382" i="5"/>
  <c r="BF382" i="5" s="1"/>
  <c r="BJ382" i="5"/>
  <c r="L382" i="5"/>
  <c r="BI382" i="5"/>
  <c r="AE382" i="5" s="1"/>
  <c r="AP384" i="5"/>
  <c r="K384" i="5" s="1"/>
  <c r="AO384" i="5"/>
  <c r="AW384" i="5" s="1"/>
  <c r="BD384" i="5"/>
  <c r="L384" i="5"/>
  <c r="AW386" i="5"/>
  <c r="BI386" i="5"/>
  <c r="AE386" i="5" s="1"/>
  <c r="AW398" i="5"/>
  <c r="AP399" i="5"/>
  <c r="AX399" i="5" s="1"/>
  <c r="AO399" i="5"/>
  <c r="AW399" i="5" s="1"/>
  <c r="BD399" i="5"/>
  <c r="BI401" i="5"/>
  <c r="AC401" i="5" s="1"/>
  <c r="K336" i="5"/>
  <c r="K335" i="5" s="1"/>
  <c r="E46" i="2" s="1"/>
  <c r="K351" i="5"/>
  <c r="K358" i="5"/>
  <c r="L363" i="5"/>
  <c r="J366" i="5"/>
  <c r="L367" i="5"/>
  <c r="J371" i="5"/>
  <c r="J370" i="5" s="1"/>
  <c r="D52" i="2" s="1"/>
  <c r="L373" i="5"/>
  <c r="AX373" i="5"/>
  <c r="L380" i="5"/>
  <c r="BJ380" i="5"/>
  <c r="AO382" i="5"/>
  <c r="AW382" i="5" s="1"/>
  <c r="BD382" i="5"/>
  <c r="BH386" i="5"/>
  <c r="AD386" i="5" s="1"/>
  <c r="J386" i="5"/>
  <c r="BI396" i="5"/>
  <c r="AC396" i="5" s="1"/>
  <c r="BH398" i="5"/>
  <c r="AB398" i="5" s="1"/>
  <c r="J398" i="5"/>
  <c r="M450" i="5"/>
  <c r="AK450" i="5"/>
  <c r="BJ384" i="5"/>
  <c r="Z384" i="5" s="1"/>
  <c r="L391" i="5"/>
  <c r="BJ391" i="5"/>
  <c r="AX393" i="5"/>
  <c r="AV393" i="5" s="1"/>
  <c r="L397" i="5"/>
  <c r="BJ397" i="5"/>
  <c r="AX398" i="5"/>
  <c r="BH401" i="5"/>
  <c r="AB401" i="5" s="1"/>
  <c r="L402" i="5"/>
  <c r="BJ402" i="5"/>
  <c r="Z402" i="5" s="1"/>
  <c r="AX403" i="5"/>
  <c r="BC403" i="5" s="1"/>
  <c r="BJ404" i="5"/>
  <c r="Z404" i="5" s="1"/>
  <c r="AV408" i="5"/>
  <c r="M411" i="5"/>
  <c r="AK411" i="5"/>
  <c r="AS410" i="5"/>
  <c r="O427" i="5"/>
  <c r="G67" i="2" s="1"/>
  <c r="L378" i="5"/>
  <c r="L383" i="5"/>
  <c r="O384" i="5"/>
  <c r="BF384" i="5" s="1"/>
  <c r="BD386" i="5"/>
  <c r="BH387" i="5"/>
  <c r="AD387" i="5" s="1"/>
  <c r="O388" i="5"/>
  <c r="G57" i="2" s="1"/>
  <c r="L389" i="5"/>
  <c r="O391" i="5"/>
  <c r="AX391" i="5"/>
  <c r="BD393" i="5"/>
  <c r="L396" i="5"/>
  <c r="O397" i="5"/>
  <c r="BF397" i="5" s="1"/>
  <c r="AX397" i="5"/>
  <c r="BD398" i="5"/>
  <c r="O402" i="5"/>
  <c r="BF402" i="5" s="1"/>
  <c r="AX402" i="5"/>
  <c r="BC408" i="5"/>
  <c r="AX424" i="5"/>
  <c r="BI424" i="5"/>
  <c r="BD437" i="5"/>
  <c r="L437" i="5"/>
  <c r="AO437" i="5"/>
  <c r="M454" i="5"/>
  <c r="AK454" i="5"/>
  <c r="J471" i="5"/>
  <c r="BH471" i="5"/>
  <c r="BF393" i="5"/>
  <c r="BI395" i="5"/>
  <c r="AC395" i="5" s="1"/>
  <c r="K404" i="5"/>
  <c r="BH405" i="5"/>
  <c r="J405" i="5"/>
  <c r="O405" i="5"/>
  <c r="BF405" i="5" s="1"/>
  <c r="AP405" i="5"/>
  <c r="AX405" i="5" s="1"/>
  <c r="BC405" i="5" s="1"/>
  <c r="BJ412" i="5"/>
  <c r="L412" i="5"/>
  <c r="AP412" i="5"/>
  <c r="AX412" i="5" s="1"/>
  <c r="AO412" i="5"/>
  <c r="BD412" i="5"/>
  <c r="AX413" i="5"/>
  <c r="O413" i="5"/>
  <c r="BF413" i="5" s="1"/>
  <c r="AW413" i="5"/>
  <c r="BJ413" i="5"/>
  <c r="L413" i="5"/>
  <c r="BH413" i="5"/>
  <c r="AB413" i="5" s="1"/>
  <c r="J413" i="5"/>
  <c r="AX429" i="5"/>
  <c r="BC455" i="5"/>
  <c r="AV455" i="5"/>
  <c r="L387" i="5"/>
  <c r="BJ387" i="5"/>
  <c r="BD391" i="5"/>
  <c r="L395" i="5"/>
  <c r="BJ395" i="5"/>
  <c r="BD397" i="5"/>
  <c r="L399" i="5"/>
  <c r="BJ399" i="5"/>
  <c r="BD402" i="5"/>
  <c r="L404" i="5"/>
  <c r="BJ406" i="5"/>
  <c r="Z406" i="5" s="1"/>
  <c r="AO406" i="5"/>
  <c r="M415" i="5"/>
  <c r="AK415" i="5"/>
  <c r="AP419" i="5"/>
  <c r="AX419" i="5" s="1"/>
  <c r="AO419" i="5"/>
  <c r="BD419" i="5"/>
  <c r="BJ423" i="5"/>
  <c r="L423" i="5"/>
  <c r="AP423" i="5"/>
  <c r="AX423" i="5" s="1"/>
  <c r="AO423" i="5"/>
  <c r="BD423" i="5"/>
  <c r="BI425" i="5"/>
  <c r="AE425" i="5" s="1"/>
  <c r="BI430" i="5"/>
  <c r="AE430" i="5" s="1"/>
  <c r="BJ432" i="5"/>
  <c r="Z432" i="5" s="1"/>
  <c r="L432" i="5"/>
  <c r="AP432" i="5"/>
  <c r="AX432" i="5" s="1"/>
  <c r="AO432" i="5"/>
  <c r="BD432" i="5"/>
  <c r="K433" i="5"/>
  <c r="E68" i="2" s="1"/>
  <c r="AP437" i="5"/>
  <c r="AX437" i="5" s="1"/>
  <c r="J465" i="5"/>
  <c r="J464" i="5" s="1"/>
  <c r="D78" i="2" s="1"/>
  <c r="BH465" i="5"/>
  <c r="AX404" i="5"/>
  <c r="AP406" i="5"/>
  <c r="O407" i="5"/>
  <c r="BF407" i="5" s="1"/>
  <c r="BH407" i="5"/>
  <c r="J407" i="5"/>
  <c r="AW411" i="5"/>
  <c r="BH411" i="5"/>
  <c r="AB411" i="5" s="1"/>
  <c r="J411" i="5"/>
  <c r="AX411" i="5"/>
  <c r="O411" i="5"/>
  <c r="BC481" i="5"/>
  <c r="L376" i="5"/>
  <c r="L381" i="5"/>
  <c r="BJ381" i="5"/>
  <c r="L386" i="5"/>
  <c r="BJ386" i="5"/>
  <c r="O387" i="5"/>
  <c r="BF387" i="5" s="1"/>
  <c r="AO391" i="5"/>
  <c r="AW391" i="5" s="1"/>
  <c r="BH391" i="5"/>
  <c r="AB391" i="5" s="1"/>
  <c r="L393" i="5"/>
  <c r="BJ393" i="5"/>
  <c r="O395" i="5"/>
  <c r="J397" i="5"/>
  <c r="AO397" i="5"/>
  <c r="AW397" i="5" s="1"/>
  <c r="L398" i="5"/>
  <c r="BJ398" i="5"/>
  <c r="O399" i="5"/>
  <c r="BF399" i="5" s="1"/>
  <c r="AO402" i="5"/>
  <c r="AW402" i="5" s="1"/>
  <c r="L403" i="5"/>
  <c r="BJ403" i="5"/>
  <c r="Z403" i="5" s="1"/>
  <c r="O404" i="5"/>
  <c r="BF404" i="5" s="1"/>
  <c r="L405" i="5"/>
  <c r="BJ416" i="5"/>
  <c r="L416" i="5"/>
  <c r="AP416" i="5"/>
  <c r="AX416" i="5" s="1"/>
  <c r="AO416" i="5"/>
  <c r="BD416" i="5"/>
  <c r="AX417" i="5"/>
  <c r="O422" i="5"/>
  <c r="G66" i="2" s="1"/>
  <c r="BC446" i="5"/>
  <c r="AV446" i="5"/>
  <c r="AW452" i="5"/>
  <c r="BJ452" i="5"/>
  <c r="Z452" i="5" s="1"/>
  <c r="L452" i="5"/>
  <c r="BI452" i="5"/>
  <c r="K452" i="5"/>
  <c r="AX452" i="5"/>
  <c r="O452" i="5"/>
  <c r="BF452" i="5" s="1"/>
  <c r="BF460" i="5"/>
  <c r="O459" i="5"/>
  <c r="K391" i="5"/>
  <c r="K390" i="5" s="1"/>
  <c r="E58" i="2" s="1"/>
  <c r="K397" i="5"/>
  <c r="K402" i="5"/>
  <c r="BD405" i="5"/>
  <c r="AW407" i="5"/>
  <c r="K411" i="5"/>
  <c r="BI411" i="5"/>
  <c r="AC411" i="5" s="1"/>
  <c r="AP414" i="5"/>
  <c r="AX414" i="5" s="1"/>
  <c r="BC414" i="5" s="1"/>
  <c r="BD414" i="5"/>
  <c r="BJ428" i="5"/>
  <c r="L428" i="5"/>
  <c r="AP428" i="5"/>
  <c r="AX428" i="5" s="1"/>
  <c r="AO428" i="5"/>
  <c r="BD428" i="5"/>
  <c r="L414" i="5"/>
  <c r="BJ414" i="5"/>
  <c r="O415" i="5"/>
  <c r="BF415" i="5" s="1"/>
  <c r="AX415" i="5"/>
  <c r="J417" i="5"/>
  <c r="BH417" i="5"/>
  <c r="L419" i="5"/>
  <c r="BJ419" i="5"/>
  <c r="O421" i="5"/>
  <c r="AX421" i="5"/>
  <c r="AV421" i="5" s="1"/>
  <c r="J424" i="5"/>
  <c r="BH424" i="5"/>
  <c r="L425" i="5"/>
  <c r="BJ425" i="5"/>
  <c r="O426" i="5"/>
  <c r="BF426" i="5" s="1"/>
  <c r="AX426" i="5"/>
  <c r="BC426" i="5" s="1"/>
  <c r="J429" i="5"/>
  <c r="BH429" i="5"/>
  <c r="AD429" i="5" s="1"/>
  <c r="L430" i="5"/>
  <c r="BJ430" i="5"/>
  <c r="O431" i="5"/>
  <c r="BF431" i="5" s="1"/>
  <c r="AX431" i="5"/>
  <c r="AV431" i="5" s="1"/>
  <c r="J434" i="5"/>
  <c r="BI434" i="5"/>
  <c r="AE434" i="5" s="1"/>
  <c r="O437" i="5"/>
  <c r="BJ437" i="5"/>
  <c r="BH441" i="5"/>
  <c r="AB441" i="5" s="1"/>
  <c r="J441" i="5"/>
  <c r="J440" i="5" s="1"/>
  <c r="D71" i="2" s="1"/>
  <c r="BI444" i="5"/>
  <c r="AC444" i="5" s="1"/>
  <c r="O444" i="5"/>
  <c r="BF444" i="5" s="1"/>
  <c r="BJ444" i="5"/>
  <c r="L444" i="5"/>
  <c r="O447" i="5"/>
  <c r="BF447" i="5" s="1"/>
  <c r="K450" i="5"/>
  <c r="BH450" i="5"/>
  <c r="AO453" i="5"/>
  <c r="J453" i="5" s="1"/>
  <c r="L417" i="5"/>
  <c r="BJ417" i="5"/>
  <c r="Z417" i="5" s="1"/>
  <c r="AK421" i="5"/>
  <c r="AT420" i="5" s="1"/>
  <c r="L424" i="5"/>
  <c r="BJ424" i="5"/>
  <c r="Z424" i="5" s="1"/>
  <c r="AX425" i="5"/>
  <c r="AK426" i="5"/>
  <c r="L429" i="5"/>
  <c r="BJ429" i="5"/>
  <c r="O430" i="5"/>
  <c r="BF430" i="5" s="1"/>
  <c r="AX430" i="5"/>
  <c r="AK431" i="5"/>
  <c r="L434" i="5"/>
  <c r="AO435" i="5"/>
  <c r="AW435" i="5" s="1"/>
  <c r="BI449" i="5"/>
  <c r="AC449" i="5" s="1"/>
  <c r="K449" i="5"/>
  <c r="AX449" i="5"/>
  <c r="O449" i="5"/>
  <c r="AW449" i="5"/>
  <c r="BJ449" i="5"/>
  <c r="L449" i="5"/>
  <c r="BI469" i="5"/>
  <c r="K469" i="5"/>
  <c r="K468" i="5" s="1"/>
  <c r="AX469" i="5"/>
  <c r="O469" i="5"/>
  <c r="BM469" i="5"/>
  <c r="F35" i="4" s="1"/>
  <c r="I35" i="4" s="1"/>
  <c r="BJ469" i="5"/>
  <c r="L469" i="5"/>
  <c r="L408" i="5"/>
  <c r="K412" i="5"/>
  <c r="AW417" i="5"/>
  <c r="AW424" i="5"/>
  <c r="K428" i="5"/>
  <c r="AW429" i="5"/>
  <c r="AW434" i="5"/>
  <c r="BJ435" i="5"/>
  <c r="L435" i="5"/>
  <c r="BI435" i="5"/>
  <c r="AE435" i="5" s="1"/>
  <c r="K435" i="5"/>
  <c r="K437" i="5"/>
  <c r="K436" i="5" s="1"/>
  <c r="E69" i="2" s="1"/>
  <c r="L441" i="5"/>
  <c r="AX441" i="5"/>
  <c r="AV441" i="5" s="1"/>
  <c r="BH449" i="5"/>
  <c r="AB449" i="5" s="1"/>
  <c r="BI453" i="5"/>
  <c r="K453" i="5"/>
  <c r="AX453" i="5"/>
  <c r="O453" i="5"/>
  <c r="BF453" i="5" s="1"/>
  <c r="BJ453" i="5"/>
  <c r="Z453" i="5" s="1"/>
  <c r="L453" i="5"/>
  <c r="BH455" i="5"/>
  <c r="BH462" i="5"/>
  <c r="J462" i="5"/>
  <c r="O462" i="5"/>
  <c r="BO462" i="5"/>
  <c r="AW462" i="5"/>
  <c r="BJ462" i="5"/>
  <c r="L462" i="5"/>
  <c r="K462" i="5"/>
  <c r="O463" i="5"/>
  <c r="BF463" i="5" s="1"/>
  <c r="BO463" i="5"/>
  <c r="BJ463" i="5"/>
  <c r="L463" i="5"/>
  <c r="AP469" i="5"/>
  <c r="AO469" i="5"/>
  <c r="BH469" i="5" s="1"/>
  <c r="J415" i="5"/>
  <c r="O417" i="5"/>
  <c r="BF417" i="5" s="1"/>
  <c r="L420" i="5"/>
  <c r="F65" i="2" s="1"/>
  <c r="I65" i="2" s="1"/>
  <c r="J421" i="5"/>
  <c r="J420" i="5" s="1"/>
  <c r="D65" i="2" s="1"/>
  <c r="BH421" i="5"/>
  <c r="AD421" i="5" s="1"/>
  <c r="O424" i="5"/>
  <c r="BF424" i="5" s="1"/>
  <c r="BD425" i="5"/>
  <c r="J426" i="5"/>
  <c r="BH426" i="5"/>
  <c r="AD426" i="5" s="1"/>
  <c r="O429" i="5"/>
  <c r="BF429" i="5" s="1"/>
  <c r="BD430" i="5"/>
  <c r="J431" i="5"/>
  <c r="BH431" i="5"/>
  <c r="AD431" i="5" s="1"/>
  <c r="O434" i="5"/>
  <c r="AX434" i="5"/>
  <c r="O440" i="5"/>
  <c r="G71" i="2" s="1"/>
  <c r="BJ443" i="5"/>
  <c r="L443" i="5"/>
  <c r="BI443" i="5"/>
  <c r="AC443" i="5" s="1"/>
  <c r="K443" i="5"/>
  <c r="BH443" i="5"/>
  <c r="AB443" i="5" s="1"/>
  <c r="J443" i="5"/>
  <c r="AX443" i="5"/>
  <c r="BC443" i="5" s="1"/>
  <c r="BC450" i="5"/>
  <c r="BH451" i="5"/>
  <c r="AV454" i="5"/>
  <c r="BC454" i="5"/>
  <c r="AP463" i="5"/>
  <c r="AX463" i="5" s="1"/>
  <c r="AO463" i="5"/>
  <c r="BH463" i="5" s="1"/>
  <c r="BJ465" i="5"/>
  <c r="AP471" i="5"/>
  <c r="K471" i="5" s="1"/>
  <c r="BD471" i="5"/>
  <c r="M481" i="5"/>
  <c r="AO425" i="5"/>
  <c r="AO430" i="5"/>
  <c r="BJ447" i="5"/>
  <c r="L447" i="5"/>
  <c r="BI447" i="5"/>
  <c r="AC447" i="5" s="1"/>
  <c r="K447" i="5"/>
  <c r="AP465" i="5"/>
  <c r="K465" i="5" s="1"/>
  <c r="K464" i="5" s="1"/>
  <c r="E78" i="2" s="1"/>
  <c r="BD465" i="5"/>
  <c r="L406" i="5"/>
  <c r="K425" i="5"/>
  <c r="K430" i="5"/>
  <c r="O443" i="5"/>
  <c r="M445" i="5"/>
  <c r="AK445" i="5"/>
  <c r="J450" i="5"/>
  <c r="J454" i="5"/>
  <c r="BH454" i="5"/>
  <c r="M455" i="5"/>
  <c r="BD469" i="5"/>
  <c r="M474" i="5"/>
  <c r="M473" i="5" s="1"/>
  <c r="L473" i="5"/>
  <c r="F83" i="2" s="1"/>
  <c r="I83" i="2" s="1"/>
  <c r="AK474" i="5"/>
  <c r="AT473" i="5" s="1"/>
  <c r="M480" i="5"/>
  <c r="L479" i="5"/>
  <c r="F87" i="2" s="1"/>
  <c r="I87" i="2" s="1"/>
  <c r="AK480" i="5"/>
  <c r="AT479" i="5" s="1"/>
  <c r="O482" i="5"/>
  <c r="G88" i="2" s="1"/>
  <c r="BF483" i="5"/>
  <c r="AO447" i="5"/>
  <c r="AW447" i="5" s="1"/>
  <c r="BD451" i="5"/>
  <c r="AO452" i="5"/>
  <c r="BH452" i="5" s="1"/>
  <c r="BD455" i="5"/>
  <c r="AO456" i="5"/>
  <c r="AW456" i="5" s="1"/>
  <c r="J460" i="5"/>
  <c r="J459" i="5" s="1"/>
  <c r="BH460" i="5"/>
  <c r="AP462" i="5"/>
  <c r="AX462" i="5" s="1"/>
  <c r="AW465" i="5"/>
  <c r="BS465" i="5"/>
  <c r="AW471" i="5"/>
  <c r="BO471" i="5"/>
  <c r="O472" i="5"/>
  <c r="BF472" i="5" s="1"/>
  <c r="AX472" i="5"/>
  <c r="O478" i="5"/>
  <c r="AX478" i="5"/>
  <c r="BD481" i="5"/>
  <c r="K456" i="5"/>
  <c r="BI456" i="5"/>
  <c r="K460" i="5"/>
  <c r="K459" i="5" s="1"/>
  <c r="BI460" i="5"/>
  <c r="O465" i="5"/>
  <c r="O471" i="5"/>
  <c r="AX471" i="5"/>
  <c r="L482" i="5"/>
  <c r="F88" i="2" s="1"/>
  <c r="I88" i="2" s="1"/>
  <c r="AO483" i="5"/>
  <c r="AW483" i="5" s="1"/>
  <c r="J446" i="5"/>
  <c r="J451" i="5"/>
  <c r="J455" i="5"/>
  <c r="L456" i="5"/>
  <c r="BJ456" i="5"/>
  <c r="Z456" i="5" s="1"/>
  <c r="L460" i="5"/>
  <c r="BJ460" i="5"/>
  <c r="J481" i="5"/>
  <c r="BH481" i="5"/>
  <c r="AW460" i="5"/>
  <c r="BI471" i="5"/>
  <c r="L472" i="5"/>
  <c r="BJ472" i="5"/>
  <c r="AW474" i="5"/>
  <c r="BS474" i="5"/>
  <c r="L478" i="5"/>
  <c r="BJ478" i="5"/>
  <c r="AW480" i="5"/>
  <c r="BO480" i="5"/>
  <c r="O481" i="5"/>
  <c r="BF481" i="5" s="1"/>
  <c r="L465" i="5"/>
  <c r="L471" i="5"/>
  <c r="AW472" i="5"/>
  <c r="O474" i="5"/>
  <c r="O480" i="5"/>
  <c r="AV415" i="5" l="1"/>
  <c r="BC415" i="5"/>
  <c r="AV15" i="5"/>
  <c r="J364" i="5"/>
  <c r="J227" i="5"/>
  <c r="BH215" i="5"/>
  <c r="AD215" i="5" s="1"/>
  <c r="BC277" i="5"/>
  <c r="K205" i="5"/>
  <c r="BC204" i="5"/>
  <c r="BI195" i="5"/>
  <c r="AE195" i="5" s="1"/>
  <c r="AX237" i="5"/>
  <c r="AV237" i="5" s="1"/>
  <c r="BH86" i="5"/>
  <c r="AD86" i="5" s="1"/>
  <c r="K50" i="5"/>
  <c r="AW116" i="5"/>
  <c r="K244" i="5"/>
  <c r="BH116" i="5"/>
  <c r="AD116" i="5" s="1"/>
  <c r="C21" i="3"/>
  <c r="AW136" i="5"/>
  <c r="AK483" i="5"/>
  <c r="AT482" i="5" s="1"/>
  <c r="M483" i="5"/>
  <c r="M482" i="5" s="1"/>
  <c r="BH396" i="5"/>
  <c r="AB396" i="5" s="1"/>
  <c r="AW396" i="5"/>
  <c r="AV396" i="5" s="1"/>
  <c r="J396" i="5"/>
  <c r="BH367" i="5"/>
  <c r="AB367" i="5" s="1"/>
  <c r="J367" i="5"/>
  <c r="AW367" i="5"/>
  <c r="BI376" i="5"/>
  <c r="K376" i="5"/>
  <c r="K374" i="5" s="1"/>
  <c r="E54" i="2" s="1"/>
  <c r="AX308" i="5"/>
  <c r="K308" i="5"/>
  <c r="J293" i="5"/>
  <c r="J287" i="5" s="1"/>
  <c r="BH293" i="5"/>
  <c r="AD293" i="5" s="1"/>
  <c r="BI161" i="5"/>
  <c r="AE161" i="5" s="1"/>
  <c r="K161" i="5"/>
  <c r="BI216" i="5"/>
  <c r="AE216" i="5" s="1"/>
  <c r="K216" i="5"/>
  <c r="BI204" i="5"/>
  <c r="AE204" i="5" s="1"/>
  <c r="K204" i="5"/>
  <c r="AW190" i="5"/>
  <c r="BH190" i="5"/>
  <c r="AD190" i="5" s="1"/>
  <c r="J190" i="5"/>
  <c r="K472" i="5"/>
  <c r="K470" i="5" s="1"/>
  <c r="BI472" i="5"/>
  <c r="J103" i="5"/>
  <c r="BH103" i="5"/>
  <c r="AD103" i="5" s="1"/>
  <c r="AW103" i="5"/>
  <c r="K483" i="5"/>
  <c r="K482" i="5" s="1"/>
  <c r="E88" i="2" s="1"/>
  <c r="AX483" i="5"/>
  <c r="AX62" i="5"/>
  <c r="K62" i="5"/>
  <c r="BI85" i="5"/>
  <c r="AE85" i="5" s="1"/>
  <c r="K85" i="5"/>
  <c r="BI462" i="5"/>
  <c r="BI343" i="5"/>
  <c r="AC343" i="5" s="1"/>
  <c r="BI20" i="5"/>
  <c r="AE20" i="5" s="1"/>
  <c r="AX20" i="5"/>
  <c r="K20" i="5"/>
  <c r="K183" i="5"/>
  <c r="BI183" i="5"/>
  <c r="AE183" i="5" s="1"/>
  <c r="AX465" i="5"/>
  <c r="BI399" i="5"/>
  <c r="AC399" i="5" s="1"/>
  <c r="J382" i="5"/>
  <c r="J374" i="5"/>
  <c r="D54" i="2" s="1"/>
  <c r="BI360" i="5"/>
  <c r="BH360" i="5"/>
  <c r="K340" i="5"/>
  <c r="AW329" i="5"/>
  <c r="BI294" i="5"/>
  <c r="AE294" i="5" s="1"/>
  <c r="BI326" i="5"/>
  <c r="AE326" i="5" s="1"/>
  <c r="BH213" i="5"/>
  <c r="AD213" i="5" s="1"/>
  <c r="K176" i="5"/>
  <c r="J113" i="5"/>
  <c r="K46" i="5"/>
  <c r="BH111" i="5"/>
  <c r="AD111" i="5" s="1"/>
  <c r="BI90" i="5"/>
  <c r="AE90" i="5" s="1"/>
  <c r="BI244" i="5"/>
  <c r="AE244" i="5" s="1"/>
  <c r="BH148" i="5"/>
  <c r="AD148" i="5" s="1"/>
  <c r="AX81" i="5"/>
  <c r="J136" i="5"/>
  <c r="J127" i="5" s="1"/>
  <c r="AK451" i="5"/>
  <c r="M451" i="5"/>
  <c r="BI483" i="5"/>
  <c r="BI451" i="5"/>
  <c r="K451" i="5"/>
  <c r="AX451" i="5"/>
  <c r="BC396" i="5"/>
  <c r="J118" i="5"/>
  <c r="BH118" i="5"/>
  <c r="AD118" i="5" s="1"/>
  <c r="BH97" i="5"/>
  <c r="AD97" i="5" s="1"/>
  <c r="J97" i="5"/>
  <c r="BH208" i="5"/>
  <c r="AD208" i="5" s="1"/>
  <c r="J208" i="5"/>
  <c r="BH161" i="5"/>
  <c r="AD161" i="5" s="1"/>
  <c r="J161" i="5"/>
  <c r="BH120" i="5"/>
  <c r="AD120" i="5" s="1"/>
  <c r="J120" i="5"/>
  <c r="BH20" i="5"/>
  <c r="AD20" i="5" s="1"/>
  <c r="J20" i="5"/>
  <c r="AX345" i="5"/>
  <c r="BI345" i="5"/>
  <c r="AC345" i="5" s="1"/>
  <c r="K345" i="5"/>
  <c r="AV334" i="5"/>
  <c r="AW328" i="5"/>
  <c r="AV328" i="5" s="1"/>
  <c r="BH328" i="5"/>
  <c r="AD328" i="5" s="1"/>
  <c r="J328" i="5"/>
  <c r="AW137" i="5"/>
  <c r="BH137" i="5"/>
  <c r="AD137" i="5" s="1"/>
  <c r="J137" i="5"/>
  <c r="K116" i="5"/>
  <c r="BI116" i="5"/>
  <c r="AE116" i="5" s="1"/>
  <c r="AX116" i="5"/>
  <c r="AW478" i="5"/>
  <c r="BH402" i="5"/>
  <c r="BI407" i="5"/>
  <c r="K399" i="5"/>
  <c r="J404" i="5"/>
  <c r="AX384" i="5"/>
  <c r="BH382" i="5"/>
  <c r="AD382" i="5" s="1"/>
  <c r="AX380" i="5"/>
  <c r="BH329" i="5"/>
  <c r="K294" i="5"/>
  <c r="K332" i="5"/>
  <c r="K330" i="5" s="1"/>
  <c r="E44" i="2" s="1"/>
  <c r="K320" i="5"/>
  <c r="J256" i="5"/>
  <c r="J254" i="5" s="1"/>
  <c r="D33" i="2" s="1"/>
  <c r="BI217" i="5"/>
  <c r="AE217" i="5" s="1"/>
  <c r="AK212" i="5"/>
  <c r="AX183" i="5"/>
  <c r="AV183" i="5" s="1"/>
  <c r="BH124" i="5"/>
  <c r="AD124" i="5" s="1"/>
  <c r="BH113" i="5"/>
  <c r="AD113" i="5" s="1"/>
  <c r="J104" i="5"/>
  <c r="K111" i="5"/>
  <c r="AX90" i="5"/>
  <c r="AX24" i="5"/>
  <c r="M15" i="5"/>
  <c r="AV26" i="5"/>
  <c r="AV345" i="5"/>
  <c r="BC345" i="5"/>
  <c r="K478" i="5"/>
  <c r="K477" i="5" s="1"/>
  <c r="BI478" i="5"/>
  <c r="AK401" i="5"/>
  <c r="M401" i="5"/>
  <c r="AW350" i="5"/>
  <c r="J350" i="5"/>
  <c r="L433" i="1"/>
  <c r="AX315" i="5"/>
  <c r="K315" i="5"/>
  <c r="K314" i="5" s="1"/>
  <c r="E41" i="2" s="1"/>
  <c r="BI322" i="5"/>
  <c r="AE322" i="5" s="1"/>
  <c r="BC328" i="5"/>
  <c r="BH15" i="5"/>
  <c r="AD15" i="5" s="1"/>
  <c r="J15" i="5"/>
  <c r="BI79" i="5"/>
  <c r="AE79" i="5" s="1"/>
  <c r="K79" i="5"/>
  <c r="M37" i="5"/>
  <c r="AV443" i="5"/>
  <c r="K343" i="5"/>
  <c r="BH380" i="5"/>
  <c r="AD380" i="5" s="1"/>
  <c r="AX326" i="5"/>
  <c r="BC326" i="5" s="1"/>
  <c r="BI320" i="5"/>
  <c r="BH256" i="5"/>
  <c r="AD256" i="5" s="1"/>
  <c r="BI111" i="5"/>
  <c r="AE111" i="5" s="1"/>
  <c r="AW104" i="5"/>
  <c r="AV83" i="5"/>
  <c r="K24" i="5"/>
  <c r="AK15" i="5"/>
  <c r="L328" i="1"/>
  <c r="K441" i="5"/>
  <c r="K440" i="5" s="1"/>
  <c r="E71" i="2" s="1"/>
  <c r="BI441" i="5"/>
  <c r="AC441" i="5" s="1"/>
  <c r="BI393" i="5"/>
  <c r="AC393" i="5" s="1"/>
  <c r="K393" i="5"/>
  <c r="K392" i="5" s="1"/>
  <c r="E59" i="2" s="1"/>
  <c r="BH480" i="5"/>
  <c r="J480" i="5"/>
  <c r="J479" i="5" s="1"/>
  <c r="D87" i="2" s="1"/>
  <c r="BH296" i="5"/>
  <c r="AD296" i="5" s="1"/>
  <c r="J296" i="5"/>
  <c r="AW245" i="5"/>
  <c r="AV245" i="5" s="1"/>
  <c r="BH245" i="5"/>
  <c r="AD245" i="5" s="1"/>
  <c r="BH232" i="5"/>
  <c r="AD232" i="5" s="1"/>
  <c r="J232" i="5"/>
  <c r="AX206" i="5"/>
  <c r="K206" i="5"/>
  <c r="K194" i="5" s="1"/>
  <c r="BI206" i="5"/>
  <c r="AE206" i="5" s="1"/>
  <c r="BH228" i="5"/>
  <c r="AD228" i="5" s="1"/>
  <c r="J228" i="5"/>
  <c r="BI15" i="5"/>
  <c r="AE15" i="5" s="1"/>
  <c r="K15" i="5"/>
  <c r="AX15" i="5"/>
  <c r="BC15" i="5" s="1"/>
  <c r="AX60" i="5"/>
  <c r="BC60" i="5" s="1"/>
  <c r="BI60" i="5"/>
  <c r="AE60" i="5" s="1"/>
  <c r="BH220" i="5"/>
  <c r="AD220" i="5" s="1"/>
  <c r="J220" i="5"/>
  <c r="K380" i="5"/>
  <c r="BH347" i="5"/>
  <c r="AB347" i="5" s="1"/>
  <c r="AX332" i="5"/>
  <c r="BC332" i="5" s="1"/>
  <c r="BH317" i="5"/>
  <c r="AD317" i="5" s="1"/>
  <c r="AX238" i="5"/>
  <c r="AV238" i="5" s="1"/>
  <c r="BI209" i="5"/>
  <c r="AE209" i="5" s="1"/>
  <c r="J217" i="5"/>
  <c r="AX195" i="5"/>
  <c r="AV178" i="5"/>
  <c r="BH172" i="5"/>
  <c r="AD172" i="5" s="1"/>
  <c r="BI184" i="5"/>
  <c r="AE184" i="5" s="1"/>
  <c r="BI176" i="5"/>
  <c r="AE176" i="5" s="1"/>
  <c r="J186" i="5"/>
  <c r="BI237" i="5"/>
  <c r="AE237" i="5" s="1"/>
  <c r="BH54" i="5"/>
  <c r="AD54" i="5" s="1"/>
  <c r="BI158" i="5"/>
  <c r="BH109" i="5"/>
  <c r="AD109" i="5" s="1"/>
  <c r="BI103" i="5"/>
  <c r="AE103" i="5" s="1"/>
  <c r="J56" i="5"/>
  <c r="BC123" i="5"/>
  <c r="BI62" i="5"/>
  <c r="AE62" i="5" s="1"/>
  <c r="AX84" i="5"/>
  <c r="BC84" i="5" s="1"/>
  <c r="L434" i="1"/>
  <c r="AX401" i="5"/>
  <c r="K401" i="5"/>
  <c r="K474" i="5"/>
  <c r="K473" i="5" s="1"/>
  <c r="E83" i="2" s="1"/>
  <c r="BI474" i="5"/>
  <c r="AX350" i="5"/>
  <c r="K350" i="5"/>
  <c r="BI350" i="5"/>
  <c r="AC350" i="5" s="1"/>
  <c r="K480" i="5"/>
  <c r="K479" i="5" s="1"/>
  <c r="E87" i="2" s="1"/>
  <c r="BI480" i="5"/>
  <c r="BH166" i="5"/>
  <c r="AD166" i="5" s="1"/>
  <c r="J166" i="5"/>
  <c r="K91" i="5"/>
  <c r="K89" i="5" s="1"/>
  <c r="E19" i="2" s="1"/>
  <c r="BI91" i="5"/>
  <c r="AE91" i="5" s="1"/>
  <c r="BH110" i="5"/>
  <c r="AD110" i="5" s="1"/>
  <c r="J110" i="5"/>
  <c r="BH212" i="5"/>
  <c r="AD212" i="5" s="1"/>
  <c r="J212" i="5"/>
  <c r="BH125" i="5"/>
  <c r="J125" i="5"/>
  <c r="J122" i="5" s="1"/>
  <c r="D22" i="2" s="1"/>
  <c r="AW153" i="5"/>
  <c r="BH153" i="5"/>
  <c r="AD153" i="5" s="1"/>
  <c r="J153" i="5"/>
  <c r="BI220" i="5"/>
  <c r="AE220" i="5" s="1"/>
  <c r="K220" i="5"/>
  <c r="AW226" i="5"/>
  <c r="J226" i="5"/>
  <c r="BH226" i="5"/>
  <c r="AD226" i="5" s="1"/>
  <c r="K394" i="5"/>
  <c r="E60" i="2" s="1"/>
  <c r="J347" i="5"/>
  <c r="J304" i="5"/>
  <c r="AW380" i="5"/>
  <c r="AV380" i="5" s="1"/>
  <c r="K285" i="5"/>
  <c r="K209" i="5"/>
  <c r="K168" i="5"/>
  <c r="K153" i="5"/>
  <c r="J82" i="5"/>
  <c r="J54" i="5"/>
  <c r="BC212" i="5"/>
  <c r="BI74" i="5"/>
  <c r="AE74" i="5" s="1"/>
  <c r="K103" i="5"/>
  <c r="BH84" i="5"/>
  <c r="AD84" i="5" s="1"/>
  <c r="BH61" i="5"/>
  <c r="AD61" i="5" s="1"/>
  <c r="BI100" i="5"/>
  <c r="AE100" i="5" s="1"/>
  <c r="AW18" i="5"/>
  <c r="AV18" i="5" s="1"/>
  <c r="J22" i="5"/>
  <c r="L443" i="1"/>
  <c r="L280" i="1"/>
  <c r="AX474" i="5"/>
  <c r="BC474" i="5" s="1"/>
  <c r="BH389" i="5"/>
  <c r="AD389" i="5" s="1"/>
  <c r="AW389" i="5"/>
  <c r="AV389" i="5" s="1"/>
  <c r="J389" i="5"/>
  <c r="J388" i="5" s="1"/>
  <c r="D57" i="2" s="1"/>
  <c r="K421" i="5"/>
  <c r="K420" i="5" s="1"/>
  <c r="E65" i="2" s="1"/>
  <c r="BI421" i="5"/>
  <c r="AE421" i="5" s="1"/>
  <c r="BI318" i="5"/>
  <c r="AE318" i="5" s="1"/>
  <c r="K318" i="5"/>
  <c r="K316" i="5" s="1"/>
  <c r="E42" i="2" s="1"/>
  <c r="BH383" i="5"/>
  <c r="AD383" i="5" s="1"/>
  <c r="AW383" i="5"/>
  <c r="J383" i="5"/>
  <c r="BH236" i="5"/>
  <c r="AD236" i="5" s="1"/>
  <c r="J236" i="5"/>
  <c r="BI243" i="5"/>
  <c r="AE243" i="5" s="1"/>
  <c r="K243" i="5"/>
  <c r="AW230" i="5"/>
  <c r="J230" i="5"/>
  <c r="BH230" i="5"/>
  <c r="AD230" i="5" s="1"/>
  <c r="AW198" i="5"/>
  <c r="J198" i="5"/>
  <c r="BI88" i="5"/>
  <c r="K88" i="5"/>
  <c r="BI35" i="5"/>
  <c r="AE35" i="5" s="1"/>
  <c r="K35" i="5"/>
  <c r="BI279" i="5"/>
  <c r="AE279" i="5" s="1"/>
  <c r="K279" i="5"/>
  <c r="BI212" i="5"/>
  <c r="AE212" i="5" s="1"/>
  <c r="K212" i="5"/>
  <c r="AX125" i="5"/>
  <c r="AV125" i="5" s="1"/>
  <c r="K125" i="5"/>
  <c r="BI125" i="5"/>
  <c r="BI83" i="5"/>
  <c r="AE83" i="5" s="1"/>
  <c r="K83" i="5"/>
  <c r="BI114" i="5"/>
  <c r="AE114" i="5" s="1"/>
  <c r="K114" i="5"/>
  <c r="J456" i="5"/>
  <c r="AW453" i="5"/>
  <c r="BC453" i="5" s="1"/>
  <c r="J483" i="5"/>
  <c r="J482" i="5" s="1"/>
  <c r="D88" i="2" s="1"/>
  <c r="M479" i="5"/>
  <c r="AX407" i="5"/>
  <c r="AV407" i="5" s="1"/>
  <c r="BH399" i="5"/>
  <c r="AB399" i="5" s="1"/>
  <c r="BH478" i="5"/>
  <c r="BH415" i="5"/>
  <c r="AB415" i="5" s="1"/>
  <c r="K463" i="5"/>
  <c r="K423" i="5"/>
  <c r="K454" i="5"/>
  <c r="AX444" i="5"/>
  <c r="J399" i="5"/>
  <c r="BC441" i="5"/>
  <c r="J343" i="5"/>
  <c r="AW360" i="5"/>
  <c r="J317" i="5"/>
  <c r="J278" i="5"/>
  <c r="AX250" i="5"/>
  <c r="BH223" i="5"/>
  <c r="J195" i="5"/>
  <c r="BI205" i="5"/>
  <c r="AE205" i="5" s="1"/>
  <c r="AX248" i="5"/>
  <c r="BC248" i="5" s="1"/>
  <c r="AV220" i="5"/>
  <c r="BI50" i="5"/>
  <c r="K74" i="5"/>
  <c r="AV114" i="5"/>
  <c r="J84" i="5"/>
  <c r="J61" i="5"/>
  <c r="BI44" i="5"/>
  <c r="AE44" i="5" s="1"/>
  <c r="BI48" i="5"/>
  <c r="AE48" i="5" s="1"/>
  <c r="K106" i="5"/>
  <c r="BH22" i="5"/>
  <c r="AD22" i="5" s="1"/>
  <c r="J18" i="5"/>
  <c r="J13" i="5" s="1"/>
  <c r="L47" i="1"/>
  <c r="AK277" i="5"/>
  <c r="M277" i="5"/>
  <c r="BI398" i="5"/>
  <c r="AC398" i="5" s="1"/>
  <c r="K398" i="5"/>
  <c r="BI275" i="5"/>
  <c r="AE275" i="5" s="1"/>
  <c r="K275" i="5"/>
  <c r="AX198" i="5"/>
  <c r="BI198" i="5"/>
  <c r="AE198" i="5" s="1"/>
  <c r="AW166" i="5"/>
  <c r="AV166" i="5" s="1"/>
  <c r="BH101" i="5"/>
  <c r="AD101" i="5" s="1"/>
  <c r="J101" i="5"/>
  <c r="AW184" i="5"/>
  <c r="BC184" i="5" s="1"/>
  <c r="BH184" i="5"/>
  <c r="AD184" i="5" s="1"/>
  <c r="K112" i="5"/>
  <c r="BI112" i="5"/>
  <c r="AE112" i="5" s="1"/>
  <c r="AX112" i="5"/>
  <c r="BH204" i="5"/>
  <c r="AD204" i="5" s="1"/>
  <c r="J204" i="5"/>
  <c r="BI359" i="5"/>
  <c r="K359" i="5"/>
  <c r="J472" i="5"/>
  <c r="J470" i="5" s="1"/>
  <c r="D82" i="2" s="1"/>
  <c r="BH472" i="5"/>
  <c r="AX85" i="5"/>
  <c r="BC85" i="5" s="1"/>
  <c r="BC22" i="5"/>
  <c r="AV22" i="5"/>
  <c r="AV447" i="5"/>
  <c r="BC447" i="5"/>
  <c r="AV368" i="5"/>
  <c r="BC368" i="5"/>
  <c r="K349" i="5"/>
  <c r="E49" i="2" s="1"/>
  <c r="J253" i="5"/>
  <c r="D32" i="2" s="1"/>
  <c r="BC111" i="5"/>
  <c r="AV111" i="5"/>
  <c r="AV456" i="5"/>
  <c r="BC456" i="5"/>
  <c r="M360" i="5"/>
  <c r="AK360" i="5"/>
  <c r="BI319" i="5"/>
  <c r="AE319" i="5" s="1"/>
  <c r="K319" i="5"/>
  <c r="BC336" i="5"/>
  <c r="AV336" i="5"/>
  <c r="AX234" i="5"/>
  <c r="BI234" i="5"/>
  <c r="AE234" i="5" s="1"/>
  <c r="K234" i="5"/>
  <c r="O254" i="5"/>
  <c r="AK199" i="5"/>
  <c r="M199" i="5"/>
  <c r="AK172" i="5"/>
  <c r="M172" i="5"/>
  <c r="BC104" i="5"/>
  <c r="AV104" i="5"/>
  <c r="AK471" i="5"/>
  <c r="AT470" i="5" s="1"/>
  <c r="M471" i="5"/>
  <c r="L470" i="5"/>
  <c r="F82" i="2" s="1"/>
  <c r="I82" i="2" s="1"/>
  <c r="O464" i="5"/>
  <c r="G78" i="2" s="1"/>
  <c r="BF465" i="5"/>
  <c r="BI437" i="5"/>
  <c r="AE437" i="5" s="1"/>
  <c r="BH425" i="5"/>
  <c r="AD425" i="5" s="1"/>
  <c r="J425" i="5"/>
  <c r="AW425" i="5"/>
  <c r="O420" i="5"/>
  <c r="G65" i="2" s="1"/>
  <c r="BF421" i="5"/>
  <c r="BC391" i="5"/>
  <c r="AV391" i="5"/>
  <c r="AX406" i="5"/>
  <c r="K406" i="5"/>
  <c r="BI406" i="5"/>
  <c r="AK396" i="5"/>
  <c r="M396" i="5"/>
  <c r="AK373" i="5"/>
  <c r="AT372" i="5" s="1"/>
  <c r="L372" i="5"/>
  <c r="F53" i="2" s="1"/>
  <c r="I53" i="2" s="1"/>
  <c r="M373" i="5"/>
  <c r="M372" i="5" s="1"/>
  <c r="M318" i="5"/>
  <c r="AK318" i="5"/>
  <c r="BC329" i="5"/>
  <c r="AV329" i="5"/>
  <c r="AV364" i="5"/>
  <c r="BC364" i="5"/>
  <c r="BF317" i="5"/>
  <c r="O316" i="5"/>
  <c r="G42" i="2" s="1"/>
  <c r="BC293" i="5"/>
  <c r="AV293" i="5"/>
  <c r="O287" i="5"/>
  <c r="AX267" i="5"/>
  <c r="BI267" i="5"/>
  <c r="AE267" i="5" s="1"/>
  <c r="K267" i="5"/>
  <c r="M319" i="5"/>
  <c r="AK319" i="5"/>
  <c r="M221" i="5"/>
  <c r="AK221" i="5"/>
  <c r="AK197" i="5"/>
  <c r="M197" i="5"/>
  <c r="AK226" i="5"/>
  <c r="M226" i="5"/>
  <c r="L225" i="5"/>
  <c r="BC276" i="5"/>
  <c r="AV276" i="5"/>
  <c r="AV236" i="5"/>
  <c r="BC236" i="5"/>
  <c r="AV248" i="5"/>
  <c r="AK133" i="5"/>
  <c r="M133" i="5"/>
  <c r="AX141" i="5"/>
  <c r="BI141" i="5"/>
  <c r="AE141" i="5" s="1"/>
  <c r="K141" i="5"/>
  <c r="BC201" i="5"/>
  <c r="AV201" i="5"/>
  <c r="K122" i="5"/>
  <c r="E22" i="2" s="1"/>
  <c r="BC134" i="5"/>
  <c r="AV134" i="5"/>
  <c r="BC90" i="5"/>
  <c r="AV90" i="5"/>
  <c r="M42" i="5"/>
  <c r="AK42" i="5"/>
  <c r="AV79" i="5"/>
  <c r="BC79" i="5"/>
  <c r="BC59" i="5"/>
  <c r="AV59" i="5"/>
  <c r="BC63" i="5"/>
  <c r="AV63" i="5"/>
  <c r="BC158" i="5"/>
  <c r="AV158" i="5"/>
  <c r="BC47" i="5"/>
  <c r="AV47" i="5"/>
  <c r="L12" i="5"/>
  <c r="F11" i="2" s="1"/>
  <c r="F12" i="2"/>
  <c r="I12" i="2" s="1"/>
  <c r="BI29" i="5"/>
  <c r="AE29" i="5" s="1"/>
  <c r="K29" i="5"/>
  <c r="AV472" i="5"/>
  <c r="BC472" i="5"/>
  <c r="M463" i="5"/>
  <c r="AK463" i="5"/>
  <c r="O436" i="5"/>
  <c r="G69" i="2" s="1"/>
  <c r="BF437" i="5"/>
  <c r="AK387" i="5"/>
  <c r="M387" i="5"/>
  <c r="O330" i="5"/>
  <c r="G44" i="2" s="1"/>
  <c r="BF331" i="5"/>
  <c r="BC274" i="5"/>
  <c r="AV274" i="5"/>
  <c r="BC107" i="5"/>
  <c r="AV107" i="5"/>
  <c r="M64" i="5"/>
  <c r="AK64" i="5"/>
  <c r="AV157" i="5"/>
  <c r="BC157" i="5"/>
  <c r="AK76" i="5"/>
  <c r="M76" i="5"/>
  <c r="AK53" i="5"/>
  <c r="M53" i="5"/>
  <c r="L52" i="5"/>
  <c r="AW81" i="5"/>
  <c r="J81" i="5"/>
  <c r="AK54" i="5"/>
  <c r="M54" i="5"/>
  <c r="M29" i="5"/>
  <c r="L28" i="5"/>
  <c r="AK29" i="5"/>
  <c r="AV474" i="5"/>
  <c r="J447" i="5"/>
  <c r="K442" i="5"/>
  <c r="E72" i="2" s="1"/>
  <c r="AV435" i="5"/>
  <c r="BC435" i="5"/>
  <c r="AK414" i="5"/>
  <c r="M414" i="5"/>
  <c r="M381" i="5"/>
  <c r="AK381" i="5"/>
  <c r="BH437" i="5"/>
  <c r="AD437" i="5" s="1"/>
  <c r="J437" i="5"/>
  <c r="J436" i="5" s="1"/>
  <c r="D69" i="2" s="1"/>
  <c r="BH336" i="5"/>
  <c r="AB336" i="5" s="1"/>
  <c r="K379" i="5"/>
  <c r="E55" i="2" s="1"/>
  <c r="BC371" i="5"/>
  <c r="AV371" i="5"/>
  <c r="J339" i="5"/>
  <c r="D48" i="2" s="1"/>
  <c r="AV324" i="5"/>
  <c r="BC324" i="5"/>
  <c r="AW315" i="5"/>
  <c r="BH315" i="5"/>
  <c r="AD315" i="5" s="1"/>
  <c r="J315" i="5"/>
  <c r="J314" i="5" s="1"/>
  <c r="D41" i="2" s="1"/>
  <c r="AW303" i="5"/>
  <c r="BH303" i="5"/>
  <c r="AB303" i="5" s="1"/>
  <c r="J303" i="5"/>
  <c r="J274" i="5"/>
  <c r="AK239" i="5"/>
  <c r="M239" i="5"/>
  <c r="M276" i="5"/>
  <c r="AK276" i="5"/>
  <c r="AK190" i="5"/>
  <c r="M190" i="5"/>
  <c r="BC215" i="5"/>
  <c r="AV215" i="5"/>
  <c r="M266" i="5"/>
  <c r="AK266" i="5"/>
  <c r="AK188" i="5"/>
  <c r="M188" i="5"/>
  <c r="BC231" i="5"/>
  <c r="AV231" i="5"/>
  <c r="AK202" i="5"/>
  <c r="M202" i="5"/>
  <c r="M229" i="5"/>
  <c r="AK229" i="5"/>
  <c r="BC172" i="5"/>
  <c r="AV172" i="5"/>
  <c r="AK141" i="5"/>
  <c r="M141" i="5"/>
  <c r="AK203" i="5"/>
  <c r="M203" i="5"/>
  <c r="BC154" i="5"/>
  <c r="AV154" i="5"/>
  <c r="AV177" i="5"/>
  <c r="BC177" i="5"/>
  <c r="O89" i="5"/>
  <c r="G19" i="2" s="1"/>
  <c r="BF90" i="5"/>
  <c r="M83" i="5"/>
  <c r="AK83" i="5"/>
  <c r="J78" i="5"/>
  <c r="M152" i="5"/>
  <c r="AK152" i="5"/>
  <c r="M84" i="5"/>
  <c r="AK84" i="5"/>
  <c r="O52" i="5"/>
  <c r="M148" i="5"/>
  <c r="AK148" i="5"/>
  <c r="AV101" i="5"/>
  <c r="BC101" i="5"/>
  <c r="AK92" i="5"/>
  <c r="M92" i="5"/>
  <c r="AW53" i="5"/>
  <c r="BH53" i="5"/>
  <c r="AD53" i="5" s="1"/>
  <c r="J53" i="5"/>
  <c r="AK56" i="5"/>
  <c r="M56" i="5"/>
  <c r="BC25" i="5"/>
  <c r="AV25" i="5"/>
  <c r="AK465" i="5"/>
  <c r="AT464" i="5" s="1"/>
  <c r="M465" i="5"/>
  <c r="M464" i="5" s="1"/>
  <c r="L464" i="5"/>
  <c r="F78" i="2" s="1"/>
  <c r="I78" i="2" s="1"/>
  <c r="BH483" i="5"/>
  <c r="BH456" i="5"/>
  <c r="BH447" i="5"/>
  <c r="AB447" i="5" s="1"/>
  <c r="AW463" i="5"/>
  <c r="K461" i="5"/>
  <c r="E77" i="2" s="1"/>
  <c r="BC424" i="5"/>
  <c r="AV424" i="5"/>
  <c r="AW469" i="5"/>
  <c r="M449" i="5"/>
  <c r="AK449" i="5"/>
  <c r="L448" i="5"/>
  <c r="F73" i="2" s="1"/>
  <c r="I73" i="2" s="1"/>
  <c r="AK434" i="5"/>
  <c r="M434" i="5"/>
  <c r="L433" i="5"/>
  <c r="F68" i="2" s="1"/>
  <c r="I68" i="2" s="1"/>
  <c r="O457" i="5"/>
  <c r="G74" i="2" s="1"/>
  <c r="G76" i="2"/>
  <c r="M452" i="5"/>
  <c r="AK452" i="5"/>
  <c r="BH397" i="5"/>
  <c r="AB397" i="5" s="1"/>
  <c r="J391" i="5"/>
  <c r="J390" i="5" s="1"/>
  <c r="D58" i="2" s="1"/>
  <c r="M376" i="5"/>
  <c r="AK376" i="5"/>
  <c r="BH423" i="5"/>
  <c r="AD423" i="5" s="1"/>
  <c r="J423" i="5"/>
  <c r="J422" i="5" s="1"/>
  <c r="D66" i="2" s="1"/>
  <c r="AW423" i="5"/>
  <c r="M399" i="5"/>
  <c r="AK399" i="5"/>
  <c r="M437" i="5"/>
  <c r="M436" i="5" s="1"/>
  <c r="AK437" i="5"/>
  <c r="AT436" i="5" s="1"/>
  <c r="L436" i="5"/>
  <c r="F69" i="2" s="1"/>
  <c r="I69" i="2" s="1"/>
  <c r="BH395" i="5"/>
  <c r="AB395" i="5" s="1"/>
  <c r="J387" i="5"/>
  <c r="J385" i="5" s="1"/>
  <c r="D56" i="2" s="1"/>
  <c r="L390" i="5"/>
  <c r="F58" i="2" s="1"/>
  <c r="I58" i="2" s="1"/>
  <c r="AK391" i="5"/>
  <c r="AT390" i="5" s="1"/>
  <c r="M391" i="5"/>
  <c r="M390" i="5" s="1"/>
  <c r="AV403" i="5"/>
  <c r="AV386" i="5"/>
  <c r="BC386" i="5"/>
  <c r="AK382" i="5"/>
  <c r="M382" i="5"/>
  <c r="AV373" i="5"/>
  <c r="BC373" i="5"/>
  <c r="M359" i="5"/>
  <c r="AK359" i="5"/>
  <c r="BC351" i="5"/>
  <c r="AV351" i="5"/>
  <c r="J336" i="5"/>
  <c r="J335" i="5" s="1"/>
  <c r="D46" i="2" s="1"/>
  <c r="AK347" i="5"/>
  <c r="M347" i="5"/>
  <c r="AX369" i="5"/>
  <c r="BI369" i="5"/>
  <c r="K369" i="5"/>
  <c r="AV376" i="5"/>
  <c r="BC376" i="5"/>
  <c r="BH340" i="5"/>
  <c r="AB340" i="5" s="1"/>
  <c r="BC317" i="5"/>
  <c r="AV317" i="5"/>
  <c r="BC304" i="5"/>
  <c r="AV304" i="5"/>
  <c r="AK326" i="5"/>
  <c r="M326" i="5"/>
  <c r="AK315" i="5"/>
  <c r="AT314" i="5" s="1"/>
  <c r="M315" i="5"/>
  <c r="M314" i="5" s="1"/>
  <c r="L314" i="5"/>
  <c r="F41" i="2" s="1"/>
  <c r="I41" i="2" s="1"/>
  <c r="J306" i="5"/>
  <c r="BC347" i="5"/>
  <c r="AV347" i="5"/>
  <c r="AV338" i="5"/>
  <c r="BC338" i="5"/>
  <c r="M331" i="5"/>
  <c r="AK331" i="5"/>
  <c r="L330" i="5"/>
  <c r="F44" i="2" s="1"/>
  <c r="I44" i="2" s="1"/>
  <c r="K321" i="5"/>
  <c r="E43" i="2" s="1"/>
  <c r="AV300" i="5"/>
  <c r="BC300" i="5"/>
  <c r="AK270" i="5"/>
  <c r="M270" i="5"/>
  <c r="BC278" i="5"/>
  <c r="AV278" i="5"/>
  <c r="BI306" i="5"/>
  <c r="AC306" i="5" s="1"/>
  <c r="K306" i="5"/>
  <c r="K302" i="5" s="1"/>
  <c r="AX285" i="5"/>
  <c r="BC285" i="5" s="1"/>
  <c r="AX306" i="5"/>
  <c r="BC306" i="5" s="1"/>
  <c r="AW284" i="5"/>
  <c r="J284" i="5"/>
  <c r="BH284" i="5"/>
  <c r="AD284" i="5" s="1"/>
  <c r="AX395" i="5"/>
  <c r="AV395" i="5" s="1"/>
  <c r="BC313" i="5"/>
  <c r="AV313" i="5"/>
  <c r="BH276" i="5"/>
  <c r="AD276" i="5" s="1"/>
  <c r="BC264" i="5"/>
  <c r="AV264" i="5"/>
  <c r="AK249" i="5"/>
  <c r="M249" i="5"/>
  <c r="AK274" i="5"/>
  <c r="L272" i="5"/>
  <c r="M274" i="5"/>
  <c r="AV261" i="5"/>
  <c r="BC261" i="5"/>
  <c r="BC275" i="5"/>
  <c r="K238" i="5"/>
  <c r="AK186" i="5"/>
  <c r="M186" i="5"/>
  <c r="AX242" i="5"/>
  <c r="BC242" i="5" s="1"/>
  <c r="BH219" i="5"/>
  <c r="AD219" i="5" s="1"/>
  <c r="J215" i="5"/>
  <c r="BH207" i="5"/>
  <c r="AD207" i="5" s="1"/>
  <c r="BC260" i="5"/>
  <c r="AV260" i="5"/>
  <c r="BC250" i="5"/>
  <c r="AV250" i="5"/>
  <c r="M209" i="5"/>
  <c r="AK209" i="5"/>
  <c r="AX230" i="5"/>
  <c r="BI230" i="5"/>
  <c r="AE230" i="5" s="1"/>
  <c r="K230" i="5"/>
  <c r="BH201" i="5"/>
  <c r="AD201" i="5" s="1"/>
  <c r="O194" i="5"/>
  <c r="BF195" i="5"/>
  <c r="O302" i="5"/>
  <c r="AX246" i="5"/>
  <c r="AK215" i="5"/>
  <c r="M215" i="5"/>
  <c r="AK151" i="5"/>
  <c r="M151" i="5"/>
  <c r="AK135" i="5"/>
  <c r="M135" i="5"/>
  <c r="AX197" i="5"/>
  <c r="BC197" i="5" s="1"/>
  <c r="J172" i="5"/>
  <c r="M161" i="5"/>
  <c r="L160" i="5"/>
  <c r="AK161" i="5"/>
  <c r="M162" i="5"/>
  <c r="AK162" i="5"/>
  <c r="BC217" i="5"/>
  <c r="AV217" i="5"/>
  <c r="AK153" i="5"/>
  <c r="M153" i="5"/>
  <c r="J233" i="5"/>
  <c r="BC138" i="5"/>
  <c r="AV138" i="5"/>
  <c r="AK112" i="5"/>
  <c r="M112" i="5"/>
  <c r="BH237" i="5"/>
  <c r="AD237" i="5" s="1"/>
  <c r="BC199" i="5"/>
  <c r="AV199" i="5"/>
  <c r="AV151" i="5"/>
  <c r="BC151" i="5"/>
  <c r="M130" i="5"/>
  <c r="AK130" i="5"/>
  <c r="AK105" i="5"/>
  <c r="M105" i="5"/>
  <c r="AV161" i="5"/>
  <c r="AK119" i="5"/>
  <c r="M119" i="5"/>
  <c r="BH82" i="5"/>
  <c r="AD82" i="5" s="1"/>
  <c r="J63" i="5"/>
  <c r="BC130" i="5"/>
  <c r="AV130" i="5"/>
  <c r="AX124" i="5"/>
  <c r="BC124" i="5" s="1"/>
  <c r="AX109" i="5"/>
  <c r="AV109" i="5" s="1"/>
  <c r="AX168" i="5"/>
  <c r="AV168" i="5" s="1"/>
  <c r="AV144" i="5"/>
  <c r="BC144" i="5"/>
  <c r="AK48" i="5"/>
  <c r="M48" i="5"/>
  <c r="BC182" i="5"/>
  <c r="AK81" i="5"/>
  <c r="M81" i="5"/>
  <c r="AK58" i="5"/>
  <c r="M58" i="5"/>
  <c r="AV85" i="5"/>
  <c r="AK63" i="5"/>
  <c r="M63" i="5"/>
  <c r="AV50" i="5"/>
  <c r="BC50" i="5"/>
  <c r="O28" i="5"/>
  <c r="BF29" i="5"/>
  <c r="BF14" i="5"/>
  <c r="O13" i="5"/>
  <c r="M106" i="5"/>
  <c r="AK106" i="5"/>
  <c r="BF41" i="5"/>
  <c r="O40" i="5"/>
  <c r="BC18" i="5"/>
  <c r="BC80" i="5"/>
  <c r="AV80" i="5"/>
  <c r="AV88" i="5"/>
  <c r="BC88" i="5"/>
  <c r="AW42" i="5"/>
  <c r="J42" i="5"/>
  <c r="BH42" i="5"/>
  <c r="AD42" i="5" s="1"/>
  <c r="BC187" i="5"/>
  <c r="AV187" i="5"/>
  <c r="AV49" i="5"/>
  <c r="BC49" i="5"/>
  <c r="BC41" i="5"/>
  <c r="AV41" i="5"/>
  <c r="M24" i="5"/>
  <c r="AK24" i="5"/>
  <c r="AV37" i="5"/>
  <c r="L452" i="1"/>
  <c r="L11" i="1"/>
  <c r="AV460" i="5"/>
  <c r="BC460" i="5"/>
  <c r="BC429" i="5"/>
  <c r="AV429" i="5"/>
  <c r="BI419" i="5"/>
  <c r="AC419" i="5" s="1"/>
  <c r="AV398" i="5"/>
  <c r="BC398" i="5"/>
  <c r="AK304" i="5"/>
  <c r="M304" i="5"/>
  <c r="M243" i="5"/>
  <c r="AK243" i="5"/>
  <c r="AV279" i="5"/>
  <c r="BC279" i="5"/>
  <c r="AK139" i="5"/>
  <c r="M139" i="5"/>
  <c r="M189" i="5"/>
  <c r="AK189" i="5"/>
  <c r="AW233" i="5"/>
  <c r="AV143" i="5"/>
  <c r="BC143" i="5"/>
  <c r="AK46" i="5"/>
  <c r="M46" i="5"/>
  <c r="D76" i="2"/>
  <c r="BI463" i="5"/>
  <c r="J435" i="5"/>
  <c r="BH435" i="5"/>
  <c r="AD435" i="5" s="1"/>
  <c r="M398" i="5"/>
  <c r="AK398" i="5"/>
  <c r="BH412" i="5"/>
  <c r="AB412" i="5" s="1"/>
  <c r="J412" i="5"/>
  <c r="J410" i="5" s="1"/>
  <c r="AW412" i="5"/>
  <c r="L374" i="5"/>
  <c r="F54" i="2" s="1"/>
  <c r="I54" i="2" s="1"/>
  <c r="M375" i="5"/>
  <c r="AK375" i="5"/>
  <c r="BC395" i="5"/>
  <c r="AK343" i="5"/>
  <c r="M343" i="5"/>
  <c r="M305" i="5"/>
  <c r="AK305" i="5"/>
  <c r="AV326" i="5"/>
  <c r="AK377" i="5"/>
  <c r="M377" i="5"/>
  <c r="BC380" i="5"/>
  <c r="BH368" i="5"/>
  <c r="AB368" i="5" s="1"/>
  <c r="M472" i="5"/>
  <c r="AK472" i="5"/>
  <c r="BC483" i="5"/>
  <c r="AV483" i="5"/>
  <c r="K458" i="5"/>
  <c r="E75" i="2" s="1"/>
  <c r="K457" i="5"/>
  <c r="E74" i="2" s="1"/>
  <c r="E76" i="2"/>
  <c r="L442" i="5"/>
  <c r="F72" i="2" s="1"/>
  <c r="I72" i="2" s="1"/>
  <c r="M443" i="5"/>
  <c r="AK443" i="5"/>
  <c r="K422" i="5"/>
  <c r="E66" i="2" s="1"/>
  <c r="AK424" i="5"/>
  <c r="M424" i="5"/>
  <c r="J433" i="5"/>
  <c r="D68" i="2" s="1"/>
  <c r="L418" i="5"/>
  <c r="F64" i="2" s="1"/>
  <c r="I64" i="2" s="1"/>
  <c r="AK419" i="5"/>
  <c r="AT418" i="5" s="1"/>
  <c r="M419" i="5"/>
  <c r="M418" i="5" s="1"/>
  <c r="AW428" i="5"/>
  <c r="BH428" i="5"/>
  <c r="AD428" i="5" s="1"/>
  <c r="J428" i="5"/>
  <c r="BC407" i="5"/>
  <c r="BH416" i="5"/>
  <c r="AB416" i="5" s="1"/>
  <c r="J416" i="5"/>
  <c r="AW416" i="5"/>
  <c r="M403" i="5"/>
  <c r="AK403" i="5"/>
  <c r="BC397" i="5"/>
  <c r="AV397" i="5"/>
  <c r="AW432" i="5"/>
  <c r="BH432" i="5"/>
  <c r="J432" i="5"/>
  <c r="AW406" i="5"/>
  <c r="J406" i="5"/>
  <c r="BH406" i="5"/>
  <c r="M413" i="5"/>
  <c r="M410" i="5" s="1"/>
  <c r="AK413" i="5"/>
  <c r="AK412" i="5"/>
  <c r="M412" i="5"/>
  <c r="O400" i="5"/>
  <c r="G61" i="2" s="1"/>
  <c r="J395" i="5"/>
  <c r="J394" i="5" s="1"/>
  <c r="D60" i="2" s="1"/>
  <c r="AK402" i="5"/>
  <c r="L400" i="5"/>
  <c r="F61" i="2" s="1"/>
  <c r="I61" i="2" s="1"/>
  <c r="M402" i="5"/>
  <c r="AK367" i="5"/>
  <c r="M367" i="5"/>
  <c r="AK384" i="5"/>
  <c r="M384" i="5"/>
  <c r="BH358" i="5"/>
  <c r="BI439" i="5"/>
  <c r="AC439" i="5" s="1"/>
  <c r="AX439" i="5"/>
  <c r="K439" i="5"/>
  <c r="K438" i="5" s="1"/>
  <c r="E70" i="2" s="1"/>
  <c r="BC360" i="5"/>
  <c r="AV360" i="5"/>
  <c r="BI354" i="5"/>
  <c r="J444" i="5"/>
  <c r="BH444" i="5"/>
  <c r="AB444" i="5" s="1"/>
  <c r="AK351" i="5"/>
  <c r="L349" i="5"/>
  <c r="F49" i="2" s="1"/>
  <c r="I49" i="2" s="1"/>
  <c r="M351" i="5"/>
  <c r="AK329" i="5"/>
  <c r="M329" i="5"/>
  <c r="BC431" i="5"/>
  <c r="BI336" i="5"/>
  <c r="AC336" i="5" s="1"/>
  <c r="AV296" i="5"/>
  <c r="BC296" i="5"/>
  <c r="M289" i="5"/>
  <c r="AK289" i="5"/>
  <c r="AV311" i="5"/>
  <c r="BC311" i="5"/>
  <c r="AK332" i="5"/>
  <c r="M332" i="5"/>
  <c r="M306" i="5"/>
  <c r="AK306" i="5"/>
  <c r="AX284" i="5"/>
  <c r="K284" i="5"/>
  <c r="BI284" i="5"/>
  <c r="AE284" i="5" s="1"/>
  <c r="BC294" i="5"/>
  <c r="AV294" i="5"/>
  <c r="BI313" i="5"/>
  <c r="AC313" i="5" s="1"/>
  <c r="K313" i="5"/>
  <c r="K312" i="5" s="1"/>
  <c r="E40" i="2" s="1"/>
  <c r="J276" i="5"/>
  <c r="AX263" i="5"/>
  <c r="AV263" i="5" s="1"/>
  <c r="BI263" i="5"/>
  <c r="AE263" i="5" s="1"/>
  <c r="K263" i="5"/>
  <c r="AK245" i="5"/>
  <c r="M245" i="5"/>
  <c r="AV255" i="5"/>
  <c r="BC255" i="5"/>
  <c r="AK236" i="5"/>
  <c r="M236" i="5"/>
  <c r="AK182" i="5"/>
  <c r="M182" i="5"/>
  <c r="J242" i="5"/>
  <c r="BI239" i="5"/>
  <c r="AE239" i="5" s="1"/>
  <c r="AX239" i="5"/>
  <c r="K239" i="5"/>
  <c r="BC219" i="5"/>
  <c r="AV219" i="5"/>
  <c r="BC207" i="5"/>
  <c r="AV207" i="5"/>
  <c r="M299" i="5"/>
  <c r="AK299" i="5"/>
  <c r="AV266" i="5"/>
  <c r="BC266" i="5"/>
  <c r="M262" i="5"/>
  <c r="AK262" i="5"/>
  <c r="AK246" i="5"/>
  <c r="M246" i="5"/>
  <c r="BC227" i="5"/>
  <c r="AV227" i="5"/>
  <c r="AK206" i="5"/>
  <c r="M206" i="5"/>
  <c r="J201" i="5"/>
  <c r="BI188" i="5"/>
  <c r="AE188" i="5" s="1"/>
  <c r="J246" i="5"/>
  <c r="BC192" i="5"/>
  <c r="AV192" i="5"/>
  <c r="AK131" i="5"/>
  <c r="M131" i="5"/>
  <c r="AW229" i="5"/>
  <c r="AV174" i="5"/>
  <c r="BC174" i="5"/>
  <c r="M123" i="5"/>
  <c r="L122" i="5"/>
  <c r="F22" i="2" s="1"/>
  <c r="I22" i="2" s="1"/>
  <c r="AK123" i="5"/>
  <c r="BC181" i="5"/>
  <c r="AV181" i="5"/>
  <c r="BC175" i="5"/>
  <c r="AV175" i="5"/>
  <c r="AK129" i="5"/>
  <c r="M129" i="5"/>
  <c r="O225" i="5"/>
  <c r="BC203" i="5"/>
  <c r="AV203" i="5"/>
  <c r="AV173" i="5"/>
  <c r="BC173" i="5"/>
  <c r="AX137" i="5"/>
  <c r="BI137" i="5"/>
  <c r="AE137" i="5" s="1"/>
  <c r="K137" i="5"/>
  <c r="J237" i="5"/>
  <c r="AV139" i="5"/>
  <c r="BC139" i="5"/>
  <c r="AV118" i="5"/>
  <c r="BC118" i="5"/>
  <c r="M88" i="5"/>
  <c r="AK88" i="5"/>
  <c r="BC82" i="5"/>
  <c r="AV82" i="5"/>
  <c r="M72" i="5"/>
  <c r="AK72" i="5"/>
  <c r="AV152" i="5"/>
  <c r="BC152" i="5"/>
  <c r="AW180" i="5"/>
  <c r="BH180" i="5"/>
  <c r="AD180" i="5" s="1"/>
  <c r="J180" i="5"/>
  <c r="M168" i="5"/>
  <c r="AK168" i="5"/>
  <c r="M90" i="5"/>
  <c r="L89" i="5"/>
  <c r="F19" i="2" s="1"/>
  <c r="I19" i="2" s="1"/>
  <c r="AK90" i="5"/>
  <c r="AK66" i="5"/>
  <c r="M66" i="5"/>
  <c r="AX117" i="5"/>
  <c r="AV117" i="5" s="1"/>
  <c r="AK103" i="5"/>
  <c r="M103" i="5"/>
  <c r="AK95" i="5"/>
  <c r="M95" i="5"/>
  <c r="L94" i="5"/>
  <c r="L287" i="5"/>
  <c r="BC100" i="5"/>
  <c r="AV100" i="5"/>
  <c r="AK85" i="5"/>
  <c r="M85" i="5"/>
  <c r="K48" i="5"/>
  <c r="AV148" i="5"/>
  <c r="BC148" i="5"/>
  <c r="J85" i="5"/>
  <c r="AK78" i="5"/>
  <c r="M78" i="5"/>
  <c r="AW62" i="5"/>
  <c r="BH62" i="5"/>
  <c r="AD62" i="5" s="1"/>
  <c r="J62" i="5"/>
  <c r="AV45" i="5"/>
  <c r="BC45" i="5"/>
  <c r="BI38" i="5"/>
  <c r="AX38" i="5"/>
  <c r="K38" i="5"/>
  <c r="AW38" i="5"/>
  <c r="J38" i="5"/>
  <c r="BH38" i="5"/>
  <c r="BC14" i="5"/>
  <c r="AV14" i="5"/>
  <c r="AX56" i="5"/>
  <c r="AV56" i="5" s="1"/>
  <c r="BC176" i="5"/>
  <c r="AV176" i="5"/>
  <c r="AK30" i="5"/>
  <c r="M30" i="5"/>
  <c r="K13" i="5"/>
  <c r="AX61" i="5"/>
  <c r="M98" i="5"/>
  <c r="AK98" i="5"/>
  <c r="AV64" i="5"/>
  <c r="BC64" i="5"/>
  <c r="O477" i="5"/>
  <c r="BF478" i="5"/>
  <c r="BH430" i="5"/>
  <c r="AD430" i="5" s="1"/>
  <c r="J430" i="5"/>
  <c r="AW430" i="5"/>
  <c r="BF462" i="5"/>
  <c r="O461" i="5"/>
  <c r="G77" i="2" s="1"/>
  <c r="M353" i="5"/>
  <c r="AK353" i="5"/>
  <c r="BC297" i="5"/>
  <c r="AV297" i="5"/>
  <c r="BC268" i="5"/>
  <c r="AV268" i="5"/>
  <c r="AW36" i="5"/>
  <c r="J36" i="5"/>
  <c r="BH36" i="5"/>
  <c r="AD36" i="5" s="1"/>
  <c r="O122" i="5"/>
  <c r="G22" i="2" s="1"/>
  <c r="J117" i="5"/>
  <c r="BC91" i="5"/>
  <c r="AV91" i="5"/>
  <c r="AK91" i="5"/>
  <c r="M91" i="5"/>
  <c r="AK62" i="5"/>
  <c r="M62" i="5"/>
  <c r="BC162" i="5"/>
  <c r="AV162" i="5"/>
  <c r="AV97" i="5"/>
  <c r="BC97" i="5"/>
  <c r="AW76" i="5"/>
  <c r="BH76" i="5"/>
  <c r="AD76" i="5" s="1"/>
  <c r="J76" i="5"/>
  <c r="AX36" i="5"/>
  <c r="AV33" i="5"/>
  <c r="BC33" i="5"/>
  <c r="M33" i="5"/>
  <c r="AK33" i="5"/>
  <c r="M80" i="5"/>
  <c r="AK80" i="5"/>
  <c r="M136" i="5"/>
  <c r="AK136" i="5"/>
  <c r="M49" i="5"/>
  <c r="AK49" i="5"/>
  <c r="AK34" i="5"/>
  <c r="M34" i="5"/>
  <c r="BH29" i="5"/>
  <c r="AD29" i="5" s="1"/>
  <c r="BC66" i="5"/>
  <c r="AV66" i="5"/>
  <c r="M16" i="5"/>
  <c r="AK16" i="5"/>
  <c r="AV24" i="5"/>
  <c r="BC24" i="5"/>
  <c r="M17" i="5"/>
  <c r="AK17" i="5"/>
  <c r="L80" i="1"/>
  <c r="AV31" i="5"/>
  <c r="BF443" i="5"/>
  <c r="O442" i="5"/>
  <c r="G72" i="2" s="1"/>
  <c r="E81" i="2"/>
  <c r="M405" i="5"/>
  <c r="AK405" i="5"/>
  <c r="J368" i="5"/>
  <c r="J362" i="5" s="1"/>
  <c r="BC246" i="5"/>
  <c r="AV246" i="5"/>
  <c r="M181" i="5"/>
  <c r="AK181" i="5"/>
  <c r="BC142" i="5"/>
  <c r="AV142" i="5"/>
  <c r="AV216" i="5"/>
  <c r="AK109" i="5"/>
  <c r="M109" i="5"/>
  <c r="AW68" i="5"/>
  <c r="BH68" i="5"/>
  <c r="AD68" i="5" s="1"/>
  <c r="J68" i="5"/>
  <c r="AK32" i="5"/>
  <c r="M32" i="5"/>
  <c r="AK460" i="5"/>
  <c r="AT459" i="5" s="1"/>
  <c r="M460" i="5"/>
  <c r="M459" i="5" s="1"/>
  <c r="L459" i="5"/>
  <c r="K419" i="5"/>
  <c r="K418" i="5" s="1"/>
  <c r="E64" i="2" s="1"/>
  <c r="M435" i="5"/>
  <c r="AK435" i="5"/>
  <c r="BC449" i="5"/>
  <c r="AV449" i="5"/>
  <c r="AV452" i="5"/>
  <c r="BC452" i="5"/>
  <c r="L422" i="5"/>
  <c r="F66" i="2" s="1"/>
  <c r="I66" i="2" s="1"/>
  <c r="AK423" i="5"/>
  <c r="M423" i="5"/>
  <c r="BC358" i="5"/>
  <c r="AV358" i="5"/>
  <c r="BC343" i="5"/>
  <c r="AV343" i="5"/>
  <c r="O312" i="5"/>
  <c r="G40" i="2" s="1"/>
  <c r="BF313" i="5"/>
  <c r="J321" i="5"/>
  <c r="D43" i="2" s="1"/>
  <c r="AK320" i="5"/>
  <c r="M320" i="5"/>
  <c r="M368" i="5"/>
  <c r="AK368" i="5"/>
  <c r="BC340" i="5"/>
  <c r="AV340" i="5"/>
  <c r="AV331" i="5"/>
  <c r="BC331" i="5"/>
  <c r="AK265" i="5"/>
  <c r="M265" i="5"/>
  <c r="AV292" i="5"/>
  <c r="BC292" i="5"/>
  <c r="M313" i="5"/>
  <c r="M312" i="5" s="1"/>
  <c r="L312" i="5"/>
  <c r="F40" i="2" s="1"/>
  <c r="I40" i="2" s="1"/>
  <c r="AK313" i="5"/>
  <c r="AT312" i="5" s="1"/>
  <c r="BC252" i="5"/>
  <c r="AK184" i="5"/>
  <c r="M184" i="5"/>
  <c r="AK223" i="5"/>
  <c r="M223" i="5"/>
  <c r="AK147" i="5"/>
  <c r="M147" i="5"/>
  <c r="BC209" i="5"/>
  <c r="AV209" i="5"/>
  <c r="BC183" i="5"/>
  <c r="M447" i="5"/>
  <c r="AK447" i="5"/>
  <c r="O448" i="5"/>
  <c r="G73" i="2" s="1"/>
  <c r="BF449" i="5"/>
  <c r="M444" i="5"/>
  <c r="AK444" i="5"/>
  <c r="O394" i="5"/>
  <c r="G60" i="2" s="1"/>
  <c r="BF395" i="5"/>
  <c r="AV405" i="5"/>
  <c r="M395" i="5"/>
  <c r="L394" i="5"/>
  <c r="F60" i="2" s="1"/>
  <c r="I60" i="2" s="1"/>
  <c r="AK395" i="5"/>
  <c r="AV413" i="5"/>
  <c r="BC413" i="5"/>
  <c r="BC382" i="5"/>
  <c r="AV382" i="5"/>
  <c r="L362" i="5"/>
  <c r="AK363" i="5"/>
  <c r="M363" i="5"/>
  <c r="BC384" i="5"/>
  <c r="AV384" i="5"/>
  <c r="J358" i="5"/>
  <c r="J349" i="5" s="1"/>
  <c r="D49" i="2" s="1"/>
  <c r="BF380" i="5"/>
  <c r="O379" i="5"/>
  <c r="G55" i="2" s="1"/>
  <c r="BC375" i="5"/>
  <c r="AV375" i="5"/>
  <c r="M354" i="5"/>
  <c r="AK354" i="5"/>
  <c r="BC421" i="5"/>
  <c r="BF371" i="5"/>
  <c r="O370" i="5"/>
  <c r="G52" i="2" s="1"/>
  <c r="AK365" i="5"/>
  <c r="M365" i="5"/>
  <c r="AX365" i="5"/>
  <c r="BI365" i="5"/>
  <c r="AC365" i="5" s="1"/>
  <c r="K365" i="5"/>
  <c r="K362" i="5" s="1"/>
  <c r="L339" i="5"/>
  <c r="F48" i="2" s="1"/>
  <c r="I48" i="2" s="1"/>
  <c r="AK340" i="5"/>
  <c r="M340" i="5"/>
  <c r="AK300" i="5"/>
  <c r="M300" i="5"/>
  <c r="O362" i="5"/>
  <c r="M311" i="5"/>
  <c r="AK311" i="5"/>
  <c r="AX354" i="5"/>
  <c r="BC354" i="5" s="1"/>
  <c r="BC393" i="5"/>
  <c r="AK282" i="5"/>
  <c r="M282" i="5"/>
  <c r="AW320" i="5"/>
  <c r="BH320" i="5"/>
  <c r="J320" i="5"/>
  <c r="J316" i="5" s="1"/>
  <c r="D42" i="2" s="1"/>
  <c r="AW308" i="5"/>
  <c r="BH308" i="5"/>
  <c r="AB308" i="5" s="1"/>
  <c r="J308" i="5"/>
  <c r="AK285" i="5"/>
  <c r="M285" i="5"/>
  <c r="AV332" i="5"/>
  <c r="BI387" i="5"/>
  <c r="AE387" i="5" s="1"/>
  <c r="K387" i="5"/>
  <c r="K385" i="5" s="1"/>
  <c r="E56" i="2" s="1"/>
  <c r="BC290" i="5"/>
  <c r="AV290" i="5"/>
  <c r="BH252" i="5"/>
  <c r="AV318" i="5"/>
  <c r="BC318" i="5"/>
  <c r="BI241" i="5"/>
  <c r="AE241" i="5" s="1"/>
  <c r="AX241" i="5"/>
  <c r="K241" i="5"/>
  <c r="AK232" i="5"/>
  <c r="M232" i="5"/>
  <c r="L335" i="5"/>
  <c r="F46" i="2" s="1"/>
  <c r="I46" i="2" s="1"/>
  <c r="AK336" i="5"/>
  <c r="AT335" i="5" s="1"/>
  <c r="M336" i="5"/>
  <c r="M335" i="5" s="1"/>
  <c r="K242" i="5"/>
  <c r="AV262" i="5"/>
  <c r="BC262" i="5"/>
  <c r="M205" i="5"/>
  <c r="AK205" i="5"/>
  <c r="AK214" i="5"/>
  <c r="M214" i="5"/>
  <c r="BH209" i="5"/>
  <c r="AD209" i="5" s="1"/>
  <c r="J205" i="5"/>
  <c r="K188" i="5"/>
  <c r="AV273" i="5"/>
  <c r="K246" i="5"/>
  <c r="AK211" i="5"/>
  <c r="M211" i="5"/>
  <c r="J229" i="5"/>
  <c r="J121" i="5"/>
  <c r="BC208" i="5"/>
  <c r="AK158" i="5"/>
  <c r="M158" i="5"/>
  <c r="BC221" i="5"/>
  <c r="AV221" i="5"/>
  <c r="BH162" i="5"/>
  <c r="AD162" i="5" s="1"/>
  <c r="AX149" i="5"/>
  <c r="BI149" i="5"/>
  <c r="AE149" i="5" s="1"/>
  <c r="K149" i="5"/>
  <c r="BI129" i="5"/>
  <c r="AE129" i="5" s="1"/>
  <c r="K129" i="5"/>
  <c r="AX129" i="5"/>
  <c r="BC129" i="5" s="1"/>
  <c r="AK120" i="5"/>
  <c r="M120" i="5"/>
  <c r="AK108" i="5"/>
  <c r="M108" i="5"/>
  <c r="BC188" i="5"/>
  <c r="AV147" i="5"/>
  <c r="BC147" i="5"/>
  <c r="BC132" i="5"/>
  <c r="AV132" i="5"/>
  <c r="AK111" i="5"/>
  <c r="M111" i="5"/>
  <c r="BC86" i="5"/>
  <c r="AV86" i="5"/>
  <c r="BC70" i="5"/>
  <c r="AV70" i="5"/>
  <c r="BH59" i="5"/>
  <c r="AD59" i="5" s="1"/>
  <c r="AK180" i="5"/>
  <c r="M180" i="5"/>
  <c r="J119" i="5"/>
  <c r="K109" i="5"/>
  <c r="AK61" i="5"/>
  <c r="M61" i="5"/>
  <c r="BC128" i="5"/>
  <c r="AV128" i="5"/>
  <c r="BH117" i="5"/>
  <c r="AD117" i="5" s="1"/>
  <c r="BI61" i="5"/>
  <c r="AE61" i="5" s="1"/>
  <c r="O160" i="5"/>
  <c r="BH90" i="5"/>
  <c r="AD90" i="5" s="1"/>
  <c r="BC113" i="5"/>
  <c r="AV113" i="5"/>
  <c r="AK107" i="5"/>
  <c r="M107" i="5"/>
  <c r="AK59" i="5"/>
  <c r="M59" i="5"/>
  <c r="AK36" i="5"/>
  <c r="M36" i="5"/>
  <c r="BC54" i="5"/>
  <c r="AV54" i="5"/>
  <c r="AW29" i="5"/>
  <c r="BC106" i="5"/>
  <c r="AV106" i="5"/>
  <c r="AV72" i="5"/>
  <c r="BC72" i="5"/>
  <c r="BH32" i="5"/>
  <c r="AD32" i="5" s="1"/>
  <c r="J32" i="5"/>
  <c r="AW32" i="5"/>
  <c r="M102" i="5"/>
  <c r="AK102" i="5"/>
  <c r="K40" i="5"/>
  <c r="M187" i="5"/>
  <c r="AK187" i="5"/>
  <c r="AK115" i="5"/>
  <c r="M115" i="5"/>
  <c r="AV98" i="5"/>
  <c r="BC98" i="5"/>
  <c r="M22" i="5"/>
  <c r="AK22" i="5"/>
  <c r="BI33" i="5"/>
  <c r="AE33" i="5" s="1"/>
  <c r="K33" i="5"/>
  <c r="AV453" i="5"/>
  <c r="BC445" i="5"/>
  <c r="AV445" i="5"/>
  <c r="AK308" i="5"/>
  <c r="M308" i="5"/>
  <c r="L316" i="5"/>
  <c r="F42" i="2" s="1"/>
  <c r="I42" i="2" s="1"/>
  <c r="AK317" i="5"/>
  <c r="AT316" i="5" s="1"/>
  <c r="M317" i="5"/>
  <c r="M279" i="5"/>
  <c r="AK279" i="5"/>
  <c r="AV280" i="5"/>
  <c r="BC280" i="5"/>
  <c r="AV240" i="5"/>
  <c r="BC240" i="5"/>
  <c r="AK222" i="5"/>
  <c r="M222" i="5"/>
  <c r="AK238" i="5"/>
  <c r="M238" i="5"/>
  <c r="AK207" i="5"/>
  <c r="M207" i="5"/>
  <c r="L155" i="5"/>
  <c r="F25" i="2" s="1"/>
  <c r="I25" i="2" s="1"/>
  <c r="AK156" i="5"/>
  <c r="M156" i="5"/>
  <c r="J92" i="5"/>
  <c r="AW92" i="5"/>
  <c r="M55" i="5"/>
  <c r="AK55" i="5"/>
  <c r="L127" i="5"/>
  <c r="M74" i="5"/>
  <c r="AK74" i="5"/>
  <c r="M144" i="5"/>
  <c r="AK144" i="5"/>
  <c r="AK244" i="5"/>
  <c r="M244" i="5"/>
  <c r="AK86" i="5"/>
  <c r="M86" i="5"/>
  <c r="M43" i="5"/>
  <c r="AK43" i="5"/>
  <c r="AV471" i="5"/>
  <c r="BC471" i="5"/>
  <c r="O468" i="5"/>
  <c r="BF469" i="5"/>
  <c r="BC411" i="5"/>
  <c r="AV411" i="5"/>
  <c r="BI432" i="5"/>
  <c r="AV363" i="5"/>
  <c r="BC363" i="5"/>
  <c r="O321" i="5"/>
  <c r="G43" i="2" s="1"/>
  <c r="BF322" i="5"/>
  <c r="AK309" i="5"/>
  <c r="M309" i="5"/>
  <c r="M283" i="5"/>
  <c r="AK283" i="5"/>
  <c r="M251" i="5"/>
  <c r="AK251" i="5"/>
  <c r="BC289" i="5"/>
  <c r="AV289" i="5"/>
  <c r="BC283" i="5"/>
  <c r="AV283" i="5"/>
  <c r="BC387" i="5"/>
  <c r="AV387" i="5"/>
  <c r="BI258" i="5"/>
  <c r="AE258" i="5" s="1"/>
  <c r="K258" i="5"/>
  <c r="K254" i="5" s="1"/>
  <c r="AX258" i="5"/>
  <c r="AV270" i="5"/>
  <c r="BC270" i="5"/>
  <c r="AK178" i="5"/>
  <c r="M178" i="5"/>
  <c r="BC238" i="5"/>
  <c r="M200" i="5"/>
  <c r="AK200" i="5"/>
  <c r="M217" i="5"/>
  <c r="AK217" i="5"/>
  <c r="AK230" i="5"/>
  <c r="M230" i="5"/>
  <c r="AX226" i="5"/>
  <c r="BI226" i="5"/>
  <c r="AE226" i="5" s="1"/>
  <c r="K226" i="5"/>
  <c r="AK210" i="5"/>
  <c r="M210" i="5"/>
  <c r="AV232" i="5"/>
  <c r="BC232" i="5"/>
  <c r="L194" i="5"/>
  <c r="AK195" i="5"/>
  <c r="M195" i="5"/>
  <c r="K155" i="5"/>
  <c r="E25" i="2" s="1"/>
  <c r="AV243" i="5"/>
  <c r="BC243" i="5"/>
  <c r="AK176" i="5"/>
  <c r="M176" i="5"/>
  <c r="BC189" i="5"/>
  <c r="AV189" i="5"/>
  <c r="AK124" i="5"/>
  <c r="M124" i="5"/>
  <c r="AK145" i="5"/>
  <c r="M145" i="5"/>
  <c r="BC179" i="5"/>
  <c r="AV179" i="5"/>
  <c r="AK163" i="5"/>
  <c r="M163" i="5"/>
  <c r="BC150" i="5"/>
  <c r="AV150" i="5"/>
  <c r="BI133" i="5"/>
  <c r="AE133" i="5" s="1"/>
  <c r="K133" i="5"/>
  <c r="AX133" i="5"/>
  <c r="BC205" i="5"/>
  <c r="AV205" i="5"/>
  <c r="AK164" i="5"/>
  <c r="M164" i="5"/>
  <c r="BC121" i="5"/>
  <c r="AV121" i="5"/>
  <c r="AK101" i="5"/>
  <c r="M101" i="5"/>
  <c r="M140" i="5"/>
  <c r="AK140" i="5"/>
  <c r="M60" i="5"/>
  <c r="AK60" i="5"/>
  <c r="BF480" i="5"/>
  <c r="O479" i="5"/>
  <c r="G87" i="2" s="1"/>
  <c r="BC480" i="5"/>
  <c r="AV480" i="5"/>
  <c r="BC402" i="5"/>
  <c r="AV402" i="5"/>
  <c r="BI416" i="5"/>
  <c r="AC416" i="5" s="1"/>
  <c r="AV478" i="5"/>
  <c r="BC478" i="5"/>
  <c r="BI465" i="5"/>
  <c r="AK456" i="5"/>
  <c r="M456" i="5"/>
  <c r="AV465" i="5"/>
  <c r="BC465" i="5"/>
  <c r="AK406" i="5"/>
  <c r="M406" i="5"/>
  <c r="J463" i="5"/>
  <c r="J461" i="5" s="1"/>
  <c r="AV462" i="5"/>
  <c r="BC462" i="5"/>
  <c r="M453" i="5"/>
  <c r="AK453" i="5"/>
  <c r="BC434" i="5"/>
  <c r="AV434" i="5"/>
  <c r="J469" i="5"/>
  <c r="J468" i="5" s="1"/>
  <c r="AK417" i="5"/>
  <c r="M417" i="5"/>
  <c r="J452" i="5"/>
  <c r="J448" i="5" s="1"/>
  <c r="D73" i="2" s="1"/>
  <c r="J402" i="5"/>
  <c r="BH384" i="5"/>
  <c r="AV414" i="5"/>
  <c r="AW404" i="5"/>
  <c r="AV426" i="5"/>
  <c r="K405" i="5"/>
  <c r="K400" i="5" s="1"/>
  <c r="E61" i="2" s="1"/>
  <c r="BI405" i="5"/>
  <c r="BI412" i="5"/>
  <c r="AC412" i="5" s="1"/>
  <c r="BF391" i="5"/>
  <c r="O390" i="5"/>
  <c r="G58" i="2" s="1"/>
  <c r="AK383" i="5"/>
  <c r="M383" i="5"/>
  <c r="BC399" i="5"/>
  <c r="AV399" i="5"/>
  <c r="O349" i="5"/>
  <c r="G49" i="2" s="1"/>
  <c r="BF354" i="5"/>
  <c r="M345" i="5"/>
  <c r="AK345" i="5"/>
  <c r="AK439" i="5"/>
  <c r="AT438" i="5" s="1"/>
  <c r="M439" i="5"/>
  <c r="M438" i="5" s="1"/>
  <c r="L438" i="5"/>
  <c r="F70" i="2" s="1"/>
  <c r="I70" i="2" s="1"/>
  <c r="J373" i="5"/>
  <c r="J372" i="5" s="1"/>
  <c r="D53" i="2" s="1"/>
  <c r="BH373" i="5"/>
  <c r="AD373" i="5" s="1"/>
  <c r="BF375" i="5"/>
  <c r="O374" i="5"/>
  <c r="G54" i="2" s="1"/>
  <c r="BI347" i="5"/>
  <c r="AC347" i="5" s="1"/>
  <c r="BH381" i="5"/>
  <c r="AD381" i="5" s="1"/>
  <c r="J381" i="5"/>
  <c r="AK296" i="5"/>
  <c r="M296" i="5"/>
  <c r="BC309" i="5"/>
  <c r="AV309" i="5"/>
  <c r="J332" i="5"/>
  <c r="J330" i="5" s="1"/>
  <c r="D44" i="2" s="1"/>
  <c r="AK303" i="5"/>
  <c r="M303" i="5"/>
  <c r="L302" i="5"/>
  <c r="AK261" i="5"/>
  <c r="M261" i="5"/>
  <c r="BC288" i="5"/>
  <c r="AV288" i="5"/>
  <c r="M275" i="5"/>
  <c r="AK275" i="5"/>
  <c r="AV305" i="5"/>
  <c r="BC305" i="5"/>
  <c r="AK280" i="5"/>
  <c r="M280" i="5"/>
  <c r="J252" i="5"/>
  <c r="BH309" i="5"/>
  <c r="AB309" i="5" s="1"/>
  <c r="AK278" i="5"/>
  <c r="M278" i="5"/>
  <c r="BC256" i="5"/>
  <c r="AV256" i="5"/>
  <c r="AK241" i="5"/>
  <c r="M241" i="5"/>
  <c r="K203" i="5"/>
  <c r="BC223" i="5"/>
  <c r="AV223" i="5"/>
  <c r="BC211" i="5"/>
  <c r="AV211" i="5"/>
  <c r="BC299" i="5"/>
  <c r="AV299" i="5"/>
  <c r="AV281" i="5"/>
  <c r="BI213" i="5"/>
  <c r="AE213" i="5" s="1"/>
  <c r="BI197" i="5"/>
  <c r="AE197" i="5" s="1"/>
  <c r="J209" i="5"/>
  <c r="AK198" i="5"/>
  <c r="M198" i="5"/>
  <c r="AK248" i="5"/>
  <c r="M248" i="5"/>
  <c r="AK143" i="5"/>
  <c r="M143" i="5"/>
  <c r="AV204" i="5"/>
  <c r="BC195" i="5"/>
  <c r="AV195" i="5"/>
  <c r="AK174" i="5"/>
  <c r="M174" i="5"/>
  <c r="BC164" i="5"/>
  <c r="AV164" i="5"/>
  <c r="AX213" i="5"/>
  <c r="BC213" i="5" s="1"/>
  <c r="BC245" i="5"/>
  <c r="M177" i="5"/>
  <c r="AK177" i="5"/>
  <c r="AK137" i="5"/>
  <c r="AT127" i="5" s="1"/>
  <c r="M137" i="5"/>
  <c r="M233" i="5"/>
  <c r="AK233" i="5"/>
  <c r="AK170" i="5"/>
  <c r="M170" i="5"/>
  <c r="J162" i="5"/>
  <c r="BC146" i="5"/>
  <c r="AV146" i="5"/>
  <c r="M237" i="5"/>
  <c r="AK237" i="5"/>
  <c r="M175" i="5"/>
  <c r="AK175" i="5"/>
  <c r="AV135" i="5"/>
  <c r="BC135" i="5"/>
  <c r="AV110" i="5"/>
  <c r="AK97" i="5"/>
  <c r="M97" i="5"/>
  <c r="AV140" i="5"/>
  <c r="BC140" i="5"/>
  <c r="J86" i="5"/>
  <c r="M79" i="5"/>
  <c r="AK79" i="5"/>
  <c r="J70" i="5"/>
  <c r="J59" i="5"/>
  <c r="M157" i="5"/>
  <c r="AK157" i="5"/>
  <c r="BC119" i="5"/>
  <c r="AV119" i="5"/>
  <c r="BH119" i="5"/>
  <c r="AD119" i="5" s="1"/>
  <c r="AV116" i="5"/>
  <c r="BC116" i="5"/>
  <c r="BI153" i="5"/>
  <c r="AE153" i="5" s="1"/>
  <c r="BF128" i="5"/>
  <c r="O127" i="5"/>
  <c r="K117" i="5"/>
  <c r="BC244" i="5"/>
  <c r="AV244" i="5"/>
  <c r="BC96" i="5"/>
  <c r="AV96" i="5"/>
  <c r="J90" i="5"/>
  <c r="AK68" i="5"/>
  <c r="M68" i="5"/>
  <c r="AV105" i="5"/>
  <c r="BC105" i="5"/>
  <c r="AK82" i="5"/>
  <c r="M82" i="5"/>
  <c r="AW58" i="5"/>
  <c r="BH58" i="5"/>
  <c r="AD58" i="5" s="1"/>
  <c r="J58" i="5"/>
  <c r="M134" i="5"/>
  <c r="AK134" i="5"/>
  <c r="BC99" i="5"/>
  <c r="AV99" i="5"/>
  <c r="BC48" i="5"/>
  <c r="AV48" i="5"/>
  <c r="BC141" i="5"/>
  <c r="AV141" i="5"/>
  <c r="AV84" i="5"/>
  <c r="BC74" i="5"/>
  <c r="AV74" i="5"/>
  <c r="AV55" i="5"/>
  <c r="BC55" i="5"/>
  <c r="AV136" i="5"/>
  <c r="BC136" i="5"/>
  <c r="L40" i="5"/>
  <c r="AV60" i="5"/>
  <c r="AW115" i="5"/>
  <c r="AV46" i="5"/>
  <c r="BC46" i="5"/>
  <c r="AW16" i="5"/>
  <c r="AV17" i="5"/>
  <c r="BC17" i="5"/>
  <c r="AX29" i="5"/>
  <c r="AV35" i="5"/>
  <c r="L468" i="5"/>
  <c r="M469" i="5"/>
  <c r="M468" i="5" s="1"/>
  <c r="AK469" i="5"/>
  <c r="AT468" i="5" s="1"/>
  <c r="BF411" i="5"/>
  <c r="O410" i="5"/>
  <c r="AK284" i="5"/>
  <c r="M284" i="5"/>
  <c r="M338" i="5"/>
  <c r="M337" i="5" s="1"/>
  <c r="L337" i="5"/>
  <c r="F47" i="2" s="1"/>
  <c r="I47" i="2" s="1"/>
  <c r="AK338" i="5"/>
  <c r="AT337" i="5" s="1"/>
  <c r="AW282" i="5"/>
  <c r="J282" i="5"/>
  <c r="BH282" i="5"/>
  <c r="AD282" i="5" s="1"/>
  <c r="M196" i="5"/>
  <c r="AK196" i="5"/>
  <c r="BC78" i="5"/>
  <c r="AV78" i="5"/>
  <c r="L461" i="5"/>
  <c r="F77" i="2" s="1"/>
  <c r="I77" i="2" s="1"/>
  <c r="M462" i="5"/>
  <c r="M461" i="5" s="1"/>
  <c r="AK462" i="5"/>
  <c r="AT461" i="5" s="1"/>
  <c r="AV417" i="5"/>
  <c r="BC417" i="5"/>
  <c r="L410" i="5"/>
  <c r="BH439" i="5"/>
  <c r="AB439" i="5" s="1"/>
  <c r="AW439" i="5"/>
  <c r="J439" i="5"/>
  <c r="J438" i="5" s="1"/>
  <c r="D70" i="2" s="1"/>
  <c r="BC366" i="5"/>
  <c r="AV366" i="5"/>
  <c r="BC185" i="5"/>
  <c r="AV185" i="5"/>
  <c r="F41" i="4"/>
  <c r="I41" i="4" s="1"/>
  <c r="K414" i="5"/>
  <c r="BH453" i="5"/>
  <c r="K416" i="5"/>
  <c r="AK425" i="5"/>
  <c r="M425" i="5"/>
  <c r="M428" i="5"/>
  <c r="L427" i="5"/>
  <c r="F67" i="2" s="1"/>
  <c r="I67" i="2" s="1"/>
  <c r="AK428" i="5"/>
  <c r="AK416" i="5"/>
  <c r="M416" i="5"/>
  <c r="M386" i="5"/>
  <c r="M385" i="5" s="1"/>
  <c r="L385" i="5"/>
  <c r="F56" i="2" s="1"/>
  <c r="I56" i="2" s="1"/>
  <c r="AK386" i="5"/>
  <c r="AT385" i="5" s="1"/>
  <c r="M432" i="5"/>
  <c r="AK432" i="5"/>
  <c r="BF474" i="5"/>
  <c r="O473" i="5"/>
  <c r="G83" i="2" s="1"/>
  <c r="M478" i="5"/>
  <c r="M477" i="5" s="1"/>
  <c r="AK478" i="5"/>
  <c r="AT477" i="5" s="1"/>
  <c r="L477" i="5"/>
  <c r="O470" i="5"/>
  <c r="G82" i="2" s="1"/>
  <c r="BF471" i="5"/>
  <c r="J442" i="5"/>
  <c r="D72" i="2" s="1"/>
  <c r="BF434" i="5"/>
  <c r="O433" i="5"/>
  <c r="G68" i="2" s="1"/>
  <c r="F37" i="4"/>
  <c r="I37" i="4" s="1"/>
  <c r="I45" i="4" s="1"/>
  <c r="I24" i="3" s="1"/>
  <c r="L440" i="5"/>
  <c r="F71" i="2" s="1"/>
  <c r="I71" i="2" s="1"/>
  <c r="AK441" i="5"/>
  <c r="AT440" i="5" s="1"/>
  <c r="M441" i="5"/>
  <c r="M440" i="5" s="1"/>
  <c r="K432" i="5"/>
  <c r="K427" i="5" s="1"/>
  <c r="E67" i="2" s="1"/>
  <c r="AK408" i="5"/>
  <c r="M408" i="5"/>
  <c r="K448" i="5"/>
  <c r="E73" i="2" s="1"/>
  <c r="AK429" i="5"/>
  <c r="M429" i="5"/>
  <c r="AW444" i="5"/>
  <c r="AW437" i="5"/>
  <c r="AK430" i="5"/>
  <c r="M430" i="5"/>
  <c r="BI428" i="5"/>
  <c r="AE428" i="5" s="1"/>
  <c r="BI414" i="5"/>
  <c r="AC414" i="5" s="1"/>
  <c r="M393" i="5"/>
  <c r="M392" i="5" s="1"/>
  <c r="L392" i="5"/>
  <c r="F59" i="2" s="1"/>
  <c r="I59" i="2" s="1"/>
  <c r="AK393" i="5"/>
  <c r="AT392" i="5" s="1"/>
  <c r="J384" i="5"/>
  <c r="BH419" i="5"/>
  <c r="AB419" i="5" s="1"/>
  <c r="J419" i="5"/>
  <c r="J418" i="5" s="1"/>
  <c r="D64" i="2" s="1"/>
  <c r="AW419" i="5"/>
  <c r="AK404" i="5"/>
  <c r="M404" i="5"/>
  <c r="BI423" i="5"/>
  <c r="AE423" i="5" s="1"/>
  <c r="AK389" i="5"/>
  <c r="AT388" i="5" s="1"/>
  <c r="M389" i="5"/>
  <c r="M388" i="5" s="1"/>
  <c r="L388" i="5"/>
  <c r="F57" i="2" s="1"/>
  <c r="I57" i="2" s="1"/>
  <c r="AK378" i="5"/>
  <c r="M378" i="5"/>
  <c r="AK397" i="5"/>
  <c r="M397" i="5"/>
  <c r="L379" i="5"/>
  <c r="F55" i="2" s="1"/>
  <c r="I55" i="2" s="1"/>
  <c r="AK380" i="5"/>
  <c r="M380" i="5"/>
  <c r="M379" i="5" s="1"/>
  <c r="BH343" i="5"/>
  <c r="AB343" i="5" s="1"/>
  <c r="AK369" i="5"/>
  <c r="M369" i="5"/>
  <c r="K347" i="5"/>
  <c r="K339" i="5" s="1"/>
  <c r="E48" i="2" s="1"/>
  <c r="AV378" i="5"/>
  <c r="BC378" i="5"/>
  <c r="AK358" i="5"/>
  <c r="M358" i="5"/>
  <c r="O339" i="5"/>
  <c r="G48" i="2" s="1"/>
  <c r="BF340" i="5"/>
  <c r="AW381" i="5"/>
  <c r="L321" i="5"/>
  <c r="F43" i="2" s="1"/>
  <c r="I43" i="2" s="1"/>
  <c r="M322" i="5"/>
  <c r="AK322" i="5"/>
  <c r="AT321" i="5" s="1"/>
  <c r="J309" i="5"/>
  <c r="AK324" i="5"/>
  <c r="M324" i="5"/>
  <c r="BH332" i="5"/>
  <c r="AD332" i="5" s="1"/>
  <c r="BC377" i="5"/>
  <c r="AV377" i="5"/>
  <c r="M364" i="5"/>
  <c r="AK364" i="5"/>
  <c r="BC295" i="5"/>
  <c r="AV295" i="5"/>
  <c r="BC291" i="5"/>
  <c r="AV291" i="5"/>
  <c r="AK255" i="5"/>
  <c r="M255" i="5"/>
  <c r="L254" i="5"/>
  <c r="K287" i="5"/>
  <c r="BH274" i="5"/>
  <c r="AD274" i="5" s="1"/>
  <c r="M247" i="5"/>
  <c r="AK247" i="5"/>
  <c r="AK252" i="5"/>
  <c r="M252" i="5"/>
  <c r="M292" i="5"/>
  <c r="AK292" i="5"/>
  <c r="AX282" i="5"/>
  <c r="K282" i="5"/>
  <c r="BI282" i="5"/>
  <c r="AE282" i="5" s="1"/>
  <c r="K283" i="5"/>
  <c r="BI283" i="5"/>
  <c r="AE283" i="5" s="1"/>
  <c r="O272" i="5"/>
  <c r="BC319" i="5"/>
  <c r="AV319" i="5"/>
  <c r="AV265" i="5"/>
  <c r="BC265" i="5"/>
  <c r="AK228" i="5"/>
  <c r="M228" i="5"/>
  <c r="J223" i="5"/>
  <c r="M216" i="5"/>
  <c r="AK216" i="5"/>
  <c r="J211" i="5"/>
  <c r="M204" i="5"/>
  <c r="AK204" i="5"/>
  <c r="BI182" i="5"/>
  <c r="AE182" i="5" s="1"/>
  <c r="AW247" i="5"/>
  <c r="BH247" i="5"/>
  <c r="AD247" i="5" s="1"/>
  <c r="J247" i="5"/>
  <c r="AK250" i="5"/>
  <c r="M250" i="5"/>
  <c r="M213" i="5"/>
  <c r="AK213" i="5"/>
  <c r="AK201" i="5"/>
  <c r="M201" i="5"/>
  <c r="AK234" i="5"/>
  <c r="M234" i="5"/>
  <c r="AX252" i="5"/>
  <c r="AV252" i="5" s="1"/>
  <c r="BC235" i="5"/>
  <c r="AV235" i="5"/>
  <c r="AK218" i="5"/>
  <c r="M218" i="5"/>
  <c r="J213" i="5"/>
  <c r="BH197" i="5"/>
  <c r="AD197" i="5" s="1"/>
  <c r="K184" i="5"/>
  <c r="AV228" i="5"/>
  <c r="BC228" i="5"/>
  <c r="AK219" i="5"/>
  <c r="M219" i="5"/>
  <c r="J164" i="5"/>
  <c r="M118" i="5"/>
  <c r="AK118" i="5"/>
  <c r="AK149" i="5"/>
  <c r="M149" i="5"/>
  <c r="BH168" i="5"/>
  <c r="AD168" i="5" s="1"/>
  <c r="AX145" i="5"/>
  <c r="BI145" i="5"/>
  <c r="AE145" i="5" s="1"/>
  <c r="K145" i="5"/>
  <c r="AK125" i="5"/>
  <c r="M125" i="5"/>
  <c r="AK116" i="5"/>
  <c r="M116" i="5"/>
  <c r="BI180" i="5"/>
  <c r="AE180" i="5" s="1"/>
  <c r="AV156" i="5"/>
  <c r="BC156" i="5"/>
  <c r="AK50" i="5"/>
  <c r="M50" i="5"/>
  <c r="BH92" i="5"/>
  <c r="BH78" i="5"/>
  <c r="AD78" i="5" s="1"/>
  <c r="AK38" i="5"/>
  <c r="M38" i="5"/>
  <c r="BC109" i="5"/>
  <c r="BC263" i="5"/>
  <c r="AK99" i="5"/>
  <c r="M99" i="5"/>
  <c r="BH66" i="5"/>
  <c r="AD66" i="5" s="1"/>
  <c r="AV112" i="5"/>
  <c r="BC112" i="5"/>
  <c r="BH81" i="5"/>
  <c r="AD81" i="5" s="1"/>
  <c r="AK70" i="5"/>
  <c r="M70" i="5"/>
  <c r="BC95" i="5"/>
  <c r="AV95" i="5"/>
  <c r="K52" i="5"/>
  <c r="BH44" i="5"/>
  <c r="AD44" i="5" s="1"/>
  <c r="J44" i="5"/>
  <c r="AW44" i="5"/>
  <c r="BC56" i="5"/>
  <c r="O155" i="5"/>
  <c r="G25" i="2" s="1"/>
  <c r="AV102" i="5"/>
  <c r="BC102" i="5"/>
  <c r="BC61" i="5"/>
  <c r="AV61" i="5"/>
  <c r="BI36" i="5"/>
  <c r="AE36" i="5" s="1"/>
  <c r="O94" i="5"/>
  <c r="AT13" i="5"/>
  <c r="J286" i="5" l="1"/>
  <c r="D36" i="2" s="1"/>
  <c r="D37" i="2"/>
  <c r="E82" i="2"/>
  <c r="K466" i="5"/>
  <c r="E79" i="2" s="1"/>
  <c r="K467" i="5"/>
  <c r="E80" i="2" s="1"/>
  <c r="AV350" i="5"/>
  <c r="BC350" i="5"/>
  <c r="BC20" i="5"/>
  <c r="AV20" i="5"/>
  <c r="AT422" i="5"/>
  <c r="M287" i="5"/>
  <c r="M286" i="5" s="1"/>
  <c r="M349" i="5"/>
  <c r="AT287" i="5"/>
  <c r="K160" i="5"/>
  <c r="K410" i="5"/>
  <c r="J28" i="5"/>
  <c r="M13" i="5"/>
  <c r="M127" i="5"/>
  <c r="AT254" i="5"/>
  <c r="AT410" i="5"/>
  <c r="AV285" i="5"/>
  <c r="BC206" i="5"/>
  <c r="AV206" i="5"/>
  <c r="K94" i="5"/>
  <c r="J94" i="5"/>
  <c r="J194" i="5"/>
  <c r="BC451" i="5"/>
  <c r="AV451" i="5"/>
  <c r="BC367" i="5"/>
  <c r="AV367" i="5"/>
  <c r="J225" i="5"/>
  <c r="C28" i="3"/>
  <c r="BC153" i="5"/>
  <c r="AV153" i="5"/>
  <c r="C16" i="3"/>
  <c r="L484" i="5"/>
  <c r="AT40" i="5"/>
  <c r="J476" i="5"/>
  <c r="D85" i="2" s="1"/>
  <c r="E86" i="2"/>
  <c r="K476" i="5"/>
  <c r="E85" i="2" s="1"/>
  <c r="K475" i="5"/>
  <c r="E84" i="2" s="1"/>
  <c r="AV184" i="5"/>
  <c r="C17" i="3"/>
  <c r="K272" i="5"/>
  <c r="J379" i="5"/>
  <c r="D55" i="2" s="1"/>
  <c r="BC237" i="5"/>
  <c r="AV198" i="5"/>
  <c r="BC198" i="5"/>
  <c r="BC125" i="5"/>
  <c r="AV190" i="5"/>
  <c r="BC190" i="5"/>
  <c r="AV383" i="5"/>
  <c r="BC383" i="5"/>
  <c r="BC401" i="5"/>
  <c r="AV401" i="5"/>
  <c r="BC389" i="5"/>
  <c r="BC166" i="5"/>
  <c r="BC103" i="5"/>
  <c r="AV103" i="5"/>
  <c r="K127" i="5"/>
  <c r="J475" i="5"/>
  <c r="D84" i="2" s="1"/>
  <c r="D77" i="2"/>
  <c r="J457" i="5"/>
  <c r="D74" i="2" s="1"/>
  <c r="J458" i="5"/>
  <c r="D75" i="2" s="1"/>
  <c r="K253" i="5"/>
  <c r="E32" i="2" s="1"/>
  <c r="E33" i="2"/>
  <c r="J224" i="5"/>
  <c r="D30" i="2" s="1"/>
  <c r="D31" i="2"/>
  <c r="F28" i="3"/>
  <c r="I28" i="3"/>
  <c r="K271" i="5"/>
  <c r="E34" i="2" s="1"/>
  <c r="E35" i="2"/>
  <c r="D63" i="2"/>
  <c r="K126" i="5"/>
  <c r="E23" i="2" s="1"/>
  <c r="E24" i="2"/>
  <c r="M12" i="5"/>
  <c r="K159" i="5"/>
  <c r="E26" i="2" s="1"/>
  <c r="E27" i="2"/>
  <c r="K409" i="5"/>
  <c r="E62" i="2" s="1"/>
  <c r="E63" i="2"/>
  <c r="J27" i="5"/>
  <c r="D13" i="2" s="1"/>
  <c r="D14" i="2"/>
  <c r="K93" i="5"/>
  <c r="E20" i="2" s="1"/>
  <c r="E21" i="2"/>
  <c r="J93" i="5"/>
  <c r="D20" i="2" s="1"/>
  <c r="D21" i="2"/>
  <c r="J193" i="5"/>
  <c r="D28" i="2" s="1"/>
  <c r="D29" i="2"/>
  <c r="AV145" i="5"/>
  <c r="BC145" i="5"/>
  <c r="O466" i="5"/>
  <c r="G79" i="2" s="1"/>
  <c r="O467" i="5"/>
  <c r="G80" i="2" s="1"/>
  <c r="G81" i="2"/>
  <c r="K361" i="5"/>
  <c r="E50" i="2" s="1"/>
  <c r="E51" i="2"/>
  <c r="O271" i="5"/>
  <c r="G34" i="2" s="1"/>
  <c r="G35" i="2"/>
  <c r="AV354" i="5"/>
  <c r="AV282" i="5"/>
  <c r="BC282" i="5"/>
  <c r="AV58" i="5"/>
  <c r="BC58" i="5"/>
  <c r="AT302" i="5"/>
  <c r="AV197" i="5"/>
  <c r="AV226" i="5"/>
  <c r="BC226" i="5"/>
  <c r="K39" i="5"/>
  <c r="E15" i="2" s="1"/>
  <c r="E16" i="2"/>
  <c r="M339" i="5"/>
  <c r="BC117" i="5"/>
  <c r="M89" i="5"/>
  <c r="AV229" i="5"/>
  <c r="BC229" i="5"/>
  <c r="J427" i="5"/>
  <c r="D67" i="2" s="1"/>
  <c r="O39" i="5"/>
  <c r="G15" i="2" s="1"/>
  <c r="G16" i="2"/>
  <c r="AT160" i="5"/>
  <c r="AT448" i="5"/>
  <c r="BC168" i="5"/>
  <c r="C14" i="3"/>
  <c r="L51" i="5"/>
  <c r="F17" i="2" s="1"/>
  <c r="F18" i="2"/>
  <c r="I18" i="2" s="1"/>
  <c r="K28" i="5"/>
  <c r="M40" i="5"/>
  <c r="M39" i="5" s="1"/>
  <c r="O286" i="5"/>
  <c r="G36" i="2" s="1"/>
  <c r="G37" i="2"/>
  <c r="O93" i="5"/>
  <c r="G20" i="2" s="1"/>
  <c r="G21" i="2"/>
  <c r="M475" i="5"/>
  <c r="M476" i="5"/>
  <c r="BC439" i="5"/>
  <c r="AV439" i="5"/>
  <c r="J160" i="5"/>
  <c r="J400" i="5"/>
  <c r="D61" i="2" s="1"/>
  <c r="BC133" i="5"/>
  <c r="AV133" i="5"/>
  <c r="L126" i="5"/>
  <c r="F23" i="2" s="1"/>
  <c r="F24" i="2"/>
  <c r="I24" i="2" s="1"/>
  <c r="AT339" i="5"/>
  <c r="J12" i="5"/>
  <c r="D11" i="2" s="1"/>
  <c r="D12" i="2"/>
  <c r="O476" i="5"/>
  <c r="G85" i="2" s="1"/>
  <c r="O475" i="5"/>
  <c r="G84" i="2" s="1"/>
  <c r="G86" i="2"/>
  <c r="AV38" i="5"/>
  <c r="BC38" i="5"/>
  <c r="AV62" i="5"/>
  <c r="BC62" i="5"/>
  <c r="BC239" i="5"/>
  <c r="AV239" i="5"/>
  <c r="AT349" i="5"/>
  <c r="AT400" i="5"/>
  <c r="L159" i="5"/>
  <c r="F26" i="2" s="1"/>
  <c r="F27" i="2"/>
  <c r="I27" i="2" s="1"/>
  <c r="AV284" i="5"/>
  <c r="BC284" i="5"/>
  <c r="O458" i="5"/>
  <c r="G75" i="2" s="1"/>
  <c r="M448" i="5"/>
  <c r="BC303" i="5"/>
  <c r="AV303" i="5"/>
  <c r="AT28" i="5"/>
  <c r="M52" i="5"/>
  <c r="M470" i="5"/>
  <c r="M467" i="5" s="1"/>
  <c r="BC44" i="5"/>
  <c r="AV44" i="5"/>
  <c r="AV247" i="5"/>
  <c r="BC247" i="5"/>
  <c r="BC115" i="5"/>
  <c r="AV115" i="5"/>
  <c r="BC76" i="5"/>
  <c r="AV76" i="5"/>
  <c r="BC428" i="5"/>
  <c r="AV428" i="5"/>
  <c r="AT374" i="5"/>
  <c r="M160" i="5"/>
  <c r="M159" i="5" s="1"/>
  <c r="BC230" i="5"/>
  <c r="AV230" i="5"/>
  <c r="BC469" i="5"/>
  <c r="AV469" i="5"/>
  <c r="J52" i="5"/>
  <c r="AV306" i="5"/>
  <c r="L27" i="5"/>
  <c r="F13" i="2" s="1"/>
  <c r="F14" i="2"/>
  <c r="I14" i="2" s="1"/>
  <c r="AT52" i="5"/>
  <c r="BC425" i="5"/>
  <c r="AV425" i="5"/>
  <c r="O253" i="5"/>
  <c r="G32" i="2" s="1"/>
  <c r="G33" i="2"/>
  <c r="AV381" i="5"/>
  <c r="BC381" i="5"/>
  <c r="L467" i="5"/>
  <c r="F80" i="2" s="1"/>
  <c r="L466" i="5"/>
  <c r="F79" i="2" s="1"/>
  <c r="F81" i="2"/>
  <c r="I81" i="2" s="1"/>
  <c r="AV29" i="5"/>
  <c r="BC29" i="5"/>
  <c r="BC419" i="5"/>
  <c r="AV419" i="5"/>
  <c r="AT427" i="5"/>
  <c r="L409" i="5"/>
  <c r="F62" i="2" s="1"/>
  <c r="F63" i="2"/>
  <c r="I63" i="2" s="1"/>
  <c r="AV32" i="5"/>
  <c r="BC32" i="5"/>
  <c r="BC308" i="5"/>
  <c r="AV308" i="5"/>
  <c r="M422" i="5"/>
  <c r="AT122" i="5"/>
  <c r="AV406" i="5"/>
  <c r="BC406" i="5"/>
  <c r="BC416" i="5"/>
  <c r="AV416" i="5"/>
  <c r="AT442" i="5"/>
  <c r="M374" i="5"/>
  <c r="BC369" i="5"/>
  <c r="AV369" i="5"/>
  <c r="O51" i="5"/>
  <c r="G17" i="2" s="1"/>
  <c r="G18" i="2"/>
  <c r="M28" i="5"/>
  <c r="M27" i="5" s="1"/>
  <c r="AV241" i="5"/>
  <c r="BC241" i="5"/>
  <c r="AV36" i="5"/>
  <c r="BC36" i="5"/>
  <c r="L286" i="5"/>
  <c r="F36" i="2" s="1"/>
  <c r="F37" i="2"/>
  <c r="I37" i="2" s="1"/>
  <c r="O224" i="5"/>
  <c r="G30" i="2" s="1"/>
  <c r="G31" i="2"/>
  <c r="M442" i="5"/>
  <c r="AV129" i="5"/>
  <c r="O12" i="5"/>
  <c r="G11" i="2" s="1"/>
  <c r="G12" i="2"/>
  <c r="O301" i="5"/>
  <c r="G38" i="2" s="1"/>
  <c r="G39" i="2"/>
  <c r="M272" i="5"/>
  <c r="M271" i="5" s="1"/>
  <c r="K301" i="5"/>
  <c r="E38" i="2" s="1"/>
  <c r="E39" i="2"/>
  <c r="AV53" i="5"/>
  <c r="BC53" i="5"/>
  <c r="J126" i="5"/>
  <c r="D23" i="2" s="1"/>
  <c r="D24" i="2"/>
  <c r="BC315" i="5"/>
  <c r="AV315" i="5"/>
  <c r="L224" i="5"/>
  <c r="F30" i="2" s="1"/>
  <c r="F31" i="2"/>
  <c r="I31" i="2" s="1"/>
  <c r="D51" i="2"/>
  <c r="M427" i="5"/>
  <c r="L39" i="5"/>
  <c r="F15" i="2" s="1"/>
  <c r="F16" i="2"/>
  <c r="I16" i="2" s="1"/>
  <c r="O126" i="5"/>
  <c r="G23" i="2" s="1"/>
  <c r="G24" i="2"/>
  <c r="J467" i="5"/>
  <c r="D80" i="2" s="1"/>
  <c r="J466" i="5"/>
  <c r="D79" i="2" s="1"/>
  <c r="D81" i="2"/>
  <c r="M194" i="5"/>
  <c r="M193" i="5" s="1"/>
  <c r="AV258" i="5"/>
  <c r="BC258" i="5"/>
  <c r="M316" i="5"/>
  <c r="O361" i="5"/>
  <c r="G50" i="2" s="1"/>
  <c r="G51" i="2"/>
  <c r="BC365" i="5"/>
  <c r="AV365" i="5"/>
  <c r="M362" i="5"/>
  <c r="AT394" i="5"/>
  <c r="L457" i="5"/>
  <c r="F74" i="2" s="1"/>
  <c r="L458" i="5"/>
  <c r="F75" i="2" s="1"/>
  <c r="F76" i="2"/>
  <c r="I76" i="2" s="1"/>
  <c r="AV68" i="5"/>
  <c r="BC68" i="5"/>
  <c r="BC430" i="5"/>
  <c r="AV430" i="5"/>
  <c r="L93" i="5"/>
  <c r="F20" i="2" s="1"/>
  <c r="F21" i="2"/>
  <c r="I21" i="2" s="1"/>
  <c r="BC180" i="5"/>
  <c r="AV180" i="5"/>
  <c r="M122" i="5"/>
  <c r="BC412" i="5"/>
  <c r="AV412" i="5"/>
  <c r="L271" i="5"/>
  <c r="F34" i="2" s="1"/>
  <c r="F35" i="2"/>
  <c r="I35" i="2" s="1"/>
  <c r="C15" i="3"/>
  <c r="M433" i="5"/>
  <c r="M225" i="5"/>
  <c r="M224" i="5" s="1"/>
  <c r="AV234" i="5"/>
  <c r="BC234" i="5"/>
  <c r="AV242" i="5"/>
  <c r="BC92" i="5"/>
  <c r="AV92" i="5"/>
  <c r="K51" i="5"/>
  <c r="E17" i="2" s="1"/>
  <c r="E18" i="2"/>
  <c r="K286" i="5"/>
  <c r="E36" i="2" s="1"/>
  <c r="E37" i="2"/>
  <c r="L253" i="5"/>
  <c r="F32" i="2" s="1"/>
  <c r="F33" i="2"/>
  <c r="I33" i="2" s="1"/>
  <c r="BC437" i="5"/>
  <c r="AV437" i="5"/>
  <c r="O409" i="5"/>
  <c r="G62" i="2" s="1"/>
  <c r="G63" i="2"/>
  <c r="L301" i="5"/>
  <c r="F38" i="2" s="1"/>
  <c r="F39" i="2"/>
  <c r="I39" i="2" s="1"/>
  <c r="BC404" i="5"/>
  <c r="AV404" i="5"/>
  <c r="AT194" i="5"/>
  <c r="K225" i="5"/>
  <c r="M155" i="5"/>
  <c r="M126" i="5" s="1"/>
  <c r="O159" i="5"/>
  <c r="G26" i="2" s="1"/>
  <c r="G27" i="2"/>
  <c r="BC320" i="5"/>
  <c r="AV320" i="5"/>
  <c r="AT362" i="5"/>
  <c r="M457" i="5"/>
  <c r="M458" i="5"/>
  <c r="M94" i="5"/>
  <c r="M93" i="5" s="1"/>
  <c r="AT89" i="5"/>
  <c r="AV124" i="5"/>
  <c r="BC432" i="5"/>
  <c r="AV432" i="5"/>
  <c r="AV233" i="5"/>
  <c r="BC233" i="5"/>
  <c r="J40" i="5"/>
  <c r="AV213" i="5"/>
  <c r="O193" i="5"/>
  <c r="G28" i="2" s="1"/>
  <c r="G29" i="2"/>
  <c r="AT272" i="5"/>
  <c r="AT330" i="5"/>
  <c r="BC423" i="5"/>
  <c r="AV423" i="5"/>
  <c r="AT433" i="5"/>
  <c r="J272" i="5"/>
  <c r="AT225" i="5"/>
  <c r="K193" i="5"/>
  <c r="E28" i="2" s="1"/>
  <c r="E29" i="2"/>
  <c r="M321" i="5"/>
  <c r="M254" i="5"/>
  <c r="M253" i="5" s="1"/>
  <c r="AT379" i="5"/>
  <c r="BC444" i="5"/>
  <c r="AV444" i="5"/>
  <c r="L476" i="5"/>
  <c r="F85" i="2" s="1"/>
  <c r="L475" i="5"/>
  <c r="F84" i="2" s="1"/>
  <c r="F86" i="2"/>
  <c r="I86" i="2" s="1"/>
  <c r="BC16" i="5"/>
  <c r="AV16" i="5"/>
  <c r="J89" i="5"/>
  <c r="D19" i="2" s="1"/>
  <c r="M302" i="5"/>
  <c r="L193" i="5"/>
  <c r="F28" i="2" s="1"/>
  <c r="F29" i="2"/>
  <c r="I29" i="2" s="1"/>
  <c r="AT155" i="5"/>
  <c r="AV149" i="5"/>
  <c r="BC149" i="5"/>
  <c r="L361" i="5"/>
  <c r="F50" i="2" s="1"/>
  <c r="F51" i="2"/>
  <c r="I51" i="2" s="1"/>
  <c r="M394" i="5"/>
  <c r="K12" i="5"/>
  <c r="E11" i="2" s="1"/>
  <c r="E12" i="2"/>
  <c r="AT94" i="5"/>
  <c r="AV137" i="5"/>
  <c r="BC137" i="5"/>
  <c r="M400" i="5"/>
  <c r="BC42" i="5"/>
  <c r="AV42" i="5"/>
  <c r="O27" i="5"/>
  <c r="G13" i="2" s="1"/>
  <c r="G14" i="2"/>
  <c r="M330" i="5"/>
  <c r="BC463" i="5"/>
  <c r="AV463" i="5"/>
  <c r="J302" i="5"/>
  <c r="BC81" i="5"/>
  <c r="AV81" i="5"/>
  <c r="BC267" i="5"/>
  <c r="AV267" i="5"/>
  <c r="M409" i="5" l="1"/>
  <c r="M466" i="5"/>
  <c r="F89" i="2"/>
  <c r="M51" i="5"/>
  <c r="J271" i="5"/>
  <c r="D34" i="2" s="1"/>
  <c r="D35" i="2"/>
  <c r="M301" i="5"/>
  <c r="J39" i="5"/>
  <c r="D15" i="2" s="1"/>
  <c r="D16" i="2"/>
  <c r="K224" i="5"/>
  <c r="E30" i="2" s="1"/>
  <c r="E31" i="2"/>
  <c r="M484" i="5"/>
  <c r="M361" i="5"/>
  <c r="C22" i="3"/>
  <c r="J301" i="5"/>
  <c r="D38" i="2" s="1"/>
  <c r="D39" i="2"/>
  <c r="J361" i="5"/>
  <c r="D50" i="2" s="1"/>
  <c r="J159" i="5"/>
  <c r="D26" i="2" s="1"/>
  <c r="D27" i="2"/>
  <c r="J51" i="5"/>
  <c r="D17" i="2" s="1"/>
  <c r="D18" i="2"/>
  <c r="J409" i="5"/>
  <c r="D62" i="2" s="1"/>
  <c r="E14" i="2"/>
  <c r="K27" i="5"/>
  <c r="E13" i="2" s="1"/>
  <c r="I29" i="3"/>
</calcChain>
</file>

<file path=xl/sharedStrings.xml><?xml version="1.0" encoding="utf-8"?>
<sst xmlns="http://schemas.openxmlformats.org/spreadsheetml/2006/main" count="8915" uniqueCount="874">
  <si>
    <t>Stavební rozpočet</t>
  </si>
  <si>
    <t>Název stavby:</t>
  </si>
  <si>
    <t>Doba výstavby:</t>
  </si>
  <si>
    <t>Objednatel:</t>
  </si>
  <si>
    <t>Druh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</si>
  <si>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</si>
  <si>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</si>
  <si>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</si>
  <si>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</si>
  <si>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</si>
  <si>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</si>
  <si>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</si>
  <si>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</si>
  <si>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</si>
  <si>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</si>
  <si>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</si>
  <si>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</si>
  <si>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</si>
  <si>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</si>
  <si>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Jednotková cena (Kč)</t>
  </si>
  <si>
    <t>Náklady celkem (Kč)</t>
  </si>
  <si>
    <t>GROUPCODE</t>
  </si>
  <si>
    <t>ISWORK</t>
  </si>
  <si>
    <t xml:space="preserve"> </t>
  </si>
  <si>
    <t>722-015</t>
  </si>
  <si>
    <t/>
  </si>
  <si>
    <t>Ležatý rozvod vody Kosmonautů 5</t>
  </si>
  <si>
    <t>722</t>
  </si>
  <si>
    <t>Vnitřní vodovod</t>
  </si>
  <si>
    <t>722170801R00</t>
  </si>
  <si>
    <t>Demontáž rozvodů vody z plastů do D 32</t>
  </si>
  <si>
    <t>m</t>
  </si>
  <si>
    <t>P</t>
  </si>
  <si>
    <t>722170804R00</t>
  </si>
  <si>
    <t>Demontáž rozvodů vody z plastů do D 63</t>
  </si>
  <si>
    <t>722178712UR00</t>
  </si>
  <si>
    <t>Potrubí PP-RCT vícevrstvé (Faser Hot, Basalt Plus) D 25x3,5 mm</t>
  </si>
  <si>
    <t>722178714UR00</t>
  </si>
  <si>
    <t>Potrubí PP-RCT vícevrstvé (Faser Hot, Basalt Plus), D 40x4,5 mm</t>
  </si>
  <si>
    <t>722181212RV9</t>
  </si>
  <si>
    <t>Izolace návleková MIRELON PRO tl. stěny 9 mm vnitřní průměr 40 mm</t>
  </si>
  <si>
    <t>722181215RT8</t>
  </si>
  <si>
    <t>Izolace návleková  MIRELON PRO tl. stěny 25 mm vnitřní průměr 25 mm</t>
  </si>
  <si>
    <t>722181215RV9</t>
  </si>
  <si>
    <t>Izolace návleková  MIRELON PRO tl. stěny 25 mm vnitřní průměr 40 mm</t>
  </si>
  <si>
    <t>722280106R00</t>
  </si>
  <si>
    <t>Tlaková zkouška vodovodního potrubí D 32</t>
  </si>
  <si>
    <t>722280107R00</t>
  </si>
  <si>
    <t>Tlaková zkouška vodovodního potrubí D 40</t>
  </si>
  <si>
    <t>998722203R00</t>
  </si>
  <si>
    <t>Přesun hmot pro vnitřní vodovod, výšky do 24 m</t>
  </si>
  <si>
    <t>%</t>
  </si>
  <si>
    <t>722-017</t>
  </si>
  <si>
    <t>Ležatý rozvod vody Kosmonautů 7</t>
  </si>
  <si>
    <t>722-019</t>
  </si>
  <si>
    <t>Ležatý rozvod vody Kosmonautů 9</t>
  </si>
  <si>
    <t>722-025</t>
  </si>
  <si>
    <t>Svislý rozvod vody Kosmonautů 5</t>
  </si>
  <si>
    <t>Demontáž rozvodů vody z plastů do D 32 mm</t>
  </si>
  <si>
    <t>Demontáž rozvodů vody z plastů do D 63 mm</t>
  </si>
  <si>
    <t>722131931R00</t>
  </si>
  <si>
    <t>Oprava a propojení dosavadního závitového potrubí DN 15 mm</t>
  </si>
  <si>
    <t>kus</t>
  </si>
  <si>
    <t>722178711UR00</t>
  </si>
  <si>
    <t>Potrubí PP-RCT vícevrstvé (Faser Hot, Basalt Plus) D 20x2,8 mm</t>
  </si>
  <si>
    <t>722178713UR00</t>
  </si>
  <si>
    <t>Potrubí PP-RCT vícevrstvé (Faser Hot, Basalt Plus) D 32x3,6 mm</t>
  </si>
  <si>
    <t>722172362R00</t>
  </si>
  <si>
    <t>Smyčka kompenzační z PP-R Instaplast, D 25 x 4,2 mm, PN 20</t>
  </si>
  <si>
    <t>722172363R00</t>
  </si>
  <si>
    <t>Smyčka kompenzační z PP-R Instaplast, D 32 x 5,4 mm, PN 20</t>
  </si>
  <si>
    <t>722172364R00</t>
  </si>
  <si>
    <t>Smyčka kompenzační z PP-R Instaplast, D 40 x 6,7 mm, PN 20</t>
  </si>
  <si>
    <t>722181212RT7</t>
  </si>
  <si>
    <t>Izolace návleková MIRELON PRO tl. stěny 9 mm vnitřní průměr 22 mm</t>
  </si>
  <si>
    <t>722181212RT8</t>
  </si>
  <si>
    <t>Izolace návleková MIRELON PRO tl. stěny 9 mm vnitřní průměr 25 mm</t>
  </si>
  <si>
    <t>722181212RU1</t>
  </si>
  <si>
    <t>Izolace návleková MIRELON PRO tl. stěny 9 mm vnitřní průměr 32 mm</t>
  </si>
  <si>
    <t>722181215RU1</t>
  </si>
  <si>
    <t>Izolace návleková  MIRELON PRO tl. stěny 25 mm vnitřní průměr 32 mm</t>
  </si>
  <si>
    <t>722220230VD</t>
  </si>
  <si>
    <t>Přechodka dGK PPR PN 20 D 20 x G 1/2 s kovovým závitem</t>
  </si>
  <si>
    <t>722237221R00</t>
  </si>
  <si>
    <t>Kohout vod.kul.,2xvnitřní záv.GIACOMINI R910 DN 15</t>
  </si>
  <si>
    <t>722237621R00</t>
  </si>
  <si>
    <t>Ventil vod.zpět.,2xvnitř.závit GIACOMINI R60 DN 15</t>
  </si>
  <si>
    <t>722260811R00</t>
  </si>
  <si>
    <t>Demontáž vodoměrů závitových G 1/2</t>
  </si>
  <si>
    <t>722260921R00</t>
  </si>
  <si>
    <t>Zpětná montáž vodoměrů závitových G 1/2</t>
  </si>
  <si>
    <t>72226PLVODVD</t>
  </si>
  <si>
    <t>Plombování vodoměrů</t>
  </si>
  <si>
    <t>722290823R00</t>
  </si>
  <si>
    <t>Přesun vybouraných hmot - vodovody, H 12 - 24 m</t>
  </si>
  <si>
    <t>t</t>
  </si>
  <si>
    <t>725</t>
  </si>
  <si>
    <t>Zařizovací předměty</t>
  </si>
  <si>
    <t>725110811R00</t>
  </si>
  <si>
    <t>Demontáž klozetů splachovacích</t>
  </si>
  <si>
    <t>soubor</t>
  </si>
  <si>
    <t>725119305R00</t>
  </si>
  <si>
    <t>Montáž klozetových mís kombinovaných</t>
  </si>
  <si>
    <t>998725203R00</t>
  </si>
  <si>
    <t>Přesun hmot pro zařizovací předměty, výšky do 24 m</t>
  </si>
  <si>
    <t>722-027</t>
  </si>
  <si>
    <t>Svislý rozvod vody Kosmonautů 7</t>
  </si>
  <si>
    <t>722-029</t>
  </si>
  <si>
    <t>Svislý rozvod vody Kosmonautů 9</t>
  </si>
  <si>
    <t>723-015</t>
  </si>
  <si>
    <t>Páteřový rozvod plynu Kosmonautů 5</t>
  </si>
  <si>
    <t>723</t>
  </si>
  <si>
    <t>Vnitřní plynovod</t>
  </si>
  <si>
    <t>723120805R00</t>
  </si>
  <si>
    <t>Demontáž potrubí svařovaného závitového DN 25-50</t>
  </si>
  <si>
    <t>723120809R01</t>
  </si>
  <si>
    <t>Demontáž potrubí svařovaného závitového DN 65-100</t>
  </si>
  <si>
    <t>733124125R40</t>
  </si>
  <si>
    <t>Zhotovení montážního přechodu z ocelových trubek hladkých 100/40</t>
  </si>
  <si>
    <t>723163105R00</t>
  </si>
  <si>
    <t>Potrubí z měděných plynových trubek D 28 x 1,5 mm</t>
  </si>
  <si>
    <t>723163106RCH</t>
  </si>
  <si>
    <t>Potrubí z měděných plyn.trubek D 35 x 1,5 mm-chránička</t>
  </si>
  <si>
    <t>723163107R00</t>
  </si>
  <si>
    <t>Potrubí z měděných plynových trubek D 42 x 1,5 mm</t>
  </si>
  <si>
    <t>723163108RCH</t>
  </si>
  <si>
    <t>Potrubí z měděných plyn.trubek D 54 x 2,0 mm-chránička</t>
  </si>
  <si>
    <t>723235111R00</t>
  </si>
  <si>
    <t>Kohout kulový,vnitřní-vnitřní z. IVAR.KK G51 DN 15</t>
  </si>
  <si>
    <t>723235113R00</t>
  </si>
  <si>
    <t>Kohout kulový,vnitřní-vnitřní z. IVAR.KK G51 DN 25</t>
  </si>
  <si>
    <t>723235115R00</t>
  </si>
  <si>
    <t>Kohout kulový, vnitřní - vnitřní závit IVAR.KK G51, DN 40 mm</t>
  </si>
  <si>
    <t>723190907R00</t>
  </si>
  <si>
    <t>Odvzdušnění a napuštění plynového potrubí</t>
  </si>
  <si>
    <t>723190901R00</t>
  </si>
  <si>
    <t>Uzavření nebo otevření plynového potrubí</t>
  </si>
  <si>
    <t>723190909R00</t>
  </si>
  <si>
    <t>Zkouška tlaková  plynového potrubí</t>
  </si>
  <si>
    <t>723RS200VD</t>
  </si>
  <si>
    <t>Výchozí revize plynoinstalace páteřového rozvodu</t>
  </si>
  <si>
    <t>723RP01100010VD</t>
  </si>
  <si>
    <t>Označení sekčních ventlů stoupaček</t>
  </si>
  <si>
    <t>723160831R00</t>
  </si>
  <si>
    <t>Demontáž rozpěrky přípojek plynoměru, G 1</t>
  </si>
  <si>
    <t>723160804R00</t>
  </si>
  <si>
    <t>Demontáž přípojek k plynoměru,závitových G 1</t>
  </si>
  <si>
    <t>pár</t>
  </si>
  <si>
    <t>723160334R00</t>
  </si>
  <si>
    <t>Rozpěrka přípojky plynoměru G 1</t>
  </si>
  <si>
    <t>723160204R00</t>
  </si>
  <si>
    <t>Přípojka k plynoměru, závitová bez ochozu G 1</t>
  </si>
  <si>
    <t>723260801R00</t>
  </si>
  <si>
    <t>Demontáž plynoměrů PS 2, PS 6, PS 10</t>
  </si>
  <si>
    <t>723261912R00</t>
  </si>
  <si>
    <t>Oprava - montáž plynoměrů PS-2, PS-6</t>
  </si>
  <si>
    <t>723PLOMBPLVD</t>
  </si>
  <si>
    <t>Zaplombování plynoměrů včetně plomby</t>
  </si>
  <si>
    <t>723RP011001VD</t>
  </si>
  <si>
    <t>D-M Úložná konstrukce pro upevnění plynoměru</t>
  </si>
  <si>
    <t>723110970VD</t>
  </si>
  <si>
    <t>Označení plynovodu žlutou samolepící fólií</t>
  </si>
  <si>
    <t>723110980VD</t>
  </si>
  <si>
    <t>Ochranné pospojování rozvodu plynu</t>
  </si>
  <si>
    <t>723290823R00</t>
  </si>
  <si>
    <t>Přesun vybouraných hmot - plynovody, H 12 - 24 m</t>
  </si>
  <si>
    <t>998723203R00</t>
  </si>
  <si>
    <t>Přesun hmot pro vnitřní plynovod, výšky do 24 m</t>
  </si>
  <si>
    <t>723-017</t>
  </si>
  <si>
    <t>Páteřový rozvod plynu Kosmonautů 7</t>
  </si>
  <si>
    <t>723163106R00</t>
  </si>
  <si>
    <t>Potrubí z měděných plynových trubek D 35 x 1,5 mm</t>
  </si>
  <si>
    <t>723163107RCH</t>
  </si>
  <si>
    <t>Potrubí z měděných plyn.trubek D 42 x 1,5 mm-chránička</t>
  </si>
  <si>
    <t>723-019</t>
  </si>
  <si>
    <t>Páteřový rozvod plynu Kosmonautů 9</t>
  </si>
  <si>
    <t>723235114R00</t>
  </si>
  <si>
    <t>Kohout kulový, vnitřní - vnitřní závit IVAR.KK G51, DN 32 mm</t>
  </si>
  <si>
    <t>723-025</t>
  </si>
  <si>
    <t>Bytový rozvod plynu Kosmonautů 5</t>
  </si>
  <si>
    <t>723120804R00</t>
  </si>
  <si>
    <t>Demontáž potrubí svařovaného závitového do DN 25</t>
  </si>
  <si>
    <t>723163102R00</t>
  </si>
  <si>
    <t>Potrubí z měděných plyn.trubek D 15 x 1,0 mm</t>
  </si>
  <si>
    <t>723163103RCH</t>
  </si>
  <si>
    <t>Potrubí z měděných plyn.trubek D 18 x 1,0 mm-chránička</t>
  </si>
  <si>
    <t>723190251R00</t>
  </si>
  <si>
    <t>Vyvedení a upevnění plynovodních výpustek DN 15</t>
  </si>
  <si>
    <t>725610810R00</t>
  </si>
  <si>
    <t>Demontáž plynového sporáku</t>
  </si>
  <si>
    <t>725610911R00</t>
  </si>
  <si>
    <t>Zpětná montáž plynových sporáků bez úpravy instalace</t>
  </si>
  <si>
    <t>110MRBM0049VD</t>
  </si>
  <si>
    <t>Hadice Merabell Gas Profi s ventilem s tepelnou pojistkou G1/2"– bajonet 150cm</t>
  </si>
  <si>
    <t>M</t>
  </si>
  <si>
    <t>723RS100VD</t>
  </si>
  <si>
    <t>Výchozí revize plynoinstalace bytu</t>
  </si>
  <si>
    <t>723-027</t>
  </si>
  <si>
    <t>Bytový rozvod plynu Kosmonautů 7</t>
  </si>
  <si>
    <t>723-029</t>
  </si>
  <si>
    <t>Bytový rozvod plynu Kosmonautů 9</t>
  </si>
  <si>
    <t>760-05</t>
  </si>
  <si>
    <t>Související stavební práce Kosmonautů 5</t>
  </si>
  <si>
    <t>34</t>
  </si>
  <si>
    <t>Stěny a příčky</t>
  </si>
  <si>
    <t>342263423DVD</t>
  </si>
  <si>
    <t>Demontáž stávajících revizních dvířek do instalační šachty</t>
  </si>
  <si>
    <t>342020110VD</t>
  </si>
  <si>
    <t>Montáž dělící stěny ze SDK mezi WC a instalační šachtou</t>
  </si>
  <si>
    <t>900020110VD</t>
  </si>
  <si>
    <t>Dělící stěna ze sádrokartonu mezi WC a instalační šachtou</t>
  </si>
  <si>
    <t>342263420R00</t>
  </si>
  <si>
    <t>Osazení revizních dvířek do SDK příček, do 0,55 m2</t>
  </si>
  <si>
    <t>76657900VD</t>
  </si>
  <si>
    <t>Aqualine Revizní dvířka, 72x72cm, bílá</t>
  </si>
  <si>
    <t>346244371R00</t>
  </si>
  <si>
    <t>Zazdívka rýh, potrubí, kapes cihlami tl. 14 cm</t>
  </si>
  <si>
    <t>m2</t>
  </si>
  <si>
    <t>999281111R00</t>
  </si>
  <si>
    <t>Přesun hmot pro opravy a údržbu do výšky 25 m</t>
  </si>
  <si>
    <t>411</t>
  </si>
  <si>
    <t>konstrukce plošné</t>
  </si>
  <si>
    <t>4113837531BJVD</t>
  </si>
  <si>
    <t>Zabetonování prostupu v instalačním jádře mezi jednotlivými podlažími tl. 100 mm</t>
  </si>
  <si>
    <t>74</t>
  </si>
  <si>
    <t>Elektromontážní práce (silnoproud)</t>
  </si>
  <si>
    <t>740OCHPBYTVD</t>
  </si>
  <si>
    <t>Montáž a dodávka ochranného pospojování v bytě</t>
  </si>
  <si>
    <t>767</t>
  </si>
  <si>
    <t>Konstrukce doplňkové stavební (zámečnické)</t>
  </si>
  <si>
    <t>767884221RT4</t>
  </si>
  <si>
    <t>Konzola,2 upevňovací body,hmoždinka+vrut,ALK 27/18</t>
  </si>
  <si>
    <t>ks</t>
  </si>
  <si>
    <t>11022021000VD</t>
  </si>
  <si>
    <t>Nosník pozinkovaný 40/20 x 2 x 1000mm</t>
  </si>
  <si>
    <t>11035202101VD</t>
  </si>
  <si>
    <t>Konzolový držák nosníků pozinkovnaý otočený pro C 40</t>
  </si>
  <si>
    <t>998767203R00</t>
  </si>
  <si>
    <t>Přesun hmot pro zámečnické konstr., výšky do 24 m</t>
  </si>
  <si>
    <t>781</t>
  </si>
  <si>
    <t>Obklady (keramické)</t>
  </si>
  <si>
    <t>781101210R00</t>
  </si>
  <si>
    <t>Penetrace podkladu pod obklady</t>
  </si>
  <si>
    <t>781210131R00</t>
  </si>
  <si>
    <t>Obkládání stěn obkl. pórovin. do tmele do 300x300</t>
  </si>
  <si>
    <t>597813713</t>
  </si>
  <si>
    <t>Obkládačka 25x33 - nutno upřesnit dle skutečnosti v jednotlivých bytech</t>
  </si>
  <si>
    <t>781421902R00</t>
  </si>
  <si>
    <t>Oprava obkladů z obkladaček 300x150</t>
  </si>
  <si>
    <t>998781203R00</t>
  </si>
  <si>
    <t>Přesun hmot pro obklady keramické, výšky do 24 m</t>
  </si>
  <si>
    <t>783</t>
  </si>
  <si>
    <t>Nátěry</t>
  </si>
  <si>
    <t>783893114R00</t>
  </si>
  <si>
    <t>Nátěr betonové přepážky instalační šachty požárně ochrannou nátěrovou hmotou</t>
  </si>
  <si>
    <t>900484100VD</t>
  </si>
  <si>
    <t>PROMASEAL®-A spray - požárně odolná nátěrová hmota</t>
  </si>
  <si>
    <t>kg</t>
  </si>
  <si>
    <t>784</t>
  </si>
  <si>
    <t>Malby</t>
  </si>
  <si>
    <t>784442001R00</t>
  </si>
  <si>
    <t>Malba disperzní interiér.HET Klasik,výška do 3,8 m</t>
  </si>
  <si>
    <t>95</t>
  </si>
  <si>
    <t>Různé dokončovací konstrukce a práce na pozemních stavbách</t>
  </si>
  <si>
    <t>952902110R00</t>
  </si>
  <si>
    <t>Čištění zametáním v místnostech a chodbách</t>
  </si>
  <si>
    <t>96</t>
  </si>
  <si>
    <t>Bourání konstrukcí</t>
  </si>
  <si>
    <t>962031143RDP</t>
  </si>
  <si>
    <t>Bourání dělících příček do tl. 100 mm</t>
  </si>
  <si>
    <t>97</t>
  </si>
  <si>
    <t>Prorážení otvorů a ostatní bourací práce</t>
  </si>
  <si>
    <t>972054341R00</t>
  </si>
  <si>
    <t>Vybourání otv. stropy ŽB pl. 0,25 m2, tl. 15 cm</t>
  </si>
  <si>
    <t>970051130R00</t>
  </si>
  <si>
    <t>Vrtání jádrové do ŽB do D 130 mm</t>
  </si>
  <si>
    <t>970054130R00</t>
  </si>
  <si>
    <t>Příp. za jádr. vrt. vodor. ve stěně ŽB do D 130 mm</t>
  </si>
  <si>
    <t>970057130R00</t>
  </si>
  <si>
    <t>Příp. za časté přem. str. jád. vrt. ŽB do D 130 mm</t>
  </si>
  <si>
    <t>970053130R00</t>
  </si>
  <si>
    <t>Příp. za jádr. vrt. ve H nad 1,5 m ŽB do D 130 mm</t>
  </si>
  <si>
    <t>S</t>
  </si>
  <si>
    <t>Přesuny sutí</t>
  </si>
  <si>
    <t>979097012R00</t>
  </si>
  <si>
    <t>Pronájem kontejneru 7 t</t>
  </si>
  <si>
    <t>den</t>
  </si>
  <si>
    <t>979011111R00</t>
  </si>
  <si>
    <t>Svislá doprava suti a vybour. hmot za 2.NP a 1.PP</t>
  </si>
  <si>
    <t>979011121R00</t>
  </si>
  <si>
    <t>Příplatek za každé další podlaží</t>
  </si>
  <si>
    <t>979082111R00</t>
  </si>
  <si>
    <t>Vnitrostaveništní doprava suti do 10 m</t>
  </si>
  <si>
    <t>979086213R00</t>
  </si>
  <si>
    <t>Nakládání vybouraných hmot na dopravní prostředek</t>
  </si>
  <si>
    <t>979081111RT2</t>
  </si>
  <si>
    <t>Odvoz suti a vybour. hmot na skládku do 1 km</t>
  </si>
  <si>
    <t>979081121RT2</t>
  </si>
  <si>
    <t>Příplatek k odvozu za každý další 1 km</t>
  </si>
  <si>
    <t>979990107R00</t>
  </si>
  <si>
    <t>Poplatek za skládku suti - směs betonu,cihel,dřeva</t>
  </si>
  <si>
    <t>760-07</t>
  </si>
  <si>
    <t>Související stavební práce Kosmonautů 7</t>
  </si>
  <si>
    <t>760-09</t>
  </si>
  <si>
    <t>Související stavební práce Kosmonautů 9</t>
  </si>
  <si>
    <t>VRN-05</t>
  </si>
  <si>
    <t>Vedlejší rozpočtové náklady Kosmonautů 5</t>
  </si>
  <si>
    <t>VORN</t>
  </si>
  <si>
    <t>Vedlejší a ostatní rozpočtové náklady</t>
  </si>
  <si>
    <t>01VRN</t>
  </si>
  <si>
    <t>Průzkumy, geodetické a projektové práce</t>
  </si>
  <si>
    <t>011002VRN</t>
  </si>
  <si>
    <t>Průzkumy</t>
  </si>
  <si>
    <t>hod</t>
  </si>
  <si>
    <t>03VRN</t>
  </si>
  <si>
    <t>Zařízení staveniště</t>
  </si>
  <si>
    <t>030001VRN</t>
  </si>
  <si>
    <t>Soubor</t>
  </si>
  <si>
    <t>035002VRN</t>
  </si>
  <si>
    <t>Pronájem zařízení a místa</t>
  </si>
  <si>
    <t>07VRN</t>
  </si>
  <si>
    <t>Provozní vlivy</t>
  </si>
  <si>
    <t>070001VRN</t>
  </si>
  <si>
    <t>VRN-07</t>
  </si>
  <si>
    <t>Vedlejší rozpočtové náklady Kosmonautů 7</t>
  </si>
  <si>
    <t>VRN-09</t>
  </si>
  <si>
    <t>Vedlejší rozpočtové náklady Kosmonautů 9</t>
  </si>
  <si>
    <t>Celkem:</t>
  </si>
  <si>
    <t>24.10.2024</t>
  </si>
  <si>
    <t>Náklady (Kč) - dodávka</t>
  </si>
  <si>
    <t>Náklady (Kč) - Montáž</t>
  </si>
  <si>
    <t>Náklady (Kč) - celkem</t>
  </si>
  <si>
    <t>Celková hmotnost (t)</t>
  </si>
  <si>
    <t>F</t>
  </si>
  <si>
    <t>T</t>
  </si>
  <si>
    <t>IČO/DIČ:</t>
  </si>
  <si>
    <t>00415227/CZ00415227</t>
  </si>
  <si>
    <t>48393177/CZ48393177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</si>
  <si>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</si>
  <si>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</si>
  <si>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</si>
  <si>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</si>
  <si>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</si>
  <si>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</si>
  <si>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</si>
  <si>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</si>
  <si>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</si>
  <si>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</si>
  <si>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</si>
  <si>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</si>
  <si>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Montáž</t>
  </si>
  <si>
    <t>Bez pevné podl.</t>
  </si>
  <si>
    <t>Mimostav. doprava</t>
  </si>
  <si>
    <t>PSV</t>
  </si>
  <si>
    <t>Kulturní památka</t>
  </si>
  <si>
    <t>Územní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</si>
  <si>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</si>
  <si>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</si>
  <si>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</si>
  <si>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</si>
  <si>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</si>
  <si>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</si>
  <si>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</si>
  <si>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</si>
  <si>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</si>
  <si>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</si>
  <si>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</si>
  <si>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</si>
  <si>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</si>
  <si>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</si>
  <si>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</si>
  <si>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</si>
  <si>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</si>
  <si>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</si>
  <si>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</si>
  <si>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</si>
  <si>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</si>
  <si>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</si>
  <si>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</si>
  <si>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</si>
  <si>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rozpočtové náklady VRN</t>
  </si>
  <si>
    <t>Doplňkové náklady DN</t>
  </si>
  <si>
    <t>Kč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</si>
  <si>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</si>
  <si>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</si>
  <si>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</si>
  <si>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</si>
  <si>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</si>
  <si>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</si>
  <si>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</si>
  <si>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</si>
  <si>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</si>
  <si>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</si>
  <si>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</si>
  <si>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</si>
  <si>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</si>
  <si>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Rekonstrukce rozvodů vody a plynu pro BD Kosmonautů 1213/5, 1214/7 ,1215/9 Havířov-Podlesí</t>
  </si>
  <si>
    <t>Stavební bytové družstvo Havířov</t>
  </si>
  <si>
    <t>ETRACOM s.r.o.</t>
  </si>
  <si>
    <t> </t>
  </si>
  <si>
    <t>Ing. Radim Kyjonka</t>
  </si>
  <si>
    <t>Cena/MJ</t>
  </si>
  <si>
    <t>Sazba DPH</t>
  </si>
  <si>
    <t>Náklady (Kč)</t>
  </si>
  <si>
    <t>Hmotnost (t)</t>
  </si>
  <si>
    <t>Cenová</t>
  </si>
  <si>
    <t>VATTAX</t>
  </si>
  <si>
    <t>Rozměry</t>
  </si>
  <si>
    <t>(Kč)</t>
  </si>
  <si>
    <t>Dodávka</t>
  </si>
  <si>
    <t>Celkem</t>
  </si>
  <si>
    <t>Celkem vč. DPH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</si>
  <si>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</si>
  <si>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</si>
  <si>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</si>
  <si>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</si>
  <si>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</si>
  <si>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</si>
  <si>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</si>
  <si>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</si>
  <si>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</si>
  <si>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</si>
  <si>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</si>
  <si>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</si>
  <si>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</si>
  <si>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</si>
  <si>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</si>
  <si>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12</t>
  </si>
  <si>
    <t>RTS II / 2024</t>
  </si>
  <si>
    <t>7</t>
  </si>
  <si>
    <t>722_</t>
  </si>
  <si>
    <t>722-015_72_</t>
  </si>
  <si>
    <t>722-015_</t>
  </si>
  <si>
    <t>2</t>
  </si>
  <si>
    <t>3</t>
  </si>
  <si>
    <t>4</t>
  </si>
  <si>
    <t>5</t>
  </si>
  <si>
    <t>RTS komentář:</t>
  </si>
  <si>
    <t>V položce je kalkulována dodávka izolační trubice, spon a lepicí pásky</t>
  </si>
  <si>
    <t>6</t>
  </si>
  <si>
    <t>8</t>
  </si>
  <si>
    <t>9</t>
  </si>
  <si>
    <t>10</t>
  </si>
  <si>
    <t>11</t>
  </si>
  <si>
    <t>722-017_72_</t>
  </si>
  <si>
    <t>722-017_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</si>
  <si>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</si>
  <si>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</si>
  <si>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</si>
  <si>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</si>
  <si>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</si>
  <si>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</si>
  <si>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</si>
  <si>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</si>
  <si>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</si>
  <si>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722-019_72_</t>
  </si>
  <si>
    <t>722-019_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</si>
  <si>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</si>
  <si>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</si>
  <si>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</si>
  <si>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</si>
  <si>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</si>
  <si>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</si>
  <si>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</si>
  <si>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</si>
  <si>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</si>
  <si>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</si>
  <si>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722-025_72_</t>
  </si>
  <si>
    <t>722-025_</t>
  </si>
  <si>
    <t>32</t>
  </si>
  <si>
    <t>33</t>
  </si>
  <si>
    <t>V položkách jsou započteny náklady na dodávku potrubí a tvarovek včetně montáže.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</si>
  <si>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</si>
  <si>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</si>
  <si>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</si>
  <si>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</si>
  <si>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</si>
  <si>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</si>
  <si>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</si>
  <si>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</si>
  <si>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</si>
  <si>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</si>
  <si>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</si>
  <si>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</si>
  <si>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</si>
  <si>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</si>
  <si>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</si>
  <si>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</si>
  <si>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</si>
  <si>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</si>
  <si>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</si>
  <si>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</si>
  <si>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</si>
  <si>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</si>
  <si>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 xml:space="preserve">vodorovně do 100 </t>
  </si>
  <si>
    <t>57</t>
  </si>
  <si>
    <t>58</t>
  </si>
  <si>
    <t>725_</t>
  </si>
  <si>
    <t>59</t>
  </si>
  <si>
    <t>60</t>
  </si>
  <si>
    <t>61</t>
  </si>
  <si>
    <t>722-027_72_</t>
  </si>
  <si>
    <t>722-027_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</si>
  <si>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</si>
  <si>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</si>
  <si>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</si>
  <si>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</si>
  <si>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</si>
  <si>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</si>
  <si>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</si>
  <si>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</si>
  <si>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</si>
  <si>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</si>
  <si>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</si>
  <si>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</si>
  <si>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</si>
  <si>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</si>
  <si>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</si>
  <si>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</si>
  <si>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</si>
  <si>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</si>
  <si>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</si>
  <si>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</si>
  <si>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</si>
  <si>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</si>
  <si>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</si>
  <si>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</si>
  <si>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</si>
  <si>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</si>
  <si>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</si>
  <si>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</si>
  <si>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</si>
  <si>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722-029_72_</t>
  </si>
  <si>
    <t>722-029_</t>
  </si>
  <si>
    <t>92</t>
  </si>
  <si>
    <t>93</t>
  </si>
  <si>
    <t>94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</si>
  <si>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</si>
  <si>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</si>
  <si>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</si>
  <si>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</si>
  <si>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</si>
  <si>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</si>
  <si>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</si>
  <si>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</si>
  <si>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</si>
  <si>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</si>
  <si>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</si>
  <si>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</si>
  <si>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</si>
  <si>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</si>
  <si>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</si>
  <si>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</si>
  <si>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</si>
  <si>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</si>
  <si>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</si>
  <si>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</si>
  <si>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</si>
  <si>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</si>
  <si>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</si>
  <si>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</si>
  <si>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723_</t>
  </si>
  <si>
    <t>723-015_72_</t>
  </si>
  <si>
    <t>723-015_</t>
  </si>
  <si>
    <t>122</t>
  </si>
  <si>
    <t>123</t>
  </si>
  <si>
    <t>124</t>
  </si>
  <si>
    <t>V položkách jsou započteny náklady na dodávku potrubí a tvarovek včetně montáže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</si>
  <si>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</si>
  <si>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</si>
  <si>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</si>
  <si>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</si>
  <si>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</si>
  <si>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</si>
  <si>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</si>
  <si>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</si>
  <si>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</si>
  <si>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</si>
  <si>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</si>
  <si>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</si>
  <si>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</si>
  <si>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</si>
  <si>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</si>
  <si>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</si>
  <si>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</si>
  <si>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</si>
  <si>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</si>
  <si>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</si>
  <si>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</si>
  <si>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</si>
  <si>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</si>
  <si>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</si>
  <si>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723-017_72_</t>
  </si>
  <si>
    <t>723-017_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</si>
  <si>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</si>
  <si>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</si>
  <si>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</si>
  <si>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</si>
  <si>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</si>
  <si>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</si>
  <si>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</si>
  <si>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</si>
  <si>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</si>
  <si>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</si>
  <si>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</si>
  <si>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</si>
  <si>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</si>
  <si>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</si>
  <si>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</si>
  <si>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</si>
  <si>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</si>
  <si>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</si>
  <si>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</si>
  <si>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</si>
  <si>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</si>
  <si>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</si>
  <si>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</si>
  <si>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</si>
  <si>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</si>
  <si>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</si>
  <si>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</si>
  <si>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</si>
  <si>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</si>
  <si>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723-019_72_</t>
  </si>
  <si>
    <t>723-019_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</si>
  <si>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</si>
  <si>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</si>
  <si>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</si>
  <si>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</si>
  <si>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</si>
  <si>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</si>
  <si>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</si>
  <si>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</si>
  <si>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</si>
  <si>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</si>
  <si>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</si>
  <si>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</si>
  <si>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</si>
  <si>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</si>
  <si>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</si>
  <si>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</si>
  <si>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</si>
  <si>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</si>
  <si>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</si>
  <si>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</si>
  <si>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</si>
  <si>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</si>
  <si>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</si>
  <si>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</si>
  <si>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</si>
  <si>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</si>
  <si>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</si>
  <si>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723-025_72_</t>
  </si>
  <si>
    <t>723-025_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</si>
  <si>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</si>
  <si>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</si>
  <si>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</si>
  <si>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</si>
  <si>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</si>
  <si>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</si>
  <si>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</si>
  <si>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</si>
  <si>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</si>
  <si>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</si>
  <si>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</si>
  <si>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</si>
  <si>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</si>
  <si>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723-027_72_</t>
  </si>
  <si>
    <t>723-027_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</si>
  <si>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</si>
  <si>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</si>
  <si>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</si>
  <si>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</si>
  <si>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</si>
  <si>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</si>
  <si>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</si>
  <si>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</si>
  <si>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</si>
  <si>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</si>
  <si>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</si>
  <si>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</si>
  <si>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</si>
  <si>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723-029_72_</t>
  </si>
  <si>
    <t>723-029_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</si>
  <si>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</si>
  <si>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</si>
  <si>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</si>
  <si>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</si>
  <si>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</si>
  <si>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</si>
  <si>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</si>
  <si>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</si>
  <si>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</si>
  <si>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</si>
  <si>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</si>
  <si>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</si>
  <si>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</si>
  <si>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RTS I / 2023</t>
  </si>
  <si>
    <t>34_</t>
  </si>
  <si>
    <t>760-05_3_</t>
  </si>
  <si>
    <t>760-05_</t>
  </si>
  <si>
    <t>244</t>
  </si>
  <si>
    <t>245</t>
  </si>
  <si>
    <t>246</t>
  </si>
  <si>
    <t>Položka obsahuje vytvoření otvoru a osazení rámu s dvířky včetně prošroubování. Dodávka dvířek se ocení ve specifikaci, ztratné se nestanoví.</t>
  </si>
  <si>
    <t>247</t>
  </si>
  <si>
    <t>248</t>
  </si>
  <si>
    <t>V položce jsou zakalkulovány i náklady na pomocné lešení o výšce podlahy do 1900 mm a pro zatížení do 1,5 kP</t>
  </si>
  <si>
    <t>249</t>
  </si>
  <si>
    <t>250</t>
  </si>
  <si>
    <t>411_</t>
  </si>
  <si>
    <t>760-05_4_</t>
  </si>
  <si>
    <t>251</t>
  </si>
  <si>
    <t>74_</t>
  </si>
  <si>
    <t>760-05_74_</t>
  </si>
  <si>
    <t>252</t>
  </si>
  <si>
    <t>767_</t>
  </si>
  <si>
    <t>760-05_76_</t>
  </si>
  <si>
    <t>253</t>
  </si>
  <si>
    <t>254</t>
  </si>
  <si>
    <t>255</t>
  </si>
  <si>
    <t>256</t>
  </si>
  <si>
    <t>781_</t>
  </si>
  <si>
    <t>760-05_78_</t>
  </si>
  <si>
    <t>Položka obsahuje provedení penetračního nátěru včetně dodávky materiálu.</t>
  </si>
  <si>
    <t>257</t>
  </si>
  <si>
    <t>Položka je určena pro obkládání stěn z obkladaček pórovinových (bělninových), na tmel, kladených rovnoběžně s podlahou. Položka obsahuje:  - očištění podkladu od nesoudržných částic, - rozměření plochy,  - rozbalení balíků, třídění nebo rozpojení obkladaček dodávaných v blocích, - příprava a nanesení tmelu na plochu, - řezání obkladaček, - kladení obkladaček, - spárování, čištění obkladu, odnesení odpadu na vykázané místo. Položka neobsahuje žádný materiál. Skládání složitých vzorů a tvarů se oceňuje individuálně.</t>
  </si>
  <si>
    <t>258</t>
  </si>
  <si>
    <t>glazované keramické obkladové prvk</t>
  </si>
  <si>
    <t>259</t>
  </si>
  <si>
    <t>260</t>
  </si>
  <si>
    <t>261</t>
  </si>
  <si>
    <t>783_</t>
  </si>
  <si>
    <t>262</t>
  </si>
  <si>
    <t>263</t>
  </si>
  <si>
    <t>784_</t>
  </si>
  <si>
    <t>264</t>
  </si>
  <si>
    <t>95_</t>
  </si>
  <si>
    <t>760-05_9_</t>
  </si>
  <si>
    <t>265</t>
  </si>
  <si>
    <t>RTS II / 2023</t>
  </si>
  <si>
    <t>96_</t>
  </si>
  <si>
    <t>266</t>
  </si>
  <si>
    <t>97_</t>
  </si>
  <si>
    <t>V položce není kalkulována manipulace se sutí, která se oceňuje samostatně položkami souboru 979</t>
  </si>
  <si>
    <t>267</t>
  </si>
  <si>
    <t>268</t>
  </si>
  <si>
    <t>Příplatek za jádrové vrtání vodorovně ve stěně ŽB do 130 mm</t>
  </si>
  <si>
    <t>269</t>
  </si>
  <si>
    <t>Příplatek za časté přemístění stroje jádrového vrtání ŽB do 130 mm</t>
  </si>
  <si>
    <t>270</t>
  </si>
  <si>
    <t>Příplatek za jádrové vrtání ve výšce nad 1,5 m ŽB do 130 mm</t>
  </si>
  <si>
    <t>271</t>
  </si>
  <si>
    <t>S_</t>
  </si>
  <si>
    <t>272</t>
  </si>
  <si>
    <t>Položka je určena pro dopravu suti a vybouraných hmot za prvé podlaží nad nebo pod základním podlažím. Svislá doprava suti ze základního podlaží se neoceňuje. Základním podlažím je zpravidla přízemí.</t>
  </si>
  <si>
    <t>273</t>
  </si>
  <si>
    <t>274</t>
  </si>
  <si>
    <t>Včetně případného složení na staveništní deponii.</t>
  </si>
  <si>
    <t>275</t>
  </si>
  <si>
    <t>Nakládání ro vodorovnou dopravu.</t>
  </si>
  <si>
    <t>276</t>
  </si>
  <si>
    <t>277</t>
  </si>
  <si>
    <t>278</t>
  </si>
  <si>
    <t>279</t>
  </si>
  <si>
    <t>760-07_3_</t>
  </si>
  <si>
    <t>760-07_</t>
  </si>
  <si>
    <t>280</t>
  </si>
  <si>
    <t>281</t>
  </si>
  <si>
    <t>282</t>
  </si>
  <si>
    <t>283</t>
  </si>
  <si>
    <t>284</t>
  </si>
  <si>
    <t>285</t>
  </si>
  <si>
    <t>286</t>
  </si>
  <si>
    <t>760-07_4_</t>
  </si>
  <si>
    <t>287</t>
  </si>
  <si>
    <t>760-07_74_</t>
  </si>
  <si>
    <t>288</t>
  </si>
  <si>
    <t>760-07_76_</t>
  </si>
  <si>
    <t>289</t>
  </si>
  <si>
    <t>290</t>
  </si>
  <si>
    <t>291</t>
  </si>
  <si>
    <t>292</t>
  </si>
  <si>
    <t>760-07_78_</t>
  </si>
  <si>
    <t>293</t>
  </si>
  <si>
    <t>294</t>
  </si>
  <si>
    <t>295</t>
  </si>
  <si>
    <t>296</t>
  </si>
  <si>
    <t>297</t>
  </si>
  <si>
    <t>298</t>
  </si>
  <si>
    <t>299</t>
  </si>
  <si>
    <t>300</t>
  </si>
  <si>
    <t>760-07_9_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</si>
  <si>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</si>
  <si>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</si>
  <si>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</si>
  <si>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</si>
  <si>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</si>
  <si>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</si>
  <si>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</si>
  <si>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</si>
  <si>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</si>
  <si>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</si>
  <si>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</si>
  <si>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</si>
  <si>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</si>
  <si>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</si>
  <si>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</si>
  <si>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760-09_3_</t>
  </si>
  <si>
    <t>760-09_</t>
  </si>
  <si>
    <t>316</t>
  </si>
  <si>
    <t>317</t>
  </si>
  <si>
    <t>318</t>
  </si>
  <si>
    <t>319</t>
  </si>
  <si>
    <t>320</t>
  </si>
  <si>
    <t>321</t>
  </si>
  <si>
    <t>322</t>
  </si>
  <si>
    <t>760-09_4_</t>
  </si>
  <si>
    <t>323</t>
  </si>
  <si>
    <t>760-09_74_</t>
  </si>
  <si>
    <t>324</t>
  </si>
  <si>
    <t>760-09_76_</t>
  </si>
  <si>
    <t>325</t>
  </si>
  <si>
    <t>326</t>
  </si>
  <si>
    <t>327</t>
  </si>
  <si>
    <t>328</t>
  </si>
  <si>
    <t>760-09_78_</t>
  </si>
  <si>
    <t>329</t>
  </si>
  <si>
    <t>330</t>
  </si>
  <si>
    <t>331</t>
  </si>
  <si>
    <t>332</t>
  </si>
  <si>
    <t>333</t>
  </si>
  <si>
    <t>334</t>
  </si>
  <si>
    <t>335</t>
  </si>
  <si>
    <t>336</t>
  </si>
  <si>
    <t>760-09_9_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</si>
  <si>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</si>
  <si>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</si>
  <si>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</si>
  <si>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</si>
  <si>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</si>
  <si>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</si>
  <si>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</si>
  <si>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</si>
  <si>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</si>
  <si>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</si>
  <si>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</si>
  <si>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</si>
  <si>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</si>
  <si>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</si>
  <si>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</si>
  <si>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01VRN_</t>
  </si>
  <si>
    <t>VRN-05_Â _</t>
  </si>
  <si>
    <t>VRN-05_</t>
  </si>
  <si>
    <t>352</t>
  </si>
  <si>
    <t>03VRN_</t>
  </si>
  <si>
    <t>353</t>
  </si>
  <si>
    <t>354</t>
  </si>
  <si>
    <t>07VRN_</t>
  </si>
  <si>
    <t>355</t>
  </si>
  <si>
    <t>VRN-07_Â _</t>
  </si>
  <si>
    <t>VRN-07_</t>
  </si>
  <si>
    <t>356</t>
  </si>
  <si>
    <t>357</t>
  </si>
  <si>
    <t>358</t>
  </si>
  <si>
    <t>359</t>
  </si>
  <si>
    <t>VRN-09_Â _</t>
  </si>
  <si>
    <t>VRN-09_</t>
  </si>
  <si>
    <t>360</t>
  </si>
  <si>
    <t>361</t>
  </si>
  <si>
    <t>362</t>
  </si>
  <si>
    <t>Krycí list slepého rozpočtu</t>
  </si>
  <si>
    <t>Stavební rozpočet slepý - rekapitulace</t>
  </si>
  <si>
    <t>Stavební rozpočet slepý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</si>
</sst>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</fills>
  <borders count="9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right" vertical="center"/>
    </xf>
    <xf numFmtId="4" fontId="3" fillId="3" borderId="17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4" fontId="3" fillId="3" borderId="6" xfId="0" applyNumberFormat="1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1" fontId="2" fillId="0" borderId="7" xfId="0" applyNumberFormat="1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right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4" fontId="8" fillId="0" borderId="33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36" xfId="0" applyFont="1" applyBorder="1" applyAlignment="1">
      <alignment horizontal="left" vertical="center"/>
    </xf>
    <xf numFmtId="4" fontId="8" fillId="0" borderId="40" xfId="0" applyNumberFormat="1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4" fontId="8" fillId="0" borderId="31" xfId="0" applyNumberFormat="1" applyFont="1" applyBorder="1" applyAlignment="1">
      <alignment horizontal="right" vertical="center"/>
    </xf>
    <xf numFmtId="4" fontId="8" fillId="0" borderId="43" xfId="0" applyNumberFormat="1" applyFont="1" applyBorder="1" applyAlignment="1">
      <alignment horizontal="right" vertical="center"/>
    </xf>
    <xf numFmtId="4" fontId="7" fillId="3" borderId="30" xfId="0" applyNumberFormat="1" applyFont="1" applyFill="1" applyBorder="1" applyAlignment="1">
      <alignment horizontal="right" vertical="center"/>
    </xf>
    <xf numFmtId="4" fontId="7" fillId="3" borderId="35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3" fillId="0" borderId="60" xfId="0" applyFont="1" applyBorder="1" applyAlignment="1">
      <alignment horizontal="right" vertical="center"/>
    </xf>
    <xf numFmtId="4" fontId="2" fillId="0" borderId="33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left" vertical="center"/>
    </xf>
    <xf numFmtId="4" fontId="2" fillId="0" borderId="64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68" xfId="0" applyFont="1" applyBorder="1" applyAlignment="1">
      <alignment horizontal="right" vertical="center"/>
    </xf>
    <xf numFmtId="4" fontId="3" fillId="0" borderId="68" xfId="0" applyNumberFormat="1" applyFont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79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3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4" fontId="3" fillId="3" borderId="16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5" xfId="0" applyBorder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3" borderId="45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4" fontId="7" fillId="0" borderId="69" xfId="0" applyNumberFormat="1" applyFont="1" applyBorder="1" applyAlignment="1">
      <alignment horizontal="right" vertical="center"/>
    </xf>
    <xf numFmtId="0" fontId="7" fillId="0" borderId="66" xfId="0" applyFont="1" applyBorder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0" cy="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tabSelected="1" workbookViewId="0">
      <selection activeCell="I26" sqref="I2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23" t="s">
        <v>871</v>
      </c>
      <c r="B1" s="98"/>
      <c r="C1" s="98"/>
      <c r="D1" s="98"/>
      <c r="E1" s="98"/>
      <c r="F1" s="98"/>
      <c r="G1" s="98"/>
      <c r="H1" s="98"/>
      <c r="I1" s="98"/>
    </row>
    <row r="2" spans="1:9" x14ac:dyDescent="0.25">
      <c r="A2" s="99" t="s">
        <v>1</v>
      </c>
      <c r="B2" s="100"/>
      <c r="C2" s="106" t="str">
        <f>'Stavební rozpočet'!D2</f>
        <v>Rekonstrukce rozvodů vody a plynu pro BD Kosmonautů 1213/5, 1214/7 ,1215/9 Havířov-Podlesí</v>
      </c>
      <c r="D2" s="124"/>
      <c r="E2" s="109" t="s">
        <v>3</v>
      </c>
      <c r="F2" s="109" t="str">
        <f>'Stavební rozpočet'!J2</f>
        <v>Stavební bytové družstvo Havířov</v>
      </c>
      <c r="G2" s="100"/>
      <c r="H2" s="109" t="s">
        <v>335</v>
      </c>
      <c r="I2" s="110" t="s">
        <v>336</v>
      </c>
    </row>
    <row r="3" spans="1:9" ht="25.5" customHeight="1" x14ac:dyDescent="0.25">
      <c r="A3" s="101"/>
      <c r="B3" s="102"/>
      <c r="C3" s="107"/>
      <c r="D3" s="107"/>
      <c r="E3" s="102"/>
      <c r="F3" s="102"/>
      <c r="G3" s="102"/>
      <c r="H3" s="102"/>
      <c r="I3" s="111"/>
    </row>
    <row r="4" spans="1:9" x14ac:dyDescent="0.25">
      <c r="A4" s="103" t="s">
        <v>4</v>
      </c>
      <c r="B4" s="102"/>
      <c r="C4" s="108" t="str">
        <f>'Stavební rozpočet'!D4</f>
        <v xml:space="preserve"> </v>
      </c>
      <c r="D4" s="102"/>
      <c r="E4" s="108" t="s">
        <v>6</v>
      </c>
      <c r="F4" s="108" t="str">
        <f>'Stavební rozpočet'!J4</f>
        <v>ETRACOM s.r.o.</v>
      </c>
      <c r="G4" s="102"/>
      <c r="H4" s="108" t="s">
        <v>335</v>
      </c>
      <c r="I4" s="111" t="s">
        <v>337</v>
      </c>
    </row>
    <row r="5" spans="1:9" ht="15" customHeight="1" x14ac:dyDescent="0.25">
      <c r="A5" s="101"/>
      <c r="B5" s="102"/>
      <c r="C5" s="102"/>
      <c r="D5" s="102"/>
      <c r="E5" s="102"/>
      <c r="F5" s="102"/>
      <c r="G5" s="102"/>
      <c r="H5" s="102"/>
      <c r="I5" s="111"/>
    </row>
    <row r="6" spans="1:9" x14ac:dyDescent="0.25">
      <c r="A6" s="103" t="s">
        <v>7</v>
      </c>
      <c r="B6" s="102"/>
      <c r="C6" s="108" t="str">
        <f>'Stavební rozpočet'!D6</f>
        <v xml:space="preserve"> </v>
      </c>
      <c r="D6" s="102"/>
      <c r="E6" s="108" t="s">
        <v>9</v>
      </c>
      <c r="F6" s="108" t="str">
        <f>'Stavební rozpočet'!J6</f>
        <v> </v>
      </c>
      <c r="G6" s="102"/>
      <c r="H6" s="108" t="s">
        <v>335</v>
      </c>
      <c r="I6" s="111" t="s">
        <v>25</v>
      </c>
    </row>
    <row r="7" spans="1:9" ht="15" customHeight="1" x14ac:dyDescent="0.25">
      <c r="A7" s="101"/>
      <c r="B7" s="102"/>
      <c r="C7" s="102"/>
      <c r="D7" s="102"/>
      <c r="E7" s="102"/>
      <c r="F7" s="102"/>
      <c r="G7" s="102"/>
      <c r="H7" s="102"/>
      <c r="I7" s="111"/>
    </row>
    <row r="8" spans="1:9" x14ac:dyDescent="0.25">
      <c r="A8" s="103" t="s">
        <v>5</v>
      </c>
      <c r="B8" s="102"/>
      <c r="C8" s="108" t="str">
        <f>'Stavební rozpočet'!H4</f>
        <v xml:space="preserve"> </v>
      </c>
      <c r="D8" s="102"/>
      <c r="E8" s="108" t="s">
        <v>8</v>
      </c>
      <c r="F8" s="108" t="str">
        <f>'Stavební rozpočet'!H6</f>
        <v xml:space="preserve"> </v>
      </c>
      <c r="G8" s="102"/>
      <c r="H8" s="102" t="s">
        <v>338</v>
      </c>
      <c r="I8" s="125">
        <v>362</v>
      </c>
    </row>
    <row r="9" spans="1:9" x14ac:dyDescent="0.25">
      <c r="A9" s="101"/>
      <c r="B9" s="102"/>
      <c r="C9" s="102"/>
      <c r="D9" s="102"/>
      <c r="E9" s="102"/>
      <c r="F9" s="102"/>
      <c r="G9" s="102"/>
      <c r="H9" s="102"/>
      <c r="I9" s="111"/>
    </row>
    <row r="10" spans="1:9" x14ac:dyDescent="0.25">
      <c r="A10" s="103" t="s">
        <v>10</v>
      </c>
      <c r="B10" s="102"/>
      <c r="C10" s="108" t="str">
        <f>'Stavební rozpočet'!D8</f>
        <v xml:space="preserve"> </v>
      </c>
      <c r="D10" s="102"/>
      <c r="E10" s="108" t="s">
        <v>12</v>
      </c>
      <c r="F10" s="108" t="str">
        <f>'Stavební rozpočet'!J8</f>
        <v>Ing. Radim Kyjonka</v>
      </c>
      <c r="G10" s="102"/>
      <c r="H10" s="102" t="s">
        <v>339</v>
      </c>
      <c r="I10" s="121" t="str">
        <f>'Stavební rozpočet'!H8</f>
        <v>24.10.2024</v>
      </c>
    </row>
    <row r="11" spans="1:9" x14ac:dyDescent="0.25">
      <c r="A11" s="104"/>
      <c r="B11" s="105"/>
      <c r="C11" s="105"/>
      <c r="D11" s="105"/>
      <c r="E11" s="105"/>
      <c r="F11" s="105"/>
      <c r="G11" s="105"/>
      <c r="H11" s="105"/>
      <c r="I11" s="112"/>
    </row>
    <row r="12" spans="1:9" ht="23.25" x14ac:dyDescent="0.25">
      <c r="A12" s="126" t="s">
        <v>340</v>
      </c>
      <c r="B12" s="126"/>
      <c r="C12" s="126"/>
      <c r="D12" s="126"/>
      <c r="E12" s="126"/>
      <c r="F12" s="126"/>
      <c r="G12" s="126"/>
      <c r="H12" s="126"/>
      <c r="I12" s="126"/>
    </row>
    <row r="13" spans="1:9" ht="26.25" customHeight="1" x14ac:dyDescent="0.25">
      <c r="A13" s="38" t="s">
        <v>341</v>
      </c>
      <c r="B13" s="127" t="s">
        <v>342</v>
      </c>
      <c r="C13" s="128"/>
      <c r="D13" s="39" t="s">
        <v>343</v>
      </c>
      <c r="E13" s="127" t="s">
        <v>344</v>
      </c>
      <c r="F13" s="128"/>
      <c r="G13" s="39" t="s">
        <v>345</v>
      </c>
      <c r="H13" s="127" t="s">
        <v>346</v>
      </c>
      <c r="I13" s="128"/>
    </row>
    <row r="14" spans="1:9" ht="15.75" x14ac:dyDescent="0.25">
      <c r="A14" s="40" t="s">
        <v>347</v>
      </c>
      <c r="B14" s="41" t="s">
        <v>348</v>
      </c>
      <c r="C14" s="42">
        <f>SUM('Stavební rozpočet'!AB12:AB483)</f>
        <v>0</v>
      </c>
      <c r="D14" s="135" t="s">
        <v>349</v>
      </c>
      <c r="E14" s="136"/>
      <c r="F14" s="42">
        <f>VORN!I15</f>
        <v>0</v>
      </c>
      <c r="G14" s="135" t="s">
        <v>315</v>
      </c>
      <c r="H14" s="136"/>
      <c r="I14" s="43">
        <f>VORN!I21</f>
        <v>0</v>
      </c>
    </row>
    <row r="15" spans="1:9" ht="15.75" x14ac:dyDescent="0.25">
      <c r="A15" s="44" t="s">
        <v>25</v>
      </c>
      <c r="B15" s="41" t="s">
        <v>350</v>
      </c>
      <c r="C15" s="42">
        <f>SUM('Stavební rozpočet'!AC12:AC483)</f>
        <v>0</v>
      </c>
      <c r="D15" s="135" t="s">
        <v>351</v>
      </c>
      <c r="E15" s="136"/>
      <c r="F15" s="42">
        <f>VORN!I16</f>
        <v>0</v>
      </c>
      <c r="G15" s="135" t="s">
        <v>352</v>
      </c>
      <c r="H15" s="136"/>
      <c r="I15" s="43">
        <f>VORN!I22</f>
        <v>0</v>
      </c>
    </row>
    <row r="16" spans="1:9" ht="15.75" x14ac:dyDescent="0.25">
      <c r="A16" s="40" t="s">
        <v>353</v>
      </c>
      <c r="B16" s="41" t="s">
        <v>348</v>
      </c>
      <c r="C16" s="42">
        <f>SUM('Stavební rozpočet'!AD12:AD483)</f>
        <v>0</v>
      </c>
      <c r="D16" s="135" t="s">
        <v>354</v>
      </c>
      <c r="E16" s="136"/>
      <c r="F16" s="42">
        <f>VORN!I17</f>
        <v>0</v>
      </c>
      <c r="G16" s="135" t="s">
        <v>355</v>
      </c>
      <c r="H16" s="136"/>
      <c r="I16" s="43">
        <f>VORN!I23</f>
        <v>0</v>
      </c>
    </row>
    <row r="17" spans="1:9" ht="15.75" x14ac:dyDescent="0.25">
      <c r="A17" s="44" t="s">
        <v>25</v>
      </c>
      <c r="B17" s="41" t="s">
        <v>350</v>
      </c>
      <c r="C17" s="42">
        <f>SUM('Stavební rozpočet'!AE12:AE483)</f>
        <v>0</v>
      </c>
      <c r="D17" s="135" t="s">
        <v>25</v>
      </c>
      <c r="E17" s="136"/>
      <c r="F17" s="43" t="s">
        <v>25</v>
      </c>
      <c r="G17" s="135" t="s">
        <v>321</v>
      </c>
      <c r="H17" s="136"/>
      <c r="I17" s="43">
        <f>VORN!I24</f>
        <v>0</v>
      </c>
    </row>
    <row r="18" spans="1:9" ht="15.75" x14ac:dyDescent="0.25">
      <c r="A18" s="40" t="s">
        <v>356</v>
      </c>
      <c r="B18" s="41" t="s">
        <v>348</v>
      </c>
      <c r="C18" s="42">
        <f>SUM('Stavební rozpočet'!AF12:AF483)</f>
        <v>0</v>
      </c>
      <c r="D18" s="135" t="s">
        <v>25</v>
      </c>
      <c r="E18" s="136"/>
      <c r="F18" s="43" t="s">
        <v>25</v>
      </c>
      <c r="G18" s="135" t="s">
        <v>357</v>
      </c>
      <c r="H18" s="136"/>
      <c r="I18" s="43">
        <f>VORN!I25</f>
        <v>0</v>
      </c>
    </row>
    <row r="19" spans="1:9" ht="15.75" x14ac:dyDescent="0.25">
      <c r="A19" s="44" t="s">
        <v>25</v>
      </c>
      <c r="B19" s="41" t="s">
        <v>350</v>
      </c>
      <c r="C19" s="42">
        <f>SUM('Stavební rozpočet'!AG12:AG483)</f>
        <v>0</v>
      </c>
      <c r="D19" s="135" t="s">
        <v>25</v>
      </c>
      <c r="E19" s="136"/>
      <c r="F19" s="43" t="s">
        <v>25</v>
      </c>
      <c r="G19" s="135" t="s">
        <v>358</v>
      </c>
      <c r="H19" s="136"/>
      <c r="I19" s="43">
        <f>VORN!I26</f>
        <v>0</v>
      </c>
    </row>
    <row r="20" spans="1:9" ht="15.75" x14ac:dyDescent="0.25">
      <c r="A20" s="129" t="s">
        <v>359</v>
      </c>
      <c r="B20" s="130"/>
      <c r="C20" s="42">
        <f>SUM('Stavební rozpočet'!AH12:AH483)</f>
        <v>0</v>
      </c>
      <c r="D20" s="135" t="s">
        <v>25</v>
      </c>
      <c r="E20" s="136"/>
      <c r="F20" s="43" t="s">
        <v>25</v>
      </c>
      <c r="G20" s="135" t="s">
        <v>25</v>
      </c>
      <c r="H20" s="136"/>
      <c r="I20" s="43" t="s">
        <v>25</v>
      </c>
    </row>
    <row r="21" spans="1:9" ht="15.75" x14ac:dyDescent="0.25">
      <c r="A21" s="131" t="s">
        <v>360</v>
      </c>
      <c r="B21" s="132"/>
      <c r="C21" s="45">
        <f>SUM('Stavební rozpočet'!Z12:Z483)</f>
        <v>0</v>
      </c>
      <c r="D21" s="137" t="s">
        <v>25</v>
      </c>
      <c r="E21" s="138"/>
      <c r="F21" s="46" t="s">
        <v>25</v>
      </c>
      <c r="G21" s="137" t="s">
        <v>25</v>
      </c>
      <c r="H21" s="138"/>
      <c r="I21" s="46" t="s">
        <v>25</v>
      </c>
    </row>
    <row r="22" spans="1:9" ht="16.5" customHeight="1" x14ac:dyDescent="0.25">
      <c r="A22" s="133" t="s">
        <v>361</v>
      </c>
      <c r="B22" s="134"/>
      <c r="C22" s="47">
        <f>ROUND(SUM(C14:C21),0)</f>
        <v>0</v>
      </c>
      <c r="D22" s="139" t="s">
        <v>362</v>
      </c>
      <c r="E22" s="134"/>
      <c r="F22" s="47">
        <f>SUM(F14:F21)</f>
        <v>0</v>
      </c>
      <c r="G22" s="139" t="s">
        <v>363</v>
      </c>
      <c r="H22" s="134"/>
      <c r="I22" s="47">
        <f>SUM(I14:I21)</f>
        <v>0</v>
      </c>
    </row>
    <row r="23" spans="1:9" ht="15.75" x14ac:dyDescent="0.25">
      <c r="D23" s="129" t="s">
        <v>364</v>
      </c>
      <c r="E23" s="130"/>
      <c r="F23" s="48">
        <v>0</v>
      </c>
      <c r="G23" s="140" t="s">
        <v>365</v>
      </c>
      <c r="H23" s="130"/>
      <c r="I23" s="42">
        <v>0</v>
      </c>
    </row>
    <row r="24" spans="1:9" ht="15.75" x14ac:dyDescent="0.25">
      <c r="G24" s="129" t="s">
        <v>366</v>
      </c>
      <c r="H24" s="130"/>
      <c r="I24" s="42">
        <f>vorn_sum</f>
        <v>0</v>
      </c>
    </row>
    <row r="25" spans="1:9" ht="15.75" x14ac:dyDescent="0.25">
      <c r="G25" s="129" t="s">
        <v>367</v>
      </c>
      <c r="H25" s="130"/>
      <c r="I25" s="42">
        <v>0</v>
      </c>
    </row>
    <row r="27" spans="1:9" ht="15.75" x14ac:dyDescent="0.25">
      <c r="A27" s="141" t="s">
        <v>368</v>
      </c>
      <c r="B27" s="142"/>
      <c r="C27" s="49">
        <f>ROUND(SUM('Stavební rozpočet'!AJ12:AJ483),0)</f>
        <v>0</v>
      </c>
    </row>
    <row r="28" spans="1:9" ht="15.75" x14ac:dyDescent="0.25">
      <c r="A28" s="143" t="s">
        <v>369</v>
      </c>
      <c r="B28" s="144"/>
      <c r="C28" s="50">
        <f>ROUND(SUM('Stavební rozpočet'!AK12:AK483),0)</f>
        <v>0</v>
      </c>
      <c r="D28" s="145" t="s">
        <v>370</v>
      </c>
      <c r="E28" s="142"/>
      <c r="F28" s="49">
        <f>ROUND(C28*(12/100),2)</f>
        <v>0</v>
      </c>
      <c r="G28" s="145" t="s">
        <v>371</v>
      </c>
      <c r="H28" s="142"/>
      <c r="I28" s="49">
        <f>ROUND(SUM(C27:C29),0)</f>
        <v>0</v>
      </c>
    </row>
    <row r="29" spans="1:9" ht="15.75" x14ac:dyDescent="0.25">
      <c r="A29" s="143" t="s">
        <v>372</v>
      </c>
      <c r="B29" s="144"/>
      <c r="C29" s="50">
        <f>ROUND(SUM('Stavební rozpočet'!AL12:AL483),0)</f>
        <v>0</v>
      </c>
      <c r="D29" s="146" t="s">
        <v>373</v>
      </c>
      <c r="E29" s="144"/>
      <c r="F29" s="50">
        <f>ROUND(C29*(21/100),2)</f>
        <v>0</v>
      </c>
      <c r="G29" s="146" t="s">
        <v>374</v>
      </c>
      <c r="H29" s="144"/>
      <c r="I29" s="50">
        <f>ROUND(SUM(F28:F29)+I28,0)</f>
        <v>0</v>
      </c>
    </row>
    <row r="31" spans="1:9" x14ac:dyDescent="0.25">
      <c r="A31" s="147" t="s">
        <v>375</v>
      </c>
      <c r="B31" s="148"/>
      <c r="C31" s="149"/>
      <c r="D31" s="156" t="s">
        <v>376</v>
      </c>
      <c r="E31" s="148"/>
      <c r="F31" s="149"/>
      <c r="G31" s="156" t="s">
        <v>377</v>
      </c>
      <c r="H31" s="148"/>
      <c r="I31" s="149"/>
    </row>
    <row r="32" spans="1:9" x14ac:dyDescent="0.25">
      <c r="A32" s="150" t="s">
        <v>25</v>
      </c>
      <c r="B32" s="151"/>
      <c r="C32" s="152"/>
      <c r="D32" s="157" t="s">
        <v>25</v>
      </c>
      <c r="E32" s="151"/>
      <c r="F32" s="152"/>
      <c r="G32" s="157" t="s">
        <v>25</v>
      </c>
      <c r="H32" s="151"/>
      <c r="I32" s="152"/>
    </row>
    <row r="33" spans="1:9" x14ac:dyDescent="0.25">
      <c r="A33" s="150" t="s">
        <v>25</v>
      </c>
      <c r="B33" s="151"/>
      <c r="C33" s="152"/>
      <c r="D33" s="157" t="s">
        <v>25</v>
      </c>
      <c r="E33" s="151"/>
      <c r="F33" s="152"/>
      <c r="G33" s="157" t="s">
        <v>25</v>
      </c>
      <c r="H33" s="151"/>
      <c r="I33" s="152"/>
    </row>
    <row r="34" spans="1:9" x14ac:dyDescent="0.25">
      <c r="A34" s="150" t="s">
        <v>25</v>
      </c>
      <c r="B34" s="151"/>
      <c r="C34" s="152"/>
      <c r="D34" s="157" t="s">
        <v>25</v>
      </c>
      <c r="E34" s="151"/>
      <c r="F34" s="152"/>
      <c r="G34" s="157" t="s">
        <v>25</v>
      </c>
      <c r="H34" s="151"/>
      <c r="I34" s="152"/>
    </row>
    <row r="35" spans="1:9" x14ac:dyDescent="0.25">
      <c r="A35" s="153" t="s">
        <v>378</v>
      </c>
      <c r="B35" s="154"/>
      <c r="C35" s="155"/>
      <c r="D35" s="158" t="s">
        <v>378</v>
      </c>
      <c r="E35" s="154"/>
      <c r="F35" s="155"/>
      <c r="G35" s="158" t="s">
        <v>378</v>
      </c>
      <c r="H35" s="154"/>
      <c r="I35" s="155"/>
    </row>
    <row r="36" spans="1:9" x14ac:dyDescent="0.25">
      <c r="A36" s="51" t="s">
        <v>379</v>
      </c>
    </row>
    <row r="37" spans="1:9" ht="12.75" customHeight="1" x14ac:dyDescent="0.25">
      <c r="A37" s="108" t="s">
        <v>25</v>
      </c>
      <c r="B37" s="102"/>
      <c r="C37" s="102"/>
      <c r="D37" s="102"/>
      <c r="E37" s="102"/>
      <c r="F37" s="102"/>
      <c r="G37" s="102"/>
      <c r="H37" s="102"/>
      <c r="I37" s="102"/>
    </row>
  </sheetData>
  <mergeCells count="83"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10:I11"/>
    <mergeCell ref="A12:I12"/>
    <mergeCell ref="B13:C13"/>
    <mergeCell ref="E13:F13"/>
    <mergeCell ref="H13:I13"/>
    <mergeCell ref="F10:G11"/>
    <mergeCell ref="H2:H3"/>
    <mergeCell ref="H4:H5"/>
    <mergeCell ref="H6:H7"/>
    <mergeCell ref="H8:H9"/>
    <mergeCell ref="H10:H11"/>
    <mergeCell ref="A10:B11"/>
    <mergeCell ref="E2:E3"/>
    <mergeCell ref="E4:E5"/>
    <mergeCell ref="E6:E7"/>
    <mergeCell ref="E8:E9"/>
    <mergeCell ref="E10:E11"/>
    <mergeCell ref="C2:D3"/>
    <mergeCell ref="C4:D5"/>
    <mergeCell ref="C6:D7"/>
    <mergeCell ref="C8:D9"/>
    <mergeCell ref="C10:D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9"/>
  <sheetViews>
    <sheetView workbookViewId="0">
      <pane ySplit="11" topLeftCell="A12" activePane="bottomLeft" state="frozen"/>
      <selection pane="bottomLeft" sqref="A1:G1"/>
    </sheetView>
  </sheetViews>
  <sheetFormatPr defaultColWidth="12.140625" defaultRowHeight="15" customHeight="1" x14ac:dyDescent="0.25"/>
  <cols>
    <col min="1" max="2" width="8.5703125" customWidth="1"/>
    <col min="3" max="3" width="54" customWidth="1"/>
    <col min="4" max="4" width="23" customWidth="1"/>
    <col min="5" max="5" width="21.42578125" customWidth="1"/>
    <col min="6" max="6" width="20.85546875" customWidth="1"/>
    <col min="7" max="7" width="20.7109375" customWidth="1"/>
    <col min="8" max="9" width="0" hidden="1" customWidth="1"/>
  </cols>
  <sheetData>
    <row r="1" spans="1:9" ht="54.75" customHeight="1" x14ac:dyDescent="0.25">
      <c r="A1" s="98" t="s">
        <v>872</v>
      </c>
      <c r="B1" s="98"/>
      <c r="C1" s="98"/>
      <c r="D1" s="98"/>
      <c r="E1" s="98"/>
      <c r="F1" s="98"/>
      <c r="G1" s="98"/>
    </row>
    <row r="2" spans="1:9" x14ac:dyDescent="0.25">
      <c r="A2" s="99" t="s">
        <v>1</v>
      </c>
      <c r="B2" s="100"/>
      <c r="C2" s="106" t="str">
        <f>'Stavební rozpočet'!D2</f>
        <v>Rekonstrukce rozvodů vody a plynu pro BD Kosmonautů 1213/5, 1214/7 ,1215/9 Havířov-Podlesí</v>
      </c>
      <c r="D2" s="100" t="s">
        <v>2</v>
      </c>
      <c r="E2" s="100" t="s">
        <v>23</v>
      </c>
      <c r="F2" s="109" t="s">
        <v>3</v>
      </c>
      <c r="G2" s="120" t="str">
        <f>'Stavební rozpočet'!J2</f>
        <v>Stavební bytové družstvo Havířov</v>
      </c>
    </row>
    <row r="3" spans="1:9" ht="15" customHeight="1" x14ac:dyDescent="0.25">
      <c r="A3" s="101"/>
      <c r="B3" s="102"/>
      <c r="C3" s="107"/>
      <c r="D3" s="102"/>
      <c r="E3" s="102"/>
      <c r="F3" s="102"/>
      <c r="G3" s="111"/>
    </row>
    <row r="4" spans="1:9" x14ac:dyDescent="0.25">
      <c r="A4" s="103" t="s">
        <v>4</v>
      </c>
      <c r="B4" s="102"/>
      <c r="C4" s="108" t="str">
        <f>'Stavební rozpočet'!D4</f>
        <v xml:space="preserve"> </v>
      </c>
      <c r="D4" s="102" t="s">
        <v>5</v>
      </c>
      <c r="E4" s="102" t="s">
        <v>23</v>
      </c>
      <c r="F4" s="108" t="s">
        <v>6</v>
      </c>
      <c r="G4" s="121" t="str">
        <f>'Stavební rozpočet'!J4</f>
        <v>ETRACOM s.r.o.</v>
      </c>
    </row>
    <row r="5" spans="1:9" ht="15" customHeight="1" x14ac:dyDescent="0.25">
      <c r="A5" s="101"/>
      <c r="B5" s="102"/>
      <c r="C5" s="102"/>
      <c r="D5" s="102"/>
      <c r="E5" s="102"/>
      <c r="F5" s="102"/>
      <c r="G5" s="111"/>
    </row>
    <row r="6" spans="1:9" x14ac:dyDescent="0.25">
      <c r="A6" s="103" t="s">
        <v>7</v>
      </c>
      <c r="B6" s="102"/>
      <c r="C6" s="108" t="str">
        <f>'Stavební rozpočet'!D6</f>
        <v xml:space="preserve"> </v>
      </c>
      <c r="D6" s="102" t="s">
        <v>8</v>
      </c>
      <c r="E6" s="102" t="s">
        <v>23</v>
      </c>
      <c r="F6" s="108" t="s">
        <v>9</v>
      </c>
      <c r="G6" s="121" t="str">
        <f>'Stavební rozpočet'!J6</f>
        <v> </v>
      </c>
    </row>
    <row r="7" spans="1:9" ht="15" customHeight="1" x14ac:dyDescent="0.25">
      <c r="A7" s="101"/>
      <c r="B7" s="102"/>
      <c r="C7" s="102"/>
      <c r="D7" s="102"/>
      <c r="E7" s="102"/>
      <c r="F7" s="102"/>
      <c r="G7" s="111"/>
    </row>
    <row r="8" spans="1:9" x14ac:dyDescent="0.25">
      <c r="A8" s="103" t="s">
        <v>12</v>
      </c>
      <c r="B8" s="102"/>
      <c r="C8" s="108" t="str">
        <f>'Stavební rozpočet'!J8</f>
        <v>Ing. Radim Kyjonka</v>
      </c>
      <c r="D8" s="102" t="s">
        <v>11</v>
      </c>
      <c r="E8" s="102" t="s">
        <v>328</v>
      </c>
      <c r="F8" s="102" t="s">
        <v>11</v>
      </c>
      <c r="G8" s="121" t="str">
        <f>'Stavební rozpočet'!H8</f>
        <v>24.10.2024</v>
      </c>
    </row>
    <row r="9" spans="1:9" x14ac:dyDescent="0.25">
      <c r="A9" s="118"/>
      <c r="B9" s="119"/>
      <c r="C9" s="119"/>
      <c r="D9" s="119"/>
      <c r="E9" s="119"/>
      <c r="F9" s="119"/>
      <c r="G9" s="122"/>
    </row>
    <row r="10" spans="1:9" x14ac:dyDescent="0.25">
      <c r="A10" s="26" t="s">
        <v>14</v>
      </c>
      <c r="B10" s="27" t="s">
        <v>15</v>
      </c>
      <c r="C10" s="28" t="s">
        <v>16</v>
      </c>
      <c r="D10" s="29" t="s">
        <v>329</v>
      </c>
      <c r="E10" s="29" t="s">
        <v>330</v>
      </c>
      <c r="F10" s="29" t="s">
        <v>331</v>
      </c>
      <c r="G10" s="30" t="s">
        <v>332</v>
      </c>
    </row>
    <row r="11" spans="1:9" x14ac:dyDescent="0.25">
      <c r="A11" s="31" t="s">
        <v>24</v>
      </c>
      <c r="B11" s="32" t="s">
        <v>25</v>
      </c>
      <c r="C11" s="32" t="s">
        <v>26</v>
      </c>
      <c r="D11" s="33">
        <f>'Stavební rozpočet'!J12</f>
        <v>0</v>
      </c>
      <c r="E11" s="33">
        <f>'Stavební rozpočet'!K12</f>
        <v>0</v>
      </c>
      <c r="F11" s="33">
        <f>'Stavební rozpočet'!L12</f>
        <v>0</v>
      </c>
      <c r="G11" s="34">
        <f>'Stavební rozpočet'!O12</f>
        <v>1.116E-2</v>
      </c>
      <c r="H11" s="35" t="s">
        <v>333</v>
      </c>
      <c r="I11" s="19">
        <f t="shared" ref="I11:I42" si="0">IF(H11="F",0,F11)</f>
        <v>0</v>
      </c>
    </row>
    <row r="12" spans="1:9" x14ac:dyDescent="0.25">
      <c r="A12" s="1" t="s">
        <v>24</v>
      </c>
      <c r="B12" s="2" t="s">
        <v>27</v>
      </c>
      <c r="C12" s="2" t="s">
        <v>28</v>
      </c>
      <c r="D12" s="19">
        <f>'Stavební rozpočet'!J13</f>
        <v>0</v>
      </c>
      <c r="E12" s="19">
        <f>'Stavební rozpočet'!K13</f>
        <v>0</v>
      </c>
      <c r="F12" s="19">
        <f>'Stavební rozpočet'!L13</f>
        <v>0</v>
      </c>
      <c r="G12" s="20">
        <f>'Stavební rozpočet'!O13</f>
        <v>1.116E-2</v>
      </c>
      <c r="H12" s="35" t="s">
        <v>334</v>
      </c>
      <c r="I12" s="19">
        <f t="shared" si="0"/>
        <v>0</v>
      </c>
    </row>
    <row r="13" spans="1:9" x14ac:dyDescent="0.25">
      <c r="A13" s="1" t="s">
        <v>52</v>
      </c>
      <c r="B13" s="2" t="s">
        <v>25</v>
      </c>
      <c r="C13" s="2" t="s">
        <v>53</v>
      </c>
      <c r="D13" s="19">
        <f>'Stavební rozpočet'!J27</f>
        <v>0</v>
      </c>
      <c r="E13" s="19">
        <f>'Stavební rozpočet'!K27</f>
        <v>0</v>
      </c>
      <c r="F13" s="19">
        <f>'Stavební rozpočet'!L27</f>
        <v>0</v>
      </c>
      <c r="G13" s="20">
        <f>'Stavební rozpočet'!O27</f>
        <v>1.116E-2</v>
      </c>
      <c r="H13" s="35" t="s">
        <v>333</v>
      </c>
      <c r="I13" s="19">
        <f t="shared" si="0"/>
        <v>0</v>
      </c>
    </row>
    <row r="14" spans="1:9" x14ac:dyDescent="0.25">
      <c r="A14" s="1" t="s">
        <v>52</v>
      </c>
      <c r="B14" s="2" t="s">
        <v>27</v>
      </c>
      <c r="C14" s="2" t="s">
        <v>28</v>
      </c>
      <c r="D14" s="19">
        <f>'Stavební rozpočet'!J28</f>
        <v>0</v>
      </c>
      <c r="E14" s="19">
        <f>'Stavební rozpočet'!K28</f>
        <v>0</v>
      </c>
      <c r="F14" s="19">
        <f>'Stavební rozpočet'!L28</f>
        <v>0</v>
      </c>
      <c r="G14" s="20">
        <f>'Stavební rozpočet'!O28</f>
        <v>1.116E-2</v>
      </c>
      <c r="H14" s="35" t="s">
        <v>334</v>
      </c>
      <c r="I14" s="19">
        <f t="shared" si="0"/>
        <v>0</v>
      </c>
    </row>
    <row r="15" spans="1:9" x14ac:dyDescent="0.25">
      <c r="A15" s="1" t="s">
        <v>54</v>
      </c>
      <c r="B15" s="2" t="s">
        <v>25</v>
      </c>
      <c r="C15" s="2" t="s">
        <v>55</v>
      </c>
      <c r="D15" s="19">
        <f>'Stavební rozpočet'!J39</f>
        <v>0</v>
      </c>
      <c r="E15" s="19">
        <f>'Stavební rozpočet'!K39</f>
        <v>0</v>
      </c>
      <c r="F15" s="19">
        <f>'Stavební rozpočet'!L39</f>
        <v>0</v>
      </c>
      <c r="G15" s="20">
        <f>'Stavební rozpočet'!O39</f>
        <v>1.116E-2</v>
      </c>
      <c r="H15" s="35" t="s">
        <v>333</v>
      </c>
      <c r="I15" s="19">
        <f t="shared" si="0"/>
        <v>0</v>
      </c>
    </row>
    <row r="16" spans="1:9" x14ac:dyDescent="0.25">
      <c r="A16" s="1" t="s">
        <v>54</v>
      </c>
      <c r="B16" s="2" t="s">
        <v>27</v>
      </c>
      <c r="C16" s="2" t="s">
        <v>28</v>
      </c>
      <c r="D16" s="19">
        <f>'Stavební rozpočet'!J40</f>
        <v>0</v>
      </c>
      <c r="E16" s="19">
        <f>'Stavební rozpočet'!K40</f>
        <v>0</v>
      </c>
      <c r="F16" s="19">
        <f>'Stavební rozpočet'!L40</f>
        <v>0</v>
      </c>
      <c r="G16" s="20">
        <f>'Stavební rozpočet'!O40</f>
        <v>1.116E-2</v>
      </c>
      <c r="H16" s="35" t="s">
        <v>334</v>
      </c>
      <c r="I16" s="19">
        <f t="shared" si="0"/>
        <v>0</v>
      </c>
    </row>
    <row r="17" spans="1:9" x14ac:dyDescent="0.25">
      <c r="A17" s="1" t="s">
        <v>56</v>
      </c>
      <c r="B17" s="2" t="s">
        <v>25</v>
      </c>
      <c r="C17" s="2" t="s">
        <v>57</v>
      </c>
      <c r="D17" s="19">
        <f>'Stavební rozpočet'!J51</f>
        <v>0</v>
      </c>
      <c r="E17" s="19">
        <f>'Stavební rozpočet'!K51</f>
        <v>0</v>
      </c>
      <c r="F17" s="19">
        <f>'Stavební rozpočet'!L51</f>
        <v>0</v>
      </c>
      <c r="G17" s="20">
        <f>'Stavební rozpočet'!O51</f>
        <v>1.10314</v>
      </c>
      <c r="H17" s="35" t="s">
        <v>333</v>
      </c>
      <c r="I17" s="19">
        <f t="shared" si="0"/>
        <v>0</v>
      </c>
    </row>
    <row r="18" spans="1:9" x14ac:dyDescent="0.25">
      <c r="A18" s="1" t="s">
        <v>56</v>
      </c>
      <c r="B18" s="2" t="s">
        <v>27</v>
      </c>
      <c r="C18" s="2" t="s">
        <v>28</v>
      </c>
      <c r="D18" s="19">
        <f>'Stavební rozpočet'!J52</f>
        <v>0</v>
      </c>
      <c r="E18" s="19">
        <f>'Stavební rozpočet'!K52</f>
        <v>0</v>
      </c>
      <c r="F18" s="19">
        <f>'Stavební rozpočet'!L52</f>
        <v>0</v>
      </c>
      <c r="G18" s="20">
        <f>'Stavební rozpočet'!O52</f>
        <v>0.59458</v>
      </c>
      <c r="H18" s="35" t="s">
        <v>334</v>
      </c>
      <c r="I18" s="19">
        <f t="shared" si="0"/>
        <v>0</v>
      </c>
    </row>
    <row r="19" spans="1:9" x14ac:dyDescent="0.25">
      <c r="A19" s="1" t="s">
        <v>56</v>
      </c>
      <c r="B19" s="2" t="s">
        <v>96</v>
      </c>
      <c r="C19" s="2" t="s">
        <v>97</v>
      </c>
      <c r="D19" s="19">
        <f>'Stavební rozpočet'!J89</f>
        <v>0</v>
      </c>
      <c r="E19" s="19">
        <f>'Stavební rozpočet'!K89</f>
        <v>0</v>
      </c>
      <c r="F19" s="19">
        <f>'Stavební rozpočet'!L89</f>
        <v>0</v>
      </c>
      <c r="G19" s="20">
        <f>'Stavební rozpočet'!O89</f>
        <v>0.50856000000000001</v>
      </c>
      <c r="H19" s="35" t="s">
        <v>334</v>
      </c>
      <c r="I19" s="19">
        <f t="shared" si="0"/>
        <v>0</v>
      </c>
    </row>
    <row r="20" spans="1:9" x14ac:dyDescent="0.25">
      <c r="A20" s="1" t="s">
        <v>105</v>
      </c>
      <c r="B20" s="2" t="s">
        <v>25</v>
      </c>
      <c r="C20" s="2" t="s">
        <v>106</v>
      </c>
      <c r="D20" s="19">
        <f>'Stavební rozpočet'!J93</f>
        <v>0</v>
      </c>
      <c r="E20" s="19">
        <f>'Stavební rozpočet'!K93</f>
        <v>0</v>
      </c>
      <c r="F20" s="19">
        <f>'Stavební rozpočet'!L93</f>
        <v>0</v>
      </c>
      <c r="G20" s="20">
        <f>'Stavební rozpočet'!O93</f>
        <v>1.10314</v>
      </c>
      <c r="H20" s="35" t="s">
        <v>333</v>
      </c>
      <c r="I20" s="19">
        <f t="shared" si="0"/>
        <v>0</v>
      </c>
    </row>
    <row r="21" spans="1:9" x14ac:dyDescent="0.25">
      <c r="A21" s="1" t="s">
        <v>105</v>
      </c>
      <c r="B21" s="2" t="s">
        <v>27</v>
      </c>
      <c r="C21" s="2" t="s">
        <v>28</v>
      </c>
      <c r="D21" s="19">
        <f>'Stavební rozpočet'!J94</f>
        <v>0</v>
      </c>
      <c r="E21" s="19">
        <f>'Stavební rozpočet'!K94</f>
        <v>0</v>
      </c>
      <c r="F21" s="19">
        <f>'Stavební rozpočet'!L94</f>
        <v>0</v>
      </c>
      <c r="G21" s="20">
        <f>'Stavební rozpočet'!O94</f>
        <v>0.59458</v>
      </c>
      <c r="H21" s="35" t="s">
        <v>334</v>
      </c>
      <c r="I21" s="19">
        <f t="shared" si="0"/>
        <v>0</v>
      </c>
    </row>
    <row r="22" spans="1:9" x14ac:dyDescent="0.25">
      <c r="A22" s="1" t="s">
        <v>105</v>
      </c>
      <c r="B22" s="2" t="s">
        <v>96</v>
      </c>
      <c r="C22" s="2" t="s">
        <v>97</v>
      </c>
      <c r="D22" s="19">
        <f>'Stavební rozpočet'!J122</f>
        <v>0</v>
      </c>
      <c r="E22" s="19">
        <f>'Stavební rozpočet'!K122</f>
        <v>0</v>
      </c>
      <c r="F22" s="19">
        <f>'Stavební rozpočet'!L122</f>
        <v>0</v>
      </c>
      <c r="G22" s="20">
        <f>'Stavební rozpočet'!O122</f>
        <v>0.50856000000000001</v>
      </c>
      <c r="H22" s="35" t="s">
        <v>334</v>
      </c>
      <c r="I22" s="19">
        <f t="shared" si="0"/>
        <v>0</v>
      </c>
    </row>
    <row r="23" spans="1:9" x14ac:dyDescent="0.25">
      <c r="A23" s="1" t="s">
        <v>107</v>
      </c>
      <c r="B23" s="2" t="s">
        <v>25</v>
      </c>
      <c r="C23" s="2" t="s">
        <v>108</v>
      </c>
      <c r="D23" s="19">
        <f>'Stavební rozpočet'!J126</f>
        <v>0</v>
      </c>
      <c r="E23" s="19">
        <f>'Stavební rozpočet'!K126</f>
        <v>0</v>
      </c>
      <c r="F23" s="19">
        <f>'Stavební rozpočet'!L126</f>
        <v>0</v>
      </c>
      <c r="G23" s="20">
        <f>'Stavební rozpočet'!O126</f>
        <v>1.10314</v>
      </c>
      <c r="H23" s="35" t="s">
        <v>333</v>
      </c>
      <c r="I23" s="19">
        <f t="shared" si="0"/>
        <v>0</v>
      </c>
    </row>
    <row r="24" spans="1:9" x14ac:dyDescent="0.25">
      <c r="A24" s="1" t="s">
        <v>107</v>
      </c>
      <c r="B24" s="2" t="s">
        <v>27</v>
      </c>
      <c r="C24" s="2" t="s">
        <v>28</v>
      </c>
      <c r="D24" s="19">
        <f>'Stavební rozpočet'!J127</f>
        <v>0</v>
      </c>
      <c r="E24" s="19">
        <f>'Stavební rozpočet'!K127</f>
        <v>0</v>
      </c>
      <c r="F24" s="19">
        <f>'Stavební rozpočet'!L127</f>
        <v>0</v>
      </c>
      <c r="G24" s="20">
        <f>'Stavební rozpočet'!O127</f>
        <v>0.59458</v>
      </c>
      <c r="H24" s="35" t="s">
        <v>334</v>
      </c>
      <c r="I24" s="19">
        <f t="shared" si="0"/>
        <v>0</v>
      </c>
    </row>
    <row r="25" spans="1:9" x14ac:dyDescent="0.25">
      <c r="A25" s="1" t="s">
        <v>107</v>
      </c>
      <c r="B25" s="2" t="s">
        <v>96</v>
      </c>
      <c r="C25" s="2" t="s">
        <v>97</v>
      </c>
      <c r="D25" s="19">
        <f>'Stavební rozpočet'!J155</f>
        <v>0</v>
      </c>
      <c r="E25" s="19">
        <f>'Stavební rozpočet'!K155</f>
        <v>0</v>
      </c>
      <c r="F25" s="19">
        <f>'Stavební rozpočet'!L155</f>
        <v>0</v>
      </c>
      <c r="G25" s="20">
        <f>'Stavební rozpočet'!O155</f>
        <v>0.50856000000000001</v>
      </c>
      <c r="H25" s="35" t="s">
        <v>334</v>
      </c>
      <c r="I25" s="19">
        <f t="shared" si="0"/>
        <v>0</v>
      </c>
    </row>
    <row r="26" spans="1:9" x14ac:dyDescent="0.25">
      <c r="A26" s="1" t="s">
        <v>109</v>
      </c>
      <c r="B26" s="2" t="s">
        <v>25</v>
      </c>
      <c r="C26" s="2" t="s">
        <v>110</v>
      </c>
      <c r="D26" s="19">
        <f>'Stavební rozpočet'!J159</f>
        <v>0</v>
      </c>
      <c r="E26" s="19">
        <f>'Stavební rozpočet'!K159</f>
        <v>0</v>
      </c>
      <c r="F26" s="19">
        <f>'Stavební rozpočet'!L159</f>
        <v>0</v>
      </c>
      <c r="G26" s="20">
        <f>'Stavební rozpočet'!O159</f>
        <v>1.1484000000000003</v>
      </c>
      <c r="H26" s="35" t="s">
        <v>333</v>
      </c>
      <c r="I26" s="19">
        <f t="shared" si="0"/>
        <v>0</v>
      </c>
    </row>
    <row r="27" spans="1:9" x14ac:dyDescent="0.25">
      <c r="A27" s="1" t="s">
        <v>109</v>
      </c>
      <c r="B27" s="2" t="s">
        <v>111</v>
      </c>
      <c r="C27" s="2" t="s">
        <v>112</v>
      </c>
      <c r="D27" s="19">
        <f>'Stavební rozpočet'!J160</f>
        <v>0</v>
      </c>
      <c r="E27" s="19">
        <f>'Stavební rozpočet'!K160</f>
        <v>0</v>
      </c>
      <c r="F27" s="19">
        <f>'Stavební rozpočet'!L160</f>
        <v>0</v>
      </c>
      <c r="G27" s="20">
        <f>'Stavební rozpočet'!O160</f>
        <v>1.1484000000000003</v>
      </c>
      <c r="H27" s="35" t="s">
        <v>334</v>
      </c>
      <c r="I27" s="19">
        <f t="shared" si="0"/>
        <v>0</v>
      </c>
    </row>
    <row r="28" spans="1:9" x14ac:dyDescent="0.25">
      <c r="A28" s="1" t="s">
        <v>168</v>
      </c>
      <c r="B28" s="2" t="s">
        <v>25</v>
      </c>
      <c r="C28" s="2" t="s">
        <v>169</v>
      </c>
      <c r="D28" s="19">
        <f>'Stavební rozpočet'!J193</f>
        <v>0</v>
      </c>
      <c r="E28" s="19">
        <f>'Stavební rozpočet'!K193</f>
        <v>0</v>
      </c>
      <c r="F28" s="19">
        <f>'Stavební rozpočet'!L193</f>
        <v>0</v>
      </c>
      <c r="G28" s="20">
        <f>'Stavební rozpočet'!O193</f>
        <v>1.1467200000000004</v>
      </c>
      <c r="H28" s="35" t="s">
        <v>333</v>
      </c>
      <c r="I28" s="19">
        <f t="shared" si="0"/>
        <v>0</v>
      </c>
    </row>
    <row r="29" spans="1:9" x14ac:dyDescent="0.25">
      <c r="A29" s="1" t="s">
        <v>168</v>
      </c>
      <c r="B29" s="2" t="s">
        <v>111</v>
      </c>
      <c r="C29" s="2" t="s">
        <v>112</v>
      </c>
      <c r="D29" s="19">
        <f>'Stavební rozpočet'!J194</f>
        <v>0</v>
      </c>
      <c r="E29" s="19">
        <f>'Stavební rozpočet'!K194</f>
        <v>0</v>
      </c>
      <c r="F29" s="19">
        <f>'Stavební rozpočet'!L194</f>
        <v>0</v>
      </c>
      <c r="G29" s="20">
        <f>'Stavební rozpočet'!O194</f>
        <v>1.1467200000000004</v>
      </c>
      <c r="H29" s="35" t="s">
        <v>334</v>
      </c>
      <c r="I29" s="19">
        <f t="shared" si="0"/>
        <v>0</v>
      </c>
    </row>
    <row r="30" spans="1:9" x14ac:dyDescent="0.25">
      <c r="A30" s="1" t="s">
        <v>174</v>
      </c>
      <c r="B30" s="2" t="s">
        <v>25</v>
      </c>
      <c r="C30" s="2" t="s">
        <v>175</v>
      </c>
      <c r="D30" s="19">
        <f>'Stavební rozpočet'!J224</f>
        <v>0</v>
      </c>
      <c r="E30" s="19">
        <f>'Stavební rozpočet'!K224</f>
        <v>0</v>
      </c>
      <c r="F30" s="19">
        <f>'Stavební rozpočet'!L224</f>
        <v>0</v>
      </c>
      <c r="G30" s="20">
        <f>'Stavební rozpočet'!O224</f>
        <v>1.0362800000000001</v>
      </c>
      <c r="H30" s="35" t="s">
        <v>333</v>
      </c>
      <c r="I30" s="19">
        <f t="shared" si="0"/>
        <v>0</v>
      </c>
    </row>
    <row r="31" spans="1:9" x14ac:dyDescent="0.25">
      <c r="A31" s="1" t="s">
        <v>174</v>
      </c>
      <c r="B31" s="2" t="s">
        <v>111</v>
      </c>
      <c r="C31" s="2" t="s">
        <v>112</v>
      </c>
      <c r="D31" s="19">
        <f>'Stavební rozpočet'!J225</f>
        <v>0</v>
      </c>
      <c r="E31" s="19">
        <f>'Stavební rozpočet'!K225</f>
        <v>0</v>
      </c>
      <c r="F31" s="19">
        <f>'Stavební rozpočet'!L225</f>
        <v>0</v>
      </c>
      <c r="G31" s="20">
        <f>'Stavební rozpočet'!O225</f>
        <v>1.0362800000000001</v>
      </c>
      <c r="H31" s="35" t="s">
        <v>334</v>
      </c>
      <c r="I31" s="19">
        <f t="shared" si="0"/>
        <v>0</v>
      </c>
    </row>
    <row r="32" spans="1:9" x14ac:dyDescent="0.25">
      <c r="A32" s="1" t="s">
        <v>178</v>
      </c>
      <c r="B32" s="2" t="s">
        <v>25</v>
      </c>
      <c r="C32" s="2" t="s">
        <v>179</v>
      </c>
      <c r="D32" s="19">
        <f>'Stavební rozpočet'!J253</f>
        <v>0</v>
      </c>
      <c r="E32" s="19">
        <f>'Stavební rozpočet'!K253</f>
        <v>0</v>
      </c>
      <c r="F32" s="19">
        <f>'Stavební rozpočet'!L253</f>
        <v>0</v>
      </c>
      <c r="G32" s="20">
        <f>'Stavební rozpočet'!O253</f>
        <v>1.8582500000000002</v>
      </c>
      <c r="H32" s="35" t="s">
        <v>333</v>
      </c>
      <c r="I32" s="19">
        <f t="shared" si="0"/>
        <v>0</v>
      </c>
    </row>
    <row r="33" spans="1:9" x14ac:dyDescent="0.25">
      <c r="A33" s="1" t="s">
        <v>178</v>
      </c>
      <c r="B33" s="2" t="s">
        <v>111</v>
      </c>
      <c r="C33" s="2" t="s">
        <v>112</v>
      </c>
      <c r="D33" s="19">
        <f>'Stavební rozpočet'!J254</f>
        <v>0</v>
      </c>
      <c r="E33" s="19">
        <f>'Stavební rozpočet'!K254</f>
        <v>0</v>
      </c>
      <c r="F33" s="19">
        <f>'Stavební rozpočet'!L254</f>
        <v>0</v>
      </c>
      <c r="G33" s="20">
        <f>'Stavební rozpočet'!O254</f>
        <v>1.8582500000000002</v>
      </c>
      <c r="H33" s="35" t="s">
        <v>334</v>
      </c>
      <c r="I33" s="19">
        <f t="shared" si="0"/>
        <v>0</v>
      </c>
    </row>
    <row r="34" spans="1:9" x14ac:dyDescent="0.25">
      <c r="A34" s="1" t="s">
        <v>197</v>
      </c>
      <c r="B34" s="2" t="s">
        <v>25</v>
      </c>
      <c r="C34" s="2" t="s">
        <v>198</v>
      </c>
      <c r="D34" s="19">
        <f>'Stavební rozpočet'!J271</f>
        <v>0</v>
      </c>
      <c r="E34" s="19">
        <f>'Stavební rozpočet'!K271</f>
        <v>0</v>
      </c>
      <c r="F34" s="19">
        <f>'Stavební rozpočet'!L271</f>
        <v>0</v>
      </c>
      <c r="G34" s="20">
        <f>'Stavební rozpočet'!O271</f>
        <v>1.8582500000000002</v>
      </c>
      <c r="H34" s="35" t="s">
        <v>333</v>
      </c>
      <c r="I34" s="19">
        <f t="shared" si="0"/>
        <v>0</v>
      </c>
    </row>
    <row r="35" spans="1:9" x14ac:dyDescent="0.25">
      <c r="A35" s="1" t="s">
        <v>197</v>
      </c>
      <c r="B35" s="2" t="s">
        <v>111</v>
      </c>
      <c r="C35" s="2" t="s">
        <v>112</v>
      </c>
      <c r="D35" s="19">
        <f>'Stavební rozpočet'!J272</f>
        <v>0</v>
      </c>
      <c r="E35" s="19">
        <f>'Stavební rozpočet'!K272</f>
        <v>0</v>
      </c>
      <c r="F35" s="19">
        <f>'Stavební rozpočet'!L272</f>
        <v>0</v>
      </c>
      <c r="G35" s="20">
        <f>'Stavební rozpočet'!O272</f>
        <v>1.8582500000000002</v>
      </c>
      <c r="H35" s="35" t="s">
        <v>334</v>
      </c>
      <c r="I35" s="19">
        <f t="shared" si="0"/>
        <v>0</v>
      </c>
    </row>
    <row r="36" spans="1:9" x14ac:dyDescent="0.25">
      <c r="A36" s="1" t="s">
        <v>199</v>
      </c>
      <c r="B36" s="2" t="s">
        <v>25</v>
      </c>
      <c r="C36" s="2" t="s">
        <v>200</v>
      </c>
      <c r="D36" s="19">
        <f>'Stavební rozpočet'!J286</f>
        <v>0</v>
      </c>
      <c r="E36" s="19">
        <f>'Stavební rozpočet'!K286</f>
        <v>0</v>
      </c>
      <c r="F36" s="19">
        <f>'Stavební rozpočet'!L286</f>
        <v>0</v>
      </c>
      <c r="G36" s="20">
        <f>'Stavební rozpočet'!O286</f>
        <v>1.8582500000000002</v>
      </c>
      <c r="H36" s="35" t="s">
        <v>333</v>
      </c>
      <c r="I36" s="19">
        <f t="shared" si="0"/>
        <v>0</v>
      </c>
    </row>
    <row r="37" spans="1:9" x14ac:dyDescent="0.25">
      <c r="A37" s="1" t="s">
        <v>199</v>
      </c>
      <c r="B37" s="2" t="s">
        <v>111</v>
      </c>
      <c r="C37" s="2" t="s">
        <v>112</v>
      </c>
      <c r="D37" s="19">
        <f>'Stavební rozpočet'!J287</f>
        <v>0</v>
      </c>
      <c r="E37" s="19">
        <f>'Stavební rozpočet'!K287</f>
        <v>0</v>
      </c>
      <c r="F37" s="19">
        <f>'Stavební rozpočet'!L287</f>
        <v>0</v>
      </c>
      <c r="G37" s="20">
        <f>'Stavební rozpočet'!O287</f>
        <v>1.8582500000000002</v>
      </c>
      <c r="H37" s="35" t="s">
        <v>334</v>
      </c>
      <c r="I37" s="19">
        <f t="shared" si="0"/>
        <v>0</v>
      </c>
    </row>
    <row r="38" spans="1:9" x14ac:dyDescent="0.25">
      <c r="A38" s="1" t="s">
        <v>201</v>
      </c>
      <c r="B38" s="2" t="s">
        <v>25</v>
      </c>
      <c r="C38" s="2" t="s">
        <v>202</v>
      </c>
      <c r="D38" s="19">
        <f>'Stavební rozpočet'!J301</f>
        <v>0</v>
      </c>
      <c r="E38" s="19">
        <f>'Stavební rozpočet'!K301</f>
        <v>0</v>
      </c>
      <c r="F38" s="19">
        <f>'Stavební rozpočet'!L301</f>
        <v>0</v>
      </c>
      <c r="G38" s="20">
        <f>'Stavební rozpočet'!O301</f>
        <v>10.346058000000001</v>
      </c>
      <c r="H38" s="35" t="s">
        <v>333</v>
      </c>
      <c r="I38" s="19">
        <f t="shared" si="0"/>
        <v>0</v>
      </c>
    </row>
    <row r="39" spans="1:9" x14ac:dyDescent="0.25">
      <c r="A39" s="1" t="s">
        <v>201</v>
      </c>
      <c r="B39" s="2" t="s">
        <v>203</v>
      </c>
      <c r="C39" s="2" t="s">
        <v>204</v>
      </c>
      <c r="D39" s="19">
        <f>'Stavební rozpočet'!J302</f>
        <v>0</v>
      </c>
      <c r="E39" s="19">
        <f>'Stavební rozpočet'!K302</f>
        <v>0</v>
      </c>
      <c r="F39" s="19">
        <f>'Stavební rozpočet'!L302</f>
        <v>0</v>
      </c>
      <c r="G39" s="20">
        <f>'Stavební rozpočet'!O302</f>
        <v>0.62731199999999998</v>
      </c>
      <c r="H39" s="35" t="s">
        <v>334</v>
      </c>
      <c r="I39" s="19">
        <f t="shared" si="0"/>
        <v>0</v>
      </c>
    </row>
    <row r="40" spans="1:9" x14ac:dyDescent="0.25">
      <c r="A40" s="1" t="s">
        <v>201</v>
      </c>
      <c r="B40" s="2" t="s">
        <v>220</v>
      </c>
      <c r="C40" s="2" t="s">
        <v>221</v>
      </c>
      <c r="D40" s="19">
        <f>'Stavební rozpočet'!J312</f>
        <v>0</v>
      </c>
      <c r="E40" s="19">
        <f>'Stavební rozpočet'!K312</f>
        <v>0</v>
      </c>
      <c r="F40" s="19">
        <f>'Stavební rozpočet'!L312</f>
        <v>0</v>
      </c>
      <c r="G40" s="20">
        <f>'Stavební rozpočet'!O312</f>
        <v>0</v>
      </c>
      <c r="H40" s="35" t="s">
        <v>334</v>
      </c>
      <c r="I40" s="19">
        <f t="shared" si="0"/>
        <v>0</v>
      </c>
    </row>
    <row r="41" spans="1:9" x14ac:dyDescent="0.25">
      <c r="A41" s="1" t="s">
        <v>201</v>
      </c>
      <c r="B41" s="2" t="s">
        <v>224</v>
      </c>
      <c r="C41" s="2" t="s">
        <v>225</v>
      </c>
      <c r="D41" s="19">
        <f>'Stavební rozpočet'!J314</f>
        <v>0</v>
      </c>
      <c r="E41" s="19">
        <f>'Stavební rozpočet'!K314</f>
        <v>0</v>
      </c>
      <c r="F41" s="19">
        <f>'Stavební rozpočet'!L314</f>
        <v>0</v>
      </c>
      <c r="G41" s="20">
        <f>'Stavební rozpočet'!O314</f>
        <v>0</v>
      </c>
      <c r="H41" s="35" t="s">
        <v>334</v>
      </c>
      <c r="I41" s="19">
        <f t="shared" si="0"/>
        <v>0</v>
      </c>
    </row>
    <row r="42" spans="1:9" x14ac:dyDescent="0.25">
      <c r="A42" s="1" t="s">
        <v>201</v>
      </c>
      <c r="B42" s="2" t="s">
        <v>228</v>
      </c>
      <c r="C42" s="2" t="s">
        <v>229</v>
      </c>
      <c r="D42" s="19">
        <f>'Stavební rozpočet'!J316</f>
        <v>0</v>
      </c>
      <c r="E42" s="19">
        <f>'Stavební rozpočet'!K316</f>
        <v>0</v>
      </c>
      <c r="F42" s="19">
        <f>'Stavební rozpočet'!L316</f>
        <v>0</v>
      </c>
      <c r="G42" s="20">
        <f>'Stavební rozpočet'!O316</f>
        <v>1.1520000000000001E-2</v>
      </c>
      <c r="H42" s="35" t="s">
        <v>334</v>
      </c>
      <c r="I42" s="19">
        <f t="shared" si="0"/>
        <v>0</v>
      </c>
    </row>
    <row r="43" spans="1:9" x14ac:dyDescent="0.25">
      <c r="A43" s="1" t="s">
        <v>201</v>
      </c>
      <c r="B43" s="2" t="s">
        <v>239</v>
      </c>
      <c r="C43" s="2" t="s">
        <v>240</v>
      </c>
      <c r="D43" s="19">
        <f>'Stavební rozpočet'!J321</f>
        <v>0</v>
      </c>
      <c r="E43" s="19">
        <f>'Stavební rozpočet'!K321</f>
        <v>0</v>
      </c>
      <c r="F43" s="19">
        <f>'Stavební rozpočet'!L321</f>
        <v>0</v>
      </c>
      <c r="G43" s="20">
        <f>'Stavební rozpočet'!O321</f>
        <v>1.3798839999999999</v>
      </c>
      <c r="H43" s="35" t="s">
        <v>334</v>
      </c>
      <c r="I43" s="19">
        <f t="shared" ref="I43:I74" si="1">IF(H43="F",0,F43)</f>
        <v>0</v>
      </c>
    </row>
    <row r="44" spans="1:9" x14ac:dyDescent="0.25">
      <c r="A44" s="1" t="s">
        <v>201</v>
      </c>
      <c r="B44" s="2" t="s">
        <v>251</v>
      </c>
      <c r="C44" s="2" t="s">
        <v>252</v>
      </c>
      <c r="D44" s="19">
        <f>'Stavební rozpočet'!J330</f>
        <v>0</v>
      </c>
      <c r="E44" s="19">
        <f>'Stavební rozpočet'!K330</f>
        <v>0</v>
      </c>
      <c r="F44" s="19">
        <f>'Stavební rozpočet'!L330</f>
        <v>0</v>
      </c>
      <c r="G44" s="20">
        <f>'Stavební rozpočet'!O330</f>
        <v>1.2264000000000001E-2</v>
      </c>
      <c r="H44" s="35" t="s">
        <v>334</v>
      </c>
      <c r="I44" s="19">
        <f t="shared" si="1"/>
        <v>0</v>
      </c>
    </row>
    <row r="45" spans="1:9" x14ac:dyDescent="0.25">
      <c r="A45" s="1" t="s">
        <v>201</v>
      </c>
      <c r="B45" s="2" t="s">
        <v>258</v>
      </c>
      <c r="C45" s="2" t="s">
        <v>259</v>
      </c>
      <c r="D45" s="19">
        <f>'Stavební rozpočet'!J333</f>
        <v>0</v>
      </c>
      <c r="E45" s="19">
        <f>'Stavební rozpočet'!K333</f>
        <v>0</v>
      </c>
      <c r="F45" s="19">
        <f>'Stavební rozpočet'!L333</f>
        <v>0</v>
      </c>
      <c r="G45" s="20">
        <f>'Stavební rozpočet'!O333</f>
        <v>2.8080000000000001E-2</v>
      </c>
      <c r="H45" s="35" t="s">
        <v>334</v>
      </c>
      <c r="I45" s="19">
        <f t="shared" si="1"/>
        <v>0</v>
      </c>
    </row>
    <row r="46" spans="1:9" x14ac:dyDescent="0.25">
      <c r="A46" s="1" t="s">
        <v>201</v>
      </c>
      <c r="B46" s="2" t="s">
        <v>262</v>
      </c>
      <c r="C46" s="2" t="s">
        <v>263</v>
      </c>
      <c r="D46" s="19">
        <f>'Stavební rozpočet'!J335</f>
        <v>0</v>
      </c>
      <c r="E46" s="19">
        <f>'Stavební rozpočet'!K335</f>
        <v>0</v>
      </c>
      <c r="F46" s="19">
        <f>'Stavební rozpočet'!L335</f>
        <v>0</v>
      </c>
      <c r="G46" s="20">
        <f>'Stavební rozpočet'!O335</f>
        <v>0</v>
      </c>
      <c r="H46" s="35" t="s">
        <v>334</v>
      </c>
      <c r="I46" s="19">
        <f t="shared" si="1"/>
        <v>0</v>
      </c>
    </row>
    <row r="47" spans="1:9" x14ac:dyDescent="0.25">
      <c r="A47" s="1" t="s">
        <v>201</v>
      </c>
      <c r="B47" s="2" t="s">
        <v>266</v>
      </c>
      <c r="C47" s="2" t="s">
        <v>267</v>
      </c>
      <c r="D47" s="19">
        <f>'Stavební rozpočet'!J337</f>
        <v>0</v>
      </c>
      <c r="E47" s="19">
        <f>'Stavební rozpočet'!K337</f>
        <v>0</v>
      </c>
      <c r="F47" s="19">
        <f>'Stavební rozpočet'!L337</f>
        <v>0</v>
      </c>
      <c r="G47" s="20">
        <f>'Stavební rozpočet'!O337</f>
        <v>6.0510540000000006</v>
      </c>
      <c r="H47" s="35" t="s">
        <v>334</v>
      </c>
      <c r="I47" s="19">
        <f t="shared" si="1"/>
        <v>0</v>
      </c>
    </row>
    <row r="48" spans="1:9" x14ac:dyDescent="0.25">
      <c r="A48" s="1" t="s">
        <v>201</v>
      </c>
      <c r="B48" s="2" t="s">
        <v>270</v>
      </c>
      <c r="C48" s="2" t="s">
        <v>271</v>
      </c>
      <c r="D48" s="19">
        <f>'Stavební rozpočet'!J339</f>
        <v>0</v>
      </c>
      <c r="E48" s="19">
        <f>'Stavební rozpočet'!K339</f>
        <v>0</v>
      </c>
      <c r="F48" s="19">
        <f>'Stavební rozpočet'!L339</f>
        <v>0</v>
      </c>
      <c r="G48" s="20">
        <f>'Stavební rozpočet'!O339</f>
        <v>2.2359439999999999</v>
      </c>
      <c r="H48" s="35" t="s">
        <v>334</v>
      </c>
      <c r="I48" s="19">
        <f t="shared" si="1"/>
        <v>0</v>
      </c>
    </row>
    <row r="49" spans="1:9" x14ac:dyDescent="0.25">
      <c r="A49" s="1" t="s">
        <v>201</v>
      </c>
      <c r="B49" s="2" t="s">
        <v>282</v>
      </c>
      <c r="C49" s="2" t="s">
        <v>283</v>
      </c>
      <c r="D49" s="19">
        <f>'Stavební rozpočet'!J349</f>
        <v>0</v>
      </c>
      <c r="E49" s="19">
        <f>'Stavební rozpočet'!K349</f>
        <v>0</v>
      </c>
      <c r="F49" s="19">
        <f>'Stavební rozpočet'!L349</f>
        <v>0</v>
      </c>
      <c r="G49" s="20">
        <f>'Stavební rozpočet'!O349</f>
        <v>0</v>
      </c>
      <c r="H49" s="35" t="s">
        <v>334</v>
      </c>
      <c r="I49" s="19">
        <f t="shared" si="1"/>
        <v>0</v>
      </c>
    </row>
    <row r="50" spans="1:9" x14ac:dyDescent="0.25">
      <c r="A50" s="1" t="s">
        <v>301</v>
      </c>
      <c r="B50" s="2" t="s">
        <v>25</v>
      </c>
      <c r="C50" s="2" t="s">
        <v>302</v>
      </c>
      <c r="D50" s="19">
        <f>'Stavební rozpočet'!J361</f>
        <v>0</v>
      </c>
      <c r="E50" s="19">
        <f>'Stavební rozpočet'!K361</f>
        <v>0</v>
      </c>
      <c r="F50" s="19">
        <f>'Stavební rozpočet'!L361</f>
        <v>0</v>
      </c>
      <c r="G50" s="20">
        <f>'Stavební rozpočet'!O361</f>
        <v>10.346058000000001</v>
      </c>
      <c r="H50" s="35" t="s">
        <v>333</v>
      </c>
      <c r="I50" s="19">
        <f t="shared" si="1"/>
        <v>0</v>
      </c>
    </row>
    <row r="51" spans="1:9" x14ac:dyDescent="0.25">
      <c r="A51" s="1" t="s">
        <v>301</v>
      </c>
      <c r="B51" s="2" t="s">
        <v>203</v>
      </c>
      <c r="C51" s="2" t="s">
        <v>204</v>
      </c>
      <c r="D51" s="19">
        <f>'Stavební rozpočet'!J362</f>
        <v>0</v>
      </c>
      <c r="E51" s="19">
        <f>'Stavební rozpočet'!K362</f>
        <v>0</v>
      </c>
      <c r="F51" s="19">
        <f>'Stavební rozpočet'!L362</f>
        <v>0</v>
      </c>
      <c r="G51" s="20">
        <f>'Stavební rozpočet'!O362</f>
        <v>0.62731199999999998</v>
      </c>
      <c r="H51" s="35" t="s">
        <v>334</v>
      </c>
      <c r="I51" s="19">
        <f t="shared" si="1"/>
        <v>0</v>
      </c>
    </row>
    <row r="52" spans="1:9" x14ac:dyDescent="0.25">
      <c r="A52" s="1" t="s">
        <v>301</v>
      </c>
      <c r="B52" s="2" t="s">
        <v>220</v>
      </c>
      <c r="C52" s="2" t="s">
        <v>221</v>
      </c>
      <c r="D52" s="19">
        <f>'Stavební rozpočet'!J370</f>
        <v>0</v>
      </c>
      <c r="E52" s="19">
        <f>'Stavební rozpočet'!K370</f>
        <v>0</v>
      </c>
      <c r="F52" s="19">
        <f>'Stavební rozpočet'!L370</f>
        <v>0</v>
      </c>
      <c r="G52" s="20">
        <f>'Stavební rozpočet'!O370</f>
        <v>0</v>
      </c>
      <c r="H52" s="35" t="s">
        <v>334</v>
      </c>
      <c r="I52" s="19">
        <f t="shared" si="1"/>
        <v>0</v>
      </c>
    </row>
    <row r="53" spans="1:9" x14ac:dyDescent="0.25">
      <c r="A53" s="1" t="s">
        <v>301</v>
      </c>
      <c r="B53" s="2" t="s">
        <v>224</v>
      </c>
      <c r="C53" s="2" t="s">
        <v>225</v>
      </c>
      <c r="D53" s="19">
        <f>'Stavební rozpočet'!J372</f>
        <v>0</v>
      </c>
      <c r="E53" s="19">
        <f>'Stavební rozpočet'!K372</f>
        <v>0</v>
      </c>
      <c r="F53" s="19">
        <f>'Stavební rozpočet'!L372</f>
        <v>0</v>
      </c>
      <c r="G53" s="20">
        <f>'Stavební rozpočet'!O372</f>
        <v>0</v>
      </c>
      <c r="H53" s="35" t="s">
        <v>334</v>
      </c>
      <c r="I53" s="19">
        <f t="shared" si="1"/>
        <v>0</v>
      </c>
    </row>
    <row r="54" spans="1:9" x14ac:dyDescent="0.25">
      <c r="A54" s="1" t="s">
        <v>301</v>
      </c>
      <c r="B54" s="2" t="s">
        <v>228</v>
      </c>
      <c r="C54" s="2" t="s">
        <v>229</v>
      </c>
      <c r="D54" s="19">
        <f>'Stavební rozpočet'!J374</f>
        <v>0</v>
      </c>
      <c r="E54" s="19">
        <f>'Stavební rozpočet'!K374</f>
        <v>0</v>
      </c>
      <c r="F54" s="19">
        <f>'Stavební rozpočet'!L374</f>
        <v>0</v>
      </c>
      <c r="G54" s="20">
        <f>'Stavební rozpočet'!O374</f>
        <v>1.1520000000000001E-2</v>
      </c>
      <c r="H54" s="35" t="s">
        <v>334</v>
      </c>
      <c r="I54" s="19">
        <f t="shared" si="1"/>
        <v>0</v>
      </c>
    </row>
    <row r="55" spans="1:9" x14ac:dyDescent="0.25">
      <c r="A55" s="1" t="s">
        <v>301</v>
      </c>
      <c r="B55" s="2" t="s">
        <v>239</v>
      </c>
      <c r="C55" s="2" t="s">
        <v>240</v>
      </c>
      <c r="D55" s="19">
        <f>'Stavební rozpočet'!J379</f>
        <v>0</v>
      </c>
      <c r="E55" s="19">
        <f>'Stavební rozpočet'!K379</f>
        <v>0</v>
      </c>
      <c r="F55" s="19">
        <f>'Stavební rozpočet'!L379</f>
        <v>0</v>
      </c>
      <c r="G55" s="20">
        <f>'Stavební rozpočet'!O379</f>
        <v>1.3798839999999999</v>
      </c>
      <c r="H55" s="35" t="s">
        <v>334</v>
      </c>
      <c r="I55" s="19">
        <f t="shared" si="1"/>
        <v>0</v>
      </c>
    </row>
    <row r="56" spans="1:9" x14ac:dyDescent="0.25">
      <c r="A56" s="1" t="s">
        <v>301</v>
      </c>
      <c r="B56" s="2" t="s">
        <v>251</v>
      </c>
      <c r="C56" s="2" t="s">
        <v>252</v>
      </c>
      <c r="D56" s="19">
        <f>'Stavební rozpočet'!J385</f>
        <v>0</v>
      </c>
      <c r="E56" s="19">
        <f>'Stavební rozpočet'!K385</f>
        <v>0</v>
      </c>
      <c r="F56" s="19">
        <f>'Stavební rozpočet'!L385</f>
        <v>0</v>
      </c>
      <c r="G56" s="20">
        <f>'Stavební rozpočet'!O385</f>
        <v>1.2264000000000001E-2</v>
      </c>
      <c r="H56" s="35" t="s">
        <v>334</v>
      </c>
      <c r="I56" s="19">
        <f t="shared" si="1"/>
        <v>0</v>
      </c>
    </row>
    <row r="57" spans="1:9" x14ac:dyDescent="0.25">
      <c r="A57" s="1" t="s">
        <v>301</v>
      </c>
      <c r="B57" s="2" t="s">
        <v>258</v>
      </c>
      <c r="C57" s="2" t="s">
        <v>259</v>
      </c>
      <c r="D57" s="19">
        <f>'Stavební rozpočet'!J388</f>
        <v>0</v>
      </c>
      <c r="E57" s="19">
        <f>'Stavební rozpočet'!K388</f>
        <v>0</v>
      </c>
      <c r="F57" s="19">
        <f>'Stavební rozpočet'!L388</f>
        <v>0</v>
      </c>
      <c r="G57" s="20">
        <f>'Stavební rozpočet'!O388</f>
        <v>2.8080000000000001E-2</v>
      </c>
      <c r="H57" s="35" t="s">
        <v>334</v>
      </c>
      <c r="I57" s="19">
        <f t="shared" si="1"/>
        <v>0</v>
      </c>
    </row>
    <row r="58" spans="1:9" x14ac:dyDescent="0.25">
      <c r="A58" s="1" t="s">
        <v>301</v>
      </c>
      <c r="B58" s="2" t="s">
        <v>262</v>
      </c>
      <c r="C58" s="2" t="s">
        <v>263</v>
      </c>
      <c r="D58" s="19">
        <f>'Stavební rozpočet'!J390</f>
        <v>0</v>
      </c>
      <c r="E58" s="19">
        <f>'Stavební rozpočet'!K390</f>
        <v>0</v>
      </c>
      <c r="F58" s="19">
        <f>'Stavební rozpočet'!L390</f>
        <v>0</v>
      </c>
      <c r="G58" s="20">
        <f>'Stavební rozpočet'!O390</f>
        <v>0</v>
      </c>
      <c r="H58" s="35" t="s">
        <v>334</v>
      </c>
      <c r="I58" s="19">
        <f t="shared" si="1"/>
        <v>0</v>
      </c>
    </row>
    <row r="59" spans="1:9" x14ac:dyDescent="0.25">
      <c r="A59" s="1" t="s">
        <v>301</v>
      </c>
      <c r="B59" s="2" t="s">
        <v>266</v>
      </c>
      <c r="C59" s="2" t="s">
        <v>267</v>
      </c>
      <c r="D59" s="19">
        <f>'Stavební rozpočet'!J392</f>
        <v>0</v>
      </c>
      <c r="E59" s="19">
        <f>'Stavební rozpočet'!K392</f>
        <v>0</v>
      </c>
      <c r="F59" s="19">
        <f>'Stavební rozpočet'!L392</f>
        <v>0</v>
      </c>
      <c r="G59" s="20">
        <f>'Stavební rozpočet'!O392</f>
        <v>6.0510540000000006</v>
      </c>
      <c r="H59" s="35" t="s">
        <v>334</v>
      </c>
      <c r="I59" s="19">
        <f t="shared" si="1"/>
        <v>0</v>
      </c>
    </row>
    <row r="60" spans="1:9" x14ac:dyDescent="0.25">
      <c r="A60" s="1" t="s">
        <v>301</v>
      </c>
      <c r="B60" s="2" t="s">
        <v>270</v>
      </c>
      <c r="C60" s="2" t="s">
        <v>271</v>
      </c>
      <c r="D60" s="19">
        <f>'Stavební rozpočet'!J394</f>
        <v>0</v>
      </c>
      <c r="E60" s="19">
        <f>'Stavební rozpočet'!K394</f>
        <v>0</v>
      </c>
      <c r="F60" s="19">
        <f>'Stavební rozpočet'!L394</f>
        <v>0</v>
      </c>
      <c r="G60" s="20">
        <f>'Stavební rozpočet'!O394</f>
        <v>2.2359439999999999</v>
      </c>
      <c r="H60" s="35" t="s">
        <v>334</v>
      </c>
      <c r="I60" s="19">
        <f t="shared" si="1"/>
        <v>0</v>
      </c>
    </row>
    <row r="61" spans="1:9" x14ac:dyDescent="0.25">
      <c r="A61" s="1" t="s">
        <v>301</v>
      </c>
      <c r="B61" s="2" t="s">
        <v>282</v>
      </c>
      <c r="C61" s="2" t="s">
        <v>283</v>
      </c>
      <c r="D61" s="19">
        <f>'Stavební rozpočet'!J400</f>
        <v>0</v>
      </c>
      <c r="E61" s="19">
        <f>'Stavební rozpočet'!K400</f>
        <v>0</v>
      </c>
      <c r="F61" s="19">
        <f>'Stavební rozpočet'!L400</f>
        <v>0</v>
      </c>
      <c r="G61" s="20">
        <f>'Stavební rozpočet'!O400</f>
        <v>0</v>
      </c>
      <c r="H61" s="35" t="s">
        <v>334</v>
      </c>
      <c r="I61" s="19">
        <f t="shared" si="1"/>
        <v>0</v>
      </c>
    </row>
    <row r="62" spans="1:9" x14ac:dyDescent="0.25">
      <c r="A62" s="1" t="s">
        <v>303</v>
      </c>
      <c r="B62" s="2" t="s">
        <v>25</v>
      </c>
      <c r="C62" s="2" t="s">
        <v>304</v>
      </c>
      <c r="D62" s="19">
        <f>'Stavební rozpočet'!J409</f>
        <v>0</v>
      </c>
      <c r="E62" s="19">
        <f>'Stavební rozpočet'!K409</f>
        <v>0</v>
      </c>
      <c r="F62" s="19">
        <f>'Stavební rozpočet'!L409</f>
        <v>0</v>
      </c>
      <c r="G62" s="20">
        <f>'Stavební rozpočet'!O409</f>
        <v>10.346058000000001</v>
      </c>
      <c r="H62" s="35" t="s">
        <v>333</v>
      </c>
      <c r="I62" s="19">
        <f t="shared" si="1"/>
        <v>0</v>
      </c>
    </row>
    <row r="63" spans="1:9" x14ac:dyDescent="0.25">
      <c r="A63" s="1" t="s">
        <v>303</v>
      </c>
      <c r="B63" s="2" t="s">
        <v>203</v>
      </c>
      <c r="C63" s="2" t="s">
        <v>204</v>
      </c>
      <c r="D63" s="19">
        <f>'Stavební rozpočet'!J410</f>
        <v>0</v>
      </c>
      <c r="E63" s="19">
        <f>'Stavební rozpočet'!K410</f>
        <v>0</v>
      </c>
      <c r="F63" s="19">
        <f>'Stavební rozpočet'!L410</f>
        <v>0</v>
      </c>
      <c r="G63" s="20">
        <f>'Stavební rozpočet'!O410</f>
        <v>0.62731199999999998</v>
      </c>
      <c r="H63" s="35" t="s">
        <v>334</v>
      </c>
      <c r="I63" s="19">
        <f t="shared" si="1"/>
        <v>0</v>
      </c>
    </row>
    <row r="64" spans="1:9" x14ac:dyDescent="0.25">
      <c r="A64" s="1" t="s">
        <v>303</v>
      </c>
      <c r="B64" s="2" t="s">
        <v>220</v>
      </c>
      <c r="C64" s="2" t="s">
        <v>221</v>
      </c>
      <c r="D64" s="19">
        <f>'Stavební rozpočet'!J418</f>
        <v>0</v>
      </c>
      <c r="E64" s="19">
        <f>'Stavební rozpočet'!K418</f>
        <v>0</v>
      </c>
      <c r="F64" s="19">
        <f>'Stavební rozpočet'!L418</f>
        <v>0</v>
      </c>
      <c r="G64" s="20">
        <f>'Stavební rozpočet'!O418</f>
        <v>0</v>
      </c>
      <c r="H64" s="35" t="s">
        <v>334</v>
      </c>
      <c r="I64" s="19">
        <f t="shared" si="1"/>
        <v>0</v>
      </c>
    </row>
    <row r="65" spans="1:9" x14ac:dyDescent="0.25">
      <c r="A65" s="1" t="s">
        <v>303</v>
      </c>
      <c r="B65" s="2" t="s">
        <v>224</v>
      </c>
      <c r="C65" s="2" t="s">
        <v>225</v>
      </c>
      <c r="D65" s="19">
        <f>'Stavební rozpočet'!J420</f>
        <v>0</v>
      </c>
      <c r="E65" s="19">
        <f>'Stavební rozpočet'!K420</f>
        <v>0</v>
      </c>
      <c r="F65" s="19">
        <f>'Stavební rozpočet'!L420</f>
        <v>0</v>
      </c>
      <c r="G65" s="20">
        <f>'Stavební rozpočet'!O420</f>
        <v>0</v>
      </c>
      <c r="H65" s="35" t="s">
        <v>334</v>
      </c>
      <c r="I65" s="19">
        <f t="shared" si="1"/>
        <v>0</v>
      </c>
    </row>
    <row r="66" spans="1:9" x14ac:dyDescent="0.25">
      <c r="A66" s="1" t="s">
        <v>303</v>
      </c>
      <c r="B66" s="2" t="s">
        <v>228</v>
      </c>
      <c r="C66" s="2" t="s">
        <v>229</v>
      </c>
      <c r="D66" s="19">
        <f>'Stavební rozpočet'!J422</f>
        <v>0</v>
      </c>
      <c r="E66" s="19">
        <f>'Stavební rozpočet'!K422</f>
        <v>0</v>
      </c>
      <c r="F66" s="19">
        <f>'Stavební rozpočet'!L422</f>
        <v>0</v>
      </c>
      <c r="G66" s="20">
        <f>'Stavební rozpočet'!O422</f>
        <v>1.1520000000000001E-2</v>
      </c>
      <c r="H66" s="35" t="s">
        <v>334</v>
      </c>
      <c r="I66" s="19">
        <f t="shared" si="1"/>
        <v>0</v>
      </c>
    </row>
    <row r="67" spans="1:9" x14ac:dyDescent="0.25">
      <c r="A67" s="1" t="s">
        <v>303</v>
      </c>
      <c r="B67" s="2" t="s">
        <v>239</v>
      </c>
      <c r="C67" s="2" t="s">
        <v>240</v>
      </c>
      <c r="D67" s="19">
        <f>'Stavební rozpočet'!J427</f>
        <v>0</v>
      </c>
      <c r="E67" s="19">
        <f>'Stavební rozpočet'!K427</f>
        <v>0</v>
      </c>
      <c r="F67" s="19">
        <f>'Stavební rozpočet'!L427</f>
        <v>0</v>
      </c>
      <c r="G67" s="20">
        <f>'Stavební rozpočet'!O427</f>
        <v>1.3798839999999999</v>
      </c>
      <c r="H67" s="35" t="s">
        <v>334</v>
      </c>
      <c r="I67" s="19">
        <f t="shared" si="1"/>
        <v>0</v>
      </c>
    </row>
    <row r="68" spans="1:9" x14ac:dyDescent="0.25">
      <c r="A68" s="1" t="s">
        <v>303</v>
      </c>
      <c r="B68" s="2" t="s">
        <v>251</v>
      </c>
      <c r="C68" s="2" t="s">
        <v>252</v>
      </c>
      <c r="D68" s="19">
        <f>'Stavební rozpočet'!J433</f>
        <v>0</v>
      </c>
      <c r="E68" s="19">
        <f>'Stavební rozpočet'!K433</f>
        <v>0</v>
      </c>
      <c r="F68" s="19">
        <f>'Stavební rozpočet'!L433</f>
        <v>0</v>
      </c>
      <c r="G68" s="20">
        <f>'Stavební rozpočet'!O433</f>
        <v>1.2264000000000001E-2</v>
      </c>
      <c r="H68" s="35" t="s">
        <v>334</v>
      </c>
      <c r="I68" s="19">
        <f t="shared" si="1"/>
        <v>0</v>
      </c>
    </row>
    <row r="69" spans="1:9" x14ac:dyDescent="0.25">
      <c r="A69" s="1" t="s">
        <v>303</v>
      </c>
      <c r="B69" s="2" t="s">
        <v>258</v>
      </c>
      <c r="C69" s="2" t="s">
        <v>259</v>
      </c>
      <c r="D69" s="19">
        <f>'Stavební rozpočet'!J436</f>
        <v>0</v>
      </c>
      <c r="E69" s="19">
        <f>'Stavební rozpočet'!K436</f>
        <v>0</v>
      </c>
      <c r="F69" s="19">
        <f>'Stavební rozpočet'!L436</f>
        <v>0</v>
      </c>
      <c r="G69" s="20">
        <f>'Stavební rozpočet'!O436</f>
        <v>2.8080000000000001E-2</v>
      </c>
      <c r="H69" s="35" t="s">
        <v>334</v>
      </c>
      <c r="I69" s="19">
        <f t="shared" si="1"/>
        <v>0</v>
      </c>
    </row>
    <row r="70" spans="1:9" x14ac:dyDescent="0.25">
      <c r="A70" s="1" t="s">
        <v>303</v>
      </c>
      <c r="B70" s="2" t="s">
        <v>262</v>
      </c>
      <c r="C70" s="2" t="s">
        <v>263</v>
      </c>
      <c r="D70" s="19">
        <f>'Stavební rozpočet'!J438</f>
        <v>0</v>
      </c>
      <c r="E70" s="19">
        <f>'Stavební rozpočet'!K438</f>
        <v>0</v>
      </c>
      <c r="F70" s="19">
        <f>'Stavební rozpočet'!L438</f>
        <v>0</v>
      </c>
      <c r="G70" s="20">
        <f>'Stavební rozpočet'!O438</f>
        <v>0</v>
      </c>
      <c r="H70" s="35" t="s">
        <v>334</v>
      </c>
      <c r="I70" s="19">
        <f t="shared" si="1"/>
        <v>0</v>
      </c>
    </row>
    <row r="71" spans="1:9" x14ac:dyDescent="0.25">
      <c r="A71" s="1" t="s">
        <v>303</v>
      </c>
      <c r="B71" s="2" t="s">
        <v>266</v>
      </c>
      <c r="C71" s="2" t="s">
        <v>267</v>
      </c>
      <c r="D71" s="19">
        <f>'Stavební rozpočet'!J440</f>
        <v>0</v>
      </c>
      <c r="E71" s="19">
        <f>'Stavební rozpočet'!K440</f>
        <v>0</v>
      </c>
      <c r="F71" s="19">
        <f>'Stavební rozpočet'!L440</f>
        <v>0</v>
      </c>
      <c r="G71" s="20">
        <f>'Stavební rozpočet'!O440</f>
        <v>6.0510540000000006</v>
      </c>
      <c r="H71" s="35" t="s">
        <v>334</v>
      </c>
      <c r="I71" s="19">
        <f t="shared" si="1"/>
        <v>0</v>
      </c>
    </row>
    <row r="72" spans="1:9" x14ac:dyDescent="0.25">
      <c r="A72" s="1" t="s">
        <v>303</v>
      </c>
      <c r="B72" s="2" t="s">
        <v>270</v>
      </c>
      <c r="C72" s="2" t="s">
        <v>271</v>
      </c>
      <c r="D72" s="19">
        <f>'Stavební rozpočet'!J442</f>
        <v>0</v>
      </c>
      <c r="E72" s="19">
        <f>'Stavební rozpočet'!K442</f>
        <v>0</v>
      </c>
      <c r="F72" s="19">
        <f>'Stavební rozpočet'!L442</f>
        <v>0</v>
      </c>
      <c r="G72" s="20">
        <f>'Stavební rozpočet'!O442</f>
        <v>2.2359439999999999</v>
      </c>
      <c r="H72" s="35" t="s">
        <v>334</v>
      </c>
      <c r="I72" s="19">
        <f t="shared" si="1"/>
        <v>0</v>
      </c>
    </row>
    <row r="73" spans="1:9" x14ac:dyDescent="0.25">
      <c r="A73" s="1" t="s">
        <v>303</v>
      </c>
      <c r="B73" s="2" t="s">
        <v>282</v>
      </c>
      <c r="C73" s="2" t="s">
        <v>283</v>
      </c>
      <c r="D73" s="19">
        <f>'Stavební rozpočet'!J448</f>
        <v>0</v>
      </c>
      <c r="E73" s="19">
        <f>'Stavební rozpočet'!K448</f>
        <v>0</v>
      </c>
      <c r="F73" s="19">
        <f>'Stavební rozpočet'!L448</f>
        <v>0</v>
      </c>
      <c r="G73" s="20">
        <f>'Stavební rozpočet'!O448</f>
        <v>0</v>
      </c>
      <c r="H73" s="35" t="s">
        <v>334</v>
      </c>
      <c r="I73" s="19">
        <f t="shared" si="1"/>
        <v>0</v>
      </c>
    </row>
    <row r="74" spans="1:9" x14ac:dyDescent="0.25">
      <c r="A74" s="1" t="s">
        <v>305</v>
      </c>
      <c r="B74" s="2" t="s">
        <v>25</v>
      </c>
      <c r="C74" s="2" t="s">
        <v>306</v>
      </c>
      <c r="D74" s="19">
        <f>'Stavební rozpočet'!J457</f>
        <v>0</v>
      </c>
      <c r="E74" s="19">
        <f>'Stavební rozpočet'!K457</f>
        <v>0</v>
      </c>
      <c r="F74" s="19">
        <f>'Stavební rozpočet'!L457</f>
        <v>0</v>
      </c>
      <c r="G74" s="20">
        <f>'Stavební rozpočet'!O457</f>
        <v>0</v>
      </c>
      <c r="H74" s="35" t="s">
        <v>333</v>
      </c>
      <c r="I74" s="19">
        <f t="shared" si="1"/>
        <v>0</v>
      </c>
    </row>
    <row r="75" spans="1:9" x14ac:dyDescent="0.25">
      <c r="A75" s="1" t="s">
        <v>305</v>
      </c>
      <c r="B75" s="2" t="s">
        <v>307</v>
      </c>
      <c r="C75" s="2" t="s">
        <v>308</v>
      </c>
      <c r="D75" s="19">
        <f>'Stavební rozpočet'!J458</f>
        <v>0</v>
      </c>
      <c r="E75" s="19">
        <f>'Stavební rozpočet'!K458</f>
        <v>0</v>
      </c>
      <c r="F75" s="19">
        <f>'Stavební rozpočet'!L458</f>
        <v>0</v>
      </c>
      <c r="G75" s="20">
        <f>'Stavební rozpočet'!O458</f>
        <v>0</v>
      </c>
      <c r="H75" s="35" t="s">
        <v>333</v>
      </c>
      <c r="I75" s="19">
        <f t="shared" ref="I75:I106" si="2">IF(H75="F",0,F75)</f>
        <v>0</v>
      </c>
    </row>
    <row r="76" spans="1:9" x14ac:dyDescent="0.25">
      <c r="A76" s="1" t="s">
        <v>305</v>
      </c>
      <c r="B76" s="2" t="s">
        <v>309</v>
      </c>
      <c r="C76" s="2" t="s">
        <v>310</v>
      </c>
      <c r="D76" s="19">
        <f>'Stavební rozpočet'!J459</f>
        <v>0</v>
      </c>
      <c r="E76" s="19">
        <f>'Stavební rozpočet'!K459</f>
        <v>0</v>
      </c>
      <c r="F76" s="19">
        <f>'Stavební rozpočet'!L459</f>
        <v>0</v>
      </c>
      <c r="G76" s="20">
        <f>'Stavební rozpočet'!O459</f>
        <v>0</v>
      </c>
      <c r="H76" s="35" t="s">
        <v>334</v>
      </c>
      <c r="I76" s="19">
        <f t="shared" si="2"/>
        <v>0</v>
      </c>
    </row>
    <row r="77" spans="1:9" x14ac:dyDescent="0.25">
      <c r="A77" s="1" t="s">
        <v>305</v>
      </c>
      <c r="B77" s="2" t="s">
        <v>314</v>
      </c>
      <c r="C77" s="2" t="s">
        <v>315</v>
      </c>
      <c r="D77" s="19">
        <f>'Stavební rozpočet'!J461</f>
        <v>0</v>
      </c>
      <c r="E77" s="19">
        <f>'Stavební rozpočet'!K461</f>
        <v>0</v>
      </c>
      <c r="F77" s="19">
        <f>'Stavební rozpočet'!L461</f>
        <v>0</v>
      </c>
      <c r="G77" s="20">
        <f>'Stavební rozpočet'!O461</f>
        <v>0</v>
      </c>
      <c r="H77" s="35" t="s">
        <v>334</v>
      </c>
      <c r="I77" s="19">
        <f t="shared" si="2"/>
        <v>0</v>
      </c>
    </row>
    <row r="78" spans="1:9" x14ac:dyDescent="0.25">
      <c r="A78" s="1" t="s">
        <v>305</v>
      </c>
      <c r="B78" s="2" t="s">
        <v>320</v>
      </c>
      <c r="C78" s="2" t="s">
        <v>321</v>
      </c>
      <c r="D78" s="19">
        <f>'Stavební rozpočet'!J464</f>
        <v>0</v>
      </c>
      <c r="E78" s="19">
        <f>'Stavební rozpočet'!K464</f>
        <v>0</v>
      </c>
      <c r="F78" s="19">
        <f>'Stavební rozpočet'!L464</f>
        <v>0</v>
      </c>
      <c r="G78" s="20">
        <f>'Stavební rozpočet'!O464</f>
        <v>0</v>
      </c>
      <c r="H78" s="35" t="s">
        <v>334</v>
      </c>
      <c r="I78" s="19">
        <f t="shared" si="2"/>
        <v>0</v>
      </c>
    </row>
    <row r="79" spans="1:9" x14ac:dyDescent="0.25">
      <c r="A79" s="1" t="s">
        <v>323</v>
      </c>
      <c r="B79" s="2" t="s">
        <v>25</v>
      </c>
      <c r="C79" s="2" t="s">
        <v>324</v>
      </c>
      <c r="D79" s="19">
        <f>'Stavební rozpočet'!J466</f>
        <v>0</v>
      </c>
      <c r="E79" s="19">
        <f>'Stavební rozpočet'!K466</f>
        <v>0</v>
      </c>
      <c r="F79" s="19">
        <f>'Stavební rozpočet'!L466</f>
        <v>0</v>
      </c>
      <c r="G79" s="20">
        <f>'Stavební rozpočet'!O466</f>
        <v>0</v>
      </c>
      <c r="H79" s="35" t="s">
        <v>333</v>
      </c>
      <c r="I79" s="19">
        <f t="shared" si="2"/>
        <v>0</v>
      </c>
    </row>
    <row r="80" spans="1:9" x14ac:dyDescent="0.25">
      <c r="A80" s="1" t="s">
        <v>323</v>
      </c>
      <c r="B80" s="2" t="s">
        <v>307</v>
      </c>
      <c r="C80" s="2" t="s">
        <v>308</v>
      </c>
      <c r="D80" s="19">
        <f>'Stavební rozpočet'!J467</f>
        <v>0</v>
      </c>
      <c r="E80" s="19">
        <f>'Stavební rozpočet'!K467</f>
        <v>0</v>
      </c>
      <c r="F80" s="19">
        <f>'Stavební rozpočet'!L467</f>
        <v>0</v>
      </c>
      <c r="G80" s="20">
        <f>'Stavební rozpočet'!O467</f>
        <v>0</v>
      </c>
      <c r="H80" s="35" t="s">
        <v>333</v>
      </c>
      <c r="I80" s="19">
        <f t="shared" si="2"/>
        <v>0</v>
      </c>
    </row>
    <row r="81" spans="1:9" x14ac:dyDescent="0.25">
      <c r="A81" s="1" t="s">
        <v>323</v>
      </c>
      <c r="B81" s="2" t="s">
        <v>309</v>
      </c>
      <c r="C81" s="2" t="s">
        <v>310</v>
      </c>
      <c r="D81" s="19">
        <f>'Stavební rozpočet'!J468</f>
        <v>0</v>
      </c>
      <c r="E81" s="19">
        <f>'Stavební rozpočet'!K468</f>
        <v>0</v>
      </c>
      <c r="F81" s="19">
        <f>'Stavební rozpočet'!L468</f>
        <v>0</v>
      </c>
      <c r="G81" s="20">
        <f>'Stavební rozpočet'!O468</f>
        <v>0</v>
      </c>
      <c r="H81" s="35" t="s">
        <v>334</v>
      </c>
      <c r="I81" s="19">
        <f t="shared" si="2"/>
        <v>0</v>
      </c>
    </row>
    <row r="82" spans="1:9" x14ac:dyDescent="0.25">
      <c r="A82" s="1" t="s">
        <v>323</v>
      </c>
      <c r="B82" s="2" t="s">
        <v>314</v>
      </c>
      <c r="C82" s="2" t="s">
        <v>315</v>
      </c>
      <c r="D82" s="19">
        <f>'Stavební rozpočet'!J470</f>
        <v>0</v>
      </c>
      <c r="E82" s="19">
        <f>'Stavební rozpočet'!K470</f>
        <v>0</v>
      </c>
      <c r="F82" s="19">
        <f>'Stavební rozpočet'!L470</f>
        <v>0</v>
      </c>
      <c r="G82" s="20">
        <f>'Stavební rozpočet'!O470</f>
        <v>0</v>
      </c>
      <c r="H82" s="35" t="s">
        <v>334</v>
      </c>
      <c r="I82" s="19">
        <f t="shared" si="2"/>
        <v>0</v>
      </c>
    </row>
    <row r="83" spans="1:9" x14ac:dyDescent="0.25">
      <c r="A83" s="1" t="s">
        <v>323</v>
      </c>
      <c r="B83" s="2" t="s">
        <v>320</v>
      </c>
      <c r="C83" s="2" t="s">
        <v>321</v>
      </c>
      <c r="D83" s="19">
        <f>'Stavební rozpočet'!J473</f>
        <v>0</v>
      </c>
      <c r="E83" s="19">
        <f>'Stavební rozpočet'!K473</f>
        <v>0</v>
      </c>
      <c r="F83" s="19">
        <f>'Stavební rozpočet'!L473</f>
        <v>0</v>
      </c>
      <c r="G83" s="20">
        <f>'Stavební rozpočet'!O473</f>
        <v>0</v>
      </c>
      <c r="H83" s="35" t="s">
        <v>334</v>
      </c>
      <c r="I83" s="19">
        <f t="shared" si="2"/>
        <v>0</v>
      </c>
    </row>
    <row r="84" spans="1:9" x14ac:dyDescent="0.25">
      <c r="A84" s="1" t="s">
        <v>325</v>
      </c>
      <c r="B84" s="2" t="s">
        <v>25</v>
      </c>
      <c r="C84" s="2" t="s">
        <v>326</v>
      </c>
      <c r="D84" s="19">
        <f>'Stavební rozpočet'!J475</f>
        <v>0</v>
      </c>
      <c r="E84" s="19">
        <f>'Stavební rozpočet'!K475</f>
        <v>0</v>
      </c>
      <c r="F84" s="19">
        <f>'Stavební rozpočet'!L475</f>
        <v>0</v>
      </c>
      <c r="G84" s="20">
        <f>'Stavební rozpočet'!O475</f>
        <v>0</v>
      </c>
      <c r="H84" s="35" t="s">
        <v>333</v>
      </c>
      <c r="I84" s="19">
        <f t="shared" si="2"/>
        <v>0</v>
      </c>
    </row>
    <row r="85" spans="1:9" x14ac:dyDescent="0.25">
      <c r="A85" s="1" t="s">
        <v>325</v>
      </c>
      <c r="B85" s="2" t="s">
        <v>307</v>
      </c>
      <c r="C85" s="2" t="s">
        <v>308</v>
      </c>
      <c r="D85" s="19">
        <f>'Stavební rozpočet'!J476</f>
        <v>0</v>
      </c>
      <c r="E85" s="19">
        <f>'Stavební rozpočet'!K476</f>
        <v>0</v>
      </c>
      <c r="F85" s="19">
        <f>'Stavební rozpočet'!L476</f>
        <v>0</v>
      </c>
      <c r="G85" s="20">
        <f>'Stavební rozpočet'!O476</f>
        <v>0</v>
      </c>
      <c r="H85" s="35" t="s">
        <v>333</v>
      </c>
      <c r="I85" s="19">
        <f t="shared" si="2"/>
        <v>0</v>
      </c>
    </row>
    <row r="86" spans="1:9" x14ac:dyDescent="0.25">
      <c r="A86" s="1" t="s">
        <v>325</v>
      </c>
      <c r="B86" s="2" t="s">
        <v>309</v>
      </c>
      <c r="C86" s="2" t="s">
        <v>310</v>
      </c>
      <c r="D86" s="19">
        <f>'Stavební rozpočet'!J477</f>
        <v>0</v>
      </c>
      <c r="E86" s="19">
        <f>'Stavební rozpočet'!K477</f>
        <v>0</v>
      </c>
      <c r="F86" s="19">
        <f>'Stavební rozpočet'!L477</f>
        <v>0</v>
      </c>
      <c r="G86" s="20">
        <f>'Stavební rozpočet'!O477</f>
        <v>0</v>
      </c>
      <c r="H86" s="35" t="s">
        <v>334</v>
      </c>
      <c r="I86" s="19">
        <f t="shared" si="2"/>
        <v>0</v>
      </c>
    </row>
    <row r="87" spans="1:9" x14ac:dyDescent="0.25">
      <c r="A87" s="1" t="s">
        <v>325</v>
      </c>
      <c r="B87" s="2" t="s">
        <v>314</v>
      </c>
      <c r="C87" s="2" t="s">
        <v>315</v>
      </c>
      <c r="D87" s="19">
        <f>'Stavební rozpočet'!J479</f>
        <v>0</v>
      </c>
      <c r="E87" s="19">
        <f>'Stavební rozpočet'!K479</f>
        <v>0</v>
      </c>
      <c r="F87" s="19">
        <f>'Stavební rozpočet'!L479</f>
        <v>0</v>
      </c>
      <c r="G87" s="20">
        <f>'Stavební rozpočet'!O479</f>
        <v>0</v>
      </c>
      <c r="H87" s="35" t="s">
        <v>334</v>
      </c>
      <c r="I87" s="19">
        <f t="shared" si="2"/>
        <v>0</v>
      </c>
    </row>
    <row r="88" spans="1:9" x14ac:dyDescent="0.25">
      <c r="A88" s="5" t="s">
        <v>325</v>
      </c>
      <c r="B88" s="6" t="s">
        <v>320</v>
      </c>
      <c r="C88" s="6" t="s">
        <v>321</v>
      </c>
      <c r="D88" s="23">
        <f>'Stavební rozpočet'!J482</f>
        <v>0</v>
      </c>
      <c r="E88" s="23">
        <f>'Stavební rozpočet'!K482</f>
        <v>0</v>
      </c>
      <c r="F88" s="23">
        <f>'Stavební rozpočet'!L482</f>
        <v>0</v>
      </c>
      <c r="G88" s="24">
        <f>'Stavební rozpočet'!O482</f>
        <v>0</v>
      </c>
      <c r="H88" s="35" t="s">
        <v>334</v>
      </c>
      <c r="I88" s="19">
        <f t="shared" si="2"/>
        <v>0</v>
      </c>
    </row>
    <row r="89" spans="1:9" x14ac:dyDescent="0.25">
      <c r="E89" s="36" t="s">
        <v>327</v>
      </c>
      <c r="F89" s="37">
        <f>ROUND(SUM(I11:I88),0)</f>
        <v>0</v>
      </c>
    </row>
  </sheetData>
  <mergeCells count="25">
    <mergeCell ref="G2:G3"/>
    <mergeCell ref="G4:G5"/>
    <mergeCell ref="G6:G7"/>
    <mergeCell ref="G8:G9"/>
    <mergeCell ref="C8:C9"/>
    <mergeCell ref="E2:E3"/>
    <mergeCell ref="E4:E5"/>
    <mergeCell ref="E6:E7"/>
    <mergeCell ref="E8:E9"/>
    <mergeCell ref="A1:G1"/>
    <mergeCell ref="A2:B3"/>
    <mergeCell ref="A4:B5"/>
    <mergeCell ref="A6:B7"/>
    <mergeCell ref="A8:B9"/>
    <mergeCell ref="D2:D3"/>
    <mergeCell ref="D4:D5"/>
    <mergeCell ref="D6:D7"/>
    <mergeCell ref="D8:D9"/>
    <mergeCell ref="F2:F3"/>
    <mergeCell ref="F4:F5"/>
    <mergeCell ref="F6:F7"/>
    <mergeCell ref="F8:F9"/>
    <mergeCell ref="C2:C3"/>
    <mergeCell ref="C4:C5"/>
    <mergeCell ref="C6:C7"/>
  </mergeCells>
  <pageMargins left="0.393999993801117" right="0.393999993801117" top="0.59100002050399802" bottom="0.59100002050399802" header="0" footer="0"/>
  <pageSetup scale="8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452"/>
  <sheetViews>
    <sheetView workbookViewId="0">
      <selection sqref="A1:L1"/>
    </sheetView>
  </sheetViews>
  <sheetFormatPr defaultColWidth="12.140625" defaultRowHeight="15" customHeight="1" x14ac:dyDescent="0.25"/>
  <cols>
    <col min="1" max="1" width="4.28515625" customWidth="1"/>
    <col min="2" max="2" width="7.85546875" customWidth="1"/>
    <col min="3" max="3" width="17.140625" customWidth="1"/>
    <col min="4" max="4" width="52.5703125" customWidth="1"/>
    <col min="5" max="5" width="11.42578125" customWidth="1"/>
    <col min="6" max="6" width="4.7109375" customWidth="1"/>
    <col min="7" max="8" width="11.42578125" customWidth="1"/>
    <col min="9" max="9" width="7.140625" customWidth="1"/>
    <col min="10" max="10" width="9.85546875" customWidth="1"/>
    <col min="11" max="11" width="21" customWidth="1"/>
    <col min="12" max="12" width="20" customWidth="1"/>
    <col min="230" max="231" width="12.140625" hidden="1"/>
    <col min="251" max="254" width="12.140625" hidden="1"/>
  </cols>
  <sheetData>
    <row r="1" spans="1:253" ht="54.75" customHeight="1" x14ac:dyDescent="0.25">
      <c r="A1" s="98" t="s">
        <v>873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253" x14ac:dyDescent="0.25">
      <c r="A2" s="99" t="s">
        <v>1</v>
      </c>
      <c r="B2" s="100"/>
      <c r="C2" s="100"/>
      <c r="D2" s="106" t="str">
        <f>'Stavební rozpočet'!D2</f>
        <v>Rekonstrukce rozvodů vody a plynu pro BD Kosmonautů 1213/5, 1214/7 ,1215/9 Havířov-Podlesí</v>
      </c>
      <c r="E2" s="100" t="s">
        <v>2</v>
      </c>
      <c r="F2" s="100"/>
      <c r="G2" s="109" t="str">
        <f>'Stavební rozpočet'!H2</f>
        <v xml:space="preserve"> </v>
      </c>
      <c r="H2" s="109" t="s">
        <v>3</v>
      </c>
      <c r="I2" s="109" t="str">
        <f>'Stavební rozpočet'!J2</f>
        <v>Stavební bytové družstvo Havířov</v>
      </c>
      <c r="J2" s="100"/>
      <c r="K2" s="100"/>
      <c r="L2" s="110"/>
    </row>
    <row r="3" spans="1:253" ht="15" customHeight="1" x14ac:dyDescent="0.25">
      <c r="A3" s="101"/>
      <c r="B3" s="102"/>
      <c r="C3" s="102"/>
      <c r="D3" s="107"/>
      <c r="E3" s="102"/>
      <c r="F3" s="102"/>
      <c r="G3" s="102"/>
      <c r="H3" s="102"/>
      <c r="I3" s="102"/>
      <c r="J3" s="102"/>
      <c r="K3" s="102"/>
      <c r="L3" s="111"/>
    </row>
    <row r="4" spans="1:253" x14ac:dyDescent="0.25">
      <c r="A4" s="103" t="s">
        <v>4</v>
      </c>
      <c r="B4" s="102"/>
      <c r="C4" s="102"/>
      <c r="D4" s="108" t="str">
        <f>'Stavební rozpočet'!D4</f>
        <v xml:space="preserve"> </v>
      </c>
      <c r="E4" s="102" t="s">
        <v>5</v>
      </c>
      <c r="F4" s="102"/>
      <c r="G4" s="108" t="str">
        <f>'Stavební rozpočet'!H4</f>
        <v xml:space="preserve"> </v>
      </c>
      <c r="H4" s="108" t="s">
        <v>6</v>
      </c>
      <c r="I4" s="108" t="str">
        <f>'Stavební rozpočet'!J4</f>
        <v>ETRACOM s.r.o.</v>
      </c>
      <c r="J4" s="102"/>
      <c r="K4" s="102"/>
      <c r="L4" s="111"/>
    </row>
    <row r="5" spans="1:253" ht="15" customHeight="1" x14ac:dyDescent="0.2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11"/>
    </row>
    <row r="6" spans="1:253" x14ac:dyDescent="0.25">
      <c r="A6" s="103" t="s">
        <v>7</v>
      </c>
      <c r="B6" s="102"/>
      <c r="C6" s="102"/>
      <c r="D6" s="108" t="str">
        <f>'Stavební rozpočet'!D6</f>
        <v xml:space="preserve"> </v>
      </c>
      <c r="E6" s="102" t="s">
        <v>8</v>
      </c>
      <c r="F6" s="102"/>
      <c r="G6" s="108" t="str">
        <f>'Stavební rozpočet'!H6</f>
        <v xml:space="preserve"> </v>
      </c>
      <c r="H6" s="108" t="s">
        <v>9</v>
      </c>
      <c r="I6" s="108" t="str">
        <f>'Stavební rozpočet'!J6</f>
        <v> </v>
      </c>
      <c r="J6" s="102"/>
      <c r="K6" s="102"/>
      <c r="L6" s="111"/>
    </row>
    <row r="7" spans="1:253" ht="15" customHeight="1" x14ac:dyDescent="0.25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11"/>
    </row>
    <row r="8" spans="1:253" x14ac:dyDescent="0.25">
      <c r="A8" s="103" t="s">
        <v>10</v>
      </c>
      <c r="B8" s="102"/>
      <c r="C8" s="102"/>
      <c r="D8" s="108" t="str">
        <f>'Stavební rozpočet'!D8</f>
        <v xml:space="preserve"> </v>
      </c>
      <c r="E8" s="102" t="s">
        <v>11</v>
      </c>
      <c r="F8" s="102"/>
      <c r="G8" s="108" t="str">
        <f>'Stavební rozpočet'!H8</f>
        <v>24.10.2024</v>
      </c>
      <c r="H8" s="108" t="s">
        <v>12</v>
      </c>
      <c r="I8" s="108" t="str">
        <f>'Stavební rozpočet'!J8</f>
        <v>Ing. Radim Kyjonka</v>
      </c>
      <c r="J8" s="102"/>
      <c r="K8" s="102"/>
      <c r="L8" s="111"/>
    </row>
    <row r="9" spans="1:253" x14ac:dyDescent="0.25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12"/>
    </row>
    <row r="10" spans="1:253" x14ac:dyDescent="0.25">
      <c r="A10" s="7" t="s">
        <v>13</v>
      </c>
      <c r="B10" s="7" t="s">
        <v>14</v>
      </c>
      <c r="C10" s="7" t="s">
        <v>15</v>
      </c>
      <c r="D10" s="95" t="s">
        <v>16</v>
      </c>
      <c r="E10" s="96"/>
      <c r="F10" s="96"/>
      <c r="G10" s="96"/>
      <c r="H10" s="97"/>
      <c r="I10" s="7" t="s">
        <v>17</v>
      </c>
      <c r="J10" s="7" t="s">
        <v>18</v>
      </c>
      <c r="K10" s="7" t="s">
        <v>19</v>
      </c>
      <c r="L10" s="8" t="s">
        <v>20</v>
      </c>
      <c r="HV10" s="9" t="s">
        <v>21</v>
      </c>
      <c r="HW10" s="9" t="s">
        <v>22</v>
      </c>
    </row>
    <row r="11" spans="1:253" x14ac:dyDescent="0.25">
      <c r="A11" s="10" t="s">
        <v>23</v>
      </c>
      <c r="B11" s="11" t="s">
        <v>24</v>
      </c>
      <c r="C11" s="11" t="s">
        <v>25</v>
      </c>
      <c r="D11" s="113" t="s">
        <v>26</v>
      </c>
      <c r="E11" s="114"/>
      <c r="F11" s="114"/>
      <c r="G11" s="114"/>
      <c r="H11" s="114"/>
      <c r="I11" s="11" t="s">
        <v>23</v>
      </c>
      <c r="J11" s="12" t="s">
        <v>23</v>
      </c>
      <c r="K11" s="12" t="s">
        <v>23</v>
      </c>
      <c r="L11" s="13">
        <f>L12</f>
        <v>0</v>
      </c>
    </row>
    <row r="12" spans="1:253" x14ac:dyDescent="0.25">
      <c r="A12" s="14" t="s">
        <v>23</v>
      </c>
      <c r="B12" s="15" t="s">
        <v>24</v>
      </c>
      <c r="C12" s="15" t="s">
        <v>27</v>
      </c>
      <c r="D12" s="115" t="s">
        <v>28</v>
      </c>
      <c r="E12" s="116"/>
      <c r="F12" s="116"/>
      <c r="G12" s="116"/>
      <c r="H12" s="116"/>
      <c r="I12" s="15" t="s">
        <v>23</v>
      </c>
      <c r="J12" s="16" t="s">
        <v>23</v>
      </c>
      <c r="K12" s="16" t="s">
        <v>23</v>
      </c>
      <c r="L12" s="17">
        <f>SUM(L13:L22)</f>
        <v>0</v>
      </c>
    </row>
    <row r="13" spans="1:253" x14ac:dyDescent="0.25">
      <c r="A13" s="18">
        <v>1</v>
      </c>
      <c r="B13" s="2" t="s">
        <v>24</v>
      </c>
      <c r="C13" s="2" t="s">
        <v>29</v>
      </c>
      <c r="D13" s="108" t="s">
        <v>30</v>
      </c>
      <c r="E13" s="102"/>
      <c r="F13" s="102"/>
      <c r="G13" s="102"/>
      <c r="H13" s="102"/>
      <c r="I13" s="2" t="s">
        <v>31</v>
      </c>
      <c r="J13" s="19">
        <v>3</v>
      </c>
      <c r="K13" s="19"/>
      <c r="L13" s="20">
        <f t="shared" ref="L13:L22" si="0">IR13*J13+IS13*J13</f>
        <v>0</v>
      </c>
      <c r="HV13" s="2" t="s">
        <v>27</v>
      </c>
      <c r="HW13" s="2" t="s">
        <v>32</v>
      </c>
      <c r="IR13" s="21">
        <f>K13*0</f>
        <v>0</v>
      </c>
      <c r="IS13" s="21">
        <f>K13*(1-0)</f>
        <v>0</v>
      </c>
    </row>
    <row r="14" spans="1:253" x14ac:dyDescent="0.25">
      <c r="A14" s="18">
        <v>2</v>
      </c>
      <c r="B14" s="2" t="s">
        <v>24</v>
      </c>
      <c r="C14" s="2" t="s">
        <v>33</v>
      </c>
      <c r="D14" s="108" t="s">
        <v>34</v>
      </c>
      <c r="E14" s="102"/>
      <c r="F14" s="102"/>
      <c r="G14" s="102"/>
      <c r="H14" s="102"/>
      <c r="I14" s="2" t="s">
        <v>31</v>
      </c>
      <c r="J14" s="19">
        <v>6</v>
      </c>
      <c r="K14" s="19"/>
      <c r="L14" s="20">
        <f t="shared" si="0"/>
        <v>0</v>
      </c>
      <c r="HV14" s="2" t="s">
        <v>27</v>
      </c>
      <c r="HW14" s="2" t="s">
        <v>32</v>
      </c>
      <c r="IR14" s="21">
        <f>K14*0</f>
        <v>0</v>
      </c>
      <c r="IS14" s="21">
        <f>K14*(1-0)</f>
        <v>0</v>
      </c>
    </row>
    <row r="15" spans="1:253" x14ac:dyDescent="0.25">
      <c r="A15" s="18">
        <v>3</v>
      </c>
      <c r="B15" s="2" t="s">
        <v>24</v>
      </c>
      <c r="C15" s="2" t="s">
        <v>35</v>
      </c>
      <c r="D15" s="108" t="s">
        <v>36</v>
      </c>
      <c r="E15" s="102"/>
      <c r="F15" s="102"/>
      <c r="G15" s="102"/>
      <c r="H15" s="102"/>
      <c r="I15" s="2" t="s">
        <v>31</v>
      </c>
      <c r="J15" s="19">
        <v>3</v>
      </c>
      <c r="K15" s="19"/>
      <c r="L15" s="20">
        <f t="shared" si="0"/>
        <v>0</v>
      </c>
      <c r="HV15" s="2" t="s">
        <v>27</v>
      </c>
      <c r="HW15" s="2" t="s">
        <v>32</v>
      </c>
      <c r="IR15" s="21">
        <f>K15*0.499111111</f>
        <v>0</v>
      </c>
      <c r="IS15" s="21">
        <f>K15*(1-0.499111111)</f>
        <v>0</v>
      </c>
    </row>
    <row r="16" spans="1:253" x14ac:dyDescent="0.25">
      <c r="A16" s="18">
        <v>4</v>
      </c>
      <c r="B16" s="2" t="s">
        <v>24</v>
      </c>
      <c r="C16" s="2" t="s">
        <v>37</v>
      </c>
      <c r="D16" s="108" t="s">
        <v>38</v>
      </c>
      <c r="E16" s="102"/>
      <c r="F16" s="102"/>
      <c r="G16" s="102"/>
      <c r="H16" s="102"/>
      <c r="I16" s="2" t="s">
        <v>31</v>
      </c>
      <c r="J16" s="19">
        <v>6</v>
      </c>
      <c r="K16" s="19"/>
      <c r="L16" s="20">
        <f t="shared" si="0"/>
        <v>0</v>
      </c>
      <c r="HV16" s="2" t="s">
        <v>27</v>
      </c>
      <c r="HW16" s="2" t="s">
        <v>32</v>
      </c>
      <c r="IR16" s="21">
        <f>K16*0.679694377</f>
        <v>0</v>
      </c>
      <c r="IS16" s="21">
        <f>K16*(1-0.679694377)</f>
        <v>0</v>
      </c>
    </row>
    <row r="17" spans="1:253" x14ac:dyDescent="0.25">
      <c r="A17" s="18">
        <v>5</v>
      </c>
      <c r="B17" s="2" t="s">
        <v>24</v>
      </c>
      <c r="C17" s="2" t="s">
        <v>39</v>
      </c>
      <c r="D17" s="108" t="s">
        <v>40</v>
      </c>
      <c r="E17" s="102"/>
      <c r="F17" s="102"/>
      <c r="G17" s="102"/>
      <c r="H17" s="102"/>
      <c r="I17" s="2" t="s">
        <v>31</v>
      </c>
      <c r="J17" s="19">
        <v>3</v>
      </c>
      <c r="K17" s="19"/>
      <c r="L17" s="20">
        <f t="shared" si="0"/>
        <v>0</v>
      </c>
      <c r="HV17" s="2" t="s">
        <v>27</v>
      </c>
      <c r="HW17" s="2" t="s">
        <v>32</v>
      </c>
      <c r="IR17" s="21">
        <f>K17*0.2552638</f>
        <v>0</v>
      </c>
      <c r="IS17" s="21">
        <f>K17*(1-0.2552638)</f>
        <v>0</v>
      </c>
    </row>
    <row r="18" spans="1:253" x14ac:dyDescent="0.25">
      <c r="A18" s="18">
        <v>6</v>
      </c>
      <c r="B18" s="2" t="s">
        <v>24</v>
      </c>
      <c r="C18" s="2" t="s">
        <v>41</v>
      </c>
      <c r="D18" s="108" t="s">
        <v>42</v>
      </c>
      <c r="E18" s="102"/>
      <c r="F18" s="102"/>
      <c r="G18" s="102"/>
      <c r="H18" s="102"/>
      <c r="I18" s="2" t="s">
        <v>31</v>
      </c>
      <c r="J18" s="19">
        <v>3</v>
      </c>
      <c r="K18" s="19"/>
      <c r="L18" s="20">
        <f t="shared" si="0"/>
        <v>0</v>
      </c>
      <c r="HV18" s="2" t="s">
        <v>27</v>
      </c>
      <c r="HW18" s="2" t="s">
        <v>32</v>
      </c>
      <c r="IR18" s="21">
        <f>K18*0.523268364</f>
        <v>0</v>
      </c>
      <c r="IS18" s="21">
        <f>K18*(1-0.523268364)</f>
        <v>0</v>
      </c>
    </row>
    <row r="19" spans="1:253" x14ac:dyDescent="0.25">
      <c r="A19" s="18">
        <v>7</v>
      </c>
      <c r="B19" s="2" t="s">
        <v>24</v>
      </c>
      <c r="C19" s="2" t="s">
        <v>43</v>
      </c>
      <c r="D19" s="108" t="s">
        <v>44</v>
      </c>
      <c r="E19" s="102"/>
      <c r="F19" s="102"/>
      <c r="G19" s="102"/>
      <c r="H19" s="102"/>
      <c r="I19" s="2" t="s">
        <v>31</v>
      </c>
      <c r="J19" s="19">
        <v>3</v>
      </c>
      <c r="K19" s="19"/>
      <c r="L19" s="20">
        <f t="shared" si="0"/>
        <v>0</v>
      </c>
      <c r="HV19" s="2" t="s">
        <v>27</v>
      </c>
      <c r="HW19" s="2" t="s">
        <v>32</v>
      </c>
      <c r="IR19" s="21">
        <f>K19*0.526501218</f>
        <v>0</v>
      </c>
      <c r="IS19" s="21">
        <f>K19*(1-0.526501218)</f>
        <v>0</v>
      </c>
    </row>
    <row r="20" spans="1:253" x14ac:dyDescent="0.25">
      <c r="A20" s="18">
        <v>8</v>
      </c>
      <c r="B20" s="2" t="s">
        <v>24</v>
      </c>
      <c r="C20" s="2" t="s">
        <v>45</v>
      </c>
      <c r="D20" s="108" t="s">
        <v>46</v>
      </c>
      <c r="E20" s="102"/>
      <c r="F20" s="102"/>
      <c r="G20" s="102"/>
      <c r="H20" s="102"/>
      <c r="I20" s="2" t="s">
        <v>31</v>
      </c>
      <c r="J20" s="19">
        <v>3</v>
      </c>
      <c r="K20" s="19"/>
      <c r="L20" s="20">
        <f t="shared" si="0"/>
        <v>0</v>
      </c>
      <c r="HV20" s="2" t="s">
        <v>27</v>
      </c>
      <c r="HW20" s="2" t="s">
        <v>32</v>
      </c>
      <c r="IR20" s="21">
        <f>K20*0.014893617</f>
        <v>0</v>
      </c>
      <c r="IS20" s="21">
        <f>K20*(1-0.014893617)</f>
        <v>0</v>
      </c>
    </row>
    <row r="21" spans="1:253" x14ac:dyDescent="0.25">
      <c r="A21" s="18">
        <v>9</v>
      </c>
      <c r="B21" s="2" t="s">
        <v>24</v>
      </c>
      <c r="C21" s="2" t="s">
        <v>47</v>
      </c>
      <c r="D21" s="108" t="s">
        <v>48</v>
      </c>
      <c r="E21" s="102"/>
      <c r="F21" s="102"/>
      <c r="G21" s="102"/>
      <c r="H21" s="102"/>
      <c r="I21" s="2" t="s">
        <v>31</v>
      </c>
      <c r="J21" s="19">
        <v>6</v>
      </c>
      <c r="K21" s="19"/>
      <c r="L21" s="20">
        <f t="shared" si="0"/>
        <v>0</v>
      </c>
      <c r="HV21" s="2" t="s">
        <v>27</v>
      </c>
      <c r="HW21" s="2" t="s">
        <v>32</v>
      </c>
      <c r="IR21" s="21">
        <f>K21*0.016923843</f>
        <v>0</v>
      </c>
      <c r="IS21" s="21">
        <f>K21*(1-0.016923843)</f>
        <v>0</v>
      </c>
    </row>
    <row r="22" spans="1:253" x14ac:dyDescent="0.25">
      <c r="A22" s="18">
        <v>10</v>
      </c>
      <c r="B22" s="2" t="s">
        <v>24</v>
      </c>
      <c r="C22" s="2" t="s">
        <v>49</v>
      </c>
      <c r="D22" s="108" t="s">
        <v>50</v>
      </c>
      <c r="E22" s="102"/>
      <c r="F22" s="102"/>
      <c r="G22" s="102"/>
      <c r="H22" s="102"/>
      <c r="I22" s="2" t="s">
        <v>51</v>
      </c>
      <c r="J22" s="19">
        <v>78</v>
      </c>
      <c r="K22" s="19"/>
      <c r="L22" s="20">
        <f t="shared" si="0"/>
        <v>0</v>
      </c>
      <c r="HV22" s="2" t="s">
        <v>27</v>
      </c>
      <c r="HW22" s="2" t="s">
        <v>32</v>
      </c>
      <c r="IR22" s="21">
        <f>K22*0</f>
        <v>0</v>
      </c>
      <c r="IS22" s="21">
        <f>K22*(1-0)</f>
        <v>0</v>
      </c>
    </row>
    <row r="23" spans="1:253" x14ac:dyDescent="0.25">
      <c r="A23" s="14" t="s">
        <v>23</v>
      </c>
      <c r="B23" s="15" t="s">
        <v>52</v>
      </c>
      <c r="C23" s="15" t="s">
        <v>25</v>
      </c>
      <c r="D23" s="115" t="s">
        <v>53</v>
      </c>
      <c r="E23" s="116"/>
      <c r="F23" s="116"/>
      <c r="G23" s="116"/>
      <c r="H23" s="116"/>
      <c r="I23" s="15" t="s">
        <v>23</v>
      </c>
      <c r="J23" s="16" t="s">
        <v>23</v>
      </c>
      <c r="K23" s="16"/>
      <c r="L23" s="17">
        <f>L24</f>
        <v>0</v>
      </c>
    </row>
    <row r="24" spans="1:253" x14ac:dyDescent="0.25">
      <c r="A24" s="14" t="s">
        <v>23</v>
      </c>
      <c r="B24" s="15" t="s">
        <v>52</v>
      </c>
      <c r="C24" s="15" t="s">
        <v>27</v>
      </c>
      <c r="D24" s="115" t="s">
        <v>28</v>
      </c>
      <c r="E24" s="116"/>
      <c r="F24" s="116"/>
      <c r="G24" s="116"/>
      <c r="H24" s="116"/>
      <c r="I24" s="15" t="s">
        <v>23</v>
      </c>
      <c r="J24" s="16" t="s">
        <v>23</v>
      </c>
      <c r="K24" s="16"/>
      <c r="L24" s="17">
        <f>SUM(L25:L34)</f>
        <v>0</v>
      </c>
    </row>
    <row r="25" spans="1:253" x14ac:dyDescent="0.25">
      <c r="A25" s="18">
        <v>11</v>
      </c>
      <c r="B25" s="2" t="s">
        <v>52</v>
      </c>
      <c r="C25" s="2" t="s">
        <v>29</v>
      </c>
      <c r="D25" s="108" t="s">
        <v>30</v>
      </c>
      <c r="E25" s="102"/>
      <c r="F25" s="102"/>
      <c r="G25" s="102"/>
      <c r="H25" s="102"/>
      <c r="I25" s="2" t="s">
        <v>31</v>
      </c>
      <c r="J25" s="19">
        <v>3</v>
      </c>
      <c r="K25" s="19"/>
      <c r="L25" s="20">
        <f t="shared" ref="L25:L34" si="1">IR25*J25+IS25*J25</f>
        <v>0</v>
      </c>
      <c r="HV25" s="2" t="s">
        <v>27</v>
      </c>
      <c r="HW25" s="2" t="s">
        <v>32</v>
      </c>
      <c r="IR25" s="21">
        <f>K25*0</f>
        <v>0</v>
      </c>
      <c r="IS25" s="21">
        <f>K25*(1-0)</f>
        <v>0</v>
      </c>
    </row>
    <row r="26" spans="1:253" x14ac:dyDescent="0.25">
      <c r="A26" s="18">
        <v>12</v>
      </c>
      <c r="B26" s="2" t="s">
        <v>52</v>
      </c>
      <c r="C26" s="2" t="s">
        <v>33</v>
      </c>
      <c r="D26" s="108" t="s">
        <v>34</v>
      </c>
      <c r="E26" s="102"/>
      <c r="F26" s="102"/>
      <c r="G26" s="102"/>
      <c r="H26" s="102"/>
      <c r="I26" s="2" t="s">
        <v>31</v>
      </c>
      <c r="J26" s="19">
        <v>6</v>
      </c>
      <c r="K26" s="19"/>
      <c r="L26" s="20">
        <f t="shared" si="1"/>
        <v>0</v>
      </c>
      <c r="HV26" s="2" t="s">
        <v>27</v>
      </c>
      <c r="HW26" s="2" t="s">
        <v>32</v>
      </c>
      <c r="IR26" s="21">
        <f>K26*0</f>
        <v>0</v>
      </c>
      <c r="IS26" s="21">
        <f>K26*(1-0)</f>
        <v>0</v>
      </c>
    </row>
    <row r="27" spans="1:253" x14ac:dyDescent="0.25">
      <c r="A27" s="18">
        <v>13</v>
      </c>
      <c r="B27" s="2" t="s">
        <v>52</v>
      </c>
      <c r="C27" s="2" t="s">
        <v>35</v>
      </c>
      <c r="D27" s="108" t="s">
        <v>36</v>
      </c>
      <c r="E27" s="102"/>
      <c r="F27" s="102"/>
      <c r="G27" s="102"/>
      <c r="H27" s="102"/>
      <c r="I27" s="2" t="s">
        <v>31</v>
      </c>
      <c r="J27" s="19">
        <v>3</v>
      </c>
      <c r="K27" s="19"/>
      <c r="L27" s="20">
        <f t="shared" si="1"/>
        <v>0</v>
      </c>
      <c r="HV27" s="2" t="s">
        <v>27</v>
      </c>
      <c r="HW27" s="2" t="s">
        <v>32</v>
      </c>
      <c r="IR27" s="21">
        <f>K27*0.499111111</f>
        <v>0</v>
      </c>
      <c r="IS27" s="21">
        <f>K27*(1-0.499111111)</f>
        <v>0</v>
      </c>
    </row>
    <row r="28" spans="1:253" x14ac:dyDescent="0.25">
      <c r="A28" s="18">
        <v>14</v>
      </c>
      <c r="B28" s="2" t="s">
        <v>52</v>
      </c>
      <c r="C28" s="2" t="s">
        <v>37</v>
      </c>
      <c r="D28" s="108" t="s">
        <v>38</v>
      </c>
      <c r="E28" s="102"/>
      <c r="F28" s="102"/>
      <c r="G28" s="102"/>
      <c r="H28" s="102"/>
      <c r="I28" s="2" t="s">
        <v>31</v>
      </c>
      <c r="J28" s="19">
        <v>6</v>
      </c>
      <c r="K28" s="19"/>
      <c r="L28" s="20">
        <f t="shared" si="1"/>
        <v>0</v>
      </c>
      <c r="HV28" s="2" t="s">
        <v>27</v>
      </c>
      <c r="HW28" s="2" t="s">
        <v>32</v>
      </c>
      <c r="IR28" s="21">
        <f>K28*0.679694377</f>
        <v>0</v>
      </c>
      <c r="IS28" s="21">
        <f>K28*(1-0.679694377)</f>
        <v>0</v>
      </c>
    </row>
    <row r="29" spans="1:253" x14ac:dyDescent="0.25">
      <c r="A29" s="18">
        <v>15</v>
      </c>
      <c r="B29" s="2" t="s">
        <v>52</v>
      </c>
      <c r="C29" s="2" t="s">
        <v>39</v>
      </c>
      <c r="D29" s="108" t="s">
        <v>40</v>
      </c>
      <c r="E29" s="102"/>
      <c r="F29" s="102"/>
      <c r="G29" s="102"/>
      <c r="H29" s="102"/>
      <c r="I29" s="2" t="s">
        <v>31</v>
      </c>
      <c r="J29" s="19">
        <v>3</v>
      </c>
      <c r="K29" s="19"/>
      <c r="L29" s="20">
        <f t="shared" si="1"/>
        <v>0</v>
      </c>
      <c r="HV29" s="2" t="s">
        <v>27</v>
      </c>
      <c r="HW29" s="2" t="s">
        <v>32</v>
      </c>
      <c r="IR29" s="21">
        <f>K29*0.2552638</f>
        <v>0</v>
      </c>
      <c r="IS29" s="21">
        <f>K29*(1-0.2552638)</f>
        <v>0</v>
      </c>
    </row>
    <row r="30" spans="1:253" x14ac:dyDescent="0.25">
      <c r="A30" s="18">
        <v>16</v>
      </c>
      <c r="B30" s="2" t="s">
        <v>52</v>
      </c>
      <c r="C30" s="2" t="s">
        <v>41</v>
      </c>
      <c r="D30" s="108" t="s">
        <v>42</v>
      </c>
      <c r="E30" s="102"/>
      <c r="F30" s="102"/>
      <c r="G30" s="102"/>
      <c r="H30" s="102"/>
      <c r="I30" s="2" t="s">
        <v>31</v>
      </c>
      <c r="J30" s="19">
        <v>3</v>
      </c>
      <c r="K30" s="19"/>
      <c r="L30" s="20">
        <f t="shared" si="1"/>
        <v>0</v>
      </c>
      <c r="HV30" s="2" t="s">
        <v>27</v>
      </c>
      <c r="HW30" s="2" t="s">
        <v>32</v>
      </c>
      <c r="IR30" s="21">
        <f>K30*0.523268364</f>
        <v>0</v>
      </c>
      <c r="IS30" s="21">
        <f>K30*(1-0.523268364)</f>
        <v>0</v>
      </c>
    </row>
    <row r="31" spans="1:253" x14ac:dyDescent="0.25">
      <c r="A31" s="18">
        <v>17</v>
      </c>
      <c r="B31" s="2" t="s">
        <v>52</v>
      </c>
      <c r="C31" s="2" t="s">
        <v>43</v>
      </c>
      <c r="D31" s="108" t="s">
        <v>44</v>
      </c>
      <c r="E31" s="102"/>
      <c r="F31" s="102"/>
      <c r="G31" s="102"/>
      <c r="H31" s="102"/>
      <c r="I31" s="2" t="s">
        <v>31</v>
      </c>
      <c r="J31" s="19">
        <v>3</v>
      </c>
      <c r="K31" s="19"/>
      <c r="L31" s="20">
        <f t="shared" si="1"/>
        <v>0</v>
      </c>
      <c r="HV31" s="2" t="s">
        <v>27</v>
      </c>
      <c r="HW31" s="2" t="s">
        <v>32</v>
      </c>
      <c r="IR31" s="21">
        <f>K31*0.526501218</f>
        <v>0</v>
      </c>
      <c r="IS31" s="21">
        <f>K31*(1-0.526501218)</f>
        <v>0</v>
      </c>
    </row>
    <row r="32" spans="1:253" x14ac:dyDescent="0.25">
      <c r="A32" s="18">
        <v>18</v>
      </c>
      <c r="B32" s="2" t="s">
        <v>52</v>
      </c>
      <c r="C32" s="2" t="s">
        <v>45</v>
      </c>
      <c r="D32" s="108" t="s">
        <v>46</v>
      </c>
      <c r="E32" s="102"/>
      <c r="F32" s="102"/>
      <c r="G32" s="102"/>
      <c r="H32" s="102"/>
      <c r="I32" s="2" t="s">
        <v>31</v>
      </c>
      <c r="J32" s="19">
        <v>3</v>
      </c>
      <c r="K32" s="19"/>
      <c r="L32" s="20">
        <f t="shared" si="1"/>
        <v>0</v>
      </c>
      <c r="HV32" s="2" t="s">
        <v>27</v>
      </c>
      <c r="HW32" s="2" t="s">
        <v>32</v>
      </c>
      <c r="IR32" s="21">
        <f>K32*0.014893617</f>
        <v>0</v>
      </c>
      <c r="IS32" s="21">
        <f>K32*(1-0.014893617)</f>
        <v>0</v>
      </c>
    </row>
    <row r="33" spans="1:253" x14ac:dyDescent="0.25">
      <c r="A33" s="18">
        <v>19</v>
      </c>
      <c r="B33" s="2" t="s">
        <v>52</v>
      </c>
      <c r="C33" s="2" t="s">
        <v>47</v>
      </c>
      <c r="D33" s="108" t="s">
        <v>48</v>
      </c>
      <c r="E33" s="102"/>
      <c r="F33" s="102"/>
      <c r="G33" s="102"/>
      <c r="H33" s="102"/>
      <c r="I33" s="2" t="s">
        <v>31</v>
      </c>
      <c r="J33" s="19">
        <v>6</v>
      </c>
      <c r="K33" s="19"/>
      <c r="L33" s="20">
        <f t="shared" si="1"/>
        <v>0</v>
      </c>
      <c r="HV33" s="2" t="s">
        <v>27</v>
      </c>
      <c r="HW33" s="2" t="s">
        <v>32</v>
      </c>
      <c r="IR33" s="21">
        <f>K33*0.016923843</f>
        <v>0</v>
      </c>
      <c r="IS33" s="21">
        <f>K33*(1-0.016923843)</f>
        <v>0</v>
      </c>
    </row>
    <row r="34" spans="1:253" x14ac:dyDescent="0.25">
      <c r="A34" s="18">
        <v>20</v>
      </c>
      <c r="B34" s="2" t="s">
        <v>52</v>
      </c>
      <c r="C34" s="2" t="s">
        <v>49</v>
      </c>
      <c r="D34" s="108" t="s">
        <v>50</v>
      </c>
      <c r="E34" s="102"/>
      <c r="F34" s="102"/>
      <c r="G34" s="102"/>
      <c r="H34" s="102"/>
      <c r="I34" s="2" t="s">
        <v>51</v>
      </c>
      <c r="J34" s="19">
        <v>78</v>
      </c>
      <c r="K34" s="19"/>
      <c r="L34" s="20">
        <f t="shared" si="1"/>
        <v>0</v>
      </c>
      <c r="HV34" s="2" t="s">
        <v>27</v>
      </c>
      <c r="HW34" s="2" t="s">
        <v>32</v>
      </c>
      <c r="IR34" s="21">
        <f>K34*0</f>
        <v>0</v>
      </c>
      <c r="IS34" s="21">
        <f>K34*(1-0)</f>
        <v>0</v>
      </c>
    </row>
    <row r="35" spans="1:253" x14ac:dyDescent="0.25">
      <c r="A35" s="14" t="s">
        <v>23</v>
      </c>
      <c r="B35" s="15" t="s">
        <v>54</v>
      </c>
      <c r="C35" s="15" t="s">
        <v>25</v>
      </c>
      <c r="D35" s="115" t="s">
        <v>55</v>
      </c>
      <c r="E35" s="116"/>
      <c r="F35" s="116"/>
      <c r="G35" s="116"/>
      <c r="H35" s="116"/>
      <c r="I35" s="15" t="s">
        <v>23</v>
      </c>
      <c r="J35" s="16" t="s">
        <v>23</v>
      </c>
      <c r="K35" s="16"/>
      <c r="L35" s="17">
        <f>L36</f>
        <v>0</v>
      </c>
    </row>
    <row r="36" spans="1:253" x14ac:dyDescent="0.25">
      <c r="A36" s="14" t="s">
        <v>23</v>
      </c>
      <c r="B36" s="15" t="s">
        <v>54</v>
      </c>
      <c r="C36" s="15" t="s">
        <v>27</v>
      </c>
      <c r="D36" s="115" t="s">
        <v>28</v>
      </c>
      <c r="E36" s="116"/>
      <c r="F36" s="116"/>
      <c r="G36" s="116"/>
      <c r="H36" s="116"/>
      <c r="I36" s="15" t="s">
        <v>23</v>
      </c>
      <c r="J36" s="16" t="s">
        <v>23</v>
      </c>
      <c r="K36" s="16"/>
      <c r="L36" s="17">
        <f>SUM(L37:L46)</f>
        <v>0</v>
      </c>
    </row>
    <row r="37" spans="1:253" x14ac:dyDescent="0.25">
      <c r="A37" s="18">
        <v>21</v>
      </c>
      <c r="B37" s="2" t="s">
        <v>54</v>
      </c>
      <c r="C37" s="2" t="s">
        <v>29</v>
      </c>
      <c r="D37" s="108" t="s">
        <v>30</v>
      </c>
      <c r="E37" s="102"/>
      <c r="F37" s="102"/>
      <c r="G37" s="102"/>
      <c r="H37" s="102"/>
      <c r="I37" s="2" t="s">
        <v>31</v>
      </c>
      <c r="J37" s="19">
        <v>3</v>
      </c>
      <c r="K37" s="19"/>
      <c r="L37" s="20">
        <f t="shared" ref="L37:L46" si="2">IR37*J37+IS37*J37</f>
        <v>0</v>
      </c>
      <c r="HV37" s="2" t="s">
        <v>27</v>
      </c>
      <c r="HW37" s="2" t="s">
        <v>32</v>
      </c>
      <c r="IR37" s="21">
        <f>K37*0</f>
        <v>0</v>
      </c>
      <c r="IS37" s="21">
        <f>K37*(1-0)</f>
        <v>0</v>
      </c>
    </row>
    <row r="38" spans="1:253" x14ac:dyDescent="0.25">
      <c r="A38" s="18">
        <v>22</v>
      </c>
      <c r="B38" s="2" t="s">
        <v>54</v>
      </c>
      <c r="C38" s="2" t="s">
        <v>33</v>
      </c>
      <c r="D38" s="108" t="s">
        <v>34</v>
      </c>
      <c r="E38" s="102"/>
      <c r="F38" s="102"/>
      <c r="G38" s="102"/>
      <c r="H38" s="102"/>
      <c r="I38" s="2" t="s">
        <v>31</v>
      </c>
      <c r="J38" s="19">
        <v>6</v>
      </c>
      <c r="K38" s="19"/>
      <c r="L38" s="20">
        <f t="shared" si="2"/>
        <v>0</v>
      </c>
      <c r="HV38" s="2" t="s">
        <v>27</v>
      </c>
      <c r="HW38" s="2" t="s">
        <v>32</v>
      </c>
      <c r="IR38" s="21">
        <f>K38*0</f>
        <v>0</v>
      </c>
      <c r="IS38" s="21">
        <f>K38*(1-0)</f>
        <v>0</v>
      </c>
    </row>
    <row r="39" spans="1:253" x14ac:dyDescent="0.25">
      <c r="A39" s="18">
        <v>23</v>
      </c>
      <c r="B39" s="2" t="s">
        <v>54</v>
      </c>
      <c r="C39" s="2" t="s">
        <v>35</v>
      </c>
      <c r="D39" s="108" t="s">
        <v>36</v>
      </c>
      <c r="E39" s="102"/>
      <c r="F39" s="102"/>
      <c r="G39" s="102"/>
      <c r="H39" s="102"/>
      <c r="I39" s="2" t="s">
        <v>31</v>
      </c>
      <c r="J39" s="19">
        <v>3</v>
      </c>
      <c r="K39" s="19"/>
      <c r="L39" s="20">
        <f t="shared" si="2"/>
        <v>0</v>
      </c>
      <c r="HV39" s="2" t="s">
        <v>27</v>
      </c>
      <c r="HW39" s="2" t="s">
        <v>32</v>
      </c>
      <c r="IR39" s="21">
        <f>K39*0.499111111</f>
        <v>0</v>
      </c>
      <c r="IS39" s="21">
        <f>K39*(1-0.499111111)</f>
        <v>0</v>
      </c>
    </row>
    <row r="40" spans="1:253" x14ac:dyDescent="0.25">
      <c r="A40" s="18">
        <v>24</v>
      </c>
      <c r="B40" s="2" t="s">
        <v>54</v>
      </c>
      <c r="C40" s="2" t="s">
        <v>37</v>
      </c>
      <c r="D40" s="108" t="s">
        <v>38</v>
      </c>
      <c r="E40" s="102"/>
      <c r="F40" s="102"/>
      <c r="G40" s="102"/>
      <c r="H40" s="102"/>
      <c r="I40" s="2" t="s">
        <v>31</v>
      </c>
      <c r="J40" s="19">
        <v>6</v>
      </c>
      <c r="K40" s="19"/>
      <c r="L40" s="20">
        <f t="shared" si="2"/>
        <v>0</v>
      </c>
      <c r="HV40" s="2" t="s">
        <v>27</v>
      </c>
      <c r="HW40" s="2" t="s">
        <v>32</v>
      </c>
      <c r="IR40" s="21">
        <f>K40*0.679694377</f>
        <v>0</v>
      </c>
      <c r="IS40" s="21">
        <f>K40*(1-0.679694377)</f>
        <v>0</v>
      </c>
    </row>
    <row r="41" spans="1:253" x14ac:dyDescent="0.25">
      <c r="A41" s="18">
        <v>25</v>
      </c>
      <c r="B41" s="2" t="s">
        <v>54</v>
      </c>
      <c r="C41" s="2" t="s">
        <v>39</v>
      </c>
      <c r="D41" s="108" t="s">
        <v>40</v>
      </c>
      <c r="E41" s="102"/>
      <c r="F41" s="102"/>
      <c r="G41" s="102"/>
      <c r="H41" s="102"/>
      <c r="I41" s="2" t="s">
        <v>31</v>
      </c>
      <c r="J41" s="19">
        <v>3</v>
      </c>
      <c r="K41" s="19"/>
      <c r="L41" s="20">
        <f t="shared" si="2"/>
        <v>0</v>
      </c>
      <c r="HV41" s="2" t="s">
        <v>27</v>
      </c>
      <c r="HW41" s="2" t="s">
        <v>32</v>
      </c>
      <c r="IR41" s="21">
        <f>K41*0.2552638</f>
        <v>0</v>
      </c>
      <c r="IS41" s="21">
        <f>K41*(1-0.2552638)</f>
        <v>0</v>
      </c>
    </row>
    <row r="42" spans="1:253" x14ac:dyDescent="0.25">
      <c r="A42" s="18">
        <v>26</v>
      </c>
      <c r="B42" s="2" t="s">
        <v>54</v>
      </c>
      <c r="C42" s="2" t="s">
        <v>41</v>
      </c>
      <c r="D42" s="108" t="s">
        <v>42</v>
      </c>
      <c r="E42" s="102"/>
      <c r="F42" s="102"/>
      <c r="G42" s="102"/>
      <c r="H42" s="102"/>
      <c r="I42" s="2" t="s">
        <v>31</v>
      </c>
      <c r="J42" s="19">
        <v>3</v>
      </c>
      <c r="K42" s="19"/>
      <c r="L42" s="20">
        <f t="shared" si="2"/>
        <v>0</v>
      </c>
      <c r="HV42" s="2" t="s">
        <v>27</v>
      </c>
      <c r="HW42" s="2" t="s">
        <v>32</v>
      </c>
      <c r="IR42" s="21">
        <f>K42*0.523268364</f>
        <v>0</v>
      </c>
      <c r="IS42" s="21">
        <f>K42*(1-0.523268364)</f>
        <v>0</v>
      </c>
    </row>
    <row r="43" spans="1:253" x14ac:dyDescent="0.25">
      <c r="A43" s="18">
        <v>27</v>
      </c>
      <c r="B43" s="2" t="s">
        <v>54</v>
      </c>
      <c r="C43" s="2" t="s">
        <v>43</v>
      </c>
      <c r="D43" s="108" t="s">
        <v>44</v>
      </c>
      <c r="E43" s="102"/>
      <c r="F43" s="102"/>
      <c r="G43" s="102"/>
      <c r="H43" s="102"/>
      <c r="I43" s="2" t="s">
        <v>31</v>
      </c>
      <c r="J43" s="19">
        <v>3</v>
      </c>
      <c r="K43" s="19"/>
      <c r="L43" s="20">
        <f t="shared" si="2"/>
        <v>0</v>
      </c>
      <c r="HV43" s="2" t="s">
        <v>27</v>
      </c>
      <c r="HW43" s="2" t="s">
        <v>32</v>
      </c>
      <c r="IR43" s="21">
        <f>K43*0.526501218</f>
        <v>0</v>
      </c>
      <c r="IS43" s="21">
        <f>K43*(1-0.526501218)</f>
        <v>0</v>
      </c>
    </row>
    <row r="44" spans="1:253" x14ac:dyDescent="0.25">
      <c r="A44" s="18">
        <v>28</v>
      </c>
      <c r="B44" s="2" t="s">
        <v>54</v>
      </c>
      <c r="C44" s="2" t="s">
        <v>45</v>
      </c>
      <c r="D44" s="108" t="s">
        <v>46</v>
      </c>
      <c r="E44" s="102"/>
      <c r="F44" s="102"/>
      <c r="G44" s="102"/>
      <c r="H44" s="102"/>
      <c r="I44" s="2" t="s">
        <v>31</v>
      </c>
      <c r="J44" s="19">
        <v>3</v>
      </c>
      <c r="K44" s="19"/>
      <c r="L44" s="20">
        <f t="shared" si="2"/>
        <v>0</v>
      </c>
      <c r="HV44" s="2" t="s">
        <v>27</v>
      </c>
      <c r="HW44" s="2" t="s">
        <v>32</v>
      </c>
      <c r="IR44" s="21">
        <f>K44*0.014893617</f>
        <v>0</v>
      </c>
      <c r="IS44" s="21">
        <f>K44*(1-0.014893617)</f>
        <v>0</v>
      </c>
    </row>
    <row r="45" spans="1:253" x14ac:dyDescent="0.25">
      <c r="A45" s="18">
        <v>29</v>
      </c>
      <c r="B45" s="2" t="s">
        <v>54</v>
      </c>
      <c r="C45" s="2" t="s">
        <v>47</v>
      </c>
      <c r="D45" s="108" t="s">
        <v>48</v>
      </c>
      <c r="E45" s="102"/>
      <c r="F45" s="102"/>
      <c r="G45" s="102"/>
      <c r="H45" s="102"/>
      <c r="I45" s="2" t="s">
        <v>31</v>
      </c>
      <c r="J45" s="19">
        <v>6</v>
      </c>
      <c r="K45" s="19"/>
      <c r="L45" s="20">
        <f t="shared" si="2"/>
        <v>0</v>
      </c>
      <c r="HV45" s="2" t="s">
        <v>27</v>
      </c>
      <c r="HW45" s="2" t="s">
        <v>32</v>
      </c>
      <c r="IR45" s="21">
        <f>K45*0.016923843</f>
        <v>0</v>
      </c>
      <c r="IS45" s="21">
        <f>K45*(1-0.016923843)</f>
        <v>0</v>
      </c>
    </row>
    <row r="46" spans="1:253" x14ac:dyDescent="0.25">
      <c r="A46" s="18">
        <v>30</v>
      </c>
      <c r="B46" s="2" t="s">
        <v>54</v>
      </c>
      <c r="C46" s="2" t="s">
        <v>49</v>
      </c>
      <c r="D46" s="108" t="s">
        <v>50</v>
      </c>
      <c r="E46" s="102"/>
      <c r="F46" s="102"/>
      <c r="G46" s="102"/>
      <c r="H46" s="102"/>
      <c r="I46" s="2" t="s">
        <v>51</v>
      </c>
      <c r="J46" s="19">
        <v>78</v>
      </c>
      <c r="K46" s="19"/>
      <c r="L46" s="20">
        <f t="shared" si="2"/>
        <v>0</v>
      </c>
      <c r="HV46" s="2" t="s">
        <v>27</v>
      </c>
      <c r="HW46" s="2" t="s">
        <v>32</v>
      </c>
      <c r="IR46" s="21">
        <f>K46*0</f>
        <v>0</v>
      </c>
      <c r="IS46" s="21">
        <f>K46*(1-0)</f>
        <v>0</v>
      </c>
    </row>
    <row r="47" spans="1:253" x14ac:dyDescent="0.25">
      <c r="A47" s="14" t="s">
        <v>23</v>
      </c>
      <c r="B47" s="15" t="s">
        <v>56</v>
      </c>
      <c r="C47" s="15" t="s">
        <v>25</v>
      </c>
      <c r="D47" s="115" t="s">
        <v>57</v>
      </c>
      <c r="E47" s="116"/>
      <c r="F47" s="116"/>
      <c r="G47" s="116"/>
      <c r="H47" s="116"/>
      <c r="I47" s="15" t="s">
        <v>23</v>
      </c>
      <c r="J47" s="16" t="s">
        <v>23</v>
      </c>
      <c r="K47" s="16"/>
      <c r="L47" s="17">
        <f>L48+L76</f>
        <v>0</v>
      </c>
    </row>
    <row r="48" spans="1:253" x14ac:dyDescent="0.25">
      <c r="A48" s="14" t="s">
        <v>23</v>
      </c>
      <c r="B48" s="15" t="s">
        <v>56</v>
      </c>
      <c r="C48" s="15" t="s">
        <v>27</v>
      </c>
      <c r="D48" s="115" t="s">
        <v>28</v>
      </c>
      <c r="E48" s="116"/>
      <c r="F48" s="116"/>
      <c r="G48" s="116"/>
      <c r="H48" s="116"/>
      <c r="I48" s="15" t="s">
        <v>23</v>
      </c>
      <c r="J48" s="16" t="s">
        <v>23</v>
      </c>
      <c r="K48" s="16"/>
      <c r="L48" s="17">
        <f>SUM(L49:L75)</f>
        <v>0</v>
      </c>
    </row>
    <row r="49" spans="1:253" x14ac:dyDescent="0.25">
      <c r="A49" s="18">
        <v>31</v>
      </c>
      <c r="B49" s="2" t="s">
        <v>56</v>
      </c>
      <c r="C49" s="2" t="s">
        <v>29</v>
      </c>
      <c r="D49" s="108" t="s">
        <v>58</v>
      </c>
      <c r="E49" s="102"/>
      <c r="F49" s="102"/>
      <c r="G49" s="102"/>
      <c r="H49" s="102"/>
      <c r="I49" s="2" t="s">
        <v>31</v>
      </c>
      <c r="J49" s="19">
        <v>92</v>
      </c>
      <c r="K49" s="19"/>
      <c r="L49" s="20">
        <f t="shared" ref="L49:L75" si="3">IR49*J49+IS49*J49</f>
        <v>0</v>
      </c>
      <c r="HV49" s="2" t="s">
        <v>27</v>
      </c>
      <c r="HW49" s="2" t="s">
        <v>32</v>
      </c>
      <c r="IR49" s="21">
        <f>K49*0</f>
        <v>0</v>
      </c>
      <c r="IS49" s="21">
        <f>K49*(1-0)</f>
        <v>0</v>
      </c>
    </row>
    <row r="50" spans="1:253" x14ac:dyDescent="0.25">
      <c r="A50" s="18">
        <v>32</v>
      </c>
      <c r="B50" s="2" t="s">
        <v>56</v>
      </c>
      <c r="C50" s="2" t="s">
        <v>33</v>
      </c>
      <c r="D50" s="108" t="s">
        <v>59</v>
      </c>
      <c r="E50" s="102"/>
      <c r="F50" s="102"/>
      <c r="G50" s="102"/>
      <c r="H50" s="102"/>
      <c r="I50" s="2" t="s">
        <v>31</v>
      </c>
      <c r="J50" s="19">
        <v>132</v>
      </c>
      <c r="K50" s="19"/>
      <c r="L50" s="20">
        <f t="shared" si="3"/>
        <v>0</v>
      </c>
      <c r="HV50" s="2" t="s">
        <v>27</v>
      </c>
      <c r="HW50" s="2" t="s">
        <v>32</v>
      </c>
      <c r="IR50" s="21">
        <f>K50*0</f>
        <v>0</v>
      </c>
      <c r="IS50" s="21">
        <f>K50*(1-0)</f>
        <v>0</v>
      </c>
    </row>
    <row r="51" spans="1:253" x14ac:dyDescent="0.25">
      <c r="A51" s="18">
        <v>33</v>
      </c>
      <c r="B51" s="2" t="s">
        <v>56</v>
      </c>
      <c r="C51" s="2" t="s">
        <v>60</v>
      </c>
      <c r="D51" s="108" t="s">
        <v>61</v>
      </c>
      <c r="E51" s="102"/>
      <c r="F51" s="102"/>
      <c r="G51" s="102"/>
      <c r="H51" s="102"/>
      <c r="I51" s="2" t="s">
        <v>62</v>
      </c>
      <c r="J51" s="19">
        <v>48</v>
      </c>
      <c r="K51" s="19"/>
      <c r="L51" s="20">
        <f t="shared" si="3"/>
        <v>0</v>
      </c>
      <c r="HV51" s="2" t="s">
        <v>27</v>
      </c>
      <c r="HW51" s="2" t="s">
        <v>32</v>
      </c>
      <c r="IR51" s="21">
        <f>K51*0.274019715</f>
        <v>0</v>
      </c>
      <c r="IS51" s="21">
        <f>K51*(1-0.274019715)</f>
        <v>0</v>
      </c>
    </row>
    <row r="52" spans="1:253" x14ac:dyDescent="0.25">
      <c r="A52" s="18">
        <v>34</v>
      </c>
      <c r="B52" s="2" t="s">
        <v>56</v>
      </c>
      <c r="C52" s="2" t="s">
        <v>63</v>
      </c>
      <c r="D52" s="108" t="s">
        <v>64</v>
      </c>
      <c r="E52" s="102"/>
      <c r="F52" s="102"/>
      <c r="G52" s="102"/>
      <c r="H52" s="102"/>
      <c r="I52" s="2" t="s">
        <v>31</v>
      </c>
      <c r="J52" s="19">
        <v>48</v>
      </c>
      <c r="K52" s="19"/>
      <c r="L52" s="20">
        <f t="shared" si="3"/>
        <v>0</v>
      </c>
      <c r="HV52" s="2" t="s">
        <v>27</v>
      </c>
      <c r="HW52" s="2" t="s">
        <v>32</v>
      </c>
      <c r="IR52" s="21">
        <f>K52*0.433822435</f>
        <v>0</v>
      </c>
      <c r="IS52" s="21">
        <f>K52*(1-0.433822435)</f>
        <v>0</v>
      </c>
    </row>
    <row r="53" spans="1:253" x14ac:dyDescent="0.25">
      <c r="A53" s="18">
        <v>35</v>
      </c>
      <c r="B53" s="2" t="s">
        <v>56</v>
      </c>
      <c r="C53" s="2" t="s">
        <v>35</v>
      </c>
      <c r="D53" s="108" t="s">
        <v>36</v>
      </c>
      <c r="E53" s="102"/>
      <c r="F53" s="102"/>
      <c r="G53" s="102"/>
      <c r="H53" s="102"/>
      <c r="I53" s="2" t="s">
        <v>31</v>
      </c>
      <c r="J53" s="19">
        <v>90</v>
      </c>
      <c r="K53" s="19"/>
      <c r="L53" s="20">
        <f t="shared" si="3"/>
        <v>0</v>
      </c>
      <c r="HV53" s="2" t="s">
        <v>27</v>
      </c>
      <c r="HW53" s="2" t="s">
        <v>32</v>
      </c>
      <c r="IR53" s="21">
        <f>K53*0.499111111</f>
        <v>0</v>
      </c>
      <c r="IS53" s="21">
        <f>K53*(1-0.499111111)</f>
        <v>0</v>
      </c>
    </row>
    <row r="54" spans="1:253" x14ac:dyDescent="0.25">
      <c r="A54" s="18">
        <v>36</v>
      </c>
      <c r="B54" s="2" t="s">
        <v>56</v>
      </c>
      <c r="C54" s="2" t="s">
        <v>65</v>
      </c>
      <c r="D54" s="108" t="s">
        <v>66</v>
      </c>
      <c r="E54" s="102"/>
      <c r="F54" s="102"/>
      <c r="G54" s="102"/>
      <c r="H54" s="102"/>
      <c r="I54" s="2" t="s">
        <v>31</v>
      </c>
      <c r="J54" s="19">
        <v>56</v>
      </c>
      <c r="K54" s="19"/>
      <c r="L54" s="20">
        <f t="shared" si="3"/>
        <v>0</v>
      </c>
      <c r="HV54" s="2" t="s">
        <v>27</v>
      </c>
      <c r="HW54" s="2" t="s">
        <v>32</v>
      </c>
      <c r="IR54" s="21">
        <f>K54*0.578547486</f>
        <v>0</v>
      </c>
      <c r="IS54" s="21">
        <f>K54*(1-0.578547486)</f>
        <v>0</v>
      </c>
    </row>
    <row r="55" spans="1:253" x14ac:dyDescent="0.25">
      <c r="A55" s="18">
        <v>37</v>
      </c>
      <c r="B55" s="2" t="s">
        <v>56</v>
      </c>
      <c r="C55" s="2" t="s">
        <v>37</v>
      </c>
      <c r="D55" s="108" t="s">
        <v>38</v>
      </c>
      <c r="E55" s="102"/>
      <c r="F55" s="102"/>
      <c r="G55" s="102"/>
      <c r="H55" s="102"/>
      <c r="I55" s="2" t="s">
        <v>31</v>
      </c>
      <c r="J55" s="19">
        <v>72</v>
      </c>
      <c r="K55" s="19"/>
      <c r="L55" s="20">
        <f t="shared" si="3"/>
        <v>0</v>
      </c>
      <c r="HV55" s="2" t="s">
        <v>27</v>
      </c>
      <c r="HW55" s="2" t="s">
        <v>32</v>
      </c>
      <c r="IR55" s="21">
        <f>K55*0.679694377</f>
        <v>0</v>
      </c>
      <c r="IS55" s="21">
        <f>K55*(1-0.679694377)</f>
        <v>0</v>
      </c>
    </row>
    <row r="56" spans="1:253" x14ac:dyDescent="0.25">
      <c r="A56" s="18">
        <v>38</v>
      </c>
      <c r="B56" s="2" t="s">
        <v>56</v>
      </c>
      <c r="C56" s="2" t="s">
        <v>67</v>
      </c>
      <c r="D56" s="108" t="s">
        <v>68</v>
      </c>
      <c r="E56" s="102"/>
      <c r="F56" s="102"/>
      <c r="G56" s="102"/>
      <c r="H56" s="102"/>
      <c r="I56" s="2" t="s">
        <v>62</v>
      </c>
      <c r="J56" s="19">
        <v>6</v>
      </c>
      <c r="K56" s="19"/>
      <c r="L56" s="20">
        <f t="shared" si="3"/>
        <v>0</v>
      </c>
      <c r="HV56" s="2" t="s">
        <v>27</v>
      </c>
      <c r="HW56" s="2" t="s">
        <v>32</v>
      </c>
      <c r="IR56" s="21">
        <f>K56*0.36283871</f>
        <v>0</v>
      </c>
      <c r="IS56" s="21">
        <f>K56*(1-0.36283871)</f>
        <v>0</v>
      </c>
    </row>
    <row r="57" spans="1:253" x14ac:dyDescent="0.25">
      <c r="A57" s="18">
        <v>39</v>
      </c>
      <c r="B57" s="2" t="s">
        <v>56</v>
      </c>
      <c r="C57" s="2" t="s">
        <v>69</v>
      </c>
      <c r="D57" s="108" t="s">
        <v>70</v>
      </c>
      <c r="E57" s="102"/>
      <c r="F57" s="102"/>
      <c r="G57" s="102"/>
      <c r="H57" s="102"/>
      <c r="I57" s="2" t="s">
        <v>62</v>
      </c>
      <c r="J57" s="19">
        <v>6</v>
      </c>
      <c r="K57" s="19"/>
      <c r="L57" s="20">
        <f t="shared" si="3"/>
        <v>0</v>
      </c>
      <c r="HV57" s="2" t="s">
        <v>27</v>
      </c>
      <c r="HW57" s="2" t="s">
        <v>32</v>
      </c>
      <c r="IR57" s="21">
        <f>K57*0.421400778</f>
        <v>0</v>
      </c>
      <c r="IS57" s="21">
        <f>K57*(1-0.421400778)</f>
        <v>0</v>
      </c>
    </row>
    <row r="58" spans="1:253" x14ac:dyDescent="0.25">
      <c r="A58" s="18">
        <v>40</v>
      </c>
      <c r="B58" s="2" t="s">
        <v>56</v>
      </c>
      <c r="C58" s="2" t="s">
        <v>71</v>
      </c>
      <c r="D58" s="108" t="s">
        <v>72</v>
      </c>
      <c r="E58" s="102"/>
      <c r="F58" s="102"/>
      <c r="G58" s="102"/>
      <c r="H58" s="102"/>
      <c r="I58" s="2" t="s">
        <v>62</v>
      </c>
      <c r="J58" s="19">
        <v>6</v>
      </c>
      <c r="K58" s="19"/>
      <c r="L58" s="20">
        <f t="shared" si="3"/>
        <v>0</v>
      </c>
      <c r="HV58" s="2" t="s">
        <v>27</v>
      </c>
      <c r="HW58" s="2" t="s">
        <v>32</v>
      </c>
      <c r="IR58" s="21">
        <f>K58*0.490622392</f>
        <v>0</v>
      </c>
      <c r="IS58" s="21">
        <f>K58*(1-0.490622392)</f>
        <v>0</v>
      </c>
    </row>
    <row r="59" spans="1:253" x14ac:dyDescent="0.25">
      <c r="A59" s="18">
        <v>41</v>
      </c>
      <c r="B59" s="2" t="s">
        <v>56</v>
      </c>
      <c r="C59" s="2" t="s">
        <v>73</v>
      </c>
      <c r="D59" s="108" t="s">
        <v>74</v>
      </c>
      <c r="E59" s="102"/>
      <c r="F59" s="102"/>
      <c r="G59" s="102"/>
      <c r="H59" s="102"/>
      <c r="I59" s="2" t="s">
        <v>31</v>
      </c>
      <c r="J59" s="19">
        <v>48</v>
      </c>
      <c r="K59" s="19"/>
      <c r="L59" s="20">
        <f t="shared" si="3"/>
        <v>0</v>
      </c>
      <c r="HV59" s="2" t="s">
        <v>27</v>
      </c>
      <c r="HW59" s="2" t="s">
        <v>32</v>
      </c>
      <c r="IR59" s="21">
        <f>K59*0.230682632</f>
        <v>0</v>
      </c>
      <c r="IS59" s="21">
        <f>K59*(1-0.230682632)</f>
        <v>0</v>
      </c>
    </row>
    <row r="60" spans="1:253" x14ac:dyDescent="0.25">
      <c r="A60" s="18">
        <v>42</v>
      </c>
      <c r="B60" s="2" t="s">
        <v>56</v>
      </c>
      <c r="C60" s="2" t="s">
        <v>75</v>
      </c>
      <c r="D60" s="108" t="s">
        <v>76</v>
      </c>
      <c r="E60" s="102"/>
      <c r="F60" s="102"/>
      <c r="G60" s="102"/>
      <c r="H60" s="102"/>
      <c r="I60" s="2" t="s">
        <v>31</v>
      </c>
      <c r="J60" s="19">
        <v>10</v>
      </c>
      <c r="K60" s="19"/>
      <c r="L60" s="20">
        <f t="shared" si="3"/>
        <v>0</v>
      </c>
      <c r="HV60" s="2" t="s">
        <v>27</v>
      </c>
      <c r="HW60" s="2" t="s">
        <v>32</v>
      </c>
      <c r="IR60" s="21">
        <f>K60*0.244039835</f>
        <v>0</v>
      </c>
      <c r="IS60" s="21">
        <f>K60*(1-0.244039835)</f>
        <v>0</v>
      </c>
    </row>
    <row r="61" spans="1:253" x14ac:dyDescent="0.25">
      <c r="A61" s="18">
        <v>43</v>
      </c>
      <c r="B61" s="2" t="s">
        <v>56</v>
      </c>
      <c r="C61" s="2" t="s">
        <v>77</v>
      </c>
      <c r="D61" s="108" t="s">
        <v>78</v>
      </c>
      <c r="E61" s="102"/>
      <c r="F61" s="102"/>
      <c r="G61" s="102"/>
      <c r="H61" s="102"/>
      <c r="I61" s="2" t="s">
        <v>31</v>
      </c>
      <c r="J61" s="19">
        <v>28</v>
      </c>
      <c r="K61" s="19"/>
      <c r="L61" s="20">
        <f t="shared" si="3"/>
        <v>0</v>
      </c>
      <c r="HV61" s="2" t="s">
        <v>27</v>
      </c>
      <c r="HW61" s="2" t="s">
        <v>32</v>
      </c>
      <c r="IR61" s="21">
        <f>K61*0.242374429</f>
        <v>0</v>
      </c>
      <c r="IS61" s="21">
        <f>K61*(1-0.242374429)</f>
        <v>0</v>
      </c>
    </row>
    <row r="62" spans="1:253" x14ac:dyDescent="0.25">
      <c r="A62" s="18">
        <v>44</v>
      </c>
      <c r="B62" s="2" t="s">
        <v>56</v>
      </c>
      <c r="C62" s="2" t="s">
        <v>39</v>
      </c>
      <c r="D62" s="108" t="s">
        <v>40</v>
      </c>
      <c r="E62" s="102"/>
      <c r="F62" s="102"/>
      <c r="G62" s="102"/>
      <c r="H62" s="102"/>
      <c r="I62" s="2" t="s">
        <v>31</v>
      </c>
      <c r="J62" s="19">
        <v>36</v>
      </c>
      <c r="K62" s="19"/>
      <c r="L62" s="20">
        <f t="shared" si="3"/>
        <v>0</v>
      </c>
      <c r="HV62" s="2" t="s">
        <v>27</v>
      </c>
      <c r="HW62" s="2" t="s">
        <v>32</v>
      </c>
      <c r="IR62" s="21">
        <f>K62*0.2552638</f>
        <v>0</v>
      </c>
      <c r="IS62" s="21">
        <f>K62*(1-0.2552638)</f>
        <v>0</v>
      </c>
    </row>
    <row r="63" spans="1:253" x14ac:dyDescent="0.25">
      <c r="A63" s="18">
        <v>45</v>
      </c>
      <c r="B63" s="2" t="s">
        <v>56</v>
      </c>
      <c r="C63" s="2" t="s">
        <v>41</v>
      </c>
      <c r="D63" s="108" t="s">
        <v>42</v>
      </c>
      <c r="E63" s="102"/>
      <c r="F63" s="102"/>
      <c r="G63" s="102"/>
      <c r="H63" s="102"/>
      <c r="I63" s="2" t="s">
        <v>31</v>
      </c>
      <c r="J63" s="19">
        <v>80</v>
      </c>
      <c r="K63" s="19"/>
      <c r="L63" s="20">
        <f t="shared" si="3"/>
        <v>0</v>
      </c>
      <c r="HV63" s="2" t="s">
        <v>27</v>
      </c>
      <c r="HW63" s="2" t="s">
        <v>32</v>
      </c>
      <c r="IR63" s="21">
        <f>K63*0.523268364</f>
        <v>0</v>
      </c>
      <c r="IS63" s="21">
        <f>K63*(1-0.523268364)</f>
        <v>0</v>
      </c>
    </row>
    <row r="64" spans="1:253" x14ac:dyDescent="0.25">
      <c r="A64" s="18">
        <v>46</v>
      </c>
      <c r="B64" s="2" t="s">
        <v>56</v>
      </c>
      <c r="C64" s="2" t="s">
        <v>79</v>
      </c>
      <c r="D64" s="108" t="s">
        <v>80</v>
      </c>
      <c r="E64" s="102"/>
      <c r="F64" s="102"/>
      <c r="G64" s="102"/>
      <c r="H64" s="102"/>
      <c r="I64" s="2" t="s">
        <v>31</v>
      </c>
      <c r="J64" s="19">
        <v>28</v>
      </c>
      <c r="K64" s="19"/>
      <c r="L64" s="20">
        <f t="shared" si="3"/>
        <v>0</v>
      </c>
      <c r="HV64" s="2" t="s">
        <v>27</v>
      </c>
      <c r="HW64" s="2" t="s">
        <v>32</v>
      </c>
      <c r="IR64" s="21">
        <f>K64*0.527714286</f>
        <v>0</v>
      </c>
      <c r="IS64" s="21">
        <f>K64*(1-0.527714286)</f>
        <v>0</v>
      </c>
    </row>
    <row r="65" spans="1:253" x14ac:dyDescent="0.25">
      <c r="A65" s="18">
        <v>47</v>
      </c>
      <c r="B65" s="2" t="s">
        <v>56</v>
      </c>
      <c r="C65" s="2" t="s">
        <v>43</v>
      </c>
      <c r="D65" s="108" t="s">
        <v>44</v>
      </c>
      <c r="E65" s="102"/>
      <c r="F65" s="102"/>
      <c r="G65" s="102"/>
      <c r="H65" s="102"/>
      <c r="I65" s="2" t="s">
        <v>31</v>
      </c>
      <c r="J65" s="19">
        <v>36</v>
      </c>
      <c r="K65" s="19"/>
      <c r="L65" s="20">
        <f t="shared" si="3"/>
        <v>0</v>
      </c>
      <c r="HV65" s="2" t="s">
        <v>27</v>
      </c>
      <c r="HW65" s="2" t="s">
        <v>32</v>
      </c>
      <c r="IR65" s="21">
        <f>K65*0.526501218</f>
        <v>0</v>
      </c>
      <c r="IS65" s="21">
        <f>K65*(1-0.526501218)</f>
        <v>0</v>
      </c>
    </row>
    <row r="66" spans="1:253" x14ac:dyDescent="0.25">
      <c r="A66" s="18">
        <v>48</v>
      </c>
      <c r="B66" s="2" t="s">
        <v>56</v>
      </c>
      <c r="C66" s="2" t="s">
        <v>81</v>
      </c>
      <c r="D66" s="108" t="s">
        <v>82</v>
      </c>
      <c r="E66" s="102"/>
      <c r="F66" s="102"/>
      <c r="G66" s="102"/>
      <c r="H66" s="102"/>
      <c r="I66" s="2" t="s">
        <v>62</v>
      </c>
      <c r="J66" s="19">
        <v>96</v>
      </c>
      <c r="K66" s="19"/>
      <c r="L66" s="20">
        <f t="shared" si="3"/>
        <v>0</v>
      </c>
      <c r="HV66" s="2" t="s">
        <v>27</v>
      </c>
      <c r="HW66" s="2" t="s">
        <v>32</v>
      </c>
      <c r="IR66" s="21">
        <f>K66*1</f>
        <v>0</v>
      </c>
      <c r="IS66" s="21">
        <f>K66*(1-1)</f>
        <v>0</v>
      </c>
    </row>
    <row r="67" spans="1:253" x14ac:dyDescent="0.25">
      <c r="A67" s="18">
        <v>49</v>
      </c>
      <c r="B67" s="2" t="s">
        <v>56</v>
      </c>
      <c r="C67" s="2" t="s">
        <v>83</v>
      </c>
      <c r="D67" s="108" t="s">
        <v>84</v>
      </c>
      <c r="E67" s="102"/>
      <c r="F67" s="102"/>
      <c r="G67" s="102"/>
      <c r="H67" s="102"/>
      <c r="I67" s="2" t="s">
        <v>62</v>
      </c>
      <c r="J67" s="19">
        <v>48</v>
      </c>
      <c r="K67" s="19"/>
      <c r="L67" s="20">
        <f t="shared" si="3"/>
        <v>0</v>
      </c>
      <c r="HV67" s="2" t="s">
        <v>27</v>
      </c>
      <c r="HW67" s="2" t="s">
        <v>32</v>
      </c>
      <c r="IR67" s="21">
        <f>K67*0.728219476</f>
        <v>0</v>
      </c>
      <c r="IS67" s="21">
        <f>K67*(1-0.728219476)</f>
        <v>0</v>
      </c>
    </row>
    <row r="68" spans="1:253" x14ac:dyDescent="0.25">
      <c r="A68" s="18">
        <v>50</v>
      </c>
      <c r="B68" s="2" t="s">
        <v>56</v>
      </c>
      <c r="C68" s="2" t="s">
        <v>85</v>
      </c>
      <c r="D68" s="108" t="s">
        <v>86</v>
      </c>
      <c r="E68" s="102"/>
      <c r="F68" s="102"/>
      <c r="G68" s="102"/>
      <c r="H68" s="102"/>
      <c r="I68" s="2" t="s">
        <v>62</v>
      </c>
      <c r="J68" s="19">
        <v>48</v>
      </c>
      <c r="K68" s="19"/>
      <c r="L68" s="20">
        <f t="shared" si="3"/>
        <v>0</v>
      </c>
      <c r="HV68" s="2" t="s">
        <v>27</v>
      </c>
      <c r="HW68" s="2" t="s">
        <v>32</v>
      </c>
      <c r="IR68" s="21">
        <f>K68*0.699406894</f>
        <v>0</v>
      </c>
      <c r="IS68" s="21">
        <f>K68*(1-0.699406894)</f>
        <v>0</v>
      </c>
    </row>
    <row r="69" spans="1:253" x14ac:dyDescent="0.25">
      <c r="A69" s="18">
        <v>51</v>
      </c>
      <c r="B69" s="2" t="s">
        <v>56</v>
      </c>
      <c r="C69" s="2" t="s">
        <v>87</v>
      </c>
      <c r="D69" s="108" t="s">
        <v>88</v>
      </c>
      <c r="E69" s="102"/>
      <c r="F69" s="102"/>
      <c r="G69" s="102"/>
      <c r="H69" s="102"/>
      <c r="I69" s="2" t="s">
        <v>62</v>
      </c>
      <c r="J69" s="19">
        <v>48</v>
      </c>
      <c r="K69" s="19"/>
      <c r="L69" s="20">
        <f t="shared" si="3"/>
        <v>0</v>
      </c>
      <c r="HV69" s="2" t="s">
        <v>27</v>
      </c>
      <c r="HW69" s="2" t="s">
        <v>32</v>
      </c>
      <c r="IR69" s="21">
        <f>K69*0</f>
        <v>0</v>
      </c>
      <c r="IS69" s="21">
        <f>K69*(1-0)</f>
        <v>0</v>
      </c>
    </row>
    <row r="70" spans="1:253" x14ac:dyDescent="0.25">
      <c r="A70" s="18">
        <v>52</v>
      </c>
      <c r="B70" s="2" t="s">
        <v>56</v>
      </c>
      <c r="C70" s="2" t="s">
        <v>89</v>
      </c>
      <c r="D70" s="108" t="s">
        <v>90</v>
      </c>
      <c r="E70" s="102"/>
      <c r="F70" s="102"/>
      <c r="G70" s="102"/>
      <c r="H70" s="102"/>
      <c r="I70" s="2" t="s">
        <v>62</v>
      </c>
      <c r="J70" s="19">
        <v>48</v>
      </c>
      <c r="K70" s="19"/>
      <c r="L70" s="20">
        <f t="shared" si="3"/>
        <v>0</v>
      </c>
      <c r="HV70" s="2" t="s">
        <v>27</v>
      </c>
      <c r="HW70" s="2" t="s">
        <v>32</v>
      </c>
      <c r="IR70" s="21">
        <f>K70*0.034752475</f>
        <v>0</v>
      </c>
      <c r="IS70" s="21">
        <f>K70*(1-0.034752475)</f>
        <v>0</v>
      </c>
    </row>
    <row r="71" spans="1:253" x14ac:dyDescent="0.25">
      <c r="A71" s="18">
        <v>53</v>
      </c>
      <c r="B71" s="2" t="s">
        <v>56</v>
      </c>
      <c r="C71" s="2" t="s">
        <v>91</v>
      </c>
      <c r="D71" s="108" t="s">
        <v>92</v>
      </c>
      <c r="E71" s="102"/>
      <c r="F71" s="102"/>
      <c r="G71" s="102"/>
      <c r="H71" s="102"/>
      <c r="I71" s="2" t="s">
        <v>62</v>
      </c>
      <c r="J71" s="19">
        <v>48</v>
      </c>
      <c r="K71" s="19"/>
      <c r="L71" s="20">
        <f t="shared" si="3"/>
        <v>0</v>
      </c>
      <c r="HV71" s="2" t="s">
        <v>27</v>
      </c>
      <c r="HW71" s="2" t="s">
        <v>32</v>
      </c>
      <c r="IR71" s="21">
        <f>K71*0.166666667</f>
        <v>0</v>
      </c>
      <c r="IS71" s="21">
        <f>K71*(1-0.166666667)</f>
        <v>0</v>
      </c>
    </row>
    <row r="72" spans="1:253" x14ac:dyDescent="0.25">
      <c r="A72" s="18">
        <v>54</v>
      </c>
      <c r="B72" s="2" t="s">
        <v>56</v>
      </c>
      <c r="C72" s="2" t="s">
        <v>45</v>
      </c>
      <c r="D72" s="108" t="s">
        <v>46</v>
      </c>
      <c r="E72" s="102"/>
      <c r="F72" s="102"/>
      <c r="G72" s="102"/>
      <c r="H72" s="102"/>
      <c r="I72" s="2" t="s">
        <v>31</v>
      </c>
      <c r="J72" s="19">
        <v>194</v>
      </c>
      <c r="K72" s="19"/>
      <c r="L72" s="20">
        <f t="shared" si="3"/>
        <v>0</v>
      </c>
      <c r="HV72" s="2" t="s">
        <v>27</v>
      </c>
      <c r="HW72" s="2" t="s">
        <v>32</v>
      </c>
      <c r="IR72" s="21">
        <f>K72*0.014893617</f>
        <v>0</v>
      </c>
      <c r="IS72" s="21">
        <f>K72*(1-0.014893617)</f>
        <v>0</v>
      </c>
    </row>
    <row r="73" spans="1:253" x14ac:dyDescent="0.25">
      <c r="A73" s="18">
        <v>55</v>
      </c>
      <c r="B73" s="2" t="s">
        <v>56</v>
      </c>
      <c r="C73" s="2" t="s">
        <v>47</v>
      </c>
      <c r="D73" s="108" t="s">
        <v>48</v>
      </c>
      <c r="E73" s="102"/>
      <c r="F73" s="102"/>
      <c r="G73" s="102"/>
      <c r="H73" s="102"/>
      <c r="I73" s="2" t="s">
        <v>31</v>
      </c>
      <c r="J73" s="19">
        <v>72</v>
      </c>
      <c r="K73" s="19"/>
      <c r="L73" s="20">
        <f t="shared" si="3"/>
        <v>0</v>
      </c>
      <c r="HV73" s="2" t="s">
        <v>27</v>
      </c>
      <c r="HW73" s="2" t="s">
        <v>32</v>
      </c>
      <c r="IR73" s="21">
        <f>K73*0.016923843</f>
        <v>0</v>
      </c>
      <c r="IS73" s="21">
        <f>K73*(1-0.016923843)</f>
        <v>0</v>
      </c>
    </row>
    <row r="74" spans="1:253" x14ac:dyDescent="0.25">
      <c r="A74" s="18">
        <v>56</v>
      </c>
      <c r="B74" s="2" t="s">
        <v>56</v>
      </c>
      <c r="C74" s="2" t="s">
        <v>93</v>
      </c>
      <c r="D74" s="108" t="s">
        <v>94</v>
      </c>
      <c r="E74" s="102"/>
      <c r="F74" s="102"/>
      <c r="G74" s="102"/>
      <c r="H74" s="102"/>
      <c r="I74" s="2" t="s">
        <v>95</v>
      </c>
      <c r="J74" s="19">
        <v>0.2</v>
      </c>
      <c r="K74" s="19"/>
      <c r="L74" s="20">
        <f t="shared" si="3"/>
        <v>0</v>
      </c>
      <c r="HV74" s="2" t="s">
        <v>27</v>
      </c>
      <c r="HW74" s="2" t="s">
        <v>32</v>
      </c>
      <c r="IR74" s="21">
        <f>K74*0</f>
        <v>0</v>
      </c>
      <c r="IS74" s="21">
        <f>K74*(1-0)</f>
        <v>0</v>
      </c>
    </row>
    <row r="75" spans="1:253" x14ac:dyDescent="0.25">
      <c r="A75" s="18">
        <v>57</v>
      </c>
      <c r="B75" s="2" t="s">
        <v>56</v>
      </c>
      <c r="C75" s="2" t="s">
        <v>49</v>
      </c>
      <c r="D75" s="108" t="s">
        <v>50</v>
      </c>
      <c r="E75" s="102"/>
      <c r="F75" s="102"/>
      <c r="G75" s="102"/>
      <c r="H75" s="102"/>
      <c r="I75" s="2" t="s">
        <v>51</v>
      </c>
      <c r="J75" s="19">
        <v>2715</v>
      </c>
      <c r="K75" s="19"/>
      <c r="L75" s="20">
        <f t="shared" si="3"/>
        <v>0</v>
      </c>
      <c r="HV75" s="2" t="s">
        <v>27</v>
      </c>
      <c r="HW75" s="2" t="s">
        <v>32</v>
      </c>
      <c r="IR75" s="21">
        <f>K75*0</f>
        <v>0</v>
      </c>
      <c r="IS75" s="21">
        <f>K75*(1-0)</f>
        <v>0</v>
      </c>
    </row>
    <row r="76" spans="1:253" x14ac:dyDescent="0.25">
      <c r="A76" s="14" t="s">
        <v>23</v>
      </c>
      <c r="B76" s="15" t="s">
        <v>56</v>
      </c>
      <c r="C76" s="15" t="s">
        <v>96</v>
      </c>
      <c r="D76" s="115" t="s">
        <v>97</v>
      </c>
      <c r="E76" s="116"/>
      <c r="F76" s="116"/>
      <c r="G76" s="116"/>
      <c r="H76" s="116"/>
      <c r="I76" s="15" t="s">
        <v>23</v>
      </c>
      <c r="J76" s="16" t="s">
        <v>23</v>
      </c>
      <c r="K76" s="16"/>
      <c r="L76" s="17">
        <f>SUM(L77:L79)</f>
        <v>0</v>
      </c>
    </row>
    <row r="77" spans="1:253" x14ac:dyDescent="0.25">
      <c r="A77" s="18">
        <v>58</v>
      </c>
      <c r="B77" s="2" t="s">
        <v>56</v>
      </c>
      <c r="C77" s="2" t="s">
        <v>98</v>
      </c>
      <c r="D77" s="108" t="s">
        <v>99</v>
      </c>
      <c r="E77" s="102"/>
      <c r="F77" s="102"/>
      <c r="G77" s="102"/>
      <c r="H77" s="102"/>
      <c r="I77" s="2" t="s">
        <v>100</v>
      </c>
      <c r="J77" s="19">
        <v>24</v>
      </c>
      <c r="K77" s="19"/>
      <c r="L77" s="20">
        <f>IR77*J77+IS77*J77</f>
        <v>0</v>
      </c>
      <c r="HV77" s="2" t="s">
        <v>96</v>
      </c>
      <c r="HW77" s="2" t="s">
        <v>32</v>
      </c>
      <c r="IR77" s="21">
        <f>K77*0</f>
        <v>0</v>
      </c>
      <c r="IS77" s="21">
        <f>K77*(1-0)</f>
        <v>0</v>
      </c>
    </row>
    <row r="78" spans="1:253" x14ac:dyDescent="0.25">
      <c r="A78" s="18">
        <v>59</v>
      </c>
      <c r="B78" s="2" t="s">
        <v>56</v>
      </c>
      <c r="C78" s="2" t="s">
        <v>101</v>
      </c>
      <c r="D78" s="108" t="s">
        <v>102</v>
      </c>
      <c r="E78" s="102"/>
      <c r="F78" s="102"/>
      <c r="G78" s="102"/>
      <c r="H78" s="102"/>
      <c r="I78" s="2" t="s">
        <v>100</v>
      </c>
      <c r="J78" s="19">
        <v>24</v>
      </c>
      <c r="K78" s="19"/>
      <c r="L78" s="20">
        <f>IR78*J78+IS78*J78</f>
        <v>0</v>
      </c>
      <c r="HV78" s="2" t="s">
        <v>96</v>
      </c>
      <c r="HW78" s="2" t="s">
        <v>32</v>
      </c>
      <c r="IR78" s="21">
        <f>K78*0.443493724</f>
        <v>0</v>
      </c>
      <c r="IS78" s="21">
        <f>K78*(1-0.443493724)</f>
        <v>0</v>
      </c>
    </row>
    <row r="79" spans="1:253" x14ac:dyDescent="0.25">
      <c r="A79" s="18">
        <v>60</v>
      </c>
      <c r="B79" s="2" t="s">
        <v>56</v>
      </c>
      <c r="C79" s="2" t="s">
        <v>103</v>
      </c>
      <c r="D79" s="108" t="s">
        <v>104</v>
      </c>
      <c r="E79" s="102"/>
      <c r="F79" s="102"/>
      <c r="G79" s="102"/>
      <c r="H79" s="102"/>
      <c r="I79" s="2" t="s">
        <v>51</v>
      </c>
      <c r="J79" s="19">
        <v>420</v>
      </c>
      <c r="K79" s="19"/>
      <c r="L79" s="20">
        <f>IR79*J79+IS79*J79</f>
        <v>0</v>
      </c>
      <c r="HV79" s="2" t="s">
        <v>96</v>
      </c>
      <c r="HW79" s="2" t="s">
        <v>32</v>
      </c>
      <c r="IR79" s="21">
        <f>K79*0</f>
        <v>0</v>
      </c>
      <c r="IS79" s="21">
        <f>K79*(1-0)</f>
        <v>0</v>
      </c>
    </row>
    <row r="80" spans="1:253" x14ac:dyDescent="0.25">
      <c r="A80" s="14" t="s">
        <v>23</v>
      </c>
      <c r="B80" s="15" t="s">
        <v>105</v>
      </c>
      <c r="C80" s="15" t="s">
        <v>25</v>
      </c>
      <c r="D80" s="115" t="s">
        <v>106</v>
      </c>
      <c r="E80" s="116"/>
      <c r="F80" s="116"/>
      <c r="G80" s="116"/>
      <c r="H80" s="116"/>
      <c r="I80" s="15" t="s">
        <v>23</v>
      </c>
      <c r="J80" s="16" t="s">
        <v>23</v>
      </c>
      <c r="K80" s="16"/>
      <c r="L80" s="17">
        <f>L81+L109</f>
        <v>0</v>
      </c>
    </row>
    <row r="81" spans="1:253" x14ac:dyDescent="0.25">
      <c r="A81" s="14" t="s">
        <v>23</v>
      </c>
      <c r="B81" s="15" t="s">
        <v>105</v>
      </c>
      <c r="C81" s="15" t="s">
        <v>27</v>
      </c>
      <c r="D81" s="115" t="s">
        <v>28</v>
      </c>
      <c r="E81" s="116"/>
      <c r="F81" s="116"/>
      <c r="G81" s="116"/>
      <c r="H81" s="116"/>
      <c r="I81" s="15" t="s">
        <v>23</v>
      </c>
      <c r="J81" s="16" t="s">
        <v>23</v>
      </c>
      <c r="K81" s="16"/>
      <c r="L81" s="17">
        <f>SUM(L82:L108)</f>
        <v>0</v>
      </c>
    </row>
    <row r="82" spans="1:253" x14ac:dyDescent="0.25">
      <c r="A82" s="18">
        <v>61</v>
      </c>
      <c r="B82" s="2" t="s">
        <v>105</v>
      </c>
      <c r="C82" s="2" t="s">
        <v>29</v>
      </c>
      <c r="D82" s="108" t="s">
        <v>58</v>
      </c>
      <c r="E82" s="102"/>
      <c r="F82" s="102"/>
      <c r="G82" s="102"/>
      <c r="H82" s="102"/>
      <c r="I82" s="2" t="s">
        <v>31</v>
      </c>
      <c r="J82" s="19">
        <v>92</v>
      </c>
      <c r="K82" s="19"/>
      <c r="L82" s="20">
        <f t="shared" ref="L82:L108" si="4">IR82*J82+IS82*J82</f>
        <v>0</v>
      </c>
      <c r="HV82" s="2" t="s">
        <v>27</v>
      </c>
      <c r="HW82" s="2" t="s">
        <v>32</v>
      </c>
      <c r="IR82" s="21">
        <f>K82*0</f>
        <v>0</v>
      </c>
      <c r="IS82" s="21">
        <f>K82*(1-0)</f>
        <v>0</v>
      </c>
    </row>
    <row r="83" spans="1:253" x14ac:dyDescent="0.25">
      <c r="A83" s="18">
        <v>62</v>
      </c>
      <c r="B83" s="2" t="s">
        <v>105</v>
      </c>
      <c r="C83" s="2" t="s">
        <v>33</v>
      </c>
      <c r="D83" s="108" t="s">
        <v>59</v>
      </c>
      <c r="E83" s="102"/>
      <c r="F83" s="102"/>
      <c r="G83" s="102"/>
      <c r="H83" s="102"/>
      <c r="I83" s="2" t="s">
        <v>31</v>
      </c>
      <c r="J83" s="19">
        <v>132</v>
      </c>
      <c r="K83" s="19"/>
      <c r="L83" s="20">
        <f t="shared" si="4"/>
        <v>0</v>
      </c>
      <c r="HV83" s="2" t="s">
        <v>27</v>
      </c>
      <c r="HW83" s="2" t="s">
        <v>32</v>
      </c>
      <c r="IR83" s="21">
        <f>K83*0</f>
        <v>0</v>
      </c>
      <c r="IS83" s="21">
        <f>K83*(1-0)</f>
        <v>0</v>
      </c>
    </row>
    <row r="84" spans="1:253" x14ac:dyDescent="0.25">
      <c r="A84" s="18">
        <v>63</v>
      </c>
      <c r="B84" s="2" t="s">
        <v>105</v>
      </c>
      <c r="C84" s="2" t="s">
        <v>60</v>
      </c>
      <c r="D84" s="108" t="s">
        <v>61</v>
      </c>
      <c r="E84" s="102"/>
      <c r="F84" s="102"/>
      <c r="G84" s="102"/>
      <c r="H84" s="102"/>
      <c r="I84" s="2" t="s">
        <v>62</v>
      </c>
      <c r="J84" s="19">
        <v>48</v>
      </c>
      <c r="K84" s="19"/>
      <c r="L84" s="20">
        <f t="shared" si="4"/>
        <v>0</v>
      </c>
      <c r="HV84" s="2" t="s">
        <v>27</v>
      </c>
      <c r="HW84" s="2" t="s">
        <v>32</v>
      </c>
      <c r="IR84" s="21">
        <f>K84*0.274019715</f>
        <v>0</v>
      </c>
      <c r="IS84" s="21">
        <f>K84*(1-0.274019715)</f>
        <v>0</v>
      </c>
    </row>
    <row r="85" spans="1:253" x14ac:dyDescent="0.25">
      <c r="A85" s="18">
        <v>64</v>
      </c>
      <c r="B85" s="2" t="s">
        <v>105</v>
      </c>
      <c r="C85" s="2" t="s">
        <v>63</v>
      </c>
      <c r="D85" s="108" t="s">
        <v>64</v>
      </c>
      <c r="E85" s="102"/>
      <c r="F85" s="102"/>
      <c r="G85" s="102"/>
      <c r="H85" s="102"/>
      <c r="I85" s="2" t="s">
        <v>31</v>
      </c>
      <c r="J85" s="19">
        <v>48</v>
      </c>
      <c r="K85" s="19"/>
      <c r="L85" s="20">
        <f t="shared" si="4"/>
        <v>0</v>
      </c>
      <c r="HV85" s="2" t="s">
        <v>27</v>
      </c>
      <c r="HW85" s="2" t="s">
        <v>32</v>
      </c>
      <c r="IR85" s="21">
        <f>K85*0.433822435</f>
        <v>0</v>
      </c>
      <c r="IS85" s="21">
        <f>K85*(1-0.433822435)</f>
        <v>0</v>
      </c>
    </row>
    <row r="86" spans="1:253" x14ac:dyDescent="0.25">
      <c r="A86" s="18">
        <v>65</v>
      </c>
      <c r="B86" s="2" t="s">
        <v>105</v>
      </c>
      <c r="C86" s="2" t="s">
        <v>35</v>
      </c>
      <c r="D86" s="108" t="s">
        <v>36</v>
      </c>
      <c r="E86" s="102"/>
      <c r="F86" s="102"/>
      <c r="G86" s="102"/>
      <c r="H86" s="102"/>
      <c r="I86" s="2" t="s">
        <v>31</v>
      </c>
      <c r="J86" s="19">
        <v>90</v>
      </c>
      <c r="K86" s="19"/>
      <c r="L86" s="20">
        <f t="shared" si="4"/>
        <v>0</v>
      </c>
      <c r="HV86" s="2" t="s">
        <v>27</v>
      </c>
      <c r="HW86" s="2" t="s">
        <v>32</v>
      </c>
      <c r="IR86" s="21">
        <f>K86*0.499111111</f>
        <v>0</v>
      </c>
      <c r="IS86" s="21">
        <f>K86*(1-0.499111111)</f>
        <v>0</v>
      </c>
    </row>
    <row r="87" spans="1:253" x14ac:dyDescent="0.25">
      <c r="A87" s="18">
        <v>66</v>
      </c>
      <c r="B87" s="2" t="s">
        <v>105</v>
      </c>
      <c r="C87" s="2" t="s">
        <v>65</v>
      </c>
      <c r="D87" s="108" t="s">
        <v>66</v>
      </c>
      <c r="E87" s="102"/>
      <c r="F87" s="102"/>
      <c r="G87" s="102"/>
      <c r="H87" s="102"/>
      <c r="I87" s="2" t="s">
        <v>31</v>
      </c>
      <c r="J87" s="19">
        <v>56</v>
      </c>
      <c r="K87" s="19"/>
      <c r="L87" s="20">
        <f t="shared" si="4"/>
        <v>0</v>
      </c>
      <c r="HV87" s="2" t="s">
        <v>27</v>
      </c>
      <c r="HW87" s="2" t="s">
        <v>32</v>
      </c>
      <c r="IR87" s="21">
        <f>K87*0.578547486</f>
        <v>0</v>
      </c>
      <c r="IS87" s="21">
        <f>K87*(1-0.578547486)</f>
        <v>0</v>
      </c>
    </row>
    <row r="88" spans="1:253" x14ac:dyDescent="0.25">
      <c r="A88" s="18">
        <v>67</v>
      </c>
      <c r="B88" s="2" t="s">
        <v>105</v>
      </c>
      <c r="C88" s="2" t="s">
        <v>37</v>
      </c>
      <c r="D88" s="108" t="s">
        <v>38</v>
      </c>
      <c r="E88" s="102"/>
      <c r="F88" s="102"/>
      <c r="G88" s="102"/>
      <c r="H88" s="102"/>
      <c r="I88" s="2" t="s">
        <v>31</v>
      </c>
      <c r="J88" s="19">
        <v>72</v>
      </c>
      <c r="K88" s="19"/>
      <c r="L88" s="20">
        <f t="shared" si="4"/>
        <v>0</v>
      </c>
      <c r="HV88" s="2" t="s">
        <v>27</v>
      </c>
      <c r="HW88" s="2" t="s">
        <v>32</v>
      </c>
      <c r="IR88" s="21">
        <f>K88*0.679694377</f>
        <v>0</v>
      </c>
      <c r="IS88" s="21">
        <f>K88*(1-0.679694377)</f>
        <v>0</v>
      </c>
    </row>
    <row r="89" spans="1:253" x14ac:dyDescent="0.25">
      <c r="A89" s="18">
        <v>68</v>
      </c>
      <c r="B89" s="2" t="s">
        <v>105</v>
      </c>
      <c r="C89" s="2" t="s">
        <v>67</v>
      </c>
      <c r="D89" s="108" t="s">
        <v>68</v>
      </c>
      <c r="E89" s="102"/>
      <c r="F89" s="102"/>
      <c r="G89" s="102"/>
      <c r="H89" s="102"/>
      <c r="I89" s="2" t="s">
        <v>62</v>
      </c>
      <c r="J89" s="19">
        <v>6</v>
      </c>
      <c r="K89" s="19"/>
      <c r="L89" s="20">
        <f t="shared" si="4"/>
        <v>0</v>
      </c>
      <c r="HV89" s="2" t="s">
        <v>27</v>
      </c>
      <c r="HW89" s="2" t="s">
        <v>32</v>
      </c>
      <c r="IR89" s="21">
        <f>K89*0.36283871</f>
        <v>0</v>
      </c>
      <c r="IS89" s="21">
        <f>K89*(1-0.36283871)</f>
        <v>0</v>
      </c>
    </row>
    <row r="90" spans="1:253" x14ac:dyDescent="0.25">
      <c r="A90" s="18">
        <v>69</v>
      </c>
      <c r="B90" s="2" t="s">
        <v>105</v>
      </c>
      <c r="C90" s="2" t="s">
        <v>69</v>
      </c>
      <c r="D90" s="108" t="s">
        <v>70</v>
      </c>
      <c r="E90" s="102"/>
      <c r="F90" s="102"/>
      <c r="G90" s="102"/>
      <c r="H90" s="102"/>
      <c r="I90" s="2" t="s">
        <v>62</v>
      </c>
      <c r="J90" s="19">
        <v>6</v>
      </c>
      <c r="K90" s="19"/>
      <c r="L90" s="20">
        <f t="shared" si="4"/>
        <v>0</v>
      </c>
      <c r="HV90" s="2" t="s">
        <v>27</v>
      </c>
      <c r="HW90" s="2" t="s">
        <v>32</v>
      </c>
      <c r="IR90" s="21">
        <f>K90*0.421400778</f>
        <v>0</v>
      </c>
      <c r="IS90" s="21">
        <f>K90*(1-0.421400778)</f>
        <v>0</v>
      </c>
    </row>
    <row r="91" spans="1:253" x14ac:dyDescent="0.25">
      <c r="A91" s="18">
        <v>70</v>
      </c>
      <c r="B91" s="2" t="s">
        <v>105</v>
      </c>
      <c r="C91" s="2" t="s">
        <v>71</v>
      </c>
      <c r="D91" s="108" t="s">
        <v>72</v>
      </c>
      <c r="E91" s="102"/>
      <c r="F91" s="102"/>
      <c r="G91" s="102"/>
      <c r="H91" s="102"/>
      <c r="I91" s="2" t="s">
        <v>62</v>
      </c>
      <c r="J91" s="19">
        <v>6</v>
      </c>
      <c r="K91" s="19"/>
      <c r="L91" s="20">
        <f t="shared" si="4"/>
        <v>0</v>
      </c>
      <c r="HV91" s="2" t="s">
        <v>27</v>
      </c>
      <c r="HW91" s="2" t="s">
        <v>32</v>
      </c>
      <c r="IR91" s="21">
        <f>K91*0.490622392</f>
        <v>0</v>
      </c>
      <c r="IS91" s="21">
        <f>K91*(1-0.490622392)</f>
        <v>0</v>
      </c>
    </row>
    <row r="92" spans="1:253" x14ac:dyDescent="0.25">
      <c r="A92" s="18">
        <v>71</v>
      </c>
      <c r="B92" s="2" t="s">
        <v>105</v>
      </c>
      <c r="C92" s="2" t="s">
        <v>73</v>
      </c>
      <c r="D92" s="108" t="s">
        <v>74</v>
      </c>
      <c r="E92" s="102"/>
      <c r="F92" s="102"/>
      <c r="G92" s="102"/>
      <c r="H92" s="102"/>
      <c r="I92" s="2" t="s">
        <v>31</v>
      </c>
      <c r="J92" s="19">
        <v>48</v>
      </c>
      <c r="K92" s="19"/>
      <c r="L92" s="20">
        <f t="shared" si="4"/>
        <v>0</v>
      </c>
      <c r="HV92" s="2" t="s">
        <v>27</v>
      </c>
      <c r="HW92" s="2" t="s">
        <v>32</v>
      </c>
      <c r="IR92" s="21">
        <f>K92*0.230682632</f>
        <v>0</v>
      </c>
      <c r="IS92" s="21">
        <f>K92*(1-0.230682632)</f>
        <v>0</v>
      </c>
    </row>
    <row r="93" spans="1:253" x14ac:dyDescent="0.25">
      <c r="A93" s="18">
        <v>72</v>
      </c>
      <c r="B93" s="2" t="s">
        <v>105</v>
      </c>
      <c r="C93" s="2" t="s">
        <v>75</v>
      </c>
      <c r="D93" s="108" t="s">
        <v>76</v>
      </c>
      <c r="E93" s="102"/>
      <c r="F93" s="102"/>
      <c r="G93" s="102"/>
      <c r="H93" s="102"/>
      <c r="I93" s="2" t="s">
        <v>31</v>
      </c>
      <c r="J93" s="19">
        <v>10</v>
      </c>
      <c r="K93" s="19"/>
      <c r="L93" s="20">
        <f t="shared" si="4"/>
        <v>0</v>
      </c>
      <c r="HV93" s="2" t="s">
        <v>27</v>
      </c>
      <c r="HW93" s="2" t="s">
        <v>32</v>
      </c>
      <c r="IR93" s="21">
        <f>K93*0.244039835</f>
        <v>0</v>
      </c>
      <c r="IS93" s="21">
        <f>K93*(1-0.244039835)</f>
        <v>0</v>
      </c>
    </row>
    <row r="94" spans="1:253" x14ac:dyDescent="0.25">
      <c r="A94" s="18">
        <v>73</v>
      </c>
      <c r="B94" s="2" t="s">
        <v>105</v>
      </c>
      <c r="C94" s="2" t="s">
        <v>77</v>
      </c>
      <c r="D94" s="108" t="s">
        <v>78</v>
      </c>
      <c r="E94" s="102"/>
      <c r="F94" s="102"/>
      <c r="G94" s="102"/>
      <c r="H94" s="102"/>
      <c r="I94" s="2" t="s">
        <v>31</v>
      </c>
      <c r="J94" s="19">
        <v>28</v>
      </c>
      <c r="K94" s="19"/>
      <c r="L94" s="20">
        <f t="shared" si="4"/>
        <v>0</v>
      </c>
      <c r="HV94" s="2" t="s">
        <v>27</v>
      </c>
      <c r="HW94" s="2" t="s">
        <v>32</v>
      </c>
      <c r="IR94" s="21">
        <f>K94*0.242374429</f>
        <v>0</v>
      </c>
      <c r="IS94" s="21">
        <f>K94*(1-0.242374429)</f>
        <v>0</v>
      </c>
    </row>
    <row r="95" spans="1:253" x14ac:dyDescent="0.25">
      <c r="A95" s="18">
        <v>74</v>
      </c>
      <c r="B95" s="2" t="s">
        <v>105</v>
      </c>
      <c r="C95" s="2" t="s">
        <v>39</v>
      </c>
      <c r="D95" s="108" t="s">
        <v>40</v>
      </c>
      <c r="E95" s="102"/>
      <c r="F95" s="102"/>
      <c r="G95" s="102"/>
      <c r="H95" s="102"/>
      <c r="I95" s="2" t="s">
        <v>31</v>
      </c>
      <c r="J95" s="19">
        <v>36</v>
      </c>
      <c r="K95" s="19"/>
      <c r="L95" s="20">
        <f t="shared" si="4"/>
        <v>0</v>
      </c>
      <c r="HV95" s="2" t="s">
        <v>27</v>
      </c>
      <c r="HW95" s="2" t="s">
        <v>32</v>
      </c>
      <c r="IR95" s="21">
        <f>K95*0.2552638</f>
        <v>0</v>
      </c>
      <c r="IS95" s="21">
        <f>K95*(1-0.2552638)</f>
        <v>0</v>
      </c>
    </row>
    <row r="96" spans="1:253" x14ac:dyDescent="0.25">
      <c r="A96" s="18">
        <v>75</v>
      </c>
      <c r="B96" s="2" t="s">
        <v>105</v>
      </c>
      <c r="C96" s="2" t="s">
        <v>41</v>
      </c>
      <c r="D96" s="108" t="s">
        <v>42</v>
      </c>
      <c r="E96" s="102"/>
      <c r="F96" s="102"/>
      <c r="G96" s="102"/>
      <c r="H96" s="102"/>
      <c r="I96" s="2" t="s">
        <v>31</v>
      </c>
      <c r="J96" s="19">
        <v>80</v>
      </c>
      <c r="K96" s="19"/>
      <c r="L96" s="20">
        <f t="shared" si="4"/>
        <v>0</v>
      </c>
      <c r="HV96" s="2" t="s">
        <v>27</v>
      </c>
      <c r="HW96" s="2" t="s">
        <v>32</v>
      </c>
      <c r="IR96" s="21">
        <f>K96*0.523268364</f>
        <v>0</v>
      </c>
      <c r="IS96" s="21">
        <f>K96*(1-0.523268364)</f>
        <v>0</v>
      </c>
    </row>
    <row r="97" spans="1:253" x14ac:dyDescent="0.25">
      <c r="A97" s="18">
        <v>76</v>
      </c>
      <c r="B97" s="2" t="s">
        <v>105</v>
      </c>
      <c r="C97" s="2" t="s">
        <v>79</v>
      </c>
      <c r="D97" s="108" t="s">
        <v>80</v>
      </c>
      <c r="E97" s="102"/>
      <c r="F97" s="102"/>
      <c r="G97" s="102"/>
      <c r="H97" s="102"/>
      <c r="I97" s="2" t="s">
        <v>31</v>
      </c>
      <c r="J97" s="19">
        <v>28</v>
      </c>
      <c r="K97" s="19"/>
      <c r="L97" s="20">
        <f t="shared" si="4"/>
        <v>0</v>
      </c>
      <c r="HV97" s="2" t="s">
        <v>27</v>
      </c>
      <c r="HW97" s="2" t="s">
        <v>32</v>
      </c>
      <c r="IR97" s="21">
        <f>K97*0.527714286</f>
        <v>0</v>
      </c>
      <c r="IS97" s="21">
        <f>K97*(1-0.527714286)</f>
        <v>0</v>
      </c>
    </row>
    <row r="98" spans="1:253" x14ac:dyDescent="0.25">
      <c r="A98" s="18">
        <v>77</v>
      </c>
      <c r="B98" s="2" t="s">
        <v>105</v>
      </c>
      <c r="C98" s="2" t="s">
        <v>43</v>
      </c>
      <c r="D98" s="108" t="s">
        <v>44</v>
      </c>
      <c r="E98" s="102"/>
      <c r="F98" s="102"/>
      <c r="G98" s="102"/>
      <c r="H98" s="102"/>
      <c r="I98" s="2" t="s">
        <v>31</v>
      </c>
      <c r="J98" s="19">
        <v>36</v>
      </c>
      <c r="K98" s="19"/>
      <c r="L98" s="20">
        <f t="shared" si="4"/>
        <v>0</v>
      </c>
      <c r="HV98" s="2" t="s">
        <v>27</v>
      </c>
      <c r="HW98" s="2" t="s">
        <v>32</v>
      </c>
      <c r="IR98" s="21">
        <f>K98*0.526501218</f>
        <v>0</v>
      </c>
      <c r="IS98" s="21">
        <f>K98*(1-0.526501218)</f>
        <v>0</v>
      </c>
    </row>
    <row r="99" spans="1:253" x14ac:dyDescent="0.25">
      <c r="A99" s="18">
        <v>78</v>
      </c>
      <c r="B99" s="2" t="s">
        <v>105</v>
      </c>
      <c r="C99" s="2" t="s">
        <v>81</v>
      </c>
      <c r="D99" s="108" t="s">
        <v>82</v>
      </c>
      <c r="E99" s="102"/>
      <c r="F99" s="102"/>
      <c r="G99" s="102"/>
      <c r="H99" s="102"/>
      <c r="I99" s="2" t="s">
        <v>62</v>
      </c>
      <c r="J99" s="19">
        <v>96</v>
      </c>
      <c r="K99" s="19"/>
      <c r="L99" s="20">
        <f t="shared" si="4"/>
        <v>0</v>
      </c>
      <c r="HV99" s="2" t="s">
        <v>27</v>
      </c>
      <c r="HW99" s="2" t="s">
        <v>32</v>
      </c>
      <c r="IR99" s="21">
        <f>K99*1</f>
        <v>0</v>
      </c>
      <c r="IS99" s="21">
        <f>K99*(1-1)</f>
        <v>0</v>
      </c>
    </row>
    <row r="100" spans="1:253" x14ac:dyDescent="0.25">
      <c r="A100" s="18">
        <v>79</v>
      </c>
      <c r="B100" s="2" t="s">
        <v>105</v>
      </c>
      <c r="C100" s="2" t="s">
        <v>83</v>
      </c>
      <c r="D100" s="108" t="s">
        <v>84</v>
      </c>
      <c r="E100" s="102"/>
      <c r="F100" s="102"/>
      <c r="G100" s="102"/>
      <c r="H100" s="102"/>
      <c r="I100" s="2" t="s">
        <v>62</v>
      </c>
      <c r="J100" s="19">
        <v>48</v>
      </c>
      <c r="K100" s="19"/>
      <c r="L100" s="20">
        <f t="shared" si="4"/>
        <v>0</v>
      </c>
      <c r="HV100" s="2" t="s">
        <v>27</v>
      </c>
      <c r="HW100" s="2" t="s">
        <v>32</v>
      </c>
      <c r="IR100" s="21">
        <f>K100*0.728219476</f>
        <v>0</v>
      </c>
      <c r="IS100" s="21">
        <f>K100*(1-0.728219476)</f>
        <v>0</v>
      </c>
    </row>
    <row r="101" spans="1:253" x14ac:dyDescent="0.25">
      <c r="A101" s="18">
        <v>80</v>
      </c>
      <c r="B101" s="2" t="s">
        <v>105</v>
      </c>
      <c r="C101" s="2" t="s">
        <v>85</v>
      </c>
      <c r="D101" s="108" t="s">
        <v>86</v>
      </c>
      <c r="E101" s="102"/>
      <c r="F101" s="102"/>
      <c r="G101" s="102"/>
      <c r="H101" s="102"/>
      <c r="I101" s="2" t="s">
        <v>62</v>
      </c>
      <c r="J101" s="19">
        <v>48</v>
      </c>
      <c r="K101" s="19"/>
      <c r="L101" s="20">
        <f t="shared" si="4"/>
        <v>0</v>
      </c>
      <c r="HV101" s="2" t="s">
        <v>27</v>
      </c>
      <c r="HW101" s="2" t="s">
        <v>32</v>
      </c>
      <c r="IR101" s="21">
        <f>K101*0.699406894</f>
        <v>0</v>
      </c>
      <c r="IS101" s="21">
        <f>K101*(1-0.699406894)</f>
        <v>0</v>
      </c>
    </row>
    <row r="102" spans="1:253" x14ac:dyDescent="0.25">
      <c r="A102" s="18">
        <v>81</v>
      </c>
      <c r="B102" s="2" t="s">
        <v>105</v>
      </c>
      <c r="C102" s="2" t="s">
        <v>87</v>
      </c>
      <c r="D102" s="108" t="s">
        <v>88</v>
      </c>
      <c r="E102" s="102"/>
      <c r="F102" s="102"/>
      <c r="G102" s="102"/>
      <c r="H102" s="102"/>
      <c r="I102" s="2" t="s">
        <v>62</v>
      </c>
      <c r="J102" s="19">
        <v>48</v>
      </c>
      <c r="K102" s="19"/>
      <c r="L102" s="20">
        <f t="shared" si="4"/>
        <v>0</v>
      </c>
      <c r="HV102" s="2" t="s">
        <v>27</v>
      </c>
      <c r="HW102" s="2" t="s">
        <v>32</v>
      </c>
      <c r="IR102" s="21">
        <f>K102*0</f>
        <v>0</v>
      </c>
      <c r="IS102" s="21">
        <f>K102*(1-0)</f>
        <v>0</v>
      </c>
    </row>
    <row r="103" spans="1:253" x14ac:dyDescent="0.25">
      <c r="A103" s="18">
        <v>82</v>
      </c>
      <c r="B103" s="2" t="s">
        <v>105</v>
      </c>
      <c r="C103" s="2" t="s">
        <v>89</v>
      </c>
      <c r="D103" s="108" t="s">
        <v>90</v>
      </c>
      <c r="E103" s="102"/>
      <c r="F103" s="102"/>
      <c r="G103" s="102"/>
      <c r="H103" s="102"/>
      <c r="I103" s="2" t="s">
        <v>62</v>
      </c>
      <c r="J103" s="19">
        <v>48</v>
      </c>
      <c r="K103" s="19"/>
      <c r="L103" s="20">
        <f t="shared" si="4"/>
        <v>0</v>
      </c>
      <c r="HV103" s="2" t="s">
        <v>27</v>
      </c>
      <c r="HW103" s="2" t="s">
        <v>32</v>
      </c>
      <c r="IR103" s="21">
        <f>K103*0.034752475</f>
        <v>0</v>
      </c>
      <c r="IS103" s="21">
        <f>K103*(1-0.034752475)</f>
        <v>0</v>
      </c>
    </row>
    <row r="104" spans="1:253" x14ac:dyDescent="0.25">
      <c r="A104" s="18">
        <v>83</v>
      </c>
      <c r="B104" s="2" t="s">
        <v>105</v>
      </c>
      <c r="C104" s="2" t="s">
        <v>91</v>
      </c>
      <c r="D104" s="108" t="s">
        <v>92</v>
      </c>
      <c r="E104" s="102"/>
      <c r="F104" s="102"/>
      <c r="G104" s="102"/>
      <c r="H104" s="102"/>
      <c r="I104" s="2" t="s">
        <v>62</v>
      </c>
      <c r="J104" s="19">
        <v>48</v>
      </c>
      <c r="K104" s="19"/>
      <c r="L104" s="20">
        <f t="shared" si="4"/>
        <v>0</v>
      </c>
      <c r="HV104" s="2" t="s">
        <v>27</v>
      </c>
      <c r="HW104" s="2" t="s">
        <v>32</v>
      </c>
      <c r="IR104" s="21">
        <f>K104*0.166666667</f>
        <v>0</v>
      </c>
      <c r="IS104" s="21">
        <f>K104*(1-0.166666667)</f>
        <v>0</v>
      </c>
    </row>
    <row r="105" spans="1:253" x14ac:dyDescent="0.25">
      <c r="A105" s="18">
        <v>84</v>
      </c>
      <c r="B105" s="2" t="s">
        <v>105</v>
      </c>
      <c r="C105" s="2" t="s">
        <v>45</v>
      </c>
      <c r="D105" s="108" t="s">
        <v>46</v>
      </c>
      <c r="E105" s="102"/>
      <c r="F105" s="102"/>
      <c r="G105" s="102"/>
      <c r="H105" s="102"/>
      <c r="I105" s="2" t="s">
        <v>31</v>
      </c>
      <c r="J105" s="19">
        <v>194</v>
      </c>
      <c r="K105" s="19"/>
      <c r="L105" s="20">
        <f t="shared" si="4"/>
        <v>0</v>
      </c>
      <c r="HV105" s="2" t="s">
        <v>27</v>
      </c>
      <c r="HW105" s="2" t="s">
        <v>32</v>
      </c>
      <c r="IR105" s="21">
        <f>K105*0.014893617</f>
        <v>0</v>
      </c>
      <c r="IS105" s="21">
        <f>K105*(1-0.014893617)</f>
        <v>0</v>
      </c>
    </row>
    <row r="106" spans="1:253" x14ac:dyDescent="0.25">
      <c r="A106" s="18">
        <v>85</v>
      </c>
      <c r="B106" s="2" t="s">
        <v>105</v>
      </c>
      <c r="C106" s="2" t="s">
        <v>47</v>
      </c>
      <c r="D106" s="108" t="s">
        <v>48</v>
      </c>
      <c r="E106" s="102"/>
      <c r="F106" s="102"/>
      <c r="G106" s="102"/>
      <c r="H106" s="102"/>
      <c r="I106" s="2" t="s">
        <v>31</v>
      </c>
      <c r="J106" s="19">
        <v>72</v>
      </c>
      <c r="K106" s="19"/>
      <c r="L106" s="20">
        <f t="shared" si="4"/>
        <v>0</v>
      </c>
      <c r="HV106" s="2" t="s">
        <v>27</v>
      </c>
      <c r="HW106" s="2" t="s">
        <v>32</v>
      </c>
      <c r="IR106" s="21">
        <f>K106*0.016923843</f>
        <v>0</v>
      </c>
      <c r="IS106" s="21">
        <f>K106*(1-0.016923843)</f>
        <v>0</v>
      </c>
    </row>
    <row r="107" spans="1:253" x14ac:dyDescent="0.25">
      <c r="A107" s="18">
        <v>86</v>
      </c>
      <c r="B107" s="2" t="s">
        <v>105</v>
      </c>
      <c r="C107" s="2" t="s">
        <v>93</v>
      </c>
      <c r="D107" s="108" t="s">
        <v>94</v>
      </c>
      <c r="E107" s="102"/>
      <c r="F107" s="102"/>
      <c r="G107" s="102"/>
      <c r="H107" s="102"/>
      <c r="I107" s="2" t="s">
        <v>95</v>
      </c>
      <c r="J107" s="19">
        <v>0.2</v>
      </c>
      <c r="K107" s="19"/>
      <c r="L107" s="20">
        <f t="shared" si="4"/>
        <v>0</v>
      </c>
      <c r="HV107" s="2" t="s">
        <v>27</v>
      </c>
      <c r="HW107" s="2" t="s">
        <v>32</v>
      </c>
      <c r="IR107" s="21">
        <f>K107*0</f>
        <v>0</v>
      </c>
      <c r="IS107" s="21">
        <f>K107*(1-0)</f>
        <v>0</v>
      </c>
    </row>
    <row r="108" spans="1:253" x14ac:dyDescent="0.25">
      <c r="A108" s="18">
        <v>87</v>
      </c>
      <c r="B108" s="2" t="s">
        <v>105</v>
      </c>
      <c r="C108" s="2" t="s">
        <v>49</v>
      </c>
      <c r="D108" s="108" t="s">
        <v>50</v>
      </c>
      <c r="E108" s="102"/>
      <c r="F108" s="102"/>
      <c r="G108" s="102"/>
      <c r="H108" s="102"/>
      <c r="I108" s="2" t="s">
        <v>51</v>
      </c>
      <c r="J108" s="19">
        <v>2715</v>
      </c>
      <c r="K108" s="19"/>
      <c r="L108" s="20">
        <f t="shared" si="4"/>
        <v>0</v>
      </c>
      <c r="HV108" s="2" t="s">
        <v>27</v>
      </c>
      <c r="HW108" s="2" t="s">
        <v>32</v>
      </c>
      <c r="IR108" s="21">
        <f>K108*0</f>
        <v>0</v>
      </c>
      <c r="IS108" s="21">
        <f>K108*(1-0)</f>
        <v>0</v>
      </c>
    </row>
    <row r="109" spans="1:253" x14ac:dyDescent="0.25">
      <c r="A109" s="14" t="s">
        <v>23</v>
      </c>
      <c r="B109" s="15" t="s">
        <v>105</v>
      </c>
      <c r="C109" s="15" t="s">
        <v>96</v>
      </c>
      <c r="D109" s="115" t="s">
        <v>97</v>
      </c>
      <c r="E109" s="116"/>
      <c r="F109" s="116"/>
      <c r="G109" s="116"/>
      <c r="H109" s="116"/>
      <c r="I109" s="15" t="s">
        <v>23</v>
      </c>
      <c r="J109" s="16" t="s">
        <v>23</v>
      </c>
      <c r="K109" s="16"/>
      <c r="L109" s="17">
        <f>SUM(L110:L112)</f>
        <v>0</v>
      </c>
    </row>
    <row r="110" spans="1:253" x14ac:dyDescent="0.25">
      <c r="A110" s="18">
        <v>88</v>
      </c>
      <c r="B110" s="2" t="s">
        <v>105</v>
      </c>
      <c r="C110" s="2" t="s">
        <v>98</v>
      </c>
      <c r="D110" s="108" t="s">
        <v>99</v>
      </c>
      <c r="E110" s="102"/>
      <c r="F110" s="102"/>
      <c r="G110" s="102"/>
      <c r="H110" s="102"/>
      <c r="I110" s="2" t="s">
        <v>100</v>
      </c>
      <c r="J110" s="19">
        <v>24</v>
      </c>
      <c r="K110" s="19"/>
      <c r="L110" s="20">
        <f>IR110*J110+IS110*J110</f>
        <v>0</v>
      </c>
      <c r="HV110" s="2" t="s">
        <v>96</v>
      </c>
      <c r="HW110" s="2" t="s">
        <v>32</v>
      </c>
      <c r="IR110" s="21">
        <f>K110*0</f>
        <v>0</v>
      </c>
      <c r="IS110" s="21">
        <f>K110*(1-0)</f>
        <v>0</v>
      </c>
    </row>
    <row r="111" spans="1:253" x14ac:dyDescent="0.25">
      <c r="A111" s="18">
        <v>89</v>
      </c>
      <c r="B111" s="2" t="s">
        <v>105</v>
      </c>
      <c r="C111" s="2" t="s">
        <v>101</v>
      </c>
      <c r="D111" s="108" t="s">
        <v>102</v>
      </c>
      <c r="E111" s="102"/>
      <c r="F111" s="102"/>
      <c r="G111" s="102"/>
      <c r="H111" s="102"/>
      <c r="I111" s="2" t="s">
        <v>100</v>
      </c>
      <c r="J111" s="19">
        <v>24</v>
      </c>
      <c r="K111" s="19"/>
      <c r="L111" s="20">
        <f>IR111*J111+IS111*J111</f>
        <v>0</v>
      </c>
      <c r="HV111" s="2" t="s">
        <v>96</v>
      </c>
      <c r="HW111" s="2" t="s">
        <v>32</v>
      </c>
      <c r="IR111" s="21">
        <f>K111*0.443493724</f>
        <v>0</v>
      </c>
      <c r="IS111" s="21">
        <f>K111*(1-0.443493724)</f>
        <v>0</v>
      </c>
    </row>
    <row r="112" spans="1:253" x14ac:dyDescent="0.25">
      <c r="A112" s="18">
        <v>90</v>
      </c>
      <c r="B112" s="2" t="s">
        <v>105</v>
      </c>
      <c r="C112" s="2" t="s">
        <v>103</v>
      </c>
      <c r="D112" s="108" t="s">
        <v>104</v>
      </c>
      <c r="E112" s="102"/>
      <c r="F112" s="102"/>
      <c r="G112" s="102"/>
      <c r="H112" s="102"/>
      <c r="I112" s="2" t="s">
        <v>51</v>
      </c>
      <c r="J112" s="19">
        <v>420</v>
      </c>
      <c r="K112" s="19"/>
      <c r="L112" s="20">
        <f>IR112*J112+IS112*J112</f>
        <v>0</v>
      </c>
      <c r="HV112" s="2" t="s">
        <v>96</v>
      </c>
      <c r="HW112" s="2" t="s">
        <v>32</v>
      </c>
      <c r="IR112" s="21">
        <f>K112*0</f>
        <v>0</v>
      </c>
      <c r="IS112" s="21">
        <f>K112*(1-0)</f>
        <v>0</v>
      </c>
    </row>
    <row r="113" spans="1:253" x14ac:dyDescent="0.25">
      <c r="A113" s="14" t="s">
        <v>23</v>
      </c>
      <c r="B113" s="15" t="s">
        <v>107</v>
      </c>
      <c r="C113" s="15" t="s">
        <v>25</v>
      </c>
      <c r="D113" s="115" t="s">
        <v>108</v>
      </c>
      <c r="E113" s="116"/>
      <c r="F113" s="116"/>
      <c r="G113" s="116"/>
      <c r="H113" s="116"/>
      <c r="I113" s="15" t="s">
        <v>23</v>
      </c>
      <c r="J113" s="16" t="s">
        <v>23</v>
      </c>
      <c r="K113" s="16"/>
      <c r="L113" s="17">
        <f>L114+L142</f>
        <v>0</v>
      </c>
    </row>
    <row r="114" spans="1:253" x14ac:dyDescent="0.25">
      <c r="A114" s="14" t="s">
        <v>23</v>
      </c>
      <c r="B114" s="15" t="s">
        <v>107</v>
      </c>
      <c r="C114" s="15" t="s">
        <v>27</v>
      </c>
      <c r="D114" s="115" t="s">
        <v>28</v>
      </c>
      <c r="E114" s="116"/>
      <c r="F114" s="116"/>
      <c r="G114" s="116"/>
      <c r="H114" s="116"/>
      <c r="I114" s="15" t="s">
        <v>23</v>
      </c>
      <c r="J114" s="16" t="s">
        <v>23</v>
      </c>
      <c r="K114" s="16"/>
      <c r="L114" s="17">
        <f>SUM(L115:L141)</f>
        <v>0</v>
      </c>
    </row>
    <row r="115" spans="1:253" x14ac:dyDescent="0.25">
      <c r="A115" s="18">
        <v>91</v>
      </c>
      <c r="B115" s="2" t="s">
        <v>107</v>
      </c>
      <c r="C115" s="2" t="s">
        <v>29</v>
      </c>
      <c r="D115" s="108" t="s">
        <v>58</v>
      </c>
      <c r="E115" s="102"/>
      <c r="F115" s="102"/>
      <c r="G115" s="102"/>
      <c r="H115" s="102"/>
      <c r="I115" s="2" t="s">
        <v>31</v>
      </c>
      <c r="J115" s="19">
        <v>92</v>
      </c>
      <c r="K115" s="19"/>
      <c r="L115" s="20">
        <f t="shared" ref="L115:L141" si="5">IR115*J115+IS115*J115</f>
        <v>0</v>
      </c>
      <c r="HV115" s="2" t="s">
        <v>27</v>
      </c>
      <c r="HW115" s="2" t="s">
        <v>32</v>
      </c>
      <c r="IR115" s="21">
        <f>K115*0</f>
        <v>0</v>
      </c>
      <c r="IS115" s="21">
        <f>K115*(1-0)</f>
        <v>0</v>
      </c>
    </row>
    <row r="116" spans="1:253" x14ac:dyDescent="0.25">
      <c r="A116" s="18">
        <v>92</v>
      </c>
      <c r="B116" s="2" t="s">
        <v>107</v>
      </c>
      <c r="C116" s="2" t="s">
        <v>33</v>
      </c>
      <c r="D116" s="108" t="s">
        <v>59</v>
      </c>
      <c r="E116" s="102"/>
      <c r="F116" s="102"/>
      <c r="G116" s="102"/>
      <c r="H116" s="102"/>
      <c r="I116" s="2" t="s">
        <v>31</v>
      </c>
      <c r="J116" s="19">
        <v>132</v>
      </c>
      <c r="K116" s="19"/>
      <c r="L116" s="20">
        <f t="shared" si="5"/>
        <v>0</v>
      </c>
      <c r="HV116" s="2" t="s">
        <v>27</v>
      </c>
      <c r="HW116" s="2" t="s">
        <v>32</v>
      </c>
      <c r="IR116" s="21">
        <f>K116*0</f>
        <v>0</v>
      </c>
      <c r="IS116" s="21">
        <f>K116*(1-0)</f>
        <v>0</v>
      </c>
    </row>
    <row r="117" spans="1:253" x14ac:dyDescent="0.25">
      <c r="A117" s="18">
        <v>93</v>
      </c>
      <c r="B117" s="2" t="s">
        <v>107</v>
      </c>
      <c r="C117" s="2" t="s">
        <v>60</v>
      </c>
      <c r="D117" s="108" t="s">
        <v>61</v>
      </c>
      <c r="E117" s="102"/>
      <c r="F117" s="102"/>
      <c r="G117" s="102"/>
      <c r="H117" s="102"/>
      <c r="I117" s="2" t="s">
        <v>62</v>
      </c>
      <c r="J117" s="19">
        <v>48</v>
      </c>
      <c r="K117" s="19"/>
      <c r="L117" s="20">
        <f t="shared" si="5"/>
        <v>0</v>
      </c>
      <c r="HV117" s="2" t="s">
        <v>27</v>
      </c>
      <c r="HW117" s="2" t="s">
        <v>32</v>
      </c>
      <c r="IR117" s="21">
        <f>K117*0.274019715</f>
        <v>0</v>
      </c>
      <c r="IS117" s="21">
        <f>K117*(1-0.274019715)</f>
        <v>0</v>
      </c>
    </row>
    <row r="118" spans="1:253" x14ac:dyDescent="0.25">
      <c r="A118" s="18">
        <v>94</v>
      </c>
      <c r="B118" s="2" t="s">
        <v>107</v>
      </c>
      <c r="C118" s="2" t="s">
        <v>63</v>
      </c>
      <c r="D118" s="108" t="s">
        <v>64</v>
      </c>
      <c r="E118" s="102"/>
      <c r="F118" s="102"/>
      <c r="G118" s="102"/>
      <c r="H118" s="102"/>
      <c r="I118" s="2" t="s">
        <v>31</v>
      </c>
      <c r="J118" s="19">
        <v>48</v>
      </c>
      <c r="K118" s="19"/>
      <c r="L118" s="20">
        <f t="shared" si="5"/>
        <v>0</v>
      </c>
      <c r="HV118" s="2" t="s">
        <v>27</v>
      </c>
      <c r="HW118" s="2" t="s">
        <v>32</v>
      </c>
      <c r="IR118" s="21">
        <f>K118*0.433822435</f>
        <v>0</v>
      </c>
      <c r="IS118" s="21">
        <f>K118*(1-0.433822435)</f>
        <v>0</v>
      </c>
    </row>
    <row r="119" spans="1:253" x14ac:dyDescent="0.25">
      <c r="A119" s="18">
        <v>95</v>
      </c>
      <c r="B119" s="2" t="s">
        <v>107</v>
      </c>
      <c r="C119" s="2" t="s">
        <v>35</v>
      </c>
      <c r="D119" s="108" t="s">
        <v>36</v>
      </c>
      <c r="E119" s="102"/>
      <c r="F119" s="102"/>
      <c r="G119" s="102"/>
      <c r="H119" s="102"/>
      <c r="I119" s="2" t="s">
        <v>31</v>
      </c>
      <c r="J119" s="19">
        <v>90</v>
      </c>
      <c r="K119" s="19"/>
      <c r="L119" s="20">
        <f t="shared" si="5"/>
        <v>0</v>
      </c>
      <c r="HV119" s="2" t="s">
        <v>27</v>
      </c>
      <c r="HW119" s="2" t="s">
        <v>32</v>
      </c>
      <c r="IR119" s="21">
        <f>K119*0.499111111</f>
        <v>0</v>
      </c>
      <c r="IS119" s="21">
        <f>K119*(1-0.499111111)</f>
        <v>0</v>
      </c>
    </row>
    <row r="120" spans="1:253" x14ac:dyDescent="0.25">
      <c r="A120" s="18">
        <v>96</v>
      </c>
      <c r="B120" s="2" t="s">
        <v>107</v>
      </c>
      <c r="C120" s="2" t="s">
        <v>65</v>
      </c>
      <c r="D120" s="108" t="s">
        <v>66</v>
      </c>
      <c r="E120" s="102"/>
      <c r="F120" s="102"/>
      <c r="G120" s="102"/>
      <c r="H120" s="102"/>
      <c r="I120" s="2" t="s">
        <v>31</v>
      </c>
      <c r="J120" s="19">
        <v>56</v>
      </c>
      <c r="K120" s="19"/>
      <c r="L120" s="20">
        <f t="shared" si="5"/>
        <v>0</v>
      </c>
      <c r="HV120" s="2" t="s">
        <v>27</v>
      </c>
      <c r="HW120" s="2" t="s">
        <v>32</v>
      </c>
      <c r="IR120" s="21">
        <f>K120*0.578547486</f>
        <v>0</v>
      </c>
      <c r="IS120" s="21">
        <f>K120*(1-0.578547486)</f>
        <v>0</v>
      </c>
    </row>
    <row r="121" spans="1:253" x14ac:dyDescent="0.25">
      <c r="A121" s="18">
        <v>97</v>
      </c>
      <c r="B121" s="2" t="s">
        <v>107</v>
      </c>
      <c r="C121" s="2" t="s">
        <v>37</v>
      </c>
      <c r="D121" s="108" t="s">
        <v>38</v>
      </c>
      <c r="E121" s="102"/>
      <c r="F121" s="102"/>
      <c r="G121" s="102"/>
      <c r="H121" s="102"/>
      <c r="I121" s="2" t="s">
        <v>31</v>
      </c>
      <c r="J121" s="19">
        <v>72</v>
      </c>
      <c r="K121" s="19"/>
      <c r="L121" s="20">
        <f t="shared" si="5"/>
        <v>0</v>
      </c>
      <c r="HV121" s="2" t="s">
        <v>27</v>
      </c>
      <c r="HW121" s="2" t="s">
        <v>32</v>
      </c>
      <c r="IR121" s="21">
        <f>K121*0.679694377</f>
        <v>0</v>
      </c>
      <c r="IS121" s="21">
        <f>K121*(1-0.679694377)</f>
        <v>0</v>
      </c>
    </row>
    <row r="122" spans="1:253" x14ac:dyDescent="0.25">
      <c r="A122" s="18">
        <v>98</v>
      </c>
      <c r="B122" s="2" t="s">
        <v>107</v>
      </c>
      <c r="C122" s="2" t="s">
        <v>67</v>
      </c>
      <c r="D122" s="108" t="s">
        <v>68</v>
      </c>
      <c r="E122" s="102"/>
      <c r="F122" s="102"/>
      <c r="G122" s="102"/>
      <c r="H122" s="102"/>
      <c r="I122" s="2" t="s">
        <v>62</v>
      </c>
      <c r="J122" s="19">
        <v>6</v>
      </c>
      <c r="K122" s="19"/>
      <c r="L122" s="20">
        <f t="shared" si="5"/>
        <v>0</v>
      </c>
      <c r="HV122" s="2" t="s">
        <v>27</v>
      </c>
      <c r="HW122" s="2" t="s">
        <v>32</v>
      </c>
      <c r="IR122" s="21">
        <f>K122*0.36283871</f>
        <v>0</v>
      </c>
      <c r="IS122" s="21">
        <f>K122*(1-0.36283871)</f>
        <v>0</v>
      </c>
    </row>
    <row r="123" spans="1:253" x14ac:dyDescent="0.25">
      <c r="A123" s="18">
        <v>99</v>
      </c>
      <c r="B123" s="2" t="s">
        <v>107</v>
      </c>
      <c r="C123" s="2" t="s">
        <v>69</v>
      </c>
      <c r="D123" s="108" t="s">
        <v>70</v>
      </c>
      <c r="E123" s="102"/>
      <c r="F123" s="102"/>
      <c r="G123" s="102"/>
      <c r="H123" s="102"/>
      <c r="I123" s="2" t="s">
        <v>62</v>
      </c>
      <c r="J123" s="19">
        <v>6</v>
      </c>
      <c r="K123" s="19"/>
      <c r="L123" s="20">
        <f t="shared" si="5"/>
        <v>0</v>
      </c>
      <c r="HV123" s="2" t="s">
        <v>27</v>
      </c>
      <c r="HW123" s="2" t="s">
        <v>32</v>
      </c>
      <c r="IR123" s="21">
        <f>K123*0.421400778</f>
        <v>0</v>
      </c>
      <c r="IS123" s="21">
        <f>K123*(1-0.421400778)</f>
        <v>0</v>
      </c>
    </row>
    <row r="124" spans="1:253" x14ac:dyDescent="0.25">
      <c r="A124" s="18">
        <v>100</v>
      </c>
      <c r="B124" s="2" t="s">
        <v>107</v>
      </c>
      <c r="C124" s="2" t="s">
        <v>71</v>
      </c>
      <c r="D124" s="108" t="s">
        <v>72</v>
      </c>
      <c r="E124" s="102"/>
      <c r="F124" s="102"/>
      <c r="G124" s="102"/>
      <c r="H124" s="102"/>
      <c r="I124" s="2" t="s">
        <v>62</v>
      </c>
      <c r="J124" s="19">
        <v>6</v>
      </c>
      <c r="K124" s="19"/>
      <c r="L124" s="20">
        <f t="shared" si="5"/>
        <v>0</v>
      </c>
      <c r="HV124" s="2" t="s">
        <v>27</v>
      </c>
      <c r="HW124" s="2" t="s">
        <v>32</v>
      </c>
      <c r="IR124" s="21">
        <f>K124*0.490622392</f>
        <v>0</v>
      </c>
      <c r="IS124" s="21">
        <f>K124*(1-0.490622392)</f>
        <v>0</v>
      </c>
    </row>
    <row r="125" spans="1:253" x14ac:dyDescent="0.25">
      <c r="A125" s="18">
        <v>101</v>
      </c>
      <c r="B125" s="2" t="s">
        <v>107</v>
      </c>
      <c r="C125" s="2" t="s">
        <v>73</v>
      </c>
      <c r="D125" s="108" t="s">
        <v>74</v>
      </c>
      <c r="E125" s="102"/>
      <c r="F125" s="102"/>
      <c r="G125" s="102"/>
      <c r="H125" s="102"/>
      <c r="I125" s="2" t="s">
        <v>31</v>
      </c>
      <c r="J125" s="19">
        <v>48</v>
      </c>
      <c r="K125" s="19"/>
      <c r="L125" s="20">
        <f t="shared" si="5"/>
        <v>0</v>
      </c>
      <c r="HV125" s="2" t="s">
        <v>27</v>
      </c>
      <c r="HW125" s="2" t="s">
        <v>32</v>
      </c>
      <c r="IR125" s="21">
        <f>K125*0.230682632</f>
        <v>0</v>
      </c>
      <c r="IS125" s="21">
        <f>K125*(1-0.230682632)</f>
        <v>0</v>
      </c>
    </row>
    <row r="126" spans="1:253" x14ac:dyDescent="0.25">
      <c r="A126" s="18">
        <v>102</v>
      </c>
      <c r="B126" s="2" t="s">
        <v>107</v>
      </c>
      <c r="C126" s="2" t="s">
        <v>75</v>
      </c>
      <c r="D126" s="108" t="s">
        <v>76</v>
      </c>
      <c r="E126" s="102"/>
      <c r="F126" s="102"/>
      <c r="G126" s="102"/>
      <c r="H126" s="102"/>
      <c r="I126" s="2" t="s">
        <v>31</v>
      </c>
      <c r="J126" s="19">
        <v>10</v>
      </c>
      <c r="K126" s="19"/>
      <c r="L126" s="20">
        <f t="shared" si="5"/>
        <v>0</v>
      </c>
      <c r="HV126" s="2" t="s">
        <v>27</v>
      </c>
      <c r="HW126" s="2" t="s">
        <v>32</v>
      </c>
      <c r="IR126" s="21">
        <f>K126*0.244039835</f>
        <v>0</v>
      </c>
      <c r="IS126" s="21">
        <f>K126*(1-0.244039835)</f>
        <v>0</v>
      </c>
    </row>
    <row r="127" spans="1:253" x14ac:dyDescent="0.25">
      <c r="A127" s="18">
        <v>103</v>
      </c>
      <c r="B127" s="2" t="s">
        <v>107</v>
      </c>
      <c r="C127" s="2" t="s">
        <v>77</v>
      </c>
      <c r="D127" s="108" t="s">
        <v>78</v>
      </c>
      <c r="E127" s="102"/>
      <c r="F127" s="102"/>
      <c r="G127" s="102"/>
      <c r="H127" s="102"/>
      <c r="I127" s="2" t="s">
        <v>31</v>
      </c>
      <c r="J127" s="19">
        <v>28</v>
      </c>
      <c r="K127" s="19"/>
      <c r="L127" s="20">
        <f t="shared" si="5"/>
        <v>0</v>
      </c>
      <c r="HV127" s="2" t="s">
        <v>27</v>
      </c>
      <c r="HW127" s="2" t="s">
        <v>32</v>
      </c>
      <c r="IR127" s="21">
        <f>K127*0.242374429</f>
        <v>0</v>
      </c>
      <c r="IS127" s="21">
        <f>K127*(1-0.242374429)</f>
        <v>0</v>
      </c>
    </row>
    <row r="128" spans="1:253" x14ac:dyDescent="0.25">
      <c r="A128" s="18">
        <v>104</v>
      </c>
      <c r="B128" s="2" t="s">
        <v>107</v>
      </c>
      <c r="C128" s="2" t="s">
        <v>39</v>
      </c>
      <c r="D128" s="108" t="s">
        <v>40</v>
      </c>
      <c r="E128" s="102"/>
      <c r="F128" s="102"/>
      <c r="G128" s="102"/>
      <c r="H128" s="102"/>
      <c r="I128" s="2" t="s">
        <v>31</v>
      </c>
      <c r="J128" s="19">
        <v>36</v>
      </c>
      <c r="K128" s="19"/>
      <c r="L128" s="20">
        <f t="shared" si="5"/>
        <v>0</v>
      </c>
      <c r="HV128" s="2" t="s">
        <v>27</v>
      </c>
      <c r="HW128" s="2" t="s">
        <v>32</v>
      </c>
      <c r="IR128" s="21">
        <f>K128*0.2552638</f>
        <v>0</v>
      </c>
      <c r="IS128" s="21">
        <f>K128*(1-0.2552638)</f>
        <v>0</v>
      </c>
    </row>
    <row r="129" spans="1:253" x14ac:dyDescent="0.25">
      <c r="A129" s="18">
        <v>105</v>
      </c>
      <c r="B129" s="2" t="s">
        <v>107</v>
      </c>
      <c r="C129" s="2" t="s">
        <v>41</v>
      </c>
      <c r="D129" s="108" t="s">
        <v>42</v>
      </c>
      <c r="E129" s="102"/>
      <c r="F129" s="102"/>
      <c r="G129" s="102"/>
      <c r="H129" s="102"/>
      <c r="I129" s="2" t="s">
        <v>31</v>
      </c>
      <c r="J129" s="19">
        <v>80</v>
      </c>
      <c r="K129" s="19"/>
      <c r="L129" s="20">
        <f t="shared" si="5"/>
        <v>0</v>
      </c>
      <c r="HV129" s="2" t="s">
        <v>27</v>
      </c>
      <c r="HW129" s="2" t="s">
        <v>32</v>
      </c>
      <c r="IR129" s="21">
        <f>K129*0.523268364</f>
        <v>0</v>
      </c>
      <c r="IS129" s="21">
        <f>K129*(1-0.523268364)</f>
        <v>0</v>
      </c>
    </row>
    <row r="130" spans="1:253" x14ac:dyDescent="0.25">
      <c r="A130" s="18">
        <v>106</v>
      </c>
      <c r="B130" s="2" t="s">
        <v>107</v>
      </c>
      <c r="C130" s="2" t="s">
        <v>79</v>
      </c>
      <c r="D130" s="108" t="s">
        <v>80</v>
      </c>
      <c r="E130" s="102"/>
      <c r="F130" s="102"/>
      <c r="G130" s="102"/>
      <c r="H130" s="102"/>
      <c r="I130" s="2" t="s">
        <v>31</v>
      </c>
      <c r="J130" s="19">
        <v>28</v>
      </c>
      <c r="K130" s="19"/>
      <c r="L130" s="20">
        <f t="shared" si="5"/>
        <v>0</v>
      </c>
      <c r="HV130" s="2" t="s">
        <v>27</v>
      </c>
      <c r="HW130" s="2" t="s">
        <v>32</v>
      </c>
      <c r="IR130" s="21">
        <f>K130*0.527714286</f>
        <v>0</v>
      </c>
      <c r="IS130" s="21">
        <f>K130*(1-0.527714286)</f>
        <v>0</v>
      </c>
    </row>
    <row r="131" spans="1:253" x14ac:dyDescent="0.25">
      <c r="A131" s="18">
        <v>107</v>
      </c>
      <c r="B131" s="2" t="s">
        <v>107</v>
      </c>
      <c r="C131" s="2" t="s">
        <v>43</v>
      </c>
      <c r="D131" s="108" t="s">
        <v>44</v>
      </c>
      <c r="E131" s="102"/>
      <c r="F131" s="102"/>
      <c r="G131" s="102"/>
      <c r="H131" s="102"/>
      <c r="I131" s="2" t="s">
        <v>31</v>
      </c>
      <c r="J131" s="19">
        <v>36</v>
      </c>
      <c r="K131" s="19"/>
      <c r="L131" s="20">
        <f t="shared" si="5"/>
        <v>0</v>
      </c>
      <c r="HV131" s="2" t="s">
        <v>27</v>
      </c>
      <c r="HW131" s="2" t="s">
        <v>32</v>
      </c>
      <c r="IR131" s="21">
        <f>K131*0.526501218</f>
        <v>0</v>
      </c>
      <c r="IS131" s="21">
        <f>K131*(1-0.526501218)</f>
        <v>0</v>
      </c>
    </row>
    <row r="132" spans="1:253" x14ac:dyDescent="0.25">
      <c r="A132" s="18">
        <v>108</v>
      </c>
      <c r="B132" s="2" t="s">
        <v>107</v>
      </c>
      <c r="C132" s="2" t="s">
        <v>81</v>
      </c>
      <c r="D132" s="108" t="s">
        <v>82</v>
      </c>
      <c r="E132" s="102"/>
      <c r="F132" s="102"/>
      <c r="G132" s="102"/>
      <c r="H132" s="102"/>
      <c r="I132" s="2" t="s">
        <v>62</v>
      </c>
      <c r="J132" s="19">
        <v>96</v>
      </c>
      <c r="K132" s="19"/>
      <c r="L132" s="20">
        <f t="shared" si="5"/>
        <v>0</v>
      </c>
      <c r="HV132" s="2" t="s">
        <v>27</v>
      </c>
      <c r="HW132" s="2" t="s">
        <v>32</v>
      </c>
      <c r="IR132" s="21">
        <f>K132*1</f>
        <v>0</v>
      </c>
      <c r="IS132" s="21">
        <f>K132*(1-1)</f>
        <v>0</v>
      </c>
    </row>
    <row r="133" spans="1:253" x14ac:dyDescent="0.25">
      <c r="A133" s="18">
        <v>109</v>
      </c>
      <c r="B133" s="2" t="s">
        <v>107</v>
      </c>
      <c r="C133" s="2" t="s">
        <v>83</v>
      </c>
      <c r="D133" s="108" t="s">
        <v>84</v>
      </c>
      <c r="E133" s="102"/>
      <c r="F133" s="102"/>
      <c r="G133" s="102"/>
      <c r="H133" s="102"/>
      <c r="I133" s="2" t="s">
        <v>62</v>
      </c>
      <c r="J133" s="19">
        <v>48</v>
      </c>
      <c r="K133" s="19"/>
      <c r="L133" s="20">
        <f t="shared" si="5"/>
        <v>0</v>
      </c>
      <c r="HV133" s="2" t="s">
        <v>27</v>
      </c>
      <c r="HW133" s="2" t="s">
        <v>32</v>
      </c>
      <c r="IR133" s="21">
        <f>K133*0.728219476</f>
        <v>0</v>
      </c>
      <c r="IS133" s="21">
        <f>K133*(1-0.728219476)</f>
        <v>0</v>
      </c>
    </row>
    <row r="134" spans="1:253" x14ac:dyDescent="0.25">
      <c r="A134" s="18">
        <v>110</v>
      </c>
      <c r="B134" s="2" t="s">
        <v>107</v>
      </c>
      <c r="C134" s="2" t="s">
        <v>85</v>
      </c>
      <c r="D134" s="108" t="s">
        <v>86</v>
      </c>
      <c r="E134" s="102"/>
      <c r="F134" s="102"/>
      <c r="G134" s="102"/>
      <c r="H134" s="102"/>
      <c r="I134" s="2" t="s">
        <v>62</v>
      </c>
      <c r="J134" s="19">
        <v>48</v>
      </c>
      <c r="K134" s="19"/>
      <c r="L134" s="20">
        <f t="shared" si="5"/>
        <v>0</v>
      </c>
      <c r="HV134" s="2" t="s">
        <v>27</v>
      </c>
      <c r="HW134" s="2" t="s">
        <v>32</v>
      </c>
      <c r="IR134" s="21">
        <f>K134*0.699406894</f>
        <v>0</v>
      </c>
      <c r="IS134" s="21">
        <f>K134*(1-0.699406894)</f>
        <v>0</v>
      </c>
    </row>
    <row r="135" spans="1:253" x14ac:dyDescent="0.25">
      <c r="A135" s="18">
        <v>111</v>
      </c>
      <c r="B135" s="2" t="s">
        <v>107</v>
      </c>
      <c r="C135" s="2" t="s">
        <v>87</v>
      </c>
      <c r="D135" s="108" t="s">
        <v>88</v>
      </c>
      <c r="E135" s="102"/>
      <c r="F135" s="102"/>
      <c r="G135" s="102"/>
      <c r="H135" s="102"/>
      <c r="I135" s="2" t="s">
        <v>62</v>
      </c>
      <c r="J135" s="19">
        <v>48</v>
      </c>
      <c r="K135" s="19"/>
      <c r="L135" s="20">
        <f t="shared" si="5"/>
        <v>0</v>
      </c>
      <c r="HV135" s="2" t="s">
        <v>27</v>
      </c>
      <c r="HW135" s="2" t="s">
        <v>32</v>
      </c>
      <c r="IR135" s="21">
        <f>K135*0</f>
        <v>0</v>
      </c>
      <c r="IS135" s="21">
        <f>K135*(1-0)</f>
        <v>0</v>
      </c>
    </row>
    <row r="136" spans="1:253" x14ac:dyDescent="0.25">
      <c r="A136" s="18">
        <v>112</v>
      </c>
      <c r="B136" s="2" t="s">
        <v>107</v>
      </c>
      <c r="C136" s="2" t="s">
        <v>89</v>
      </c>
      <c r="D136" s="108" t="s">
        <v>90</v>
      </c>
      <c r="E136" s="102"/>
      <c r="F136" s="102"/>
      <c r="G136" s="102"/>
      <c r="H136" s="102"/>
      <c r="I136" s="2" t="s">
        <v>62</v>
      </c>
      <c r="J136" s="19">
        <v>48</v>
      </c>
      <c r="K136" s="19"/>
      <c r="L136" s="20">
        <f t="shared" si="5"/>
        <v>0</v>
      </c>
      <c r="HV136" s="2" t="s">
        <v>27</v>
      </c>
      <c r="HW136" s="2" t="s">
        <v>32</v>
      </c>
      <c r="IR136" s="21">
        <f>K136*0.034752475</f>
        <v>0</v>
      </c>
      <c r="IS136" s="21">
        <f>K136*(1-0.034752475)</f>
        <v>0</v>
      </c>
    </row>
    <row r="137" spans="1:253" x14ac:dyDescent="0.25">
      <c r="A137" s="18">
        <v>113</v>
      </c>
      <c r="B137" s="2" t="s">
        <v>107</v>
      </c>
      <c r="C137" s="2" t="s">
        <v>91</v>
      </c>
      <c r="D137" s="108" t="s">
        <v>92</v>
      </c>
      <c r="E137" s="102"/>
      <c r="F137" s="102"/>
      <c r="G137" s="102"/>
      <c r="H137" s="102"/>
      <c r="I137" s="2" t="s">
        <v>62</v>
      </c>
      <c r="J137" s="19">
        <v>48</v>
      </c>
      <c r="K137" s="19"/>
      <c r="L137" s="20">
        <f t="shared" si="5"/>
        <v>0</v>
      </c>
      <c r="HV137" s="2" t="s">
        <v>27</v>
      </c>
      <c r="HW137" s="2" t="s">
        <v>32</v>
      </c>
      <c r="IR137" s="21">
        <f>K137*0.166666667</f>
        <v>0</v>
      </c>
      <c r="IS137" s="21">
        <f>K137*(1-0.166666667)</f>
        <v>0</v>
      </c>
    </row>
    <row r="138" spans="1:253" x14ac:dyDescent="0.25">
      <c r="A138" s="18">
        <v>114</v>
      </c>
      <c r="B138" s="2" t="s">
        <v>107</v>
      </c>
      <c r="C138" s="2" t="s">
        <v>45</v>
      </c>
      <c r="D138" s="108" t="s">
        <v>46</v>
      </c>
      <c r="E138" s="102"/>
      <c r="F138" s="102"/>
      <c r="G138" s="102"/>
      <c r="H138" s="102"/>
      <c r="I138" s="2" t="s">
        <v>31</v>
      </c>
      <c r="J138" s="19">
        <v>194</v>
      </c>
      <c r="K138" s="19"/>
      <c r="L138" s="20">
        <f t="shared" si="5"/>
        <v>0</v>
      </c>
      <c r="HV138" s="2" t="s">
        <v>27</v>
      </c>
      <c r="HW138" s="2" t="s">
        <v>32</v>
      </c>
      <c r="IR138" s="21">
        <f>K138*0.014893617</f>
        <v>0</v>
      </c>
      <c r="IS138" s="21">
        <f>K138*(1-0.014893617)</f>
        <v>0</v>
      </c>
    </row>
    <row r="139" spans="1:253" x14ac:dyDescent="0.25">
      <c r="A139" s="18">
        <v>115</v>
      </c>
      <c r="B139" s="2" t="s">
        <v>107</v>
      </c>
      <c r="C139" s="2" t="s">
        <v>47</v>
      </c>
      <c r="D139" s="108" t="s">
        <v>48</v>
      </c>
      <c r="E139" s="102"/>
      <c r="F139" s="102"/>
      <c r="G139" s="102"/>
      <c r="H139" s="102"/>
      <c r="I139" s="2" t="s">
        <v>31</v>
      </c>
      <c r="J139" s="19">
        <v>72</v>
      </c>
      <c r="K139" s="19"/>
      <c r="L139" s="20">
        <f t="shared" si="5"/>
        <v>0</v>
      </c>
      <c r="HV139" s="2" t="s">
        <v>27</v>
      </c>
      <c r="HW139" s="2" t="s">
        <v>32</v>
      </c>
      <c r="IR139" s="21">
        <f>K139*0.016923843</f>
        <v>0</v>
      </c>
      <c r="IS139" s="21">
        <f>K139*(1-0.016923843)</f>
        <v>0</v>
      </c>
    </row>
    <row r="140" spans="1:253" x14ac:dyDescent="0.25">
      <c r="A140" s="18">
        <v>116</v>
      </c>
      <c r="B140" s="2" t="s">
        <v>107</v>
      </c>
      <c r="C140" s="2" t="s">
        <v>93</v>
      </c>
      <c r="D140" s="108" t="s">
        <v>94</v>
      </c>
      <c r="E140" s="102"/>
      <c r="F140" s="102"/>
      <c r="G140" s="102"/>
      <c r="H140" s="102"/>
      <c r="I140" s="2" t="s">
        <v>95</v>
      </c>
      <c r="J140" s="19">
        <v>0.2</v>
      </c>
      <c r="K140" s="19"/>
      <c r="L140" s="20">
        <f t="shared" si="5"/>
        <v>0</v>
      </c>
      <c r="HV140" s="2" t="s">
        <v>27</v>
      </c>
      <c r="HW140" s="2" t="s">
        <v>32</v>
      </c>
      <c r="IR140" s="21">
        <f>K140*0</f>
        <v>0</v>
      </c>
      <c r="IS140" s="21">
        <f>K140*(1-0)</f>
        <v>0</v>
      </c>
    </row>
    <row r="141" spans="1:253" x14ac:dyDescent="0.25">
      <c r="A141" s="18">
        <v>117</v>
      </c>
      <c r="B141" s="2" t="s">
        <v>107</v>
      </c>
      <c r="C141" s="2" t="s">
        <v>49</v>
      </c>
      <c r="D141" s="108" t="s">
        <v>50</v>
      </c>
      <c r="E141" s="102"/>
      <c r="F141" s="102"/>
      <c r="G141" s="102"/>
      <c r="H141" s="102"/>
      <c r="I141" s="2" t="s">
        <v>51</v>
      </c>
      <c r="J141" s="19">
        <v>2715</v>
      </c>
      <c r="K141" s="19"/>
      <c r="L141" s="20">
        <f t="shared" si="5"/>
        <v>0</v>
      </c>
      <c r="HV141" s="2" t="s">
        <v>27</v>
      </c>
      <c r="HW141" s="2" t="s">
        <v>32</v>
      </c>
      <c r="IR141" s="21">
        <f>K141*0</f>
        <v>0</v>
      </c>
      <c r="IS141" s="21">
        <f>K141*(1-0)</f>
        <v>0</v>
      </c>
    </row>
    <row r="142" spans="1:253" x14ac:dyDescent="0.25">
      <c r="A142" s="14" t="s">
        <v>23</v>
      </c>
      <c r="B142" s="15" t="s">
        <v>107</v>
      </c>
      <c r="C142" s="15" t="s">
        <v>96</v>
      </c>
      <c r="D142" s="115" t="s">
        <v>97</v>
      </c>
      <c r="E142" s="116"/>
      <c r="F142" s="116"/>
      <c r="G142" s="116"/>
      <c r="H142" s="116"/>
      <c r="I142" s="15" t="s">
        <v>23</v>
      </c>
      <c r="J142" s="16" t="s">
        <v>23</v>
      </c>
      <c r="K142" s="16"/>
      <c r="L142" s="17">
        <f>SUM(L143:L145)</f>
        <v>0</v>
      </c>
    </row>
    <row r="143" spans="1:253" x14ac:dyDescent="0.25">
      <c r="A143" s="18">
        <v>118</v>
      </c>
      <c r="B143" s="2" t="s">
        <v>107</v>
      </c>
      <c r="C143" s="2" t="s">
        <v>98</v>
      </c>
      <c r="D143" s="108" t="s">
        <v>99</v>
      </c>
      <c r="E143" s="102"/>
      <c r="F143" s="102"/>
      <c r="G143" s="102"/>
      <c r="H143" s="102"/>
      <c r="I143" s="2" t="s">
        <v>100</v>
      </c>
      <c r="J143" s="19">
        <v>24</v>
      </c>
      <c r="K143" s="19"/>
      <c r="L143" s="20">
        <f>IR143*J143+IS143*J143</f>
        <v>0</v>
      </c>
      <c r="HV143" s="2" t="s">
        <v>96</v>
      </c>
      <c r="HW143" s="2" t="s">
        <v>32</v>
      </c>
      <c r="IR143" s="21">
        <f>K143*0</f>
        <v>0</v>
      </c>
      <c r="IS143" s="21">
        <f>K143*(1-0)</f>
        <v>0</v>
      </c>
    </row>
    <row r="144" spans="1:253" x14ac:dyDescent="0.25">
      <c r="A144" s="18">
        <v>119</v>
      </c>
      <c r="B144" s="2" t="s">
        <v>107</v>
      </c>
      <c r="C144" s="2" t="s">
        <v>101</v>
      </c>
      <c r="D144" s="108" t="s">
        <v>102</v>
      </c>
      <c r="E144" s="102"/>
      <c r="F144" s="102"/>
      <c r="G144" s="102"/>
      <c r="H144" s="102"/>
      <c r="I144" s="2" t="s">
        <v>100</v>
      </c>
      <c r="J144" s="19">
        <v>24</v>
      </c>
      <c r="K144" s="19"/>
      <c r="L144" s="20">
        <f>IR144*J144+IS144*J144</f>
        <v>0</v>
      </c>
      <c r="HV144" s="2" t="s">
        <v>96</v>
      </c>
      <c r="HW144" s="2" t="s">
        <v>32</v>
      </c>
      <c r="IR144" s="21">
        <f>K144*0.443493724</f>
        <v>0</v>
      </c>
      <c r="IS144" s="21">
        <f>K144*(1-0.443493724)</f>
        <v>0</v>
      </c>
    </row>
    <row r="145" spans="1:253" x14ac:dyDescent="0.25">
      <c r="A145" s="18">
        <v>120</v>
      </c>
      <c r="B145" s="2" t="s">
        <v>107</v>
      </c>
      <c r="C145" s="2" t="s">
        <v>103</v>
      </c>
      <c r="D145" s="108" t="s">
        <v>104</v>
      </c>
      <c r="E145" s="102"/>
      <c r="F145" s="102"/>
      <c r="G145" s="102"/>
      <c r="H145" s="102"/>
      <c r="I145" s="2" t="s">
        <v>51</v>
      </c>
      <c r="J145" s="19">
        <v>420</v>
      </c>
      <c r="K145" s="19"/>
      <c r="L145" s="20">
        <f>IR145*J145+IS145*J145</f>
        <v>0</v>
      </c>
      <c r="HV145" s="2" t="s">
        <v>96</v>
      </c>
      <c r="HW145" s="2" t="s">
        <v>32</v>
      </c>
      <c r="IR145" s="21">
        <f>K145*0</f>
        <v>0</v>
      </c>
      <c r="IS145" s="21">
        <f>K145*(1-0)</f>
        <v>0</v>
      </c>
    </row>
    <row r="146" spans="1:253" x14ac:dyDescent="0.25">
      <c r="A146" s="14" t="s">
        <v>23</v>
      </c>
      <c r="B146" s="15" t="s">
        <v>109</v>
      </c>
      <c r="C146" s="15" t="s">
        <v>25</v>
      </c>
      <c r="D146" s="115" t="s">
        <v>110</v>
      </c>
      <c r="E146" s="116"/>
      <c r="F146" s="116"/>
      <c r="G146" s="116"/>
      <c r="H146" s="116"/>
      <c r="I146" s="15" t="s">
        <v>23</v>
      </c>
      <c r="J146" s="16" t="s">
        <v>23</v>
      </c>
      <c r="K146" s="16"/>
      <c r="L146" s="17">
        <f>L147</f>
        <v>0</v>
      </c>
    </row>
    <row r="147" spans="1:253" x14ac:dyDescent="0.25">
      <c r="A147" s="14" t="s">
        <v>23</v>
      </c>
      <c r="B147" s="15" t="s">
        <v>109</v>
      </c>
      <c r="C147" s="15" t="s">
        <v>111</v>
      </c>
      <c r="D147" s="115" t="s">
        <v>112</v>
      </c>
      <c r="E147" s="116"/>
      <c r="F147" s="116"/>
      <c r="G147" s="116"/>
      <c r="H147" s="116"/>
      <c r="I147" s="15" t="s">
        <v>23</v>
      </c>
      <c r="J147" s="16" t="s">
        <v>23</v>
      </c>
      <c r="K147" s="16"/>
      <c r="L147" s="17">
        <f>SUM(L148:L174)</f>
        <v>0</v>
      </c>
    </row>
    <row r="148" spans="1:253" x14ac:dyDescent="0.25">
      <c r="A148" s="18">
        <v>121</v>
      </c>
      <c r="B148" s="2" t="s">
        <v>109</v>
      </c>
      <c r="C148" s="2" t="s">
        <v>113</v>
      </c>
      <c r="D148" s="108" t="s">
        <v>114</v>
      </c>
      <c r="E148" s="102"/>
      <c r="F148" s="102"/>
      <c r="G148" s="102"/>
      <c r="H148" s="102"/>
      <c r="I148" s="2" t="s">
        <v>31</v>
      </c>
      <c r="J148" s="19">
        <v>95</v>
      </c>
      <c r="K148" s="19"/>
      <c r="L148" s="20">
        <f t="shared" ref="L148:L174" si="6">IR148*J148+IS148*J148</f>
        <v>0</v>
      </c>
      <c r="HV148" s="2" t="s">
        <v>111</v>
      </c>
      <c r="HW148" s="2" t="s">
        <v>32</v>
      </c>
      <c r="IR148" s="21">
        <f>K148*0.884450262</f>
        <v>0</v>
      </c>
      <c r="IS148" s="21">
        <f>K148*(1-0.884450262)</f>
        <v>0</v>
      </c>
    </row>
    <row r="149" spans="1:253" x14ac:dyDescent="0.25">
      <c r="A149" s="18">
        <v>122</v>
      </c>
      <c r="B149" s="2" t="s">
        <v>109</v>
      </c>
      <c r="C149" s="2" t="s">
        <v>115</v>
      </c>
      <c r="D149" s="108" t="s">
        <v>116</v>
      </c>
      <c r="E149" s="102"/>
      <c r="F149" s="102"/>
      <c r="G149" s="102"/>
      <c r="H149" s="102"/>
      <c r="I149" s="2" t="s">
        <v>31</v>
      </c>
      <c r="J149" s="19">
        <v>22</v>
      </c>
      <c r="K149" s="19"/>
      <c r="L149" s="20">
        <f t="shared" si="6"/>
        <v>0</v>
      </c>
      <c r="HV149" s="2" t="s">
        <v>111</v>
      </c>
      <c r="HW149" s="2" t="s">
        <v>32</v>
      </c>
      <c r="IR149" s="21">
        <f>K149*0.86625641</f>
        <v>0</v>
      </c>
      <c r="IS149" s="21">
        <f>K149*(1-0.86625641)</f>
        <v>0</v>
      </c>
    </row>
    <row r="150" spans="1:253" x14ac:dyDescent="0.25">
      <c r="A150" s="18">
        <v>123</v>
      </c>
      <c r="B150" s="2" t="s">
        <v>109</v>
      </c>
      <c r="C150" s="2" t="s">
        <v>117</v>
      </c>
      <c r="D150" s="108" t="s">
        <v>118</v>
      </c>
      <c r="E150" s="102"/>
      <c r="F150" s="102"/>
      <c r="G150" s="102"/>
      <c r="H150" s="102"/>
      <c r="I150" s="2" t="s">
        <v>62</v>
      </c>
      <c r="J150" s="19">
        <v>1</v>
      </c>
      <c r="K150" s="19"/>
      <c r="L150" s="20">
        <f t="shared" si="6"/>
        <v>0</v>
      </c>
      <c r="HV150" s="2" t="s">
        <v>111</v>
      </c>
      <c r="HW150" s="2" t="s">
        <v>32</v>
      </c>
      <c r="IR150" s="21">
        <f>K150*0.48301217</f>
        <v>0</v>
      </c>
      <c r="IS150" s="21">
        <f>K150*(1-0.48301217)</f>
        <v>0</v>
      </c>
    </row>
    <row r="151" spans="1:253" x14ac:dyDescent="0.25">
      <c r="A151" s="18">
        <v>124</v>
      </c>
      <c r="B151" s="2" t="s">
        <v>109</v>
      </c>
      <c r="C151" s="2" t="s">
        <v>119</v>
      </c>
      <c r="D151" s="108" t="s">
        <v>120</v>
      </c>
      <c r="E151" s="102"/>
      <c r="F151" s="102"/>
      <c r="G151" s="102"/>
      <c r="H151" s="102"/>
      <c r="I151" s="2" t="s">
        <v>31</v>
      </c>
      <c r="J151" s="19">
        <v>95</v>
      </c>
      <c r="K151" s="19"/>
      <c r="L151" s="20">
        <f t="shared" si="6"/>
        <v>0</v>
      </c>
      <c r="HV151" s="2" t="s">
        <v>111</v>
      </c>
      <c r="HW151" s="2" t="s">
        <v>32</v>
      </c>
      <c r="IR151" s="21">
        <f>K151*0.758216433</f>
        <v>0</v>
      </c>
      <c r="IS151" s="21">
        <f>K151*(1-0.758216433)</f>
        <v>0</v>
      </c>
    </row>
    <row r="152" spans="1:253" x14ac:dyDescent="0.25">
      <c r="A152" s="18">
        <v>125</v>
      </c>
      <c r="B152" s="2" t="s">
        <v>109</v>
      </c>
      <c r="C152" s="2" t="s">
        <v>121</v>
      </c>
      <c r="D152" s="108" t="s">
        <v>122</v>
      </c>
      <c r="E152" s="102"/>
      <c r="F152" s="102"/>
      <c r="G152" s="102"/>
      <c r="H152" s="102"/>
      <c r="I152" s="2" t="s">
        <v>31</v>
      </c>
      <c r="J152" s="19">
        <v>13.2</v>
      </c>
      <c r="K152" s="19"/>
      <c r="L152" s="20">
        <f t="shared" si="6"/>
        <v>0</v>
      </c>
      <c r="HV152" s="2" t="s">
        <v>111</v>
      </c>
      <c r="HW152" s="2" t="s">
        <v>32</v>
      </c>
      <c r="IR152" s="21">
        <f>K152*0.80177043</f>
        <v>0</v>
      </c>
      <c r="IS152" s="21">
        <f>K152*(1-0.80177043)</f>
        <v>0</v>
      </c>
    </row>
    <row r="153" spans="1:253" x14ac:dyDescent="0.25">
      <c r="A153" s="18">
        <v>126</v>
      </c>
      <c r="B153" s="2" t="s">
        <v>109</v>
      </c>
      <c r="C153" s="2" t="s">
        <v>123</v>
      </c>
      <c r="D153" s="108" t="s">
        <v>124</v>
      </c>
      <c r="E153" s="102"/>
      <c r="F153" s="102"/>
      <c r="G153" s="102"/>
      <c r="H153" s="102"/>
      <c r="I153" s="2" t="s">
        <v>31</v>
      </c>
      <c r="J153" s="19">
        <v>23</v>
      </c>
      <c r="K153" s="19"/>
      <c r="L153" s="20">
        <f t="shared" si="6"/>
        <v>0</v>
      </c>
      <c r="HV153" s="2" t="s">
        <v>111</v>
      </c>
      <c r="HW153" s="2" t="s">
        <v>32</v>
      </c>
      <c r="IR153" s="21">
        <f>K153*0.8196875</f>
        <v>0</v>
      </c>
      <c r="IS153" s="21">
        <f>K153*(1-0.8196875)</f>
        <v>0</v>
      </c>
    </row>
    <row r="154" spans="1:253" x14ac:dyDescent="0.25">
      <c r="A154" s="18">
        <v>127</v>
      </c>
      <c r="B154" s="2" t="s">
        <v>109</v>
      </c>
      <c r="C154" s="2" t="s">
        <v>125</v>
      </c>
      <c r="D154" s="108" t="s">
        <v>126</v>
      </c>
      <c r="E154" s="102"/>
      <c r="F154" s="102"/>
      <c r="G154" s="102"/>
      <c r="H154" s="102"/>
      <c r="I154" s="2" t="s">
        <v>31</v>
      </c>
      <c r="J154" s="19">
        <v>1.6</v>
      </c>
      <c r="K154" s="19"/>
      <c r="L154" s="20">
        <f t="shared" si="6"/>
        <v>0</v>
      </c>
      <c r="HV154" s="2" t="s">
        <v>111</v>
      </c>
      <c r="HW154" s="2" t="s">
        <v>32</v>
      </c>
      <c r="IR154" s="21">
        <f>K154*0.865786247</f>
        <v>0</v>
      </c>
      <c r="IS154" s="21">
        <f>K154*(1-0.865786247)</f>
        <v>0</v>
      </c>
    </row>
    <row r="155" spans="1:253" x14ac:dyDescent="0.25">
      <c r="A155" s="18">
        <v>128</v>
      </c>
      <c r="B155" s="2" t="s">
        <v>109</v>
      </c>
      <c r="C155" s="2" t="s">
        <v>127</v>
      </c>
      <c r="D155" s="108" t="s">
        <v>128</v>
      </c>
      <c r="E155" s="102"/>
      <c r="F155" s="102"/>
      <c r="G155" s="102"/>
      <c r="H155" s="102"/>
      <c r="I155" s="2" t="s">
        <v>62</v>
      </c>
      <c r="J155" s="19">
        <v>23</v>
      </c>
      <c r="K155" s="19"/>
      <c r="L155" s="20">
        <f t="shared" si="6"/>
        <v>0</v>
      </c>
      <c r="HV155" s="2" t="s">
        <v>111</v>
      </c>
      <c r="HW155" s="2" t="s">
        <v>32</v>
      </c>
      <c r="IR155" s="21">
        <f>K155*0.75954071</f>
        <v>0</v>
      </c>
      <c r="IS155" s="21">
        <f>K155*(1-0.75954071)</f>
        <v>0</v>
      </c>
    </row>
    <row r="156" spans="1:253" x14ac:dyDescent="0.25">
      <c r="A156" s="18">
        <v>129</v>
      </c>
      <c r="B156" s="2" t="s">
        <v>109</v>
      </c>
      <c r="C156" s="2" t="s">
        <v>129</v>
      </c>
      <c r="D156" s="108" t="s">
        <v>130</v>
      </c>
      <c r="E156" s="102"/>
      <c r="F156" s="102"/>
      <c r="G156" s="102"/>
      <c r="H156" s="102"/>
      <c r="I156" s="2" t="s">
        <v>62</v>
      </c>
      <c r="J156" s="19">
        <v>26</v>
      </c>
      <c r="K156" s="19"/>
      <c r="L156" s="20">
        <f t="shared" si="6"/>
        <v>0</v>
      </c>
      <c r="HV156" s="2" t="s">
        <v>111</v>
      </c>
      <c r="HW156" s="2" t="s">
        <v>32</v>
      </c>
      <c r="IR156" s="21">
        <f>K156*0.84311753</f>
        <v>0</v>
      </c>
      <c r="IS156" s="21">
        <f>K156*(1-0.84311753)</f>
        <v>0</v>
      </c>
    </row>
    <row r="157" spans="1:253" x14ac:dyDescent="0.25">
      <c r="A157" s="18">
        <v>130</v>
      </c>
      <c r="B157" s="2" t="s">
        <v>109</v>
      </c>
      <c r="C157" s="2" t="s">
        <v>131</v>
      </c>
      <c r="D157" s="108" t="s">
        <v>132</v>
      </c>
      <c r="E157" s="102"/>
      <c r="F157" s="102"/>
      <c r="G157" s="102"/>
      <c r="H157" s="102"/>
      <c r="I157" s="2" t="s">
        <v>62</v>
      </c>
      <c r="J157" s="19">
        <v>1</v>
      </c>
      <c r="K157" s="19"/>
      <c r="L157" s="20">
        <f t="shared" si="6"/>
        <v>0</v>
      </c>
      <c r="HV157" s="2" t="s">
        <v>111</v>
      </c>
      <c r="HW157" s="2" t="s">
        <v>32</v>
      </c>
      <c r="IR157" s="21">
        <f>K157*0.883775656</f>
        <v>0</v>
      </c>
      <c r="IS157" s="21">
        <f>K157*(1-0.883775656)</f>
        <v>0</v>
      </c>
    </row>
    <row r="158" spans="1:253" x14ac:dyDescent="0.25">
      <c r="A158" s="18">
        <v>131</v>
      </c>
      <c r="B158" s="2" t="s">
        <v>109</v>
      </c>
      <c r="C158" s="2" t="s">
        <v>133</v>
      </c>
      <c r="D158" s="108" t="s">
        <v>134</v>
      </c>
      <c r="E158" s="102"/>
      <c r="F158" s="102"/>
      <c r="G158" s="102"/>
      <c r="H158" s="102"/>
      <c r="I158" s="2" t="s">
        <v>31</v>
      </c>
      <c r="J158" s="19">
        <v>118</v>
      </c>
      <c r="K158" s="19"/>
      <c r="L158" s="20">
        <f t="shared" si="6"/>
        <v>0</v>
      </c>
      <c r="HV158" s="2" t="s">
        <v>111</v>
      </c>
      <c r="HW158" s="2" t="s">
        <v>32</v>
      </c>
      <c r="IR158" s="21">
        <f>K158*0</f>
        <v>0</v>
      </c>
      <c r="IS158" s="21">
        <f>K158*(1-0)</f>
        <v>0</v>
      </c>
    </row>
    <row r="159" spans="1:253" x14ac:dyDescent="0.25">
      <c r="A159" s="18">
        <v>132</v>
      </c>
      <c r="B159" s="2" t="s">
        <v>109</v>
      </c>
      <c r="C159" s="2" t="s">
        <v>135</v>
      </c>
      <c r="D159" s="108" t="s">
        <v>136</v>
      </c>
      <c r="E159" s="102"/>
      <c r="F159" s="102"/>
      <c r="G159" s="102"/>
      <c r="H159" s="102"/>
      <c r="I159" s="2" t="s">
        <v>62</v>
      </c>
      <c r="J159" s="19">
        <v>4</v>
      </c>
      <c r="K159" s="19"/>
      <c r="L159" s="20">
        <f t="shared" si="6"/>
        <v>0</v>
      </c>
      <c r="HV159" s="2" t="s">
        <v>111</v>
      </c>
      <c r="HW159" s="2" t="s">
        <v>32</v>
      </c>
      <c r="IR159" s="21">
        <f>K159*0</f>
        <v>0</v>
      </c>
      <c r="IS159" s="21">
        <f>K159*(1-0)</f>
        <v>0</v>
      </c>
    </row>
    <row r="160" spans="1:253" x14ac:dyDescent="0.25">
      <c r="A160" s="18">
        <v>133</v>
      </c>
      <c r="B160" s="2" t="s">
        <v>109</v>
      </c>
      <c r="C160" s="2" t="s">
        <v>137</v>
      </c>
      <c r="D160" s="108" t="s">
        <v>138</v>
      </c>
      <c r="E160" s="102"/>
      <c r="F160" s="102"/>
      <c r="G160" s="102"/>
      <c r="H160" s="102"/>
      <c r="I160" s="2" t="s">
        <v>62</v>
      </c>
      <c r="J160" s="19">
        <v>4</v>
      </c>
      <c r="K160" s="19"/>
      <c r="L160" s="20">
        <f t="shared" si="6"/>
        <v>0</v>
      </c>
      <c r="HV160" s="2" t="s">
        <v>111</v>
      </c>
      <c r="HW160" s="2" t="s">
        <v>32</v>
      </c>
      <c r="IR160" s="21">
        <f>K160*0</f>
        <v>0</v>
      </c>
      <c r="IS160" s="21">
        <f>K160*(1-0)</f>
        <v>0</v>
      </c>
    </row>
    <row r="161" spans="1:253" x14ac:dyDescent="0.25">
      <c r="A161" s="18">
        <v>134</v>
      </c>
      <c r="B161" s="2" t="s">
        <v>109</v>
      </c>
      <c r="C161" s="2" t="s">
        <v>139</v>
      </c>
      <c r="D161" s="108" t="s">
        <v>140</v>
      </c>
      <c r="E161" s="102"/>
      <c r="F161" s="102"/>
      <c r="G161" s="102"/>
      <c r="H161" s="102"/>
      <c r="I161" s="2" t="s">
        <v>100</v>
      </c>
      <c r="J161" s="19">
        <v>4</v>
      </c>
      <c r="K161" s="19"/>
      <c r="L161" s="20">
        <f t="shared" si="6"/>
        <v>0</v>
      </c>
      <c r="HV161" s="2" t="s">
        <v>111</v>
      </c>
      <c r="HW161" s="2" t="s">
        <v>32</v>
      </c>
      <c r="IR161" s="21">
        <f>K161*0</f>
        <v>0</v>
      </c>
      <c r="IS161" s="21">
        <f>K161*(1-0)</f>
        <v>0</v>
      </c>
    </row>
    <row r="162" spans="1:253" x14ac:dyDescent="0.25">
      <c r="A162" s="18">
        <v>135</v>
      </c>
      <c r="B162" s="2" t="s">
        <v>109</v>
      </c>
      <c r="C162" s="2" t="s">
        <v>141</v>
      </c>
      <c r="D162" s="108" t="s">
        <v>142</v>
      </c>
      <c r="E162" s="102"/>
      <c r="F162" s="102"/>
      <c r="G162" s="102"/>
      <c r="H162" s="102"/>
      <c r="I162" s="2" t="s">
        <v>62</v>
      </c>
      <c r="J162" s="19">
        <v>3</v>
      </c>
      <c r="K162" s="19"/>
      <c r="L162" s="20">
        <f t="shared" si="6"/>
        <v>0</v>
      </c>
      <c r="HV162" s="2" t="s">
        <v>111</v>
      </c>
      <c r="HW162" s="2" t="s">
        <v>32</v>
      </c>
      <c r="IR162" s="21">
        <f>K162*0.133333333</f>
        <v>0</v>
      </c>
      <c r="IS162" s="21">
        <f>K162*(1-0.133333333)</f>
        <v>0</v>
      </c>
    </row>
    <row r="163" spans="1:253" x14ac:dyDescent="0.25">
      <c r="A163" s="18">
        <v>136</v>
      </c>
      <c r="B163" s="2" t="s">
        <v>109</v>
      </c>
      <c r="C163" s="2" t="s">
        <v>143</v>
      </c>
      <c r="D163" s="108" t="s">
        <v>144</v>
      </c>
      <c r="E163" s="102"/>
      <c r="F163" s="102"/>
      <c r="G163" s="102"/>
      <c r="H163" s="102"/>
      <c r="I163" s="2" t="s">
        <v>62</v>
      </c>
      <c r="J163" s="19">
        <v>23</v>
      </c>
      <c r="K163" s="19"/>
      <c r="L163" s="20">
        <f t="shared" si="6"/>
        <v>0</v>
      </c>
      <c r="HV163" s="2" t="s">
        <v>111</v>
      </c>
      <c r="HW163" s="2" t="s">
        <v>32</v>
      </c>
      <c r="IR163" s="21">
        <f>K163*0</f>
        <v>0</v>
      </c>
      <c r="IS163" s="21">
        <f>K163*(1-0)</f>
        <v>0</v>
      </c>
    </row>
    <row r="164" spans="1:253" x14ac:dyDescent="0.25">
      <c r="A164" s="18">
        <v>137</v>
      </c>
      <c r="B164" s="2" t="s">
        <v>109</v>
      </c>
      <c r="C164" s="2" t="s">
        <v>145</v>
      </c>
      <c r="D164" s="108" t="s">
        <v>146</v>
      </c>
      <c r="E164" s="102"/>
      <c r="F164" s="102"/>
      <c r="G164" s="102"/>
      <c r="H164" s="102"/>
      <c r="I164" s="2" t="s">
        <v>147</v>
      </c>
      <c r="J164" s="19">
        <v>23</v>
      </c>
      <c r="K164" s="19"/>
      <c r="L164" s="20">
        <f t="shared" si="6"/>
        <v>0</v>
      </c>
      <c r="HV164" s="2" t="s">
        <v>111</v>
      </c>
      <c r="HW164" s="2" t="s">
        <v>32</v>
      </c>
      <c r="IR164" s="21">
        <f>K164*0</f>
        <v>0</v>
      </c>
      <c r="IS164" s="21">
        <f>K164*(1-0)</f>
        <v>0</v>
      </c>
    </row>
    <row r="165" spans="1:253" x14ac:dyDescent="0.25">
      <c r="A165" s="18">
        <v>138</v>
      </c>
      <c r="B165" s="2" t="s">
        <v>109</v>
      </c>
      <c r="C165" s="2" t="s">
        <v>148</v>
      </c>
      <c r="D165" s="108" t="s">
        <v>149</v>
      </c>
      <c r="E165" s="102"/>
      <c r="F165" s="102"/>
      <c r="G165" s="102"/>
      <c r="H165" s="102"/>
      <c r="I165" s="2" t="s">
        <v>100</v>
      </c>
      <c r="J165" s="19">
        <v>23</v>
      </c>
      <c r="K165" s="19"/>
      <c r="L165" s="20">
        <f t="shared" si="6"/>
        <v>0</v>
      </c>
      <c r="HV165" s="2" t="s">
        <v>111</v>
      </c>
      <c r="HW165" s="2" t="s">
        <v>32</v>
      </c>
      <c r="IR165" s="21">
        <f>K165*0.062206897</f>
        <v>0</v>
      </c>
      <c r="IS165" s="21">
        <f>K165*(1-0.062206897)</f>
        <v>0</v>
      </c>
    </row>
    <row r="166" spans="1:253" x14ac:dyDescent="0.25">
      <c r="A166" s="18">
        <v>139</v>
      </c>
      <c r="B166" s="2" t="s">
        <v>109</v>
      </c>
      <c r="C166" s="2" t="s">
        <v>150</v>
      </c>
      <c r="D166" s="108" t="s">
        <v>151</v>
      </c>
      <c r="E166" s="102"/>
      <c r="F166" s="102"/>
      <c r="G166" s="102"/>
      <c r="H166" s="102"/>
      <c r="I166" s="2" t="s">
        <v>100</v>
      </c>
      <c r="J166" s="19">
        <v>23</v>
      </c>
      <c r="K166" s="19"/>
      <c r="L166" s="20">
        <f t="shared" si="6"/>
        <v>0</v>
      </c>
      <c r="HV166" s="2" t="s">
        <v>111</v>
      </c>
      <c r="HW166" s="2" t="s">
        <v>32</v>
      </c>
      <c r="IR166" s="21">
        <f>K166*0.474440677</f>
        <v>0</v>
      </c>
      <c r="IS166" s="21">
        <f>K166*(1-0.474440677)</f>
        <v>0</v>
      </c>
    </row>
    <row r="167" spans="1:253" x14ac:dyDescent="0.25">
      <c r="A167" s="18">
        <v>140</v>
      </c>
      <c r="B167" s="2" t="s">
        <v>109</v>
      </c>
      <c r="C167" s="2" t="s">
        <v>152</v>
      </c>
      <c r="D167" s="108" t="s">
        <v>153</v>
      </c>
      <c r="E167" s="102"/>
      <c r="F167" s="102"/>
      <c r="G167" s="102"/>
      <c r="H167" s="102"/>
      <c r="I167" s="2" t="s">
        <v>62</v>
      </c>
      <c r="J167" s="19">
        <v>23</v>
      </c>
      <c r="K167" s="19"/>
      <c r="L167" s="20">
        <f t="shared" si="6"/>
        <v>0</v>
      </c>
      <c r="HV167" s="2" t="s">
        <v>111</v>
      </c>
      <c r="HW167" s="2" t="s">
        <v>32</v>
      </c>
      <c r="IR167" s="21">
        <f>K167*0.219753184</f>
        <v>0</v>
      </c>
      <c r="IS167" s="21">
        <f>K167*(1-0.219753184)</f>
        <v>0</v>
      </c>
    </row>
    <row r="168" spans="1:253" x14ac:dyDescent="0.25">
      <c r="A168" s="18">
        <v>141</v>
      </c>
      <c r="B168" s="2" t="s">
        <v>109</v>
      </c>
      <c r="C168" s="2" t="s">
        <v>154</v>
      </c>
      <c r="D168" s="108" t="s">
        <v>155</v>
      </c>
      <c r="E168" s="102"/>
      <c r="F168" s="102"/>
      <c r="G168" s="102"/>
      <c r="H168" s="102"/>
      <c r="I168" s="2" t="s">
        <v>62</v>
      </c>
      <c r="J168" s="19">
        <v>23</v>
      </c>
      <c r="K168" s="19"/>
      <c r="L168" s="20">
        <f t="shared" si="6"/>
        <v>0</v>
      </c>
      <c r="HV168" s="2" t="s">
        <v>111</v>
      </c>
      <c r="HW168" s="2" t="s">
        <v>32</v>
      </c>
      <c r="IR168" s="21">
        <f>K168*0.250093458</f>
        <v>0</v>
      </c>
      <c r="IS168" s="21">
        <f>K168*(1-0.250093458)</f>
        <v>0</v>
      </c>
    </row>
    <row r="169" spans="1:253" x14ac:dyDescent="0.25">
      <c r="A169" s="18">
        <v>142</v>
      </c>
      <c r="B169" s="2" t="s">
        <v>109</v>
      </c>
      <c r="C169" s="2" t="s">
        <v>156</v>
      </c>
      <c r="D169" s="108" t="s">
        <v>157</v>
      </c>
      <c r="E169" s="102"/>
      <c r="F169" s="102"/>
      <c r="G169" s="102"/>
      <c r="H169" s="102"/>
      <c r="I169" s="2" t="s">
        <v>62</v>
      </c>
      <c r="J169" s="19">
        <v>23</v>
      </c>
      <c r="K169" s="19"/>
      <c r="L169" s="20">
        <f t="shared" si="6"/>
        <v>0</v>
      </c>
      <c r="HV169" s="2" t="s">
        <v>111</v>
      </c>
      <c r="HW169" s="2" t="s">
        <v>32</v>
      </c>
      <c r="IR169" s="21">
        <f>K169*0.125</f>
        <v>0</v>
      </c>
      <c r="IS169" s="21">
        <f>K169*(1-0.125)</f>
        <v>0</v>
      </c>
    </row>
    <row r="170" spans="1:253" x14ac:dyDescent="0.25">
      <c r="A170" s="18">
        <v>143</v>
      </c>
      <c r="B170" s="2" t="s">
        <v>109</v>
      </c>
      <c r="C170" s="2" t="s">
        <v>158</v>
      </c>
      <c r="D170" s="108" t="s">
        <v>159</v>
      </c>
      <c r="E170" s="102"/>
      <c r="F170" s="102"/>
      <c r="G170" s="102"/>
      <c r="H170" s="102"/>
      <c r="I170" s="2" t="s">
        <v>100</v>
      </c>
      <c r="J170" s="19">
        <v>23</v>
      </c>
      <c r="K170" s="19"/>
      <c r="L170" s="20">
        <f t="shared" si="6"/>
        <v>0</v>
      </c>
      <c r="HV170" s="2" t="s">
        <v>111</v>
      </c>
      <c r="HW170" s="2" t="s">
        <v>32</v>
      </c>
      <c r="IR170" s="21">
        <f>K170*0.692307692</f>
        <v>0</v>
      </c>
      <c r="IS170" s="21">
        <f>K170*(1-0.692307692)</f>
        <v>0</v>
      </c>
    </row>
    <row r="171" spans="1:253" x14ac:dyDescent="0.25">
      <c r="A171" s="18">
        <v>144</v>
      </c>
      <c r="B171" s="2" t="s">
        <v>109</v>
      </c>
      <c r="C171" s="2" t="s">
        <v>160</v>
      </c>
      <c r="D171" s="108" t="s">
        <v>161</v>
      </c>
      <c r="E171" s="102"/>
      <c r="F171" s="102"/>
      <c r="G171" s="102"/>
      <c r="H171" s="102"/>
      <c r="I171" s="2" t="s">
        <v>31</v>
      </c>
      <c r="J171" s="19">
        <v>118</v>
      </c>
      <c r="K171" s="19"/>
      <c r="L171" s="20">
        <f t="shared" si="6"/>
        <v>0</v>
      </c>
      <c r="HV171" s="2" t="s">
        <v>111</v>
      </c>
      <c r="HW171" s="2" t="s">
        <v>32</v>
      </c>
      <c r="IR171" s="21">
        <f>K171*0.5</f>
        <v>0</v>
      </c>
      <c r="IS171" s="21">
        <f>K171*(1-0.5)</f>
        <v>0</v>
      </c>
    </row>
    <row r="172" spans="1:253" x14ac:dyDescent="0.25">
      <c r="A172" s="18">
        <v>145</v>
      </c>
      <c r="B172" s="2" t="s">
        <v>109</v>
      </c>
      <c r="C172" s="2" t="s">
        <v>162</v>
      </c>
      <c r="D172" s="108" t="s">
        <v>163</v>
      </c>
      <c r="E172" s="102"/>
      <c r="F172" s="102"/>
      <c r="G172" s="102"/>
      <c r="H172" s="102"/>
      <c r="I172" s="2" t="s">
        <v>100</v>
      </c>
      <c r="J172" s="19">
        <v>3</v>
      </c>
      <c r="K172" s="19"/>
      <c r="L172" s="20">
        <f t="shared" si="6"/>
        <v>0</v>
      </c>
      <c r="HV172" s="2" t="s">
        <v>111</v>
      </c>
      <c r="HW172" s="2" t="s">
        <v>32</v>
      </c>
      <c r="IR172" s="21">
        <f>K172*0.391304348</f>
        <v>0</v>
      </c>
      <c r="IS172" s="21">
        <f>K172*(1-0.391304348)</f>
        <v>0</v>
      </c>
    </row>
    <row r="173" spans="1:253" x14ac:dyDescent="0.25">
      <c r="A173" s="18">
        <v>146</v>
      </c>
      <c r="B173" s="2" t="s">
        <v>109</v>
      </c>
      <c r="C173" s="2" t="s">
        <v>164</v>
      </c>
      <c r="D173" s="108" t="s">
        <v>165</v>
      </c>
      <c r="E173" s="102"/>
      <c r="F173" s="102"/>
      <c r="G173" s="102"/>
      <c r="H173" s="102"/>
      <c r="I173" s="2" t="s">
        <v>95</v>
      </c>
      <c r="J173" s="19">
        <v>0.6</v>
      </c>
      <c r="K173" s="19"/>
      <c r="L173" s="20">
        <f t="shared" si="6"/>
        <v>0</v>
      </c>
      <c r="HV173" s="2" t="s">
        <v>111</v>
      </c>
      <c r="HW173" s="2" t="s">
        <v>32</v>
      </c>
      <c r="IR173" s="21">
        <f>K173*0</f>
        <v>0</v>
      </c>
      <c r="IS173" s="21">
        <f>K173*(1-0)</f>
        <v>0</v>
      </c>
    </row>
    <row r="174" spans="1:253" x14ac:dyDescent="0.25">
      <c r="A174" s="18">
        <v>147</v>
      </c>
      <c r="B174" s="2" t="s">
        <v>109</v>
      </c>
      <c r="C174" s="2" t="s">
        <v>166</v>
      </c>
      <c r="D174" s="108" t="s">
        <v>167</v>
      </c>
      <c r="E174" s="102"/>
      <c r="F174" s="102"/>
      <c r="G174" s="102"/>
      <c r="H174" s="102"/>
      <c r="I174" s="2" t="s">
        <v>51</v>
      </c>
      <c r="J174" s="19">
        <v>0</v>
      </c>
      <c r="K174" s="19"/>
      <c r="L174" s="20">
        <f t="shared" si="6"/>
        <v>0</v>
      </c>
      <c r="HV174" s="2" t="s">
        <v>111</v>
      </c>
      <c r="HW174" s="2" t="s">
        <v>32</v>
      </c>
      <c r="IR174" s="21">
        <f>K174*0</f>
        <v>0</v>
      </c>
      <c r="IS174" s="21">
        <f>K174*(1-0)</f>
        <v>0</v>
      </c>
    </row>
    <row r="175" spans="1:253" x14ac:dyDescent="0.25">
      <c r="A175" s="14" t="s">
        <v>23</v>
      </c>
      <c r="B175" s="15" t="s">
        <v>168</v>
      </c>
      <c r="C175" s="15" t="s">
        <v>25</v>
      </c>
      <c r="D175" s="115" t="s">
        <v>169</v>
      </c>
      <c r="E175" s="116"/>
      <c r="F175" s="116"/>
      <c r="G175" s="116"/>
      <c r="H175" s="116"/>
      <c r="I175" s="15" t="s">
        <v>23</v>
      </c>
      <c r="J175" s="16" t="s">
        <v>23</v>
      </c>
      <c r="K175" s="16"/>
      <c r="L175" s="17">
        <f>L176</f>
        <v>0</v>
      </c>
    </row>
    <row r="176" spans="1:253" x14ac:dyDescent="0.25">
      <c r="A176" s="14" t="s">
        <v>23</v>
      </c>
      <c r="B176" s="15" t="s">
        <v>168</v>
      </c>
      <c r="C176" s="15" t="s">
        <v>111</v>
      </c>
      <c r="D176" s="115" t="s">
        <v>112</v>
      </c>
      <c r="E176" s="116"/>
      <c r="F176" s="116"/>
      <c r="G176" s="116"/>
      <c r="H176" s="116"/>
      <c r="I176" s="15" t="s">
        <v>23</v>
      </c>
      <c r="J176" s="16" t="s">
        <v>23</v>
      </c>
      <c r="K176" s="16"/>
      <c r="L176" s="17">
        <f>SUM(L177:L205)</f>
        <v>0</v>
      </c>
    </row>
    <row r="177" spans="1:253" x14ac:dyDescent="0.25">
      <c r="A177" s="18">
        <v>148</v>
      </c>
      <c r="B177" s="2" t="s">
        <v>168</v>
      </c>
      <c r="C177" s="2" t="s">
        <v>113</v>
      </c>
      <c r="D177" s="108" t="s">
        <v>114</v>
      </c>
      <c r="E177" s="102"/>
      <c r="F177" s="102"/>
      <c r="G177" s="102"/>
      <c r="H177" s="102"/>
      <c r="I177" s="2" t="s">
        <v>31</v>
      </c>
      <c r="J177" s="19">
        <v>95</v>
      </c>
      <c r="K177" s="19"/>
      <c r="L177" s="20">
        <f t="shared" ref="L177:L205" si="7">IR177*J177+IS177*J177</f>
        <v>0</v>
      </c>
      <c r="HV177" s="2" t="s">
        <v>111</v>
      </c>
      <c r="HW177" s="2" t="s">
        <v>32</v>
      </c>
      <c r="IR177" s="21">
        <f>K177*0.884450262</f>
        <v>0</v>
      </c>
      <c r="IS177" s="21">
        <f>K177*(1-0.884450262)</f>
        <v>0</v>
      </c>
    </row>
    <row r="178" spans="1:253" x14ac:dyDescent="0.25">
      <c r="A178" s="18">
        <v>149</v>
      </c>
      <c r="B178" s="2" t="s">
        <v>168</v>
      </c>
      <c r="C178" s="2" t="s">
        <v>115</v>
      </c>
      <c r="D178" s="108" t="s">
        <v>116</v>
      </c>
      <c r="E178" s="102"/>
      <c r="F178" s="102"/>
      <c r="G178" s="102"/>
      <c r="H178" s="102"/>
      <c r="I178" s="2" t="s">
        <v>31</v>
      </c>
      <c r="J178" s="19">
        <v>22</v>
      </c>
      <c r="K178" s="19"/>
      <c r="L178" s="20">
        <f t="shared" si="7"/>
        <v>0</v>
      </c>
      <c r="HV178" s="2" t="s">
        <v>111</v>
      </c>
      <c r="HW178" s="2" t="s">
        <v>32</v>
      </c>
      <c r="IR178" s="21">
        <f>K178*0.840842765</f>
        <v>0</v>
      </c>
      <c r="IS178" s="21">
        <f>K178*(1-0.840842765)</f>
        <v>0</v>
      </c>
    </row>
    <row r="179" spans="1:253" x14ac:dyDescent="0.25">
      <c r="A179" s="18">
        <v>150</v>
      </c>
      <c r="B179" s="2" t="s">
        <v>168</v>
      </c>
      <c r="C179" s="2" t="s">
        <v>117</v>
      </c>
      <c r="D179" s="108" t="s">
        <v>118</v>
      </c>
      <c r="E179" s="102"/>
      <c r="F179" s="102"/>
      <c r="G179" s="102"/>
      <c r="H179" s="102"/>
      <c r="I179" s="2" t="s">
        <v>62</v>
      </c>
      <c r="J179" s="19">
        <v>1</v>
      </c>
      <c r="K179" s="19"/>
      <c r="L179" s="20">
        <f t="shared" si="7"/>
        <v>0</v>
      </c>
      <c r="HV179" s="2" t="s">
        <v>111</v>
      </c>
      <c r="HW179" s="2" t="s">
        <v>32</v>
      </c>
      <c r="IR179" s="21">
        <f>K179*0.48301217</f>
        <v>0</v>
      </c>
      <c r="IS179" s="21">
        <f>K179*(1-0.48301217)</f>
        <v>0</v>
      </c>
    </row>
    <row r="180" spans="1:253" x14ac:dyDescent="0.25">
      <c r="A180" s="18">
        <v>151</v>
      </c>
      <c r="B180" s="2" t="s">
        <v>168</v>
      </c>
      <c r="C180" s="2" t="s">
        <v>119</v>
      </c>
      <c r="D180" s="108" t="s">
        <v>120</v>
      </c>
      <c r="E180" s="102"/>
      <c r="F180" s="102"/>
      <c r="G180" s="102"/>
      <c r="H180" s="102"/>
      <c r="I180" s="2" t="s">
        <v>31</v>
      </c>
      <c r="J180" s="19">
        <v>95</v>
      </c>
      <c r="K180" s="19"/>
      <c r="L180" s="20">
        <f t="shared" si="7"/>
        <v>0</v>
      </c>
      <c r="HV180" s="2" t="s">
        <v>111</v>
      </c>
      <c r="HW180" s="2" t="s">
        <v>32</v>
      </c>
      <c r="IR180" s="21">
        <f>K180*0.758216433</f>
        <v>0</v>
      </c>
      <c r="IS180" s="21">
        <f>K180*(1-0.758216433)</f>
        <v>0</v>
      </c>
    </row>
    <row r="181" spans="1:253" x14ac:dyDescent="0.25">
      <c r="A181" s="18">
        <v>152</v>
      </c>
      <c r="B181" s="2" t="s">
        <v>168</v>
      </c>
      <c r="C181" s="2" t="s">
        <v>121</v>
      </c>
      <c r="D181" s="108" t="s">
        <v>122</v>
      </c>
      <c r="E181" s="102"/>
      <c r="F181" s="102"/>
      <c r="G181" s="102"/>
      <c r="H181" s="102"/>
      <c r="I181" s="2" t="s">
        <v>31</v>
      </c>
      <c r="J181" s="19">
        <v>13.2</v>
      </c>
      <c r="K181" s="19"/>
      <c r="L181" s="20">
        <f t="shared" si="7"/>
        <v>0</v>
      </c>
      <c r="HV181" s="2" t="s">
        <v>111</v>
      </c>
      <c r="HW181" s="2" t="s">
        <v>32</v>
      </c>
      <c r="IR181" s="21">
        <f>K181*0.80177043</f>
        <v>0</v>
      </c>
      <c r="IS181" s="21">
        <f>K181*(1-0.80177043)</f>
        <v>0</v>
      </c>
    </row>
    <row r="182" spans="1:253" x14ac:dyDescent="0.25">
      <c r="A182" s="18">
        <v>153</v>
      </c>
      <c r="B182" s="2" t="s">
        <v>168</v>
      </c>
      <c r="C182" s="2" t="s">
        <v>170</v>
      </c>
      <c r="D182" s="108" t="s">
        <v>171</v>
      </c>
      <c r="E182" s="102"/>
      <c r="F182" s="102"/>
      <c r="G182" s="102"/>
      <c r="H182" s="102"/>
      <c r="I182" s="2" t="s">
        <v>31</v>
      </c>
      <c r="J182" s="19">
        <v>10</v>
      </c>
      <c r="K182" s="19"/>
      <c r="L182" s="20">
        <f t="shared" si="7"/>
        <v>0</v>
      </c>
      <c r="HV182" s="2" t="s">
        <v>111</v>
      </c>
      <c r="HW182" s="2" t="s">
        <v>32</v>
      </c>
      <c r="IR182" s="21">
        <f>K182*0.80177043</f>
        <v>0</v>
      </c>
      <c r="IS182" s="21">
        <f>K182*(1-0.80177043)</f>
        <v>0</v>
      </c>
    </row>
    <row r="183" spans="1:253" x14ac:dyDescent="0.25">
      <c r="A183" s="18">
        <v>154</v>
      </c>
      <c r="B183" s="2" t="s">
        <v>168</v>
      </c>
      <c r="C183" s="2" t="s">
        <v>172</v>
      </c>
      <c r="D183" s="108" t="s">
        <v>173</v>
      </c>
      <c r="E183" s="102"/>
      <c r="F183" s="102"/>
      <c r="G183" s="102"/>
      <c r="H183" s="102"/>
      <c r="I183" s="2" t="s">
        <v>31</v>
      </c>
      <c r="J183" s="19">
        <v>0.6</v>
      </c>
      <c r="K183" s="19"/>
      <c r="L183" s="20">
        <f t="shared" si="7"/>
        <v>0</v>
      </c>
      <c r="HV183" s="2" t="s">
        <v>111</v>
      </c>
      <c r="HW183" s="2" t="s">
        <v>32</v>
      </c>
      <c r="IR183" s="21">
        <f>K183*0.8196875</f>
        <v>0</v>
      </c>
      <c r="IS183" s="21">
        <f>K183*(1-0.8196875)</f>
        <v>0</v>
      </c>
    </row>
    <row r="184" spans="1:253" x14ac:dyDescent="0.25">
      <c r="A184" s="18">
        <v>155</v>
      </c>
      <c r="B184" s="2" t="s">
        <v>168</v>
      </c>
      <c r="C184" s="2" t="s">
        <v>123</v>
      </c>
      <c r="D184" s="108" t="s">
        <v>124</v>
      </c>
      <c r="E184" s="102"/>
      <c r="F184" s="102"/>
      <c r="G184" s="102"/>
      <c r="H184" s="102"/>
      <c r="I184" s="2" t="s">
        <v>31</v>
      </c>
      <c r="J184" s="19">
        <v>14</v>
      </c>
      <c r="K184" s="19"/>
      <c r="L184" s="20">
        <f t="shared" si="7"/>
        <v>0</v>
      </c>
      <c r="HV184" s="2" t="s">
        <v>111</v>
      </c>
      <c r="HW184" s="2" t="s">
        <v>32</v>
      </c>
      <c r="IR184" s="21">
        <f>K184*0.8196875</f>
        <v>0</v>
      </c>
      <c r="IS184" s="21">
        <f>K184*(1-0.8196875)</f>
        <v>0</v>
      </c>
    </row>
    <row r="185" spans="1:253" x14ac:dyDescent="0.25">
      <c r="A185" s="18">
        <v>156</v>
      </c>
      <c r="B185" s="2" t="s">
        <v>168</v>
      </c>
      <c r="C185" s="2" t="s">
        <v>125</v>
      </c>
      <c r="D185" s="108" t="s">
        <v>126</v>
      </c>
      <c r="E185" s="102"/>
      <c r="F185" s="102"/>
      <c r="G185" s="102"/>
      <c r="H185" s="102"/>
      <c r="I185" s="2" t="s">
        <v>31</v>
      </c>
      <c r="J185" s="19">
        <v>1.2</v>
      </c>
      <c r="K185" s="19"/>
      <c r="L185" s="20">
        <f t="shared" si="7"/>
        <v>0</v>
      </c>
      <c r="HV185" s="2" t="s">
        <v>111</v>
      </c>
      <c r="HW185" s="2" t="s">
        <v>32</v>
      </c>
      <c r="IR185" s="21">
        <f>K185*0.865786247</f>
        <v>0</v>
      </c>
      <c r="IS185" s="21">
        <f>K185*(1-0.865786247)</f>
        <v>0</v>
      </c>
    </row>
    <row r="186" spans="1:253" x14ac:dyDescent="0.25">
      <c r="A186" s="18">
        <v>157</v>
      </c>
      <c r="B186" s="2" t="s">
        <v>168</v>
      </c>
      <c r="C186" s="2" t="s">
        <v>127</v>
      </c>
      <c r="D186" s="108" t="s">
        <v>128</v>
      </c>
      <c r="E186" s="102"/>
      <c r="F186" s="102"/>
      <c r="G186" s="102"/>
      <c r="H186" s="102"/>
      <c r="I186" s="2" t="s">
        <v>62</v>
      </c>
      <c r="J186" s="19">
        <v>23</v>
      </c>
      <c r="K186" s="19"/>
      <c r="L186" s="20">
        <f t="shared" si="7"/>
        <v>0</v>
      </c>
      <c r="HV186" s="2" t="s">
        <v>111</v>
      </c>
      <c r="HW186" s="2" t="s">
        <v>32</v>
      </c>
      <c r="IR186" s="21">
        <f>K186*0.75954071</f>
        <v>0</v>
      </c>
      <c r="IS186" s="21">
        <f>K186*(1-0.75954071)</f>
        <v>0</v>
      </c>
    </row>
    <row r="187" spans="1:253" x14ac:dyDescent="0.25">
      <c r="A187" s="18">
        <v>158</v>
      </c>
      <c r="B187" s="2" t="s">
        <v>168</v>
      </c>
      <c r="C187" s="2" t="s">
        <v>129</v>
      </c>
      <c r="D187" s="108" t="s">
        <v>130</v>
      </c>
      <c r="E187" s="102"/>
      <c r="F187" s="102"/>
      <c r="G187" s="102"/>
      <c r="H187" s="102"/>
      <c r="I187" s="2" t="s">
        <v>62</v>
      </c>
      <c r="J187" s="19">
        <v>26</v>
      </c>
      <c r="K187" s="19"/>
      <c r="L187" s="20">
        <f t="shared" si="7"/>
        <v>0</v>
      </c>
      <c r="HV187" s="2" t="s">
        <v>111</v>
      </c>
      <c r="HW187" s="2" t="s">
        <v>32</v>
      </c>
      <c r="IR187" s="21">
        <f>K187*0.84311753</f>
        <v>0</v>
      </c>
      <c r="IS187" s="21">
        <f>K187*(1-0.84311753)</f>
        <v>0</v>
      </c>
    </row>
    <row r="188" spans="1:253" x14ac:dyDescent="0.25">
      <c r="A188" s="18">
        <v>159</v>
      </c>
      <c r="B188" s="2" t="s">
        <v>168</v>
      </c>
      <c r="C188" s="2" t="s">
        <v>131</v>
      </c>
      <c r="D188" s="108" t="s">
        <v>132</v>
      </c>
      <c r="E188" s="102"/>
      <c r="F188" s="102"/>
      <c r="G188" s="102"/>
      <c r="H188" s="102"/>
      <c r="I188" s="2" t="s">
        <v>62</v>
      </c>
      <c r="J188" s="19">
        <v>1</v>
      </c>
      <c r="K188" s="19"/>
      <c r="L188" s="20">
        <f t="shared" si="7"/>
        <v>0</v>
      </c>
      <c r="HV188" s="2" t="s">
        <v>111</v>
      </c>
      <c r="HW188" s="2" t="s">
        <v>32</v>
      </c>
      <c r="IR188" s="21">
        <f>K188*0.883775656</f>
        <v>0</v>
      </c>
      <c r="IS188" s="21">
        <f>K188*(1-0.883775656)</f>
        <v>0</v>
      </c>
    </row>
    <row r="189" spans="1:253" x14ac:dyDescent="0.25">
      <c r="A189" s="18">
        <v>160</v>
      </c>
      <c r="B189" s="2" t="s">
        <v>168</v>
      </c>
      <c r="C189" s="2" t="s">
        <v>133</v>
      </c>
      <c r="D189" s="108" t="s">
        <v>134</v>
      </c>
      <c r="E189" s="102"/>
      <c r="F189" s="102"/>
      <c r="G189" s="102"/>
      <c r="H189" s="102"/>
      <c r="I189" s="2" t="s">
        <v>31</v>
      </c>
      <c r="J189" s="19">
        <v>118</v>
      </c>
      <c r="K189" s="19"/>
      <c r="L189" s="20">
        <f t="shared" si="7"/>
        <v>0</v>
      </c>
      <c r="HV189" s="2" t="s">
        <v>111</v>
      </c>
      <c r="HW189" s="2" t="s">
        <v>32</v>
      </c>
      <c r="IR189" s="21">
        <f>K189*0</f>
        <v>0</v>
      </c>
      <c r="IS189" s="21">
        <f>K189*(1-0)</f>
        <v>0</v>
      </c>
    </row>
    <row r="190" spans="1:253" x14ac:dyDescent="0.25">
      <c r="A190" s="18">
        <v>161</v>
      </c>
      <c r="B190" s="2" t="s">
        <v>168</v>
      </c>
      <c r="C190" s="2" t="s">
        <v>135</v>
      </c>
      <c r="D190" s="108" t="s">
        <v>136</v>
      </c>
      <c r="E190" s="102"/>
      <c r="F190" s="102"/>
      <c r="G190" s="102"/>
      <c r="H190" s="102"/>
      <c r="I190" s="2" t="s">
        <v>62</v>
      </c>
      <c r="J190" s="19">
        <v>4</v>
      </c>
      <c r="K190" s="19"/>
      <c r="L190" s="20">
        <f t="shared" si="7"/>
        <v>0</v>
      </c>
      <c r="HV190" s="2" t="s">
        <v>111</v>
      </c>
      <c r="HW190" s="2" t="s">
        <v>32</v>
      </c>
      <c r="IR190" s="21">
        <f>K190*0</f>
        <v>0</v>
      </c>
      <c r="IS190" s="21">
        <f>K190*(1-0)</f>
        <v>0</v>
      </c>
    </row>
    <row r="191" spans="1:253" x14ac:dyDescent="0.25">
      <c r="A191" s="18">
        <v>162</v>
      </c>
      <c r="B191" s="2" t="s">
        <v>168</v>
      </c>
      <c r="C191" s="2" t="s">
        <v>137</v>
      </c>
      <c r="D191" s="108" t="s">
        <v>138</v>
      </c>
      <c r="E191" s="102"/>
      <c r="F191" s="102"/>
      <c r="G191" s="102"/>
      <c r="H191" s="102"/>
      <c r="I191" s="2" t="s">
        <v>62</v>
      </c>
      <c r="J191" s="19">
        <v>4</v>
      </c>
      <c r="K191" s="19"/>
      <c r="L191" s="20">
        <f t="shared" si="7"/>
        <v>0</v>
      </c>
      <c r="HV191" s="2" t="s">
        <v>111</v>
      </c>
      <c r="HW191" s="2" t="s">
        <v>32</v>
      </c>
      <c r="IR191" s="21">
        <f>K191*0</f>
        <v>0</v>
      </c>
      <c r="IS191" s="21">
        <f>K191*(1-0)</f>
        <v>0</v>
      </c>
    </row>
    <row r="192" spans="1:253" x14ac:dyDescent="0.25">
      <c r="A192" s="18">
        <v>163</v>
      </c>
      <c r="B192" s="2" t="s">
        <v>168</v>
      </c>
      <c r="C192" s="2" t="s">
        <v>139</v>
      </c>
      <c r="D192" s="108" t="s">
        <v>140</v>
      </c>
      <c r="E192" s="102"/>
      <c r="F192" s="102"/>
      <c r="G192" s="102"/>
      <c r="H192" s="102"/>
      <c r="I192" s="2" t="s">
        <v>100</v>
      </c>
      <c r="J192" s="19">
        <v>4</v>
      </c>
      <c r="K192" s="19"/>
      <c r="L192" s="20">
        <f t="shared" si="7"/>
        <v>0</v>
      </c>
      <c r="HV192" s="2" t="s">
        <v>111</v>
      </c>
      <c r="HW192" s="2" t="s">
        <v>32</v>
      </c>
      <c r="IR192" s="21">
        <f>K192*0</f>
        <v>0</v>
      </c>
      <c r="IS192" s="21">
        <f>K192*(1-0)</f>
        <v>0</v>
      </c>
    </row>
    <row r="193" spans="1:253" x14ac:dyDescent="0.25">
      <c r="A193" s="18">
        <v>164</v>
      </c>
      <c r="B193" s="2" t="s">
        <v>168</v>
      </c>
      <c r="C193" s="2" t="s">
        <v>141</v>
      </c>
      <c r="D193" s="108" t="s">
        <v>142</v>
      </c>
      <c r="E193" s="102"/>
      <c r="F193" s="102"/>
      <c r="G193" s="102"/>
      <c r="H193" s="102"/>
      <c r="I193" s="2" t="s">
        <v>62</v>
      </c>
      <c r="J193" s="19">
        <v>3</v>
      </c>
      <c r="K193" s="19"/>
      <c r="L193" s="20">
        <f t="shared" si="7"/>
        <v>0</v>
      </c>
      <c r="HV193" s="2" t="s">
        <v>111</v>
      </c>
      <c r="HW193" s="2" t="s">
        <v>32</v>
      </c>
      <c r="IR193" s="21">
        <f>K193*0.133333333</f>
        <v>0</v>
      </c>
      <c r="IS193" s="21">
        <f>K193*(1-0.133333333)</f>
        <v>0</v>
      </c>
    </row>
    <row r="194" spans="1:253" x14ac:dyDescent="0.25">
      <c r="A194" s="18">
        <v>165</v>
      </c>
      <c r="B194" s="2" t="s">
        <v>168</v>
      </c>
      <c r="C194" s="2" t="s">
        <v>143</v>
      </c>
      <c r="D194" s="108" t="s">
        <v>144</v>
      </c>
      <c r="E194" s="102"/>
      <c r="F194" s="102"/>
      <c r="G194" s="102"/>
      <c r="H194" s="102"/>
      <c r="I194" s="2" t="s">
        <v>62</v>
      </c>
      <c r="J194" s="19">
        <v>23</v>
      </c>
      <c r="K194" s="19"/>
      <c r="L194" s="20">
        <f t="shared" si="7"/>
        <v>0</v>
      </c>
      <c r="HV194" s="2" t="s">
        <v>111</v>
      </c>
      <c r="HW194" s="2" t="s">
        <v>32</v>
      </c>
      <c r="IR194" s="21">
        <f>K194*0</f>
        <v>0</v>
      </c>
      <c r="IS194" s="21">
        <f>K194*(1-0)</f>
        <v>0</v>
      </c>
    </row>
    <row r="195" spans="1:253" x14ac:dyDescent="0.25">
      <c r="A195" s="18">
        <v>166</v>
      </c>
      <c r="B195" s="2" t="s">
        <v>168</v>
      </c>
      <c r="C195" s="2" t="s">
        <v>145</v>
      </c>
      <c r="D195" s="108" t="s">
        <v>146</v>
      </c>
      <c r="E195" s="102"/>
      <c r="F195" s="102"/>
      <c r="G195" s="102"/>
      <c r="H195" s="102"/>
      <c r="I195" s="2" t="s">
        <v>147</v>
      </c>
      <c r="J195" s="19">
        <v>23</v>
      </c>
      <c r="K195" s="19"/>
      <c r="L195" s="20">
        <f t="shared" si="7"/>
        <v>0</v>
      </c>
      <c r="HV195" s="2" t="s">
        <v>111</v>
      </c>
      <c r="HW195" s="2" t="s">
        <v>32</v>
      </c>
      <c r="IR195" s="21">
        <f>K195*0</f>
        <v>0</v>
      </c>
      <c r="IS195" s="21">
        <f>K195*(1-0)</f>
        <v>0</v>
      </c>
    </row>
    <row r="196" spans="1:253" x14ac:dyDescent="0.25">
      <c r="A196" s="18">
        <v>167</v>
      </c>
      <c r="B196" s="2" t="s">
        <v>168</v>
      </c>
      <c r="C196" s="2" t="s">
        <v>148</v>
      </c>
      <c r="D196" s="108" t="s">
        <v>149</v>
      </c>
      <c r="E196" s="102"/>
      <c r="F196" s="102"/>
      <c r="G196" s="102"/>
      <c r="H196" s="102"/>
      <c r="I196" s="2" t="s">
        <v>100</v>
      </c>
      <c r="J196" s="19">
        <v>23</v>
      </c>
      <c r="K196" s="19"/>
      <c r="L196" s="20">
        <f t="shared" si="7"/>
        <v>0</v>
      </c>
      <c r="HV196" s="2" t="s">
        <v>111</v>
      </c>
      <c r="HW196" s="2" t="s">
        <v>32</v>
      </c>
      <c r="IR196" s="21">
        <f>K196*0.062206897</f>
        <v>0</v>
      </c>
      <c r="IS196" s="21">
        <f>K196*(1-0.062206897)</f>
        <v>0</v>
      </c>
    </row>
    <row r="197" spans="1:253" x14ac:dyDescent="0.25">
      <c r="A197" s="18">
        <v>168</v>
      </c>
      <c r="B197" s="2" t="s">
        <v>168</v>
      </c>
      <c r="C197" s="2" t="s">
        <v>150</v>
      </c>
      <c r="D197" s="108" t="s">
        <v>151</v>
      </c>
      <c r="E197" s="102"/>
      <c r="F197" s="102"/>
      <c r="G197" s="102"/>
      <c r="H197" s="102"/>
      <c r="I197" s="2" t="s">
        <v>100</v>
      </c>
      <c r="J197" s="19">
        <v>23</v>
      </c>
      <c r="K197" s="19"/>
      <c r="L197" s="20">
        <f t="shared" si="7"/>
        <v>0</v>
      </c>
      <c r="HV197" s="2" t="s">
        <v>111</v>
      </c>
      <c r="HW197" s="2" t="s">
        <v>32</v>
      </c>
      <c r="IR197" s="21">
        <f>K197*0.474440677</f>
        <v>0</v>
      </c>
      <c r="IS197" s="21">
        <f>K197*(1-0.474440677)</f>
        <v>0</v>
      </c>
    </row>
    <row r="198" spans="1:253" x14ac:dyDescent="0.25">
      <c r="A198" s="18">
        <v>169</v>
      </c>
      <c r="B198" s="2" t="s">
        <v>168</v>
      </c>
      <c r="C198" s="2" t="s">
        <v>152</v>
      </c>
      <c r="D198" s="108" t="s">
        <v>153</v>
      </c>
      <c r="E198" s="102"/>
      <c r="F198" s="102"/>
      <c r="G198" s="102"/>
      <c r="H198" s="102"/>
      <c r="I198" s="2" t="s">
        <v>62</v>
      </c>
      <c r="J198" s="19">
        <v>23</v>
      </c>
      <c r="K198" s="19"/>
      <c r="L198" s="20">
        <f t="shared" si="7"/>
        <v>0</v>
      </c>
      <c r="HV198" s="2" t="s">
        <v>111</v>
      </c>
      <c r="HW198" s="2" t="s">
        <v>32</v>
      </c>
      <c r="IR198" s="21">
        <f>K198*0.219753184</f>
        <v>0</v>
      </c>
      <c r="IS198" s="21">
        <f>K198*(1-0.219753184)</f>
        <v>0</v>
      </c>
    </row>
    <row r="199" spans="1:253" x14ac:dyDescent="0.25">
      <c r="A199" s="18">
        <v>170</v>
      </c>
      <c r="B199" s="2" t="s">
        <v>168</v>
      </c>
      <c r="C199" s="2" t="s">
        <v>154</v>
      </c>
      <c r="D199" s="108" t="s">
        <v>155</v>
      </c>
      <c r="E199" s="102"/>
      <c r="F199" s="102"/>
      <c r="G199" s="102"/>
      <c r="H199" s="102"/>
      <c r="I199" s="2" t="s">
        <v>62</v>
      </c>
      <c r="J199" s="19">
        <v>23</v>
      </c>
      <c r="K199" s="19"/>
      <c r="L199" s="20">
        <f t="shared" si="7"/>
        <v>0</v>
      </c>
      <c r="HV199" s="2" t="s">
        <v>111</v>
      </c>
      <c r="HW199" s="2" t="s">
        <v>32</v>
      </c>
      <c r="IR199" s="21">
        <f>K199*0.250093458</f>
        <v>0</v>
      </c>
      <c r="IS199" s="21">
        <f>K199*(1-0.250093458)</f>
        <v>0</v>
      </c>
    </row>
    <row r="200" spans="1:253" x14ac:dyDescent="0.25">
      <c r="A200" s="18">
        <v>171</v>
      </c>
      <c r="B200" s="2" t="s">
        <v>168</v>
      </c>
      <c r="C200" s="2" t="s">
        <v>156</v>
      </c>
      <c r="D200" s="108" t="s">
        <v>157</v>
      </c>
      <c r="E200" s="102"/>
      <c r="F200" s="102"/>
      <c r="G200" s="102"/>
      <c r="H200" s="102"/>
      <c r="I200" s="2" t="s">
        <v>62</v>
      </c>
      <c r="J200" s="19">
        <v>23</v>
      </c>
      <c r="K200" s="19"/>
      <c r="L200" s="20">
        <f t="shared" si="7"/>
        <v>0</v>
      </c>
      <c r="HV200" s="2" t="s">
        <v>111</v>
      </c>
      <c r="HW200" s="2" t="s">
        <v>32</v>
      </c>
      <c r="IR200" s="21">
        <f>K200*0.125</f>
        <v>0</v>
      </c>
      <c r="IS200" s="21">
        <f>K200*(1-0.125)</f>
        <v>0</v>
      </c>
    </row>
    <row r="201" spans="1:253" x14ac:dyDescent="0.25">
      <c r="A201" s="18">
        <v>172</v>
      </c>
      <c r="B201" s="2" t="s">
        <v>168</v>
      </c>
      <c r="C201" s="2" t="s">
        <v>158</v>
      </c>
      <c r="D201" s="108" t="s">
        <v>159</v>
      </c>
      <c r="E201" s="102"/>
      <c r="F201" s="102"/>
      <c r="G201" s="102"/>
      <c r="H201" s="102"/>
      <c r="I201" s="2" t="s">
        <v>100</v>
      </c>
      <c r="J201" s="19">
        <v>23</v>
      </c>
      <c r="K201" s="19"/>
      <c r="L201" s="20">
        <f t="shared" si="7"/>
        <v>0</v>
      </c>
      <c r="HV201" s="2" t="s">
        <v>111</v>
      </c>
      <c r="HW201" s="2" t="s">
        <v>32</v>
      </c>
      <c r="IR201" s="21">
        <f>K201*0.692307692</f>
        <v>0</v>
      </c>
      <c r="IS201" s="21">
        <f>K201*(1-0.692307692)</f>
        <v>0</v>
      </c>
    </row>
    <row r="202" spans="1:253" x14ac:dyDescent="0.25">
      <c r="A202" s="18">
        <v>173</v>
      </c>
      <c r="B202" s="2" t="s">
        <v>168</v>
      </c>
      <c r="C202" s="2" t="s">
        <v>160</v>
      </c>
      <c r="D202" s="108" t="s">
        <v>161</v>
      </c>
      <c r="E202" s="102"/>
      <c r="F202" s="102"/>
      <c r="G202" s="102"/>
      <c r="H202" s="102"/>
      <c r="I202" s="2" t="s">
        <v>31</v>
      </c>
      <c r="J202" s="19">
        <v>118</v>
      </c>
      <c r="K202" s="19"/>
      <c r="L202" s="20">
        <f t="shared" si="7"/>
        <v>0</v>
      </c>
      <c r="HV202" s="2" t="s">
        <v>111</v>
      </c>
      <c r="HW202" s="2" t="s">
        <v>32</v>
      </c>
      <c r="IR202" s="21">
        <f>K202*0.5</f>
        <v>0</v>
      </c>
      <c r="IS202" s="21">
        <f>K202*(1-0.5)</f>
        <v>0</v>
      </c>
    </row>
    <row r="203" spans="1:253" x14ac:dyDescent="0.25">
      <c r="A203" s="18">
        <v>174</v>
      </c>
      <c r="B203" s="2" t="s">
        <v>168</v>
      </c>
      <c r="C203" s="2" t="s">
        <v>162</v>
      </c>
      <c r="D203" s="108" t="s">
        <v>163</v>
      </c>
      <c r="E203" s="102"/>
      <c r="F203" s="102"/>
      <c r="G203" s="102"/>
      <c r="H203" s="102"/>
      <c r="I203" s="2" t="s">
        <v>100</v>
      </c>
      <c r="J203" s="19">
        <v>3</v>
      </c>
      <c r="K203" s="19"/>
      <c r="L203" s="20">
        <f t="shared" si="7"/>
        <v>0</v>
      </c>
      <c r="HV203" s="2" t="s">
        <v>111</v>
      </c>
      <c r="HW203" s="2" t="s">
        <v>32</v>
      </c>
      <c r="IR203" s="21">
        <f>K203*0.391304348</f>
        <v>0</v>
      </c>
      <c r="IS203" s="21">
        <f>K203*(1-0.391304348)</f>
        <v>0</v>
      </c>
    </row>
    <row r="204" spans="1:253" x14ac:dyDescent="0.25">
      <c r="A204" s="18">
        <v>175</v>
      </c>
      <c r="B204" s="2" t="s">
        <v>168</v>
      </c>
      <c r="C204" s="2" t="s">
        <v>164</v>
      </c>
      <c r="D204" s="108" t="s">
        <v>165</v>
      </c>
      <c r="E204" s="102"/>
      <c r="F204" s="102"/>
      <c r="G204" s="102"/>
      <c r="H204" s="102"/>
      <c r="I204" s="2" t="s">
        <v>95</v>
      </c>
      <c r="J204" s="19">
        <v>0.6</v>
      </c>
      <c r="K204" s="19"/>
      <c r="L204" s="20">
        <f t="shared" si="7"/>
        <v>0</v>
      </c>
      <c r="HV204" s="2" t="s">
        <v>111</v>
      </c>
      <c r="HW204" s="2" t="s">
        <v>32</v>
      </c>
      <c r="IR204" s="21">
        <f>K204*0</f>
        <v>0</v>
      </c>
      <c r="IS204" s="21">
        <f>K204*(1-0)</f>
        <v>0</v>
      </c>
    </row>
    <row r="205" spans="1:253" x14ac:dyDescent="0.25">
      <c r="A205" s="18">
        <v>176</v>
      </c>
      <c r="B205" s="2" t="s">
        <v>168</v>
      </c>
      <c r="C205" s="2" t="s">
        <v>166</v>
      </c>
      <c r="D205" s="108" t="s">
        <v>167</v>
      </c>
      <c r="E205" s="102"/>
      <c r="F205" s="102"/>
      <c r="G205" s="102"/>
      <c r="H205" s="102"/>
      <c r="I205" s="2" t="s">
        <v>51</v>
      </c>
      <c r="J205" s="19">
        <v>3216</v>
      </c>
      <c r="K205" s="19"/>
      <c r="L205" s="20">
        <f t="shared" si="7"/>
        <v>0</v>
      </c>
      <c r="HV205" s="2" t="s">
        <v>111</v>
      </c>
      <c r="HW205" s="2" t="s">
        <v>32</v>
      </c>
      <c r="IR205" s="21">
        <f>K205*0</f>
        <v>0</v>
      </c>
      <c r="IS205" s="21">
        <f>K205*(1-0)</f>
        <v>0</v>
      </c>
    </row>
    <row r="206" spans="1:253" x14ac:dyDescent="0.25">
      <c r="A206" s="14" t="s">
        <v>23</v>
      </c>
      <c r="B206" s="15" t="s">
        <v>174</v>
      </c>
      <c r="C206" s="15" t="s">
        <v>25</v>
      </c>
      <c r="D206" s="115" t="s">
        <v>175</v>
      </c>
      <c r="E206" s="116"/>
      <c r="F206" s="116"/>
      <c r="G206" s="116"/>
      <c r="H206" s="116"/>
      <c r="I206" s="15" t="s">
        <v>23</v>
      </c>
      <c r="J206" s="16" t="s">
        <v>23</v>
      </c>
      <c r="K206" s="16"/>
      <c r="L206" s="17">
        <f>L207</f>
        <v>0</v>
      </c>
    </row>
    <row r="207" spans="1:253" x14ac:dyDescent="0.25">
      <c r="A207" s="14" t="s">
        <v>23</v>
      </c>
      <c r="B207" s="15" t="s">
        <v>174</v>
      </c>
      <c r="C207" s="15" t="s">
        <v>111</v>
      </c>
      <c r="D207" s="115" t="s">
        <v>112</v>
      </c>
      <c r="E207" s="116"/>
      <c r="F207" s="116"/>
      <c r="G207" s="116"/>
      <c r="H207" s="116"/>
      <c r="I207" s="15" t="s">
        <v>23</v>
      </c>
      <c r="J207" s="16" t="s">
        <v>23</v>
      </c>
      <c r="K207" s="16"/>
      <c r="L207" s="17">
        <f>SUM(L208:L234)</f>
        <v>0</v>
      </c>
    </row>
    <row r="208" spans="1:253" x14ac:dyDescent="0.25">
      <c r="A208" s="18">
        <v>177</v>
      </c>
      <c r="B208" s="2" t="s">
        <v>174</v>
      </c>
      <c r="C208" s="2" t="s">
        <v>113</v>
      </c>
      <c r="D208" s="108" t="s">
        <v>114</v>
      </c>
      <c r="E208" s="102"/>
      <c r="F208" s="102"/>
      <c r="G208" s="102"/>
      <c r="H208" s="102"/>
      <c r="I208" s="2" t="s">
        <v>31</v>
      </c>
      <c r="J208" s="19">
        <v>95</v>
      </c>
      <c r="K208" s="19"/>
      <c r="L208" s="20">
        <f t="shared" ref="L208:L234" si="8">IR208*J208+IS208*J208</f>
        <v>0</v>
      </c>
      <c r="HV208" s="2" t="s">
        <v>111</v>
      </c>
      <c r="HW208" s="2" t="s">
        <v>32</v>
      </c>
      <c r="IR208" s="21">
        <f>K208*0.884450262</f>
        <v>0</v>
      </c>
      <c r="IS208" s="21">
        <f>K208*(1-0.884450262)</f>
        <v>0</v>
      </c>
    </row>
    <row r="209" spans="1:253" x14ac:dyDescent="0.25">
      <c r="A209" s="18">
        <v>178</v>
      </c>
      <c r="B209" s="2" t="s">
        <v>174</v>
      </c>
      <c r="C209" s="2" t="s">
        <v>115</v>
      </c>
      <c r="D209" s="108" t="s">
        <v>116</v>
      </c>
      <c r="E209" s="102"/>
      <c r="F209" s="102"/>
      <c r="G209" s="102"/>
      <c r="H209" s="102"/>
      <c r="I209" s="2" t="s">
        <v>31</v>
      </c>
      <c r="J209" s="19">
        <v>13</v>
      </c>
      <c r="K209" s="19"/>
      <c r="L209" s="20">
        <f t="shared" si="8"/>
        <v>0</v>
      </c>
      <c r="HV209" s="2" t="s">
        <v>111</v>
      </c>
      <c r="HW209" s="2" t="s">
        <v>32</v>
      </c>
      <c r="IR209" s="21">
        <f>K209*0.840842765</f>
        <v>0</v>
      </c>
      <c r="IS209" s="21">
        <f>K209*(1-0.840842765)</f>
        <v>0</v>
      </c>
    </row>
    <row r="210" spans="1:253" x14ac:dyDescent="0.25">
      <c r="A210" s="18">
        <v>179</v>
      </c>
      <c r="B210" s="2" t="s">
        <v>174</v>
      </c>
      <c r="C210" s="2" t="s">
        <v>117</v>
      </c>
      <c r="D210" s="108" t="s">
        <v>118</v>
      </c>
      <c r="E210" s="102"/>
      <c r="F210" s="102"/>
      <c r="G210" s="102"/>
      <c r="H210" s="102"/>
      <c r="I210" s="2" t="s">
        <v>62</v>
      </c>
      <c r="J210" s="19">
        <v>1</v>
      </c>
      <c r="K210" s="19"/>
      <c r="L210" s="20">
        <f t="shared" si="8"/>
        <v>0</v>
      </c>
      <c r="HV210" s="2" t="s">
        <v>111</v>
      </c>
      <c r="HW210" s="2" t="s">
        <v>32</v>
      </c>
      <c r="IR210" s="21">
        <f>K210*0.48301217</f>
        <v>0</v>
      </c>
      <c r="IS210" s="21">
        <f>K210*(1-0.48301217)</f>
        <v>0</v>
      </c>
    </row>
    <row r="211" spans="1:253" x14ac:dyDescent="0.25">
      <c r="A211" s="18">
        <v>180</v>
      </c>
      <c r="B211" s="2" t="s">
        <v>174</v>
      </c>
      <c r="C211" s="2" t="s">
        <v>119</v>
      </c>
      <c r="D211" s="108" t="s">
        <v>120</v>
      </c>
      <c r="E211" s="102"/>
      <c r="F211" s="102"/>
      <c r="G211" s="102"/>
      <c r="H211" s="102"/>
      <c r="I211" s="2" t="s">
        <v>31</v>
      </c>
      <c r="J211" s="19">
        <v>95</v>
      </c>
      <c r="K211" s="19"/>
      <c r="L211" s="20">
        <f t="shared" si="8"/>
        <v>0</v>
      </c>
      <c r="HV211" s="2" t="s">
        <v>111</v>
      </c>
      <c r="HW211" s="2" t="s">
        <v>32</v>
      </c>
      <c r="IR211" s="21">
        <f>K211*0.758216433</f>
        <v>0</v>
      </c>
      <c r="IS211" s="21">
        <f>K211*(1-0.758216433)</f>
        <v>0</v>
      </c>
    </row>
    <row r="212" spans="1:253" x14ac:dyDescent="0.25">
      <c r="A212" s="18">
        <v>181</v>
      </c>
      <c r="B212" s="2" t="s">
        <v>174</v>
      </c>
      <c r="C212" s="2" t="s">
        <v>121</v>
      </c>
      <c r="D212" s="108" t="s">
        <v>122</v>
      </c>
      <c r="E212" s="102"/>
      <c r="F212" s="102"/>
      <c r="G212" s="102"/>
      <c r="H212" s="102"/>
      <c r="I212" s="2" t="s">
        <v>31</v>
      </c>
      <c r="J212" s="19">
        <v>13.2</v>
      </c>
      <c r="K212" s="19"/>
      <c r="L212" s="20">
        <f t="shared" si="8"/>
        <v>0</v>
      </c>
      <c r="HV212" s="2" t="s">
        <v>111</v>
      </c>
      <c r="HW212" s="2" t="s">
        <v>32</v>
      </c>
      <c r="IR212" s="21">
        <f>K212*0.80177043</f>
        <v>0</v>
      </c>
      <c r="IS212" s="21">
        <f>K212*(1-0.80177043)</f>
        <v>0</v>
      </c>
    </row>
    <row r="213" spans="1:253" x14ac:dyDescent="0.25">
      <c r="A213" s="18">
        <v>182</v>
      </c>
      <c r="B213" s="2" t="s">
        <v>174</v>
      </c>
      <c r="C213" s="2" t="s">
        <v>170</v>
      </c>
      <c r="D213" s="108" t="s">
        <v>171</v>
      </c>
      <c r="E213" s="102"/>
      <c r="F213" s="102"/>
      <c r="G213" s="102"/>
      <c r="H213" s="102"/>
      <c r="I213" s="2" t="s">
        <v>31</v>
      </c>
      <c r="J213" s="19">
        <v>13</v>
      </c>
      <c r="K213" s="19"/>
      <c r="L213" s="20">
        <f t="shared" si="8"/>
        <v>0</v>
      </c>
      <c r="HV213" s="2" t="s">
        <v>111</v>
      </c>
      <c r="HW213" s="2" t="s">
        <v>32</v>
      </c>
      <c r="IR213" s="21">
        <f>K213*0.80177043</f>
        <v>0</v>
      </c>
      <c r="IS213" s="21">
        <f>K213*(1-0.80177043)</f>
        <v>0</v>
      </c>
    </row>
    <row r="214" spans="1:253" x14ac:dyDescent="0.25">
      <c r="A214" s="18">
        <v>183</v>
      </c>
      <c r="B214" s="2" t="s">
        <v>174</v>
      </c>
      <c r="C214" s="2" t="s">
        <v>172</v>
      </c>
      <c r="D214" s="108" t="s">
        <v>173</v>
      </c>
      <c r="E214" s="102"/>
      <c r="F214" s="102"/>
      <c r="G214" s="102"/>
      <c r="H214" s="102"/>
      <c r="I214" s="2" t="s">
        <v>31</v>
      </c>
      <c r="J214" s="19">
        <v>0.8</v>
      </c>
      <c r="K214" s="19"/>
      <c r="L214" s="20">
        <f t="shared" si="8"/>
        <v>0</v>
      </c>
      <c r="HV214" s="2" t="s">
        <v>111</v>
      </c>
      <c r="HW214" s="2" t="s">
        <v>32</v>
      </c>
      <c r="IR214" s="21">
        <f>K214*0.8196875</f>
        <v>0</v>
      </c>
      <c r="IS214" s="21">
        <f>K214*(1-0.8196875)</f>
        <v>0</v>
      </c>
    </row>
    <row r="215" spans="1:253" x14ac:dyDescent="0.25">
      <c r="A215" s="18">
        <v>184</v>
      </c>
      <c r="B215" s="2" t="s">
        <v>174</v>
      </c>
      <c r="C215" s="2" t="s">
        <v>127</v>
      </c>
      <c r="D215" s="108" t="s">
        <v>128</v>
      </c>
      <c r="E215" s="102"/>
      <c r="F215" s="102"/>
      <c r="G215" s="102"/>
      <c r="H215" s="102"/>
      <c r="I215" s="2" t="s">
        <v>62</v>
      </c>
      <c r="J215" s="19">
        <v>23</v>
      </c>
      <c r="K215" s="19"/>
      <c r="L215" s="20">
        <f t="shared" si="8"/>
        <v>0</v>
      </c>
      <c r="HV215" s="2" t="s">
        <v>111</v>
      </c>
      <c r="HW215" s="2" t="s">
        <v>32</v>
      </c>
      <c r="IR215" s="21">
        <f>K215*0.75954071</f>
        <v>0</v>
      </c>
      <c r="IS215" s="21">
        <f>K215*(1-0.75954071)</f>
        <v>0</v>
      </c>
    </row>
    <row r="216" spans="1:253" x14ac:dyDescent="0.25">
      <c r="A216" s="18">
        <v>185</v>
      </c>
      <c r="B216" s="2" t="s">
        <v>174</v>
      </c>
      <c r="C216" s="2" t="s">
        <v>129</v>
      </c>
      <c r="D216" s="108" t="s">
        <v>130</v>
      </c>
      <c r="E216" s="102"/>
      <c r="F216" s="102"/>
      <c r="G216" s="102"/>
      <c r="H216" s="102"/>
      <c r="I216" s="2" t="s">
        <v>62</v>
      </c>
      <c r="J216" s="19">
        <v>26</v>
      </c>
      <c r="K216" s="19"/>
      <c r="L216" s="20">
        <f t="shared" si="8"/>
        <v>0</v>
      </c>
      <c r="HV216" s="2" t="s">
        <v>111</v>
      </c>
      <c r="HW216" s="2" t="s">
        <v>32</v>
      </c>
      <c r="IR216" s="21">
        <f>K216*0.84311753</f>
        <v>0</v>
      </c>
      <c r="IS216" s="21">
        <f>K216*(1-0.84311753)</f>
        <v>0</v>
      </c>
    </row>
    <row r="217" spans="1:253" x14ac:dyDescent="0.25">
      <c r="A217" s="18">
        <v>186</v>
      </c>
      <c r="B217" s="2" t="s">
        <v>174</v>
      </c>
      <c r="C217" s="2" t="s">
        <v>176</v>
      </c>
      <c r="D217" s="108" t="s">
        <v>177</v>
      </c>
      <c r="E217" s="102"/>
      <c r="F217" s="102"/>
      <c r="G217" s="102"/>
      <c r="H217" s="102"/>
      <c r="I217" s="2" t="s">
        <v>62</v>
      </c>
      <c r="J217" s="19">
        <v>1</v>
      </c>
      <c r="K217" s="19"/>
      <c r="L217" s="20">
        <f t="shared" si="8"/>
        <v>0</v>
      </c>
      <c r="HV217" s="2" t="s">
        <v>111</v>
      </c>
      <c r="HW217" s="2" t="s">
        <v>32</v>
      </c>
      <c r="IR217" s="21">
        <f>K217*0.875739842</f>
        <v>0</v>
      </c>
      <c r="IS217" s="21">
        <f>K217*(1-0.875739842)</f>
        <v>0</v>
      </c>
    </row>
    <row r="218" spans="1:253" x14ac:dyDescent="0.25">
      <c r="A218" s="18">
        <v>187</v>
      </c>
      <c r="B218" s="2" t="s">
        <v>174</v>
      </c>
      <c r="C218" s="2" t="s">
        <v>133</v>
      </c>
      <c r="D218" s="108" t="s">
        <v>134</v>
      </c>
      <c r="E218" s="102"/>
      <c r="F218" s="102"/>
      <c r="G218" s="102"/>
      <c r="H218" s="102"/>
      <c r="I218" s="2" t="s">
        <v>31</v>
      </c>
      <c r="J218" s="19">
        <v>118</v>
      </c>
      <c r="K218" s="19"/>
      <c r="L218" s="20">
        <f t="shared" si="8"/>
        <v>0</v>
      </c>
      <c r="HV218" s="2" t="s">
        <v>111</v>
      </c>
      <c r="HW218" s="2" t="s">
        <v>32</v>
      </c>
      <c r="IR218" s="21">
        <f>K218*0</f>
        <v>0</v>
      </c>
      <c r="IS218" s="21">
        <f>K218*(1-0)</f>
        <v>0</v>
      </c>
    </row>
    <row r="219" spans="1:253" x14ac:dyDescent="0.25">
      <c r="A219" s="18">
        <v>188</v>
      </c>
      <c r="B219" s="2" t="s">
        <v>174</v>
      </c>
      <c r="C219" s="2" t="s">
        <v>135</v>
      </c>
      <c r="D219" s="108" t="s">
        <v>136</v>
      </c>
      <c r="E219" s="102"/>
      <c r="F219" s="102"/>
      <c r="G219" s="102"/>
      <c r="H219" s="102"/>
      <c r="I219" s="2" t="s">
        <v>62</v>
      </c>
      <c r="J219" s="19">
        <v>4</v>
      </c>
      <c r="K219" s="19"/>
      <c r="L219" s="20">
        <f t="shared" si="8"/>
        <v>0</v>
      </c>
      <c r="HV219" s="2" t="s">
        <v>111</v>
      </c>
      <c r="HW219" s="2" t="s">
        <v>32</v>
      </c>
      <c r="IR219" s="21">
        <f>K219*0</f>
        <v>0</v>
      </c>
      <c r="IS219" s="21">
        <f>K219*(1-0)</f>
        <v>0</v>
      </c>
    </row>
    <row r="220" spans="1:253" x14ac:dyDescent="0.25">
      <c r="A220" s="18">
        <v>189</v>
      </c>
      <c r="B220" s="2" t="s">
        <v>174</v>
      </c>
      <c r="C220" s="2" t="s">
        <v>137</v>
      </c>
      <c r="D220" s="108" t="s">
        <v>138</v>
      </c>
      <c r="E220" s="102"/>
      <c r="F220" s="102"/>
      <c r="G220" s="102"/>
      <c r="H220" s="102"/>
      <c r="I220" s="2" t="s">
        <v>62</v>
      </c>
      <c r="J220" s="19">
        <v>4</v>
      </c>
      <c r="K220" s="19"/>
      <c r="L220" s="20">
        <f t="shared" si="8"/>
        <v>0</v>
      </c>
      <c r="HV220" s="2" t="s">
        <v>111</v>
      </c>
      <c r="HW220" s="2" t="s">
        <v>32</v>
      </c>
      <c r="IR220" s="21">
        <f>K220*0</f>
        <v>0</v>
      </c>
      <c r="IS220" s="21">
        <f>K220*(1-0)</f>
        <v>0</v>
      </c>
    </row>
    <row r="221" spans="1:253" x14ac:dyDescent="0.25">
      <c r="A221" s="18">
        <v>190</v>
      </c>
      <c r="B221" s="2" t="s">
        <v>174</v>
      </c>
      <c r="C221" s="2" t="s">
        <v>139</v>
      </c>
      <c r="D221" s="108" t="s">
        <v>140</v>
      </c>
      <c r="E221" s="102"/>
      <c r="F221" s="102"/>
      <c r="G221" s="102"/>
      <c r="H221" s="102"/>
      <c r="I221" s="2" t="s">
        <v>100</v>
      </c>
      <c r="J221" s="19">
        <v>4</v>
      </c>
      <c r="K221" s="19"/>
      <c r="L221" s="20">
        <f t="shared" si="8"/>
        <v>0</v>
      </c>
      <c r="HV221" s="2" t="s">
        <v>111</v>
      </c>
      <c r="HW221" s="2" t="s">
        <v>32</v>
      </c>
      <c r="IR221" s="21">
        <f>K221*0</f>
        <v>0</v>
      </c>
      <c r="IS221" s="21">
        <f>K221*(1-0)</f>
        <v>0</v>
      </c>
    </row>
    <row r="222" spans="1:253" x14ac:dyDescent="0.25">
      <c r="A222" s="18">
        <v>191</v>
      </c>
      <c r="B222" s="2" t="s">
        <v>174</v>
      </c>
      <c r="C222" s="2" t="s">
        <v>141</v>
      </c>
      <c r="D222" s="108" t="s">
        <v>142</v>
      </c>
      <c r="E222" s="102"/>
      <c r="F222" s="102"/>
      <c r="G222" s="102"/>
      <c r="H222" s="102"/>
      <c r="I222" s="2" t="s">
        <v>62</v>
      </c>
      <c r="J222" s="19">
        <v>3</v>
      </c>
      <c r="K222" s="19"/>
      <c r="L222" s="20">
        <f t="shared" si="8"/>
        <v>0</v>
      </c>
      <c r="HV222" s="2" t="s">
        <v>111</v>
      </c>
      <c r="HW222" s="2" t="s">
        <v>32</v>
      </c>
      <c r="IR222" s="21">
        <f>K222*0.133333333</f>
        <v>0</v>
      </c>
      <c r="IS222" s="21">
        <f>K222*(1-0.133333333)</f>
        <v>0</v>
      </c>
    </row>
    <row r="223" spans="1:253" x14ac:dyDescent="0.25">
      <c r="A223" s="18">
        <v>192</v>
      </c>
      <c r="B223" s="2" t="s">
        <v>174</v>
      </c>
      <c r="C223" s="2" t="s">
        <v>143</v>
      </c>
      <c r="D223" s="108" t="s">
        <v>144</v>
      </c>
      <c r="E223" s="102"/>
      <c r="F223" s="102"/>
      <c r="G223" s="102"/>
      <c r="H223" s="102"/>
      <c r="I223" s="2" t="s">
        <v>62</v>
      </c>
      <c r="J223" s="19">
        <v>23</v>
      </c>
      <c r="K223" s="19"/>
      <c r="L223" s="20">
        <f t="shared" si="8"/>
        <v>0</v>
      </c>
      <c r="HV223" s="2" t="s">
        <v>111</v>
      </c>
      <c r="HW223" s="2" t="s">
        <v>32</v>
      </c>
      <c r="IR223" s="21">
        <f>K223*0</f>
        <v>0</v>
      </c>
      <c r="IS223" s="21">
        <f>K223*(1-0)</f>
        <v>0</v>
      </c>
    </row>
    <row r="224" spans="1:253" x14ac:dyDescent="0.25">
      <c r="A224" s="18">
        <v>193</v>
      </c>
      <c r="B224" s="2" t="s">
        <v>174</v>
      </c>
      <c r="C224" s="2" t="s">
        <v>145</v>
      </c>
      <c r="D224" s="108" t="s">
        <v>146</v>
      </c>
      <c r="E224" s="102"/>
      <c r="F224" s="102"/>
      <c r="G224" s="102"/>
      <c r="H224" s="102"/>
      <c r="I224" s="2" t="s">
        <v>147</v>
      </c>
      <c r="J224" s="19">
        <v>23</v>
      </c>
      <c r="K224" s="19"/>
      <c r="L224" s="20">
        <f t="shared" si="8"/>
        <v>0</v>
      </c>
      <c r="HV224" s="2" t="s">
        <v>111</v>
      </c>
      <c r="HW224" s="2" t="s">
        <v>32</v>
      </c>
      <c r="IR224" s="21">
        <f>K224*0</f>
        <v>0</v>
      </c>
      <c r="IS224" s="21">
        <f>K224*(1-0)</f>
        <v>0</v>
      </c>
    </row>
    <row r="225" spans="1:253" x14ac:dyDescent="0.25">
      <c r="A225" s="18">
        <v>194</v>
      </c>
      <c r="B225" s="2" t="s">
        <v>174</v>
      </c>
      <c r="C225" s="2" t="s">
        <v>148</v>
      </c>
      <c r="D225" s="108" t="s">
        <v>149</v>
      </c>
      <c r="E225" s="102"/>
      <c r="F225" s="102"/>
      <c r="G225" s="102"/>
      <c r="H225" s="102"/>
      <c r="I225" s="2" t="s">
        <v>100</v>
      </c>
      <c r="J225" s="19">
        <v>23</v>
      </c>
      <c r="K225" s="19"/>
      <c r="L225" s="20">
        <f t="shared" si="8"/>
        <v>0</v>
      </c>
      <c r="HV225" s="2" t="s">
        <v>111</v>
      </c>
      <c r="HW225" s="2" t="s">
        <v>32</v>
      </c>
      <c r="IR225" s="21">
        <f>K225*0.062206897</f>
        <v>0</v>
      </c>
      <c r="IS225" s="21">
        <f>K225*(1-0.062206897)</f>
        <v>0</v>
      </c>
    </row>
    <row r="226" spans="1:253" x14ac:dyDescent="0.25">
      <c r="A226" s="18">
        <v>195</v>
      </c>
      <c r="B226" s="2" t="s">
        <v>174</v>
      </c>
      <c r="C226" s="2" t="s">
        <v>150</v>
      </c>
      <c r="D226" s="108" t="s">
        <v>151</v>
      </c>
      <c r="E226" s="102"/>
      <c r="F226" s="102"/>
      <c r="G226" s="102"/>
      <c r="H226" s="102"/>
      <c r="I226" s="2" t="s">
        <v>100</v>
      </c>
      <c r="J226" s="19">
        <v>23</v>
      </c>
      <c r="K226" s="19"/>
      <c r="L226" s="20">
        <f t="shared" si="8"/>
        <v>0</v>
      </c>
      <c r="HV226" s="2" t="s">
        <v>111</v>
      </c>
      <c r="HW226" s="2" t="s">
        <v>32</v>
      </c>
      <c r="IR226" s="21">
        <f>K226*0.474440677</f>
        <v>0</v>
      </c>
      <c r="IS226" s="21">
        <f>K226*(1-0.474440677)</f>
        <v>0</v>
      </c>
    </row>
    <row r="227" spans="1:253" x14ac:dyDescent="0.25">
      <c r="A227" s="18">
        <v>196</v>
      </c>
      <c r="B227" s="2" t="s">
        <v>174</v>
      </c>
      <c r="C227" s="2" t="s">
        <v>152</v>
      </c>
      <c r="D227" s="108" t="s">
        <v>153</v>
      </c>
      <c r="E227" s="102"/>
      <c r="F227" s="102"/>
      <c r="G227" s="102"/>
      <c r="H227" s="102"/>
      <c r="I227" s="2" t="s">
        <v>62</v>
      </c>
      <c r="J227" s="19">
        <v>23</v>
      </c>
      <c r="K227" s="19"/>
      <c r="L227" s="20">
        <f t="shared" si="8"/>
        <v>0</v>
      </c>
      <c r="HV227" s="2" t="s">
        <v>111</v>
      </c>
      <c r="HW227" s="2" t="s">
        <v>32</v>
      </c>
      <c r="IR227" s="21">
        <f>K227*0.219753184</f>
        <v>0</v>
      </c>
      <c r="IS227" s="21">
        <f>K227*(1-0.219753184)</f>
        <v>0</v>
      </c>
    </row>
    <row r="228" spans="1:253" x14ac:dyDescent="0.25">
      <c r="A228" s="18">
        <v>197</v>
      </c>
      <c r="B228" s="2" t="s">
        <v>174</v>
      </c>
      <c r="C228" s="2" t="s">
        <v>154</v>
      </c>
      <c r="D228" s="108" t="s">
        <v>155</v>
      </c>
      <c r="E228" s="102"/>
      <c r="F228" s="102"/>
      <c r="G228" s="102"/>
      <c r="H228" s="102"/>
      <c r="I228" s="2" t="s">
        <v>62</v>
      </c>
      <c r="J228" s="19">
        <v>23</v>
      </c>
      <c r="K228" s="19"/>
      <c r="L228" s="20">
        <f t="shared" si="8"/>
        <v>0</v>
      </c>
      <c r="HV228" s="2" t="s">
        <v>111</v>
      </c>
      <c r="HW228" s="2" t="s">
        <v>32</v>
      </c>
      <c r="IR228" s="21">
        <f>K228*0.250093458</f>
        <v>0</v>
      </c>
      <c r="IS228" s="21">
        <f>K228*(1-0.250093458)</f>
        <v>0</v>
      </c>
    </row>
    <row r="229" spans="1:253" x14ac:dyDescent="0.25">
      <c r="A229" s="18">
        <v>198</v>
      </c>
      <c r="B229" s="2" t="s">
        <v>174</v>
      </c>
      <c r="C229" s="2" t="s">
        <v>156</v>
      </c>
      <c r="D229" s="108" t="s">
        <v>157</v>
      </c>
      <c r="E229" s="102"/>
      <c r="F229" s="102"/>
      <c r="G229" s="102"/>
      <c r="H229" s="102"/>
      <c r="I229" s="2" t="s">
        <v>62</v>
      </c>
      <c r="J229" s="19">
        <v>23</v>
      </c>
      <c r="K229" s="19"/>
      <c r="L229" s="20">
        <f t="shared" si="8"/>
        <v>0</v>
      </c>
      <c r="HV229" s="2" t="s">
        <v>111</v>
      </c>
      <c r="HW229" s="2" t="s">
        <v>32</v>
      </c>
      <c r="IR229" s="21">
        <f>K229*0.125</f>
        <v>0</v>
      </c>
      <c r="IS229" s="21">
        <f>K229*(1-0.125)</f>
        <v>0</v>
      </c>
    </row>
    <row r="230" spans="1:253" x14ac:dyDescent="0.25">
      <c r="A230" s="18">
        <v>199</v>
      </c>
      <c r="B230" s="2" t="s">
        <v>174</v>
      </c>
      <c r="C230" s="2" t="s">
        <v>158</v>
      </c>
      <c r="D230" s="108" t="s">
        <v>159</v>
      </c>
      <c r="E230" s="102"/>
      <c r="F230" s="102"/>
      <c r="G230" s="102"/>
      <c r="H230" s="102"/>
      <c r="I230" s="2" t="s">
        <v>100</v>
      </c>
      <c r="J230" s="19">
        <v>23</v>
      </c>
      <c r="K230" s="19"/>
      <c r="L230" s="20">
        <f t="shared" si="8"/>
        <v>0</v>
      </c>
      <c r="HV230" s="2" t="s">
        <v>111</v>
      </c>
      <c r="HW230" s="2" t="s">
        <v>32</v>
      </c>
      <c r="IR230" s="21">
        <f>K230*0.692307692</f>
        <v>0</v>
      </c>
      <c r="IS230" s="21">
        <f>K230*(1-0.692307692)</f>
        <v>0</v>
      </c>
    </row>
    <row r="231" spans="1:253" x14ac:dyDescent="0.25">
      <c r="A231" s="18">
        <v>200</v>
      </c>
      <c r="B231" s="2" t="s">
        <v>174</v>
      </c>
      <c r="C231" s="2" t="s">
        <v>160</v>
      </c>
      <c r="D231" s="108" t="s">
        <v>161</v>
      </c>
      <c r="E231" s="102"/>
      <c r="F231" s="102"/>
      <c r="G231" s="102"/>
      <c r="H231" s="102"/>
      <c r="I231" s="2" t="s">
        <v>31</v>
      </c>
      <c r="J231" s="19">
        <v>118</v>
      </c>
      <c r="K231" s="19"/>
      <c r="L231" s="20">
        <f t="shared" si="8"/>
        <v>0</v>
      </c>
      <c r="HV231" s="2" t="s">
        <v>111</v>
      </c>
      <c r="HW231" s="2" t="s">
        <v>32</v>
      </c>
      <c r="IR231" s="21">
        <f>K231*0.5</f>
        <v>0</v>
      </c>
      <c r="IS231" s="21">
        <f>K231*(1-0.5)</f>
        <v>0</v>
      </c>
    </row>
    <row r="232" spans="1:253" x14ac:dyDescent="0.25">
      <c r="A232" s="18">
        <v>201</v>
      </c>
      <c r="B232" s="2" t="s">
        <v>174</v>
      </c>
      <c r="C232" s="2" t="s">
        <v>162</v>
      </c>
      <c r="D232" s="108" t="s">
        <v>163</v>
      </c>
      <c r="E232" s="102"/>
      <c r="F232" s="102"/>
      <c r="G232" s="102"/>
      <c r="H232" s="102"/>
      <c r="I232" s="2" t="s">
        <v>100</v>
      </c>
      <c r="J232" s="19">
        <v>3</v>
      </c>
      <c r="K232" s="19"/>
      <c r="L232" s="20">
        <f t="shared" si="8"/>
        <v>0</v>
      </c>
      <c r="HV232" s="2" t="s">
        <v>111</v>
      </c>
      <c r="HW232" s="2" t="s">
        <v>32</v>
      </c>
      <c r="IR232" s="21">
        <f>K232*0.391304348</f>
        <v>0</v>
      </c>
      <c r="IS232" s="21">
        <f>K232*(1-0.391304348)</f>
        <v>0</v>
      </c>
    </row>
    <row r="233" spans="1:253" x14ac:dyDescent="0.25">
      <c r="A233" s="18">
        <v>202</v>
      </c>
      <c r="B233" s="2" t="s">
        <v>174</v>
      </c>
      <c r="C233" s="2" t="s">
        <v>164</v>
      </c>
      <c r="D233" s="108" t="s">
        <v>165</v>
      </c>
      <c r="E233" s="102"/>
      <c r="F233" s="102"/>
      <c r="G233" s="102"/>
      <c r="H233" s="102"/>
      <c r="I233" s="2" t="s">
        <v>95</v>
      </c>
      <c r="J233" s="19">
        <v>0.6</v>
      </c>
      <c r="K233" s="19"/>
      <c r="L233" s="20">
        <f t="shared" si="8"/>
        <v>0</v>
      </c>
      <c r="HV233" s="2" t="s">
        <v>111</v>
      </c>
      <c r="HW233" s="2" t="s">
        <v>32</v>
      </c>
      <c r="IR233" s="21">
        <f>K233*0</f>
        <v>0</v>
      </c>
      <c r="IS233" s="21">
        <f>K233*(1-0)</f>
        <v>0</v>
      </c>
    </row>
    <row r="234" spans="1:253" x14ac:dyDescent="0.25">
      <c r="A234" s="18">
        <v>203</v>
      </c>
      <c r="B234" s="2" t="s">
        <v>174</v>
      </c>
      <c r="C234" s="2" t="s">
        <v>166</v>
      </c>
      <c r="D234" s="108" t="s">
        <v>167</v>
      </c>
      <c r="E234" s="102"/>
      <c r="F234" s="102"/>
      <c r="G234" s="102"/>
      <c r="H234" s="102"/>
      <c r="I234" s="2" t="s">
        <v>51</v>
      </c>
      <c r="J234" s="19">
        <v>2981</v>
      </c>
      <c r="K234" s="19"/>
      <c r="L234" s="20">
        <f t="shared" si="8"/>
        <v>0</v>
      </c>
      <c r="HV234" s="2" t="s">
        <v>111</v>
      </c>
      <c r="HW234" s="2" t="s">
        <v>32</v>
      </c>
      <c r="IR234" s="21">
        <f>K234*0</f>
        <v>0</v>
      </c>
      <c r="IS234" s="21">
        <f>K234*(1-0)</f>
        <v>0</v>
      </c>
    </row>
    <row r="235" spans="1:253" x14ac:dyDescent="0.25">
      <c r="A235" s="14" t="s">
        <v>23</v>
      </c>
      <c r="B235" s="15" t="s">
        <v>178</v>
      </c>
      <c r="C235" s="15" t="s">
        <v>25</v>
      </c>
      <c r="D235" s="115" t="s">
        <v>179</v>
      </c>
      <c r="E235" s="116"/>
      <c r="F235" s="116"/>
      <c r="G235" s="116"/>
      <c r="H235" s="116"/>
      <c r="I235" s="15" t="s">
        <v>23</v>
      </c>
      <c r="J235" s="16" t="s">
        <v>23</v>
      </c>
      <c r="K235" s="16"/>
      <c r="L235" s="17">
        <f>L236</f>
        <v>0</v>
      </c>
    </row>
    <row r="236" spans="1:253" x14ac:dyDescent="0.25">
      <c r="A236" s="14" t="s">
        <v>23</v>
      </c>
      <c r="B236" s="15" t="s">
        <v>178</v>
      </c>
      <c r="C236" s="15" t="s">
        <v>111</v>
      </c>
      <c r="D236" s="115" t="s">
        <v>112</v>
      </c>
      <c r="E236" s="116"/>
      <c r="F236" s="116"/>
      <c r="G236" s="116"/>
      <c r="H236" s="116"/>
      <c r="I236" s="15" t="s">
        <v>23</v>
      </c>
      <c r="J236" s="16" t="s">
        <v>23</v>
      </c>
      <c r="K236" s="16"/>
      <c r="L236" s="17">
        <f>SUM(L237:L249)</f>
        <v>0</v>
      </c>
    </row>
    <row r="237" spans="1:253" x14ac:dyDescent="0.25">
      <c r="A237" s="18">
        <v>204</v>
      </c>
      <c r="B237" s="2" t="s">
        <v>178</v>
      </c>
      <c r="C237" s="2" t="s">
        <v>180</v>
      </c>
      <c r="D237" s="108" t="s">
        <v>181</v>
      </c>
      <c r="E237" s="102"/>
      <c r="F237" s="102"/>
      <c r="G237" s="102"/>
      <c r="H237" s="102"/>
      <c r="I237" s="2" t="s">
        <v>31</v>
      </c>
      <c r="J237" s="19">
        <v>80.5</v>
      </c>
      <c r="K237" s="19"/>
      <c r="L237" s="20">
        <f t="shared" ref="L237:L249" si="9">IR237*J237+IS237*J237</f>
        <v>0</v>
      </c>
      <c r="HV237" s="2" t="s">
        <v>111</v>
      </c>
      <c r="HW237" s="2" t="s">
        <v>32</v>
      </c>
      <c r="IR237" s="21">
        <f>K237*0.767182663</f>
        <v>0</v>
      </c>
      <c r="IS237" s="21">
        <f>K237*(1-0.767182663)</f>
        <v>0</v>
      </c>
    </row>
    <row r="238" spans="1:253" x14ac:dyDescent="0.25">
      <c r="A238" s="18">
        <v>205</v>
      </c>
      <c r="B238" s="2" t="s">
        <v>178</v>
      </c>
      <c r="C238" s="2" t="s">
        <v>182</v>
      </c>
      <c r="D238" s="108" t="s">
        <v>183</v>
      </c>
      <c r="E238" s="102"/>
      <c r="F238" s="102"/>
      <c r="G238" s="102"/>
      <c r="H238" s="102"/>
      <c r="I238" s="2" t="s">
        <v>31</v>
      </c>
      <c r="J238" s="19">
        <v>80.5</v>
      </c>
      <c r="K238" s="19"/>
      <c r="L238" s="20">
        <f t="shared" si="9"/>
        <v>0</v>
      </c>
      <c r="HV238" s="2" t="s">
        <v>111</v>
      </c>
      <c r="HW238" s="2" t="s">
        <v>32</v>
      </c>
      <c r="IR238" s="21">
        <f>K238*0.600590476</f>
        <v>0</v>
      </c>
      <c r="IS238" s="21">
        <f>K238*(1-0.600590476)</f>
        <v>0</v>
      </c>
    </row>
    <row r="239" spans="1:253" x14ac:dyDescent="0.25">
      <c r="A239" s="18">
        <v>206</v>
      </c>
      <c r="B239" s="2" t="s">
        <v>178</v>
      </c>
      <c r="C239" s="2" t="s">
        <v>184</v>
      </c>
      <c r="D239" s="108" t="s">
        <v>185</v>
      </c>
      <c r="E239" s="102"/>
      <c r="F239" s="102"/>
      <c r="G239" s="102"/>
      <c r="H239" s="102"/>
      <c r="I239" s="2" t="s">
        <v>31</v>
      </c>
      <c r="J239" s="19">
        <v>3.5</v>
      </c>
      <c r="K239" s="19"/>
      <c r="L239" s="20">
        <f t="shared" si="9"/>
        <v>0</v>
      </c>
      <c r="HV239" s="2" t="s">
        <v>111</v>
      </c>
      <c r="HW239" s="2" t="s">
        <v>32</v>
      </c>
      <c r="IR239" s="21">
        <f>K239*0.646386294</f>
        <v>0</v>
      </c>
      <c r="IS239" s="21">
        <f>K239*(1-0.646386294)</f>
        <v>0</v>
      </c>
    </row>
    <row r="240" spans="1:253" x14ac:dyDescent="0.25">
      <c r="A240" s="18">
        <v>207</v>
      </c>
      <c r="B240" s="2" t="s">
        <v>178</v>
      </c>
      <c r="C240" s="2" t="s">
        <v>186</v>
      </c>
      <c r="D240" s="108" t="s">
        <v>187</v>
      </c>
      <c r="E240" s="102"/>
      <c r="F240" s="102"/>
      <c r="G240" s="102"/>
      <c r="H240" s="102"/>
      <c r="I240" s="2" t="s">
        <v>62</v>
      </c>
      <c r="J240" s="19">
        <v>23</v>
      </c>
      <c r="K240" s="19"/>
      <c r="L240" s="20">
        <f t="shared" si="9"/>
        <v>0</v>
      </c>
      <c r="HV240" s="2" t="s">
        <v>111</v>
      </c>
      <c r="HW240" s="2" t="s">
        <v>32</v>
      </c>
      <c r="IR240" s="21">
        <f>K240*0.373567625</f>
        <v>0</v>
      </c>
      <c r="IS240" s="21">
        <f>K240*(1-0.373567625)</f>
        <v>0</v>
      </c>
    </row>
    <row r="241" spans="1:253" x14ac:dyDescent="0.25">
      <c r="A241" s="18">
        <v>208</v>
      </c>
      <c r="B241" s="2" t="s">
        <v>178</v>
      </c>
      <c r="C241" s="2" t="s">
        <v>135</v>
      </c>
      <c r="D241" s="108" t="s">
        <v>136</v>
      </c>
      <c r="E241" s="102"/>
      <c r="F241" s="102"/>
      <c r="G241" s="102"/>
      <c r="H241" s="102"/>
      <c r="I241" s="2" t="s">
        <v>62</v>
      </c>
      <c r="J241" s="19">
        <v>23</v>
      </c>
      <c r="K241" s="19"/>
      <c r="L241" s="20">
        <f t="shared" si="9"/>
        <v>0</v>
      </c>
      <c r="HV241" s="2" t="s">
        <v>111</v>
      </c>
      <c r="HW241" s="2" t="s">
        <v>32</v>
      </c>
      <c r="IR241" s="21">
        <f>K241*0</f>
        <v>0</v>
      </c>
      <c r="IS241" s="21">
        <f>K241*(1-0)</f>
        <v>0</v>
      </c>
    </row>
    <row r="242" spans="1:253" x14ac:dyDescent="0.25">
      <c r="A242" s="18">
        <v>209</v>
      </c>
      <c r="B242" s="2" t="s">
        <v>178</v>
      </c>
      <c r="C242" s="2" t="s">
        <v>133</v>
      </c>
      <c r="D242" s="108" t="s">
        <v>134</v>
      </c>
      <c r="E242" s="102"/>
      <c r="F242" s="102"/>
      <c r="G242" s="102"/>
      <c r="H242" s="102"/>
      <c r="I242" s="2" t="s">
        <v>31</v>
      </c>
      <c r="J242" s="19">
        <v>80.5</v>
      </c>
      <c r="K242" s="19"/>
      <c r="L242" s="20">
        <f t="shared" si="9"/>
        <v>0</v>
      </c>
      <c r="HV242" s="2" t="s">
        <v>111</v>
      </c>
      <c r="HW242" s="2" t="s">
        <v>32</v>
      </c>
      <c r="IR242" s="21">
        <f>K242*0</f>
        <v>0</v>
      </c>
      <c r="IS242" s="21">
        <f>K242*(1-0)</f>
        <v>0</v>
      </c>
    </row>
    <row r="243" spans="1:253" x14ac:dyDescent="0.25">
      <c r="A243" s="18">
        <v>210</v>
      </c>
      <c r="B243" s="2" t="s">
        <v>178</v>
      </c>
      <c r="C243" s="2" t="s">
        <v>137</v>
      </c>
      <c r="D243" s="108" t="s">
        <v>138</v>
      </c>
      <c r="E243" s="102"/>
      <c r="F243" s="102"/>
      <c r="G243" s="102"/>
      <c r="H243" s="102"/>
      <c r="I243" s="2" t="s">
        <v>62</v>
      </c>
      <c r="J243" s="19">
        <v>23</v>
      </c>
      <c r="K243" s="19"/>
      <c r="L243" s="20">
        <f t="shared" si="9"/>
        <v>0</v>
      </c>
      <c r="HV243" s="2" t="s">
        <v>111</v>
      </c>
      <c r="HW243" s="2" t="s">
        <v>32</v>
      </c>
      <c r="IR243" s="21">
        <f>K243*0</f>
        <v>0</v>
      </c>
      <c r="IS243" s="21">
        <f>K243*(1-0)</f>
        <v>0</v>
      </c>
    </row>
    <row r="244" spans="1:253" x14ac:dyDescent="0.25">
      <c r="A244" s="18">
        <v>211</v>
      </c>
      <c r="B244" s="2" t="s">
        <v>178</v>
      </c>
      <c r="C244" s="2" t="s">
        <v>188</v>
      </c>
      <c r="D244" s="108" t="s">
        <v>189</v>
      </c>
      <c r="E244" s="102"/>
      <c r="F244" s="102"/>
      <c r="G244" s="102"/>
      <c r="H244" s="102"/>
      <c r="I244" s="2" t="s">
        <v>100</v>
      </c>
      <c r="J244" s="19">
        <v>23</v>
      </c>
      <c r="K244" s="19"/>
      <c r="L244" s="20">
        <f t="shared" si="9"/>
        <v>0</v>
      </c>
      <c r="HV244" s="2" t="s">
        <v>111</v>
      </c>
      <c r="HW244" s="2" t="s">
        <v>32</v>
      </c>
      <c r="IR244" s="21">
        <f>K244*0</f>
        <v>0</v>
      </c>
      <c r="IS244" s="21">
        <f>K244*(1-0)</f>
        <v>0</v>
      </c>
    </row>
    <row r="245" spans="1:253" x14ac:dyDescent="0.25">
      <c r="A245" s="18">
        <v>212</v>
      </c>
      <c r="B245" s="2" t="s">
        <v>178</v>
      </c>
      <c r="C245" s="2" t="s">
        <v>190</v>
      </c>
      <c r="D245" s="108" t="s">
        <v>191</v>
      </c>
      <c r="E245" s="102"/>
      <c r="F245" s="102"/>
      <c r="G245" s="102"/>
      <c r="H245" s="102"/>
      <c r="I245" s="2" t="s">
        <v>62</v>
      </c>
      <c r="J245" s="19">
        <v>23</v>
      </c>
      <c r="K245" s="19"/>
      <c r="L245" s="20">
        <f t="shared" si="9"/>
        <v>0</v>
      </c>
      <c r="HV245" s="2" t="s">
        <v>111</v>
      </c>
      <c r="HW245" s="2" t="s">
        <v>32</v>
      </c>
      <c r="IR245" s="21">
        <f>K245*0.039514536</f>
        <v>0</v>
      </c>
      <c r="IS245" s="21">
        <f>K245*(1-0.039514536)</f>
        <v>0</v>
      </c>
    </row>
    <row r="246" spans="1:253" x14ac:dyDescent="0.25">
      <c r="A246" s="18">
        <v>213</v>
      </c>
      <c r="B246" s="2" t="s">
        <v>178</v>
      </c>
      <c r="C246" s="2" t="s">
        <v>192</v>
      </c>
      <c r="D246" s="108" t="s">
        <v>193</v>
      </c>
      <c r="E246" s="102"/>
      <c r="F246" s="102"/>
      <c r="G246" s="102"/>
      <c r="H246" s="102"/>
      <c r="I246" s="2" t="s">
        <v>100</v>
      </c>
      <c r="J246" s="19">
        <v>23</v>
      </c>
      <c r="K246" s="19"/>
      <c r="L246" s="20">
        <f t="shared" si="9"/>
        <v>0</v>
      </c>
      <c r="HV246" s="2" t="s">
        <v>111</v>
      </c>
      <c r="HW246" s="2" t="s">
        <v>194</v>
      </c>
      <c r="IR246" s="21">
        <f>K246*1</f>
        <v>0</v>
      </c>
      <c r="IS246" s="21">
        <f>K246*(1-1)</f>
        <v>0</v>
      </c>
    </row>
    <row r="247" spans="1:253" x14ac:dyDescent="0.25">
      <c r="A247" s="18">
        <v>214</v>
      </c>
      <c r="B247" s="2" t="s">
        <v>178</v>
      </c>
      <c r="C247" s="2" t="s">
        <v>195</v>
      </c>
      <c r="D247" s="108" t="s">
        <v>196</v>
      </c>
      <c r="E247" s="102"/>
      <c r="F247" s="102"/>
      <c r="G247" s="102"/>
      <c r="H247" s="102"/>
      <c r="I247" s="2" t="s">
        <v>100</v>
      </c>
      <c r="J247" s="19">
        <v>23</v>
      </c>
      <c r="K247" s="19"/>
      <c r="L247" s="20">
        <f t="shared" si="9"/>
        <v>0</v>
      </c>
      <c r="HV247" s="2" t="s">
        <v>111</v>
      </c>
      <c r="HW247" s="2" t="s">
        <v>32</v>
      </c>
      <c r="IR247" s="21">
        <f>K247*0</f>
        <v>0</v>
      </c>
      <c r="IS247" s="21">
        <f>K247*(1-0)</f>
        <v>0</v>
      </c>
    </row>
    <row r="248" spans="1:253" x14ac:dyDescent="0.25">
      <c r="A248" s="18">
        <v>215</v>
      </c>
      <c r="B248" s="2" t="s">
        <v>178</v>
      </c>
      <c r="C248" s="2" t="s">
        <v>164</v>
      </c>
      <c r="D248" s="108" t="s">
        <v>165</v>
      </c>
      <c r="E248" s="102"/>
      <c r="F248" s="102"/>
      <c r="G248" s="102"/>
      <c r="H248" s="102"/>
      <c r="I248" s="2" t="s">
        <v>95</v>
      </c>
      <c r="J248" s="19">
        <v>0.2</v>
      </c>
      <c r="K248" s="19"/>
      <c r="L248" s="20">
        <f t="shared" si="9"/>
        <v>0</v>
      </c>
      <c r="HV248" s="2" t="s">
        <v>111</v>
      </c>
      <c r="HW248" s="2" t="s">
        <v>32</v>
      </c>
      <c r="IR248" s="21">
        <f>K248*0</f>
        <v>0</v>
      </c>
      <c r="IS248" s="21">
        <f>K248*(1-0)</f>
        <v>0</v>
      </c>
    </row>
    <row r="249" spans="1:253" x14ac:dyDescent="0.25">
      <c r="A249" s="18">
        <v>216</v>
      </c>
      <c r="B249" s="2" t="s">
        <v>178</v>
      </c>
      <c r="C249" s="2" t="s">
        <v>166</v>
      </c>
      <c r="D249" s="108" t="s">
        <v>167</v>
      </c>
      <c r="E249" s="102"/>
      <c r="F249" s="102"/>
      <c r="G249" s="102"/>
      <c r="H249" s="102"/>
      <c r="I249" s="2" t="s">
        <v>51</v>
      </c>
      <c r="J249" s="19">
        <v>2262</v>
      </c>
      <c r="K249" s="19"/>
      <c r="L249" s="20">
        <f t="shared" si="9"/>
        <v>0</v>
      </c>
      <c r="HV249" s="2" t="s">
        <v>111</v>
      </c>
      <c r="HW249" s="2" t="s">
        <v>32</v>
      </c>
      <c r="IR249" s="21">
        <f>K249*0</f>
        <v>0</v>
      </c>
      <c r="IS249" s="21">
        <f>K249*(1-0)</f>
        <v>0</v>
      </c>
    </row>
    <row r="250" spans="1:253" x14ac:dyDescent="0.25">
      <c r="A250" s="14" t="s">
        <v>23</v>
      </c>
      <c r="B250" s="15" t="s">
        <v>197</v>
      </c>
      <c r="C250" s="15" t="s">
        <v>25</v>
      </c>
      <c r="D250" s="115" t="s">
        <v>198</v>
      </c>
      <c r="E250" s="116"/>
      <c r="F250" s="116"/>
      <c r="G250" s="116"/>
      <c r="H250" s="116"/>
      <c r="I250" s="15" t="s">
        <v>23</v>
      </c>
      <c r="J250" s="16" t="s">
        <v>23</v>
      </c>
      <c r="K250" s="16"/>
      <c r="L250" s="17">
        <f>L251</f>
        <v>0</v>
      </c>
    </row>
    <row r="251" spans="1:253" x14ac:dyDescent="0.25">
      <c r="A251" s="14" t="s">
        <v>23</v>
      </c>
      <c r="B251" s="15" t="s">
        <v>197</v>
      </c>
      <c r="C251" s="15" t="s">
        <v>111</v>
      </c>
      <c r="D251" s="115" t="s">
        <v>112</v>
      </c>
      <c r="E251" s="116"/>
      <c r="F251" s="116"/>
      <c r="G251" s="116"/>
      <c r="H251" s="116"/>
      <c r="I251" s="15" t="s">
        <v>23</v>
      </c>
      <c r="J251" s="16" t="s">
        <v>23</v>
      </c>
      <c r="K251" s="16"/>
      <c r="L251" s="17">
        <f>SUM(L252:L264)</f>
        <v>0</v>
      </c>
    </row>
    <row r="252" spans="1:253" x14ac:dyDescent="0.25">
      <c r="A252" s="18">
        <v>217</v>
      </c>
      <c r="B252" s="2" t="s">
        <v>197</v>
      </c>
      <c r="C252" s="2" t="s">
        <v>180</v>
      </c>
      <c r="D252" s="108" t="s">
        <v>181</v>
      </c>
      <c r="E252" s="102"/>
      <c r="F252" s="102"/>
      <c r="G252" s="102"/>
      <c r="H252" s="102"/>
      <c r="I252" s="2" t="s">
        <v>31</v>
      </c>
      <c r="J252" s="19">
        <v>80.5</v>
      </c>
      <c r="K252" s="19"/>
      <c r="L252" s="20">
        <f t="shared" ref="L252:L264" si="10">IR252*J252+IS252*J252</f>
        <v>0</v>
      </c>
      <c r="HV252" s="2" t="s">
        <v>111</v>
      </c>
      <c r="HW252" s="2" t="s">
        <v>32</v>
      </c>
      <c r="IR252" s="21">
        <f>K252*0.767182663</f>
        <v>0</v>
      </c>
      <c r="IS252" s="21">
        <f>K252*(1-0.767182663)</f>
        <v>0</v>
      </c>
    </row>
    <row r="253" spans="1:253" x14ac:dyDescent="0.25">
      <c r="A253" s="18">
        <v>218</v>
      </c>
      <c r="B253" s="2" t="s">
        <v>197</v>
      </c>
      <c r="C253" s="2" t="s">
        <v>182</v>
      </c>
      <c r="D253" s="108" t="s">
        <v>183</v>
      </c>
      <c r="E253" s="102"/>
      <c r="F253" s="102"/>
      <c r="G253" s="102"/>
      <c r="H253" s="102"/>
      <c r="I253" s="2" t="s">
        <v>31</v>
      </c>
      <c r="J253" s="19">
        <v>80.5</v>
      </c>
      <c r="K253" s="19"/>
      <c r="L253" s="20">
        <f t="shared" si="10"/>
        <v>0</v>
      </c>
      <c r="HV253" s="2" t="s">
        <v>111</v>
      </c>
      <c r="HW253" s="2" t="s">
        <v>32</v>
      </c>
      <c r="IR253" s="21">
        <f>K253*0.600590476</f>
        <v>0</v>
      </c>
      <c r="IS253" s="21">
        <f>K253*(1-0.600590476)</f>
        <v>0</v>
      </c>
    </row>
    <row r="254" spans="1:253" x14ac:dyDescent="0.25">
      <c r="A254" s="18">
        <v>219</v>
      </c>
      <c r="B254" s="2" t="s">
        <v>197</v>
      </c>
      <c r="C254" s="2" t="s">
        <v>184</v>
      </c>
      <c r="D254" s="108" t="s">
        <v>185</v>
      </c>
      <c r="E254" s="102"/>
      <c r="F254" s="102"/>
      <c r="G254" s="102"/>
      <c r="H254" s="102"/>
      <c r="I254" s="2" t="s">
        <v>31</v>
      </c>
      <c r="J254" s="19">
        <v>3.5</v>
      </c>
      <c r="K254" s="19"/>
      <c r="L254" s="20">
        <f t="shared" si="10"/>
        <v>0</v>
      </c>
      <c r="HV254" s="2" t="s">
        <v>111</v>
      </c>
      <c r="HW254" s="2" t="s">
        <v>32</v>
      </c>
      <c r="IR254" s="21">
        <f>K254*0.646386294</f>
        <v>0</v>
      </c>
      <c r="IS254" s="21">
        <f>K254*(1-0.646386294)</f>
        <v>0</v>
      </c>
    </row>
    <row r="255" spans="1:253" x14ac:dyDescent="0.25">
      <c r="A255" s="18">
        <v>220</v>
      </c>
      <c r="B255" s="2" t="s">
        <v>197</v>
      </c>
      <c r="C255" s="2" t="s">
        <v>186</v>
      </c>
      <c r="D255" s="108" t="s">
        <v>187</v>
      </c>
      <c r="E255" s="102"/>
      <c r="F255" s="102"/>
      <c r="G255" s="102"/>
      <c r="H255" s="102"/>
      <c r="I255" s="2" t="s">
        <v>62</v>
      </c>
      <c r="J255" s="19">
        <v>23</v>
      </c>
      <c r="K255" s="19"/>
      <c r="L255" s="20">
        <f t="shared" si="10"/>
        <v>0</v>
      </c>
      <c r="HV255" s="2" t="s">
        <v>111</v>
      </c>
      <c r="HW255" s="2" t="s">
        <v>32</v>
      </c>
      <c r="IR255" s="21">
        <f>K255*0.373567625</f>
        <v>0</v>
      </c>
      <c r="IS255" s="21">
        <f>K255*(1-0.373567625)</f>
        <v>0</v>
      </c>
    </row>
    <row r="256" spans="1:253" x14ac:dyDescent="0.25">
      <c r="A256" s="18">
        <v>221</v>
      </c>
      <c r="B256" s="2" t="s">
        <v>197</v>
      </c>
      <c r="C256" s="2" t="s">
        <v>135</v>
      </c>
      <c r="D256" s="108" t="s">
        <v>136</v>
      </c>
      <c r="E256" s="102"/>
      <c r="F256" s="102"/>
      <c r="G256" s="102"/>
      <c r="H256" s="102"/>
      <c r="I256" s="2" t="s">
        <v>62</v>
      </c>
      <c r="J256" s="19">
        <v>23</v>
      </c>
      <c r="K256" s="19"/>
      <c r="L256" s="20">
        <f t="shared" si="10"/>
        <v>0</v>
      </c>
      <c r="HV256" s="2" t="s">
        <v>111</v>
      </c>
      <c r="HW256" s="2" t="s">
        <v>32</v>
      </c>
      <c r="IR256" s="21">
        <f>K256*0</f>
        <v>0</v>
      </c>
      <c r="IS256" s="21">
        <f>K256*(1-0)</f>
        <v>0</v>
      </c>
    </row>
    <row r="257" spans="1:253" x14ac:dyDescent="0.25">
      <c r="A257" s="18">
        <v>222</v>
      </c>
      <c r="B257" s="2" t="s">
        <v>197</v>
      </c>
      <c r="C257" s="2" t="s">
        <v>133</v>
      </c>
      <c r="D257" s="108" t="s">
        <v>134</v>
      </c>
      <c r="E257" s="102"/>
      <c r="F257" s="102"/>
      <c r="G257" s="102"/>
      <c r="H257" s="102"/>
      <c r="I257" s="2" t="s">
        <v>31</v>
      </c>
      <c r="J257" s="19">
        <v>80.5</v>
      </c>
      <c r="K257" s="19"/>
      <c r="L257" s="20">
        <f t="shared" si="10"/>
        <v>0</v>
      </c>
      <c r="HV257" s="2" t="s">
        <v>111</v>
      </c>
      <c r="HW257" s="2" t="s">
        <v>32</v>
      </c>
      <c r="IR257" s="21">
        <f>K257*0</f>
        <v>0</v>
      </c>
      <c r="IS257" s="21">
        <f>K257*(1-0)</f>
        <v>0</v>
      </c>
    </row>
    <row r="258" spans="1:253" x14ac:dyDescent="0.25">
      <c r="A258" s="18">
        <v>223</v>
      </c>
      <c r="B258" s="2" t="s">
        <v>197</v>
      </c>
      <c r="C258" s="2" t="s">
        <v>137</v>
      </c>
      <c r="D258" s="108" t="s">
        <v>138</v>
      </c>
      <c r="E258" s="102"/>
      <c r="F258" s="102"/>
      <c r="G258" s="102"/>
      <c r="H258" s="102"/>
      <c r="I258" s="2" t="s">
        <v>62</v>
      </c>
      <c r="J258" s="19">
        <v>23</v>
      </c>
      <c r="K258" s="19"/>
      <c r="L258" s="20">
        <f t="shared" si="10"/>
        <v>0</v>
      </c>
      <c r="HV258" s="2" t="s">
        <v>111</v>
      </c>
      <c r="HW258" s="2" t="s">
        <v>32</v>
      </c>
      <c r="IR258" s="21">
        <f>K258*0</f>
        <v>0</v>
      </c>
      <c r="IS258" s="21">
        <f>K258*(1-0)</f>
        <v>0</v>
      </c>
    </row>
    <row r="259" spans="1:253" x14ac:dyDescent="0.25">
      <c r="A259" s="18">
        <v>224</v>
      </c>
      <c r="B259" s="2" t="s">
        <v>197</v>
      </c>
      <c r="C259" s="2" t="s">
        <v>188</v>
      </c>
      <c r="D259" s="108" t="s">
        <v>189</v>
      </c>
      <c r="E259" s="102"/>
      <c r="F259" s="102"/>
      <c r="G259" s="102"/>
      <c r="H259" s="102"/>
      <c r="I259" s="2" t="s">
        <v>100</v>
      </c>
      <c r="J259" s="19">
        <v>23</v>
      </c>
      <c r="K259" s="19"/>
      <c r="L259" s="20">
        <f t="shared" si="10"/>
        <v>0</v>
      </c>
      <c r="HV259" s="2" t="s">
        <v>111</v>
      </c>
      <c r="HW259" s="2" t="s">
        <v>32</v>
      </c>
      <c r="IR259" s="21">
        <f>K259*0</f>
        <v>0</v>
      </c>
      <c r="IS259" s="21">
        <f>K259*(1-0)</f>
        <v>0</v>
      </c>
    </row>
    <row r="260" spans="1:253" x14ac:dyDescent="0.25">
      <c r="A260" s="18">
        <v>225</v>
      </c>
      <c r="B260" s="2" t="s">
        <v>197</v>
      </c>
      <c r="C260" s="2" t="s">
        <v>190</v>
      </c>
      <c r="D260" s="108" t="s">
        <v>191</v>
      </c>
      <c r="E260" s="102"/>
      <c r="F260" s="102"/>
      <c r="G260" s="102"/>
      <c r="H260" s="102"/>
      <c r="I260" s="2" t="s">
        <v>62</v>
      </c>
      <c r="J260" s="19">
        <v>23</v>
      </c>
      <c r="K260" s="19"/>
      <c r="L260" s="20">
        <f t="shared" si="10"/>
        <v>0</v>
      </c>
      <c r="HV260" s="2" t="s">
        <v>111</v>
      </c>
      <c r="HW260" s="2" t="s">
        <v>32</v>
      </c>
      <c r="IR260" s="21">
        <f>K260*0.039514536</f>
        <v>0</v>
      </c>
      <c r="IS260" s="21">
        <f>K260*(1-0.039514536)</f>
        <v>0</v>
      </c>
    </row>
    <row r="261" spans="1:253" x14ac:dyDescent="0.25">
      <c r="A261" s="18">
        <v>226</v>
      </c>
      <c r="B261" s="2" t="s">
        <v>197</v>
      </c>
      <c r="C261" s="2" t="s">
        <v>192</v>
      </c>
      <c r="D261" s="108" t="s">
        <v>193</v>
      </c>
      <c r="E261" s="102"/>
      <c r="F261" s="102"/>
      <c r="G261" s="102"/>
      <c r="H261" s="102"/>
      <c r="I261" s="2" t="s">
        <v>100</v>
      </c>
      <c r="J261" s="19">
        <v>23</v>
      </c>
      <c r="K261" s="19"/>
      <c r="L261" s="20">
        <f t="shared" si="10"/>
        <v>0</v>
      </c>
      <c r="HV261" s="2" t="s">
        <v>111</v>
      </c>
      <c r="HW261" s="2" t="s">
        <v>194</v>
      </c>
      <c r="IR261" s="21">
        <f>K261*1</f>
        <v>0</v>
      </c>
      <c r="IS261" s="21">
        <f>K261*(1-1)</f>
        <v>0</v>
      </c>
    </row>
    <row r="262" spans="1:253" x14ac:dyDescent="0.25">
      <c r="A262" s="18">
        <v>227</v>
      </c>
      <c r="B262" s="2" t="s">
        <v>197</v>
      </c>
      <c r="C262" s="2" t="s">
        <v>195</v>
      </c>
      <c r="D262" s="108" t="s">
        <v>196</v>
      </c>
      <c r="E262" s="102"/>
      <c r="F262" s="102"/>
      <c r="G262" s="102"/>
      <c r="H262" s="102"/>
      <c r="I262" s="2" t="s">
        <v>100</v>
      </c>
      <c r="J262" s="19">
        <v>23</v>
      </c>
      <c r="K262" s="19"/>
      <c r="L262" s="20">
        <f t="shared" si="10"/>
        <v>0</v>
      </c>
      <c r="HV262" s="2" t="s">
        <v>111</v>
      </c>
      <c r="HW262" s="2" t="s">
        <v>32</v>
      </c>
      <c r="IR262" s="21">
        <f>K262*0</f>
        <v>0</v>
      </c>
      <c r="IS262" s="21">
        <f>K262*(1-0)</f>
        <v>0</v>
      </c>
    </row>
    <row r="263" spans="1:253" x14ac:dyDescent="0.25">
      <c r="A263" s="18">
        <v>228</v>
      </c>
      <c r="B263" s="2" t="s">
        <v>197</v>
      </c>
      <c r="C263" s="2" t="s">
        <v>164</v>
      </c>
      <c r="D263" s="108" t="s">
        <v>165</v>
      </c>
      <c r="E263" s="102"/>
      <c r="F263" s="102"/>
      <c r="G263" s="102"/>
      <c r="H263" s="102"/>
      <c r="I263" s="2" t="s">
        <v>95</v>
      </c>
      <c r="J263" s="19">
        <v>0.2</v>
      </c>
      <c r="K263" s="19"/>
      <c r="L263" s="20">
        <f t="shared" si="10"/>
        <v>0</v>
      </c>
      <c r="HV263" s="2" t="s">
        <v>111</v>
      </c>
      <c r="HW263" s="2" t="s">
        <v>32</v>
      </c>
      <c r="IR263" s="21">
        <f>K263*0</f>
        <v>0</v>
      </c>
      <c r="IS263" s="21">
        <f>K263*(1-0)</f>
        <v>0</v>
      </c>
    </row>
    <row r="264" spans="1:253" x14ac:dyDescent="0.25">
      <c r="A264" s="18">
        <v>229</v>
      </c>
      <c r="B264" s="2" t="s">
        <v>197</v>
      </c>
      <c r="C264" s="2" t="s">
        <v>166</v>
      </c>
      <c r="D264" s="108" t="s">
        <v>167</v>
      </c>
      <c r="E264" s="102"/>
      <c r="F264" s="102"/>
      <c r="G264" s="102"/>
      <c r="H264" s="102"/>
      <c r="I264" s="2" t="s">
        <v>51</v>
      </c>
      <c r="J264" s="19">
        <v>2262</v>
      </c>
      <c r="K264" s="19"/>
      <c r="L264" s="20">
        <f t="shared" si="10"/>
        <v>0</v>
      </c>
      <c r="HV264" s="2" t="s">
        <v>111</v>
      </c>
      <c r="HW264" s="2" t="s">
        <v>32</v>
      </c>
      <c r="IR264" s="21">
        <f>K264*0</f>
        <v>0</v>
      </c>
      <c r="IS264" s="21">
        <f>K264*(1-0)</f>
        <v>0</v>
      </c>
    </row>
    <row r="265" spans="1:253" x14ac:dyDescent="0.25">
      <c r="A265" s="14" t="s">
        <v>23</v>
      </c>
      <c r="B265" s="15" t="s">
        <v>199</v>
      </c>
      <c r="C265" s="15" t="s">
        <v>25</v>
      </c>
      <c r="D265" s="115" t="s">
        <v>200</v>
      </c>
      <c r="E265" s="116"/>
      <c r="F265" s="116"/>
      <c r="G265" s="116"/>
      <c r="H265" s="116"/>
      <c r="I265" s="15" t="s">
        <v>23</v>
      </c>
      <c r="J265" s="16" t="s">
        <v>23</v>
      </c>
      <c r="K265" s="16"/>
      <c r="L265" s="17">
        <f>L266</f>
        <v>0</v>
      </c>
    </row>
    <row r="266" spans="1:253" x14ac:dyDescent="0.25">
      <c r="A266" s="14" t="s">
        <v>23</v>
      </c>
      <c r="B266" s="15" t="s">
        <v>199</v>
      </c>
      <c r="C266" s="15" t="s">
        <v>111</v>
      </c>
      <c r="D266" s="115" t="s">
        <v>112</v>
      </c>
      <c r="E266" s="116"/>
      <c r="F266" s="116"/>
      <c r="G266" s="116"/>
      <c r="H266" s="116"/>
      <c r="I266" s="15" t="s">
        <v>23</v>
      </c>
      <c r="J266" s="16" t="s">
        <v>23</v>
      </c>
      <c r="K266" s="16"/>
      <c r="L266" s="17">
        <f>SUM(L267:L279)</f>
        <v>0</v>
      </c>
    </row>
    <row r="267" spans="1:253" x14ac:dyDescent="0.25">
      <c r="A267" s="18">
        <v>230</v>
      </c>
      <c r="B267" s="2" t="s">
        <v>199</v>
      </c>
      <c r="C267" s="2" t="s">
        <v>180</v>
      </c>
      <c r="D267" s="108" t="s">
        <v>181</v>
      </c>
      <c r="E267" s="102"/>
      <c r="F267" s="102"/>
      <c r="G267" s="102"/>
      <c r="H267" s="102"/>
      <c r="I267" s="2" t="s">
        <v>31</v>
      </c>
      <c r="J267" s="19">
        <v>80.5</v>
      </c>
      <c r="K267" s="19"/>
      <c r="L267" s="20">
        <f t="shared" ref="L267:L279" si="11">IR267*J267+IS267*J267</f>
        <v>0</v>
      </c>
      <c r="HV267" s="2" t="s">
        <v>111</v>
      </c>
      <c r="HW267" s="2" t="s">
        <v>32</v>
      </c>
      <c r="IR267" s="21">
        <f>K267*0.767182663</f>
        <v>0</v>
      </c>
      <c r="IS267" s="21">
        <f>K267*(1-0.767182663)</f>
        <v>0</v>
      </c>
    </row>
    <row r="268" spans="1:253" x14ac:dyDescent="0.25">
      <c r="A268" s="18">
        <v>231</v>
      </c>
      <c r="B268" s="2" t="s">
        <v>199</v>
      </c>
      <c r="C268" s="2" t="s">
        <v>182</v>
      </c>
      <c r="D268" s="108" t="s">
        <v>183</v>
      </c>
      <c r="E268" s="102"/>
      <c r="F268" s="102"/>
      <c r="G268" s="102"/>
      <c r="H268" s="102"/>
      <c r="I268" s="2" t="s">
        <v>31</v>
      </c>
      <c r="J268" s="19">
        <v>80.5</v>
      </c>
      <c r="K268" s="19"/>
      <c r="L268" s="20">
        <f t="shared" si="11"/>
        <v>0</v>
      </c>
      <c r="HV268" s="2" t="s">
        <v>111</v>
      </c>
      <c r="HW268" s="2" t="s">
        <v>32</v>
      </c>
      <c r="IR268" s="21">
        <f>K268*0.600590476</f>
        <v>0</v>
      </c>
      <c r="IS268" s="21">
        <f>K268*(1-0.600590476)</f>
        <v>0</v>
      </c>
    </row>
    <row r="269" spans="1:253" x14ac:dyDescent="0.25">
      <c r="A269" s="18">
        <v>232</v>
      </c>
      <c r="B269" s="2" t="s">
        <v>199</v>
      </c>
      <c r="C269" s="2" t="s">
        <v>184</v>
      </c>
      <c r="D269" s="108" t="s">
        <v>185</v>
      </c>
      <c r="E269" s="102"/>
      <c r="F269" s="102"/>
      <c r="G269" s="102"/>
      <c r="H269" s="102"/>
      <c r="I269" s="2" t="s">
        <v>31</v>
      </c>
      <c r="J269" s="19">
        <v>3.5</v>
      </c>
      <c r="K269" s="19"/>
      <c r="L269" s="20">
        <f t="shared" si="11"/>
        <v>0</v>
      </c>
      <c r="HV269" s="2" t="s">
        <v>111</v>
      </c>
      <c r="HW269" s="2" t="s">
        <v>32</v>
      </c>
      <c r="IR269" s="21">
        <f>K269*0.646386294</f>
        <v>0</v>
      </c>
      <c r="IS269" s="21">
        <f>K269*(1-0.646386294)</f>
        <v>0</v>
      </c>
    </row>
    <row r="270" spans="1:253" x14ac:dyDescent="0.25">
      <c r="A270" s="18">
        <v>233</v>
      </c>
      <c r="B270" s="2" t="s">
        <v>199</v>
      </c>
      <c r="C270" s="2" t="s">
        <v>186</v>
      </c>
      <c r="D270" s="108" t="s">
        <v>187</v>
      </c>
      <c r="E270" s="102"/>
      <c r="F270" s="102"/>
      <c r="G270" s="102"/>
      <c r="H270" s="102"/>
      <c r="I270" s="2" t="s">
        <v>62</v>
      </c>
      <c r="J270" s="19">
        <v>23</v>
      </c>
      <c r="K270" s="19"/>
      <c r="L270" s="20">
        <f t="shared" si="11"/>
        <v>0</v>
      </c>
      <c r="HV270" s="2" t="s">
        <v>111</v>
      </c>
      <c r="HW270" s="2" t="s">
        <v>32</v>
      </c>
      <c r="IR270" s="21">
        <f>K270*0.373567625</f>
        <v>0</v>
      </c>
      <c r="IS270" s="21">
        <f>K270*(1-0.373567625)</f>
        <v>0</v>
      </c>
    </row>
    <row r="271" spans="1:253" x14ac:dyDescent="0.25">
      <c r="A271" s="18">
        <v>234</v>
      </c>
      <c r="B271" s="2" t="s">
        <v>199</v>
      </c>
      <c r="C271" s="2" t="s">
        <v>135</v>
      </c>
      <c r="D271" s="108" t="s">
        <v>136</v>
      </c>
      <c r="E271" s="102"/>
      <c r="F271" s="102"/>
      <c r="G271" s="102"/>
      <c r="H271" s="102"/>
      <c r="I271" s="2" t="s">
        <v>62</v>
      </c>
      <c r="J271" s="19">
        <v>23</v>
      </c>
      <c r="K271" s="19"/>
      <c r="L271" s="20">
        <f t="shared" si="11"/>
        <v>0</v>
      </c>
      <c r="HV271" s="2" t="s">
        <v>111</v>
      </c>
      <c r="HW271" s="2" t="s">
        <v>32</v>
      </c>
      <c r="IR271" s="21">
        <f>K271*0</f>
        <v>0</v>
      </c>
      <c r="IS271" s="21">
        <f>K271*(1-0)</f>
        <v>0</v>
      </c>
    </row>
    <row r="272" spans="1:253" x14ac:dyDescent="0.25">
      <c r="A272" s="18">
        <v>235</v>
      </c>
      <c r="B272" s="2" t="s">
        <v>199</v>
      </c>
      <c r="C272" s="2" t="s">
        <v>133</v>
      </c>
      <c r="D272" s="108" t="s">
        <v>134</v>
      </c>
      <c r="E272" s="102"/>
      <c r="F272" s="102"/>
      <c r="G272" s="102"/>
      <c r="H272" s="102"/>
      <c r="I272" s="2" t="s">
        <v>31</v>
      </c>
      <c r="J272" s="19">
        <v>80.5</v>
      </c>
      <c r="K272" s="19"/>
      <c r="L272" s="20">
        <f t="shared" si="11"/>
        <v>0</v>
      </c>
      <c r="HV272" s="2" t="s">
        <v>111</v>
      </c>
      <c r="HW272" s="2" t="s">
        <v>32</v>
      </c>
      <c r="IR272" s="21">
        <f>K272*0</f>
        <v>0</v>
      </c>
      <c r="IS272" s="21">
        <f>K272*(1-0)</f>
        <v>0</v>
      </c>
    </row>
    <row r="273" spans="1:253" x14ac:dyDescent="0.25">
      <c r="A273" s="18">
        <v>236</v>
      </c>
      <c r="B273" s="2" t="s">
        <v>199</v>
      </c>
      <c r="C273" s="2" t="s">
        <v>137</v>
      </c>
      <c r="D273" s="108" t="s">
        <v>138</v>
      </c>
      <c r="E273" s="102"/>
      <c r="F273" s="102"/>
      <c r="G273" s="102"/>
      <c r="H273" s="102"/>
      <c r="I273" s="2" t="s">
        <v>62</v>
      </c>
      <c r="J273" s="19">
        <v>23</v>
      </c>
      <c r="K273" s="19"/>
      <c r="L273" s="20">
        <f t="shared" si="11"/>
        <v>0</v>
      </c>
      <c r="HV273" s="2" t="s">
        <v>111</v>
      </c>
      <c r="HW273" s="2" t="s">
        <v>32</v>
      </c>
      <c r="IR273" s="21">
        <f>K273*0</f>
        <v>0</v>
      </c>
      <c r="IS273" s="21">
        <f>K273*(1-0)</f>
        <v>0</v>
      </c>
    </row>
    <row r="274" spans="1:253" x14ac:dyDescent="0.25">
      <c r="A274" s="18">
        <v>237</v>
      </c>
      <c r="B274" s="2" t="s">
        <v>199</v>
      </c>
      <c r="C274" s="2" t="s">
        <v>188</v>
      </c>
      <c r="D274" s="108" t="s">
        <v>189</v>
      </c>
      <c r="E274" s="102"/>
      <c r="F274" s="102"/>
      <c r="G274" s="102"/>
      <c r="H274" s="102"/>
      <c r="I274" s="2" t="s">
        <v>100</v>
      </c>
      <c r="J274" s="19">
        <v>23</v>
      </c>
      <c r="K274" s="19"/>
      <c r="L274" s="20">
        <f t="shared" si="11"/>
        <v>0</v>
      </c>
      <c r="HV274" s="2" t="s">
        <v>111</v>
      </c>
      <c r="HW274" s="2" t="s">
        <v>32</v>
      </c>
      <c r="IR274" s="21">
        <f>K274*0</f>
        <v>0</v>
      </c>
      <c r="IS274" s="21">
        <f>K274*(1-0)</f>
        <v>0</v>
      </c>
    </row>
    <row r="275" spans="1:253" x14ac:dyDescent="0.25">
      <c r="A275" s="18">
        <v>238</v>
      </c>
      <c r="B275" s="2" t="s">
        <v>199</v>
      </c>
      <c r="C275" s="2" t="s">
        <v>190</v>
      </c>
      <c r="D275" s="108" t="s">
        <v>191</v>
      </c>
      <c r="E275" s="102"/>
      <c r="F275" s="102"/>
      <c r="G275" s="102"/>
      <c r="H275" s="102"/>
      <c r="I275" s="2" t="s">
        <v>62</v>
      </c>
      <c r="J275" s="19">
        <v>23</v>
      </c>
      <c r="K275" s="19"/>
      <c r="L275" s="20">
        <f t="shared" si="11"/>
        <v>0</v>
      </c>
      <c r="HV275" s="2" t="s">
        <v>111</v>
      </c>
      <c r="HW275" s="2" t="s">
        <v>32</v>
      </c>
      <c r="IR275" s="21">
        <f>K275*0.039514536</f>
        <v>0</v>
      </c>
      <c r="IS275" s="21">
        <f>K275*(1-0.039514536)</f>
        <v>0</v>
      </c>
    </row>
    <row r="276" spans="1:253" x14ac:dyDescent="0.25">
      <c r="A276" s="18">
        <v>239</v>
      </c>
      <c r="B276" s="2" t="s">
        <v>199</v>
      </c>
      <c r="C276" s="2" t="s">
        <v>192</v>
      </c>
      <c r="D276" s="108" t="s">
        <v>193</v>
      </c>
      <c r="E276" s="102"/>
      <c r="F276" s="102"/>
      <c r="G276" s="102"/>
      <c r="H276" s="102"/>
      <c r="I276" s="2" t="s">
        <v>100</v>
      </c>
      <c r="J276" s="19">
        <v>23</v>
      </c>
      <c r="K276" s="19"/>
      <c r="L276" s="20">
        <f t="shared" si="11"/>
        <v>0</v>
      </c>
      <c r="HV276" s="2" t="s">
        <v>111</v>
      </c>
      <c r="HW276" s="2" t="s">
        <v>194</v>
      </c>
      <c r="IR276" s="21">
        <f>K276*1</f>
        <v>0</v>
      </c>
      <c r="IS276" s="21">
        <f>K276*(1-1)</f>
        <v>0</v>
      </c>
    </row>
    <row r="277" spans="1:253" x14ac:dyDescent="0.25">
      <c r="A277" s="18">
        <v>240</v>
      </c>
      <c r="B277" s="2" t="s">
        <v>199</v>
      </c>
      <c r="C277" s="2" t="s">
        <v>195</v>
      </c>
      <c r="D277" s="108" t="s">
        <v>196</v>
      </c>
      <c r="E277" s="102"/>
      <c r="F277" s="102"/>
      <c r="G277" s="102"/>
      <c r="H277" s="102"/>
      <c r="I277" s="2" t="s">
        <v>100</v>
      </c>
      <c r="J277" s="19">
        <v>23</v>
      </c>
      <c r="K277" s="19"/>
      <c r="L277" s="20">
        <f t="shared" si="11"/>
        <v>0</v>
      </c>
      <c r="HV277" s="2" t="s">
        <v>111</v>
      </c>
      <c r="HW277" s="2" t="s">
        <v>32</v>
      </c>
      <c r="IR277" s="21">
        <f>K277*0</f>
        <v>0</v>
      </c>
      <c r="IS277" s="21">
        <f>K277*(1-0)</f>
        <v>0</v>
      </c>
    </row>
    <row r="278" spans="1:253" x14ac:dyDescent="0.25">
      <c r="A278" s="18">
        <v>241</v>
      </c>
      <c r="B278" s="2" t="s">
        <v>199</v>
      </c>
      <c r="C278" s="2" t="s">
        <v>164</v>
      </c>
      <c r="D278" s="108" t="s">
        <v>165</v>
      </c>
      <c r="E278" s="102"/>
      <c r="F278" s="102"/>
      <c r="G278" s="102"/>
      <c r="H278" s="102"/>
      <c r="I278" s="2" t="s">
        <v>95</v>
      </c>
      <c r="J278" s="19">
        <v>0.2</v>
      </c>
      <c r="K278" s="19"/>
      <c r="L278" s="20">
        <f t="shared" si="11"/>
        <v>0</v>
      </c>
      <c r="HV278" s="2" t="s">
        <v>111</v>
      </c>
      <c r="HW278" s="2" t="s">
        <v>32</v>
      </c>
      <c r="IR278" s="21">
        <f>K278*0</f>
        <v>0</v>
      </c>
      <c r="IS278" s="21">
        <f>K278*(1-0)</f>
        <v>0</v>
      </c>
    </row>
    <row r="279" spans="1:253" x14ac:dyDescent="0.25">
      <c r="A279" s="18">
        <v>242</v>
      </c>
      <c r="B279" s="2" t="s">
        <v>199</v>
      </c>
      <c r="C279" s="2" t="s">
        <v>166</v>
      </c>
      <c r="D279" s="108" t="s">
        <v>167</v>
      </c>
      <c r="E279" s="102"/>
      <c r="F279" s="102"/>
      <c r="G279" s="102"/>
      <c r="H279" s="102"/>
      <c r="I279" s="2" t="s">
        <v>51</v>
      </c>
      <c r="J279" s="19">
        <v>2262</v>
      </c>
      <c r="K279" s="19"/>
      <c r="L279" s="20">
        <f t="shared" si="11"/>
        <v>0</v>
      </c>
      <c r="HV279" s="2" t="s">
        <v>111</v>
      </c>
      <c r="HW279" s="2" t="s">
        <v>32</v>
      </c>
      <c r="IR279" s="21">
        <f>K279*0</f>
        <v>0</v>
      </c>
      <c r="IS279" s="21">
        <f>K279*(1-0)</f>
        <v>0</v>
      </c>
    </row>
    <row r="280" spans="1:253" x14ac:dyDescent="0.25">
      <c r="A280" s="14" t="s">
        <v>23</v>
      </c>
      <c r="B280" s="15" t="s">
        <v>201</v>
      </c>
      <c r="C280" s="15" t="s">
        <v>25</v>
      </c>
      <c r="D280" s="115" t="s">
        <v>202</v>
      </c>
      <c r="E280" s="116"/>
      <c r="F280" s="116"/>
      <c r="G280" s="116"/>
      <c r="H280" s="116"/>
      <c r="I280" s="15" t="s">
        <v>23</v>
      </c>
      <c r="J280" s="16" t="s">
        <v>23</v>
      </c>
      <c r="K280" s="16"/>
      <c r="L280" s="17">
        <f>L281+L289+L291+L293+L298+L304+L307+L309+L311+L313+L319</f>
        <v>0</v>
      </c>
    </row>
    <row r="281" spans="1:253" x14ac:dyDescent="0.25">
      <c r="A281" s="14" t="s">
        <v>23</v>
      </c>
      <c r="B281" s="15" t="s">
        <v>201</v>
      </c>
      <c r="C281" s="15" t="s">
        <v>203</v>
      </c>
      <c r="D281" s="115" t="s">
        <v>204</v>
      </c>
      <c r="E281" s="116"/>
      <c r="F281" s="116"/>
      <c r="G281" s="116"/>
      <c r="H281" s="116"/>
      <c r="I281" s="15" t="s">
        <v>23</v>
      </c>
      <c r="J281" s="16" t="s">
        <v>23</v>
      </c>
      <c r="K281" s="16"/>
      <c r="L281" s="17">
        <f>SUM(L282:L288)</f>
        <v>0</v>
      </c>
    </row>
    <row r="282" spans="1:253" x14ac:dyDescent="0.25">
      <c r="A282" s="18">
        <v>243</v>
      </c>
      <c r="B282" s="2" t="s">
        <v>201</v>
      </c>
      <c r="C282" s="2" t="s">
        <v>205</v>
      </c>
      <c r="D282" s="108" t="s">
        <v>206</v>
      </c>
      <c r="E282" s="102"/>
      <c r="F282" s="102"/>
      <c r="G282" s="102"/>
      <c r="H282" s="102"/>
      <c r="I282" s="2" t="s">
        <v>100</v>
      </c>
      <c r="J282" s="19">
        <v>24</v>
      </c>
      <c r="K282" s="19"/>
      <c r="L282" s="20">
        <f t="shared" ref="L282:L288" si="12">IR282*J282+IS282*J282</f>
        <v>0</v>
      </c>
      <c r="HV282" s="2" t="s">
        <v>203</v>
      </c>
      <c r="HW282" s="2" t="s">
        <v>32</v>
      </c>
      <c r="IR282" s="21">
        <f>K282*0</f>
        <v>0</v>
      </c>
      <c r="IS282" s="21">
        <f>K282*(1-0)</f>
        <v>0</v>
      </c>
    </row>
    <row r="283" spans="1:253" x14ac:dyDescent="0.25">
      <c r="A283" s="18">
        <v>244</v>
      </c>
      <c r="B283" s="2" t="s">
        <v>201</v>
      </c>
      <c r="C283" s="2" t="s">
        <v>207</v>
      </c>
      <c r="D283" s="108" t="s">
        <v>208</v>
      </c>
      <c r="E283" s="102"/>
      <c r="F283" s="102"/>
      <c r="G283" s="102"/>
      <c r="H283" s="102"/>
      <c r="I283" s="2" t="s">
        <v>100</v>
      </c>
      <c r="J283" s="19">
        <v>24</v>
      </c>
      <c r="K283" s="19"/>
      <c r="L283" s="20">
        <f t="shared" si="12"/>
        <v>0</v>
      </c>
      <c r="HV283" s="2" t="s">
        <v>203</v>
      </c>
      <c r="HW283" s="2" t="s">
        <v>32</v>
      </c>
      <c r="IR283" s="21">
        <f>K283*0</f>
        <v>0</v>
      </c>
      <c r="IS283" s="21">
        <f>K283*(1-0)</f>
        <v>0</v>
      </c>
    </row>
    <row r="284" spans="1:253" x14ac:dyDescent="0.25">
      <c r="A284" s="18">
        <v>245</v>
      </c>
      <c r="B284" s="2" t="s">
        <v>201</v>
      </c>
      <c r="C284" s="2" t="s">
        <v>209</v>
      </c>
      <c r="D284" s="108" t="s">
        <v>210</v>
      </c>
      <c r="E284" s="102"/>
      <c r="F284" s="102"/>
      <c r="G284" s="102"/>
      <c r="H284" s="102"/>
      <c r="I284" s="2" t="s">
        <v>62</v>
      </c>
      <c r="J284" s="19">
        <v>24</v>
      </c>
      <c r="K284" s="19"/>
      <c r="L284" s="20">
        <f t="shared" si="12"/>
        <v>0</v>
      </c>
      <c r="HV284" s="2" t="s">
        <v>203</v>
      </c>
      <c r="HW284" s="2" t="s">
        <v>194</v>
      </c>
      <c r="IR284" s="21">
        <f>K284*1</f>
        <v>0</v>
      </c>
      <c r="IS284" s="21">
        <f>K284*(1-1)</f>
        <v>0</v>
      </c>
    </row>
    <row r="285" spans="1:253" x14ac:dyDescent="0.25">
      <c r="A285" s="18">
        <v>246</v>
      </c>
      <c r="B285" s="2" t="s">
        <v>201</v>
      </c>
      <c r="C285" s="2" t="s">
        <v>211</v>
      </c>
      <c r="D285" s="108" t="s">
        <v>212</v>
      </c>
      <c r="E285" s="102"/>
      <c r="F285" s="102"/>
      <c r="G285" s="102"/>
      <c r="H285" s="102"/>
      <c r="I285" s="2" t="s">
        <v>62</v>
      </c>
      <c r="J285" s="19">
        <v>24</v>
      </c>
      <c r="K285" s="19"/>
      <c r="L285" s="20">
        <f t="shared" si="12"/>
        <v>0</v>
      </c>
      <c r="HV285" s="2" t="s">
        <v>203</v>
      </c>
      <c r="HW285" s="2" t="s">
        <v>32</v>
      </c>
      <c r="IR285" s="21">
        <f>K285*0.022540953</f>
        <v>0</v>
      </c>
      <c r="IS285" s="21">
        <f>K285*(1-0.022540953)</f>
        <v>0</v>
      </c>
    </row>
    <row r="286" spans="1:253" x14ac:dyDescent="0.25">
      <c r="A286" s="18">
        <v>247</v>
      </c>
      <c r="B286" s="2" t="s">
        <v>201</v>
      </c>
      <c r="C286" s="2" t="s">
        <v>213</v>
      </c>
      <c r="D286" s="108" t="s">
        <v>214</v>
      </c>
      <c r="E286" s="102"/>
      <c r="F286" s="102"/>
      <c r="G286" s="102"/>
      <c r="H286" s="102"/>
      <c r="I286" s="2" t="s">
        <v>62</v>
      </c>
      <c r="J286" s="19">
        <v>24</v>
      </c>
      <c r="K286" s="19"/>
      <c r="L286" s="20">
        <f t="shared" si="12"/>
        <v>0</v>
      </c>
      <c r="HV286" s="2" t="s">
        <v>203</v>
      </c>
      <c r="HW286" s="2" t="s">
        <v>194</v>
      </c>
      <c r="IR286" s="21">
        <f>K286*1</f>
        <v>0</v>
      </c>
      <c r="IS286" s="21">
        <f>K286*(1-1)</f>
        <v>0</v>
      </c>
    </row>
    <row r="287" spans="1:253" x14ac:dyDescent="0.25">
      <c r="A287" s="18">
        <v>248</v>
      </c>
      <c r="B287" s="2" t="s">
        <v>201</v>
      </c>
      <c r="C287" s="2" t="s">
        <v>215</v>
      </c>
      <c r="D287" s="108" t="s">
        <v>216</v>
      </c>
      <c r="E287" s="102"/>
      <c r="F287" s="102"/>
      <c r="G287" s="102"/>
      <c r="H287" s="102"/>
      <c r="I287" s="2" t="s">
        <v>217</v>
      </c>
      <c r="J287" s="19">
        <v>2.4</v>
      </c>
      <c r="K287" s="19"/>
      <c r="L287" s="20">
        <f t="shared" si="12"/>
        <v>0</v>
      </c>
      <c r="HV287" s="2" t="s">
        <v>203</v>
      </c>
      <c r="HW287" s="2" t="s">
        <v>32</v>
      </c>
      <c r="IR287" s="21">
        <f>K287*0.488714499</f>
        <v>0</v>
      </c>
      <c r="IS287" s="21">
        <f>K287*(1-0.488714499)</f>
        <v>0</v>
      </c>
    </row>
    <row r="288" spans="1:253" x14ac:dyDescent="0.25">
      <c r="A288" s="18">
        <v>249</v>
      </c>
      <c r="B288" s="2" t="s">
        <v>201</v>
      </c>
      <c r="C288" s="2" t="s">
        <v>218</v>
      </c>
      <c r="D288" s="108" t="s">
        <v>219</v>
      </c>
      <c r="E288" s="102"/>
      <c r="F288" s="102"/>
      <c r="G288" s="102"/>
      <c r="H288" s="102"/>
      <c r="I288" s="2" t="s">
        <v>95</v>
      </c>
      <c r="J288" s="19">
        <v>0.8</v>
      </c>
      <c r="K288" s="19"/>
      <c r="L288" s="20">
        <f t="shared" si="12"/>
        <v>0</v>
      </c>
      <c r="HV288" s="2" t="s">
        <v>203</v>
      </c>
      <c r="HW288" s="2" t="s">
        <v>32</v>
      </c>
      <c r="IR288" s="21">
        <f>K288*0</f>
        <v>0</v>
      </c>
      <c r="IS288" s="21">
        <f>K288*(1-0)</f>
        <v>0</v>
      </c>
    </row>
    <row r="289" spans="1:253" x14ac:dyDescent="0.25">
      <c r="A289" s="14" t="s">
        <v>23</v>
      </c>
      <c r="B289" s="15" t="s">
        <v>201</v>
      </c>
      <c r="C289" s="15" t="s">
        <v>220</v>
      </c>
      <c r="D289" s="115" t="s">
        <v>221</v>
      </c>
      <c r="E289" s="116"/>
      <c r="F289" s="116"/>
      <c r="G289" s="116"/>
      <c r="H289" s="116"/>
      <c r="I289" s="15" t="s">
        <v>23</v>
      </c>
      <c r="J289" s="16" t="s">
        <v>23</v>
      </c>
      <c r="K289" s="16"/>
      <c r="L289" s="17">
        <f>SUM(L290:L290)</f>
        <v>0</v>
      </c>
    </row>
    <row r="290" spans="1:253" x14ac:dyDescent="0.25">
      <c r="A290" s="18">
        <v>250</v>
      </c>
      <c r="B290" s="2" t="s">
        <v>201</v>
      </c>
      <c r="C290" s="2" t="s">
        <v>222</v>
      </c>
      <c r="D290" s="108" t="s">
        <v>223</v>
      </c>
      <c r="E290" s="102"/>
      <c r="F290" s="102"/>
      <c r="G290" s="102"/>
      <c r="H290" s="102"/>
      <c r="I290" s="2" t="s">
        <v>62</v>
      </c>
      <c r="J290" s="19">
        <v>24</v>
      </c>
      <c r="K290" s="19"/>
      <c r="L290" s="20">
        <f>IR290*J290+IS290*J290</f>
        <v>0</v>
      </c>
      <c r="HV290" s="2" t="s">
        <v>220</v>
      </c>
      <c r="HW290" s="2" t="s">
        <v>32</v>
      </c>
      <c r="IR290" s="21">
        <f>K290*0.542372881</f>
        <v>0</v>
      </c>
      <c r="IS290" s="21">
        <f>K290*(1-0.542372881)</f>
        <v>0</v>
      </c>
    </row>
    <row r="291" spans="1:253" x14ac:dyDescent="0.25">
      <c r="A291" s="14" t="s">
        <v>23</v>
      </c>
      <c r="B291" s="15" t="s">
        <v>201</v>
      </c>
      <c r="C291" s="15" t="s">
        <v>224</v>
      </c>
      <c r="D291" s="115" t="s">
        <v>225</v>
      </c>
      <c r="E291" s="116"/>
      <c r="F291" s="116"/>
      <c r="G291" s="116"/>
      <c r="H291" s="116"/>
      <c r="I291" s="15" t="s">
        <v>23</v>
      </c>
      <c r="J291" s="16" t="s">
        <v>23</v>
      </c>
      <c r="K291" s="16"/>
      <c r="L291" s="17">
        <f>SUM(L292:L292)</f>
        <v>0</v>
      </c>
    </row>
    <row r="292" spans="1:253" x14ac:dyDescent="0.25">
      <c r="A292" s="18">
        <v>251</v>
      </c>
      <c r="B292" s="2" t="s">
        <v>201</v>
      </c>
      <c r="C292" s="2" t="s">
        <v>226</v>
      </c>
      <c r="D292" s="108" t="s">
        <v>227</v>
      </c>
      <c r="E292" s="102"/>
      <c r="F292" s="102"/>
      <c r="G292" s="102"/>
      <c r="H292" s="102"/>
      <c r="I292" s="2" t="s">
        <v>100</v>
      </c>
      <c r="J292" s="19">
        <v>24</v>
      </c>
      <c r="K292" s="19"/>
      <c r="L292" s="20">
        <f>IR292*J292+IS292*J292</f>
        <v>0</v>
      </c>
      <c r="HV292" s="2" t="s">
        <v>224</v>
      </c>
      <c r="HW292" s="2" t="s">
        <v>32</v>
      </c>
      <c r="IR292" s="21">
        <f>K292*0.5</f>
        <v>0</v>
      </c>
      <c r="IS292" s="21">
        <f>K292*(1-0.5)</f>
        <v>0</v>
      </c>
    </row>
    <row r="293" spans="1:253" x14ac:dyDescent="0.25">
      <c r="A293" s="14" t="s">
        <v>23</v>
      </c>
      <c r="B293" s="15" t="s">
        <v>201</v>
      </c>
      <c r="C293" s="15" t="s">
        <v>228</v>
      </c>
      <c r="D293" s="115" t="s">
        <v>229</v>
      </c>
      <c r="E293" s="116"/>
      <c r="F293" s="116"/>
      <c r="G293" s="116"/>
      <c r="H293" s="116"/>
      <c r="I293" s="15" t="s">
        <v>23</v>
      </c>
      <c r="J293" s="16" t="s">
        <v>23</v>
      </c>
      <c r="K293" s="16"/>
      <c r="L293" s="17">
        <f>SUM(L294:L297)</f>
        <v>0</v>
      </c>
    </row>
    <row r="294" spans="1:253" x14ac:dyDescent="0.25">
      <c r="A294" s="18">
        <v>252</v>
      </c>
      <c r="B294" s="2" t="s">
        <v>201</v>
      </c>
      <c r="C294" s="2" t="s">
        <v>230</v>
      </c>
      <c r="D294" s="108" t="s">
        <v>231</v>
      </c>
      <c r="E294" s="102"/>
      <c r="F294" s="102"/>
      <c r="G294" s="102"/>
      <c r="H294" s="102"/>
      <c r="I294" s="2" t="s">
        <v>232</v>
      </c>
      <c r="J294" s="19">
        <v>96</v>
      </c>
      <c r="K294" s="19"/>
      <c r="L294" s="20">
        <f>IR294*J294+IS294*J294</f>
        <v>0</v>
      </c>
      <c r="HV294" s="2" t="s">
        <v>228</v>
      </c>
      <c r="HW294" s="2" t="s">
        <v>32</v>
      </c>
      <c r="IR294" s="21">
        <f>K294*0.425441941</f>
        <v>0</v>
      </c>
      <c r="IS294" s="21">
        <f>K294*(1-0.425441941)</f>
        <v>0</v>
      </c>
    </row>
    <row r="295" spans="1:253" x14ac:dyDescent="0.25">
      <c r="A295" s="18">
        <v>253</v>
      </c>
      <c r="B295" s="2" t="s">
        <v>201</v>
      </c>
      <c r="C295" s="2" t="s">
        <v>233</v>
      </c>
      <c r="D295" s="108" t="s">
        <v>234</v>
      </c>
      <c r="E295" s="102"/>
      <c r="F295" s="102"/>
      <c r="G295" s="102"/>
      <c r="H295" s="102"/>
      <c r="I295" s="2" t="s">
        <v>62</v>
      </c>
      <c r="J295" s="19">
        <v>48</v>
      </c>
      <c r="K295" s="19"/>
      <c r="L295" s="20">
        <f>IR295*J295+IS295*J295</f>
        <v>0</v>
      </c>
      <c r="HV295" s="2" t="s">
        <v>228</v>
      </c>
      <c r="HW295" s="2" t="s">
        <v>194</v>
      </c>
      <c r="IR295" s="21">
        <f>K295*1</f>
        <v>0</v>
      </c>
      <c r="IS295" s="21">
        <f>K295*(1-1)</f>
        <v>0</v>
      </c>
    </row>
    <row r="296" spans="1:253" x14ac:dyDescent="0.25">
      <c r="A296" s="18">
        <v>254</v>
      </c>
      <c r="B296" s="2" t="s">
        <v>201</v>
      </c>
      <c r="C296" s="2" t="s">
        <v>235</v>
      </c>
      <c r="D296" s="108" t="s">
        <v>236</v>
      </c>
      <c r="E296" s="102"/>
      <c r="F296" s="102"/>
      <c r="G296" s="102"/>
      <c r="H296" s="102"/>
      <c r="I296" s="2" t="s">
        <v>62</v>
      </c>
      <c r="J296" s="19">
        <v>96</v>
      </c>
      <c r="K296" s="19"/>
      <c r="L296" s="20">
        <f>IR296*J296+IS296*J296</f>
        <v>0</v>
      </c>
      <c r="HV296" s="2" t="s">
        <v>228</v>
      </c>
      <c r="HW296" s="2" t="s">
        <v>194</v>
      </c>
      <c r="IR296" s="21">
        <f>K296*1</f>
        <v>0</v>
      </c>
      <c r="IS296" s="21">
        <f>K296*(1-1)</f>
        <v>0</v>
      </c>
    </row>
    <row r="297" spans="1:253" x14ac:dyDescent="0.25">
      <c r="A297" s="18">
        <v>255</v>
      </c>
      <c r="B297" s="2" t="s">
        <v>201</v>
      </c>
      <c r="C297" s="2" t="s">
        <v>237</v>
      </c>
      <c r="D297" s="108" t="s">
        <v>238</v>
      </c>
      <c r="E297" s="102"/>
      <c r="F297" s="102"/>
      <c r="G297" s="102"/>
      <c r="H297" s="102"/>
      <c r="I297" s="2" t="s">
        <v>51</v>
      </c>
      <c r="J297" s="19">
        <v>480</v>
      </c>
      <c r="K297" s="19"/>
      <c r="L297" s="20">
        <f>IR297*J297+IS297*J297</f>
        <v>0</v>
      </c>
      <c r="HV297" s="2" t="s">
        <v>228</v>
      </c>
      <c r="HW297" s="2" t="s">
        <v>32</v>
      </c>
      <c r="IR297" s="21">
        <f>K297*0</f>
        <v>0</v>
      </c>
      <c r="IS297" s="21">
        <f>K297*(1-0)</f>
        <v>0</v>
      </c>
    </row>
    <row r="298" spans="1:253" x14ac:dyDescent="0.25">
      <c r="A298" s="14" t="s">
        <v>23</v>
      </c>
      <c r="B298" s="15" t="s">
        <v>201</v>
      </c>
      <c r="C298" s="15" t="s">
        <v>239</v>
      </c>
      <c r="D298" s="115" t="s">
        <v>240</v>
      </c>
      <c r="E298" s="116"/>
      <c r="F298" s="116"/>
      <c r="G298" s="116"/>
      <c r="H298" s="116"/>
      <c r="I298" s="15" t="s">
        <v>23</v>
      </c>
      <c r="J298" s="16" t="s">
        <v>23</v>
      </c>
      <c r="K298" s="16"/>
      <c r="L298" s="17">
        <f>SUM(L299:L303)</f>
        <v>0</v>
      </c>
    </row>
    <row r="299" spans="1:253" x14ac:dyDescent="0.25">
      <c r="A299" s="18">
        <v>256</v>
      </c>
      <c r="B299" s="2" t="s">
        <v>201</v>
      </c>
      <c r="C299" s="2" t="s">
        <v>241</v>
      </c>
      <c r="D299" s="108" t="s">
        <v>242</v>
      </c>
      <c r="E299" s="102"/>
      <c r="F299" s="102"/>
      <c r="G299" s="102"/>
      <c r="H299" s="102"/>
      <c r="I299" s="2" t="s">
        <v>217</v>
      </c>
      <c r="J299" s="19">
        <v>44.4</v>
      </c>
      <c r="K299" s="19"/>
      <c r="L299" s="20">
        <f>IR299*J299+IS299*J299</f>
        <v>0</v>
      </c>
      <c r="HV299" s="2" t="s">
        <v>239</v>
      </c>
      <c r="HW299" s="2" t="s">
        <v>32</v>
      </c>
      <c r="IR299" s="21">
        <f>K299*0.447130435</f>
        <v>0</v>
      </c>
      <c r="IS299" s="21">
        <f>K299*(1-0.447130435)</f>
        <v>0</v>
      </c>
    </row>
    <row r="300" spans="1:253" x14ac:dyDescent="0.25">
      <c r="A300" s="18">
        <v>257</v>
      </c>
      <c r="B300" s="2" t="s">
        <v>201</v>
      </c>
      <c r="C300" s="2" t="s">
        <v>243</v>
      </c>
      <c r="D300" s="108" t="s">
        <v>244</v>
      </c>
      <c r="E300" s="102"/>
      <c r="F300" s="102"/>
      <c r="G300" s="102"/>
      <c r="H300" s="102"/>
      <c r="I300" s="2" t="s">
        <v>217</v>
      </c>
      <c r="J300" s="19">
        <v>44.4</v>
      </c>
      <c r="K300" s="19"/>
      <c r="L300" s="20">
        <f>IR300*J300+IS300*J300</f>
        <v>0</v>
      </c>
      <c r="HV300" s="2" t="s">
        <v>239</v>
      </c>
      <c r="HW300" s="2" t="s">
        <v>32</v>
      </c>
      <c r="IR300" s="21">
        <f>K300*0</f>
        <v>0</v>
      </c>
      <c r="IS300" s="21">
        <f>K300*(1-0)</f>
        <v>0</v>
      </c>
    </row>
    <row r="301" spans="1:253" x14ac:dyDescent="0.25">
      <c r="A301" s="18">
        <v>258</v>
      </c>
      <c r="B301" s="2" t="s">
        <v>201</v>
      </c>
      <c r="C301" s="2" t="s">
        <v>245</v>
      </c>
      <c r="D301" s="108" t="s">
        <v>246</v>
      </c>
      <c r="E301" s="102"/>
      <c r="F301" s="102"/>
      <c r="G301" s="102"/>
      <c r="H301" s="102"/>
      <c r="I301" s="2" t="s">
        <v>217</v>
      </c>
      <c r="J301" s="19">
        <v>46.6</v>
      </c>
      <c r="K301" s="19"/>
      <c r="L301" s="20">
        <f>IR301*J301+IS301*J301</f>
        <v>0</v>
      </c>
      <c r="HV301" s="2" t="s">
        <v>239</v>
      </c>
      <c r="HW301" s="2" t="s">
        <v>194</v>
      </c>
      <c r="IR301" s="21">
        <f>K301*1</f>
        <v>0</v>
      </c>
      <c r="IS301" s="21">
        <f>K301*(1-1)</f>
        <v>0</v>
      </c>
    </row>
    <row r="302" spans="1:253" x14ac:dyDescent="0.25">
      <c r="A302" s="18">
        <v>259</v>
      </c>
      <c r="B302" s="2" t="s">
        <v>201</v>
      </c>
      <c r="C302" s="2" t="s">
        <v>247</v>
      </c>
      <c r="D302" s="108" t="s">
        <v>248</v>
      </c>
      <c r="E302" s="102"/>
      <c r="F302" s="102"/>
      <c r="G302" s="102"/>
      <c r="H302" s="102"/>
      <c r="I302" s="2" t="s">
        <v>62</v>
      </c>
      <c r="J302" s="19">
        <v>240</v>
      </c>
      <c r="K302" s="19"/>
      <c r="L302" s="20">
        <f>IR302*J302+IS302*J302</f>
        <v>0</v>
      </c>
      <c r="HV302" s="2" t="s">
        <v>239</v>
      </c>
      <c r="HW302" s="2" t="s">
        <v>32</v>
      </c>
      <c r="IR302" s="21">
        <f>K302*0.283738739</f>
        <v>0</v>
      </c>
      <c r="IS302" s="21">
        <f>K302*(1-0.283738739)</f>
        <v>0</v>
      </c>
    </row>
    <row r="303" spans="1:253" x14ac:dyDescent="0.25">
      <c r="A303" s="18">
        <v>260</v>
      </c>
      <c r="B303" s="2" t="s">
        <v>201</v>
      </c>
      <c r="C303" s="2" t="s">
        <v>249</v>
      </c>
      <c r="D303" s="108" t="s">
        <v>250</v>
      </c>
      <c r="E303" s="102"/>
      <c r="F303" s="102"/>
      <c r="G303" s="102"/>
      <c r="H303" s="102"/>
      <c r="I303" s="2" t="s">
        <v>51</v>
      </c>
      <c r="J303" s="19">
        <v>1111</v>
      </c>
      <c r="K303" s="19"/>
      <c r="L303" s="20">
        <f>IR303*J303+IS303*J303</f>
        <v>0</v>
      </c>
      <c r="HV303" s="2" t="s">
        <v>239</v>
      </c>
      <c r="HW303" s="2" t="s">
        <v>32</v>
      </c>
      <c r="IR303" s="21">
        <f>K303*0</f>
        <v>0</v>
      </c>
      <c r="IS303" s="21">
        <f>K303*(1-0)</f>
        <v>0</v>
      </c>
    </row>
    <row r="304" spans="1:253" x14ac:dyDescent="0.25">
      <c r="A304" s="14" t="s">
        <v>23</v>
      </c>
      <c r="B304" s="15" t="s">
        <v>201</v>
      </c>
      <c r="C304" s="15" t="s">
        <v>251</v>
      </c>
      <c r="D304" s="115" t="s">
        <v>252</v>
      </c>
      <c r="E304" s="116"/>
      <c r="F304" s="116"/>
      <c r="G304" s="116"/>
      <c r="H304" s="116"/>
      <c r="I304" s="15" t="s">
        <v>23</v>
      </c>
      <c r="J304" s="16" t="s">
        <v>23</v>
      </c>
      <c r="K304" s="16"/>
      <c r="L304" s="17">
        <f>SUM(L305:L306)</f>
        <v>0</v>
      </c>
    </row>
    <row r="305" spans="1:253" x14ac:dyDescent="0.25">
      <c r="A305" s="18">
        <v>261</v>
      </c>
      <c r="B305" s="2" t="s">
        <v>201</v>
      </c>
      <c r="C305" s="2" t="s">
        <v>253</v>
      </c>
      <c r="D305" s="108" t="s">
        <v>254</v>
      </c>
      <c r="E305" s="102"/>
      <c r="F305" s="102"/>
      <c r="G305" s="102"/>
      <c r="H305" s="102"/>
      <c r="I305" s="2" t="s">
        <v>217</v>
      </c>
      <c r="J305" s="19">
        <v>8.4</v>
      </c>
      <c r="K305" s="19"/>
      <c r="L305" s="20">
        <f>IR305*J305+IS305*J305</f>
        <v>0</v>
      </c>
      <c r="HV305" s="2" t="s">
        <v>251</v>
      </c>
      <c r="HW305" s="2" t="s">
        <v>32</v>
      </c>
      <c r="IR305" s="21">
        <f>K305*0</f>
        <v>0</v>
      </c>
      <c r="IS305" s="21">
        <f>K305*(1-0)</f>
        <v>0</v>
      </c>
    </row>
    <row r="306" spans="1:253" x14ac:dyDescent="0.25">
      <c r="A306" s="18">
        <v>262</v>
      </c>
      <c r="B306" s="2" t="s">
        <v>201</v>
      </c>
      <c r="C306" s="2" t="s">
        <v>255</v>
      </c>
      <c r="D306" s="108" t="s">
        <v>256</v>
      </c>
      <c r="E306" s="102"/>
      <c r="F306" s="102"/>
      <c r="G306" s="102"/>
      <c r="H306" s="102"/>
      <c r="I306" s="2" t="s">
        <v>257</v>
      </c>
      <c r="J306" s="19">
        <v>17.7</v>
      </c>
      <c r="K306" s="19"/>
      <c r="L306" s="20">
        <f>IR306*J306+IS306*J306</f>
        <v>0</v>
      </c>
      <c r="HV306" s="2" t="s">
        <v>251</v>
      </c>
      <c r="HW306" s="2" t="s">
        <v>194</v>
      </c>
      <c r="IR306" s="21">
        <f>K306*1</f>
        <v>0</v>
      </c>
      <c r="IS306" s="21">
        <f>K306*(1-1)</f>
        <v>0</v>
      </c>
    </row>
    <row r="307" spans="1:253" x14ac:dyDescent="0.25">
      <c r="A307" s="14" t="s">
        <v>23</v>
      </c>
      <c r="B307" s="15" t="s">
        <v>201</v>
      </c>
      <c r="C307" s="15" t="s">
        <v>258</v>
      </c>
      <c r="D307" s="115" t="s">
        <v>259</v>
      </c>
      <c r="E307" s="116"/>
      <c r="F307" s="116"/>
      <c r="G307" s="116"/>
      <c r="H307" s="116"/>
      <c r="I307" s="15" t="s">
        <v>23</v>
      </c>
      <c r="J307" s="16" t="s">
        <v>23</v>
      </c>
      <c r="K307" s="16"/>
      <c r="L307" s="17">
        <f>SUM(L308:L308)</f>
        <v>0</v>
      </c>
    </row>
    <row r="308" spans="1:253" x14ac:dyDescent="0.25">
      <c r="A308" s="18">
        <v>263</v>
      </c>
      <c r="B308" s="2" t="s">
        <v>201</v>
      </c>
      <c r="C308" s="2" t="s">
        <v>260</v>
      </c>
      <c r="D308" s="108" t="s">
        <v>261</v>
      </c>
      <c r="E308" s="102"/>
      <c r="F308" s="102"/>
      <c r="G308" s="102"/>
      <c r="H308" s="102"/>
      <c r="I308" s="2" t="s">
        <v>217</v>
      </c>
      <c r="J308" s="19">
        <v>72</v>
      </c>
      <c r="K308" s="19"/>
      <c r="L308" s="20">
        <f>IR308*J308+IS308*J308</f>
        <v>0</v>
      </c>
      <c r="HV308" s="2" t="s">
        <v>258</v>
      </c>
      <c r="HW308" s="2" t="s">
        <v>32</v>
      </c>
      <c r="IR308" s="21">
        <f>K308*0.201505646</f>
        <v>0</v>
      </c>
      <c r="IS308" s="21">
        <f>K308*(1-0.201505646)</f>
        <v>0</v>
      </c>
    </row>
    <row r="309" spans="1:253" x14ac:dyDescent="0.25">
      <c r="A309" s="14" t="s">
        <v>23</v>
      </c>
      <c r="B309" s="15" t="s">
        <v>201</v>
      </c>
      <c r="C309" s="15" t="s">
        <v>262</v>
      </c>
      <c r="D309" s="115" t="s">
        <v>263</v>
      </c>
      <c r="E309" s="116"/>
      <c r="F309" s="116"/>
      <c r="G309" s="116"/>
      <c r="H309" s="116"/>
      <c r="I309" s="15" t="s">
        <v>23</v>
      </c>
      <c r="J309" s="16" t="s">
        <v>23</v>
      </c>
      <c r="K309" s="16"/>
      <c r="L309" s="17">
        <f>SUM(L310:L310)</f>
        <v>0</v>
      </c>
    </row>
    <row r="310" spans="1:253" x14ac:dyDescent="0.25">
      <c r="A310" s="18">
        <v>264</v>
      </c>
      <c r="B310" s="2" t="s">
        <v>201</v>
      </c>
      <c r="C310" s="2" t="s">
        <v>264</v>
      </c>
      <c r="D310" s="108" t="s">
        <v>265</v>
      </c>
      <c r="E310" s="102"/>
      <c r="F310" s="102"/>
      <c r="G310" s="102"/>
      <c r="H310" s="102"/>
      <c r="I310" s="2" t="s">
        <v>217</v>
      </c>
      <c r="J310" s="19">
        <v>990</v>
      </c>
      <c r="K310" s="19"/>
      <c r="L310" s="20">
        <f>IR310*J310+IS310*J310</f>
        <v>0</v>
      </c>
      <c r="HV310" s="2" t="s">
        <v>262</v>
      </c>
      <c r="HW310" s="2" t="s">
        <v>32</v>
      </c>
      <c r="IR310" s="21">
        <f>K310*0</f>
        <v>0</v>
      </c>
      <c r="IS310" s="21">
        <f>K310*(1-0)</f>
        <v>0</v>
      </c>
    </row>
    <row r="311" spans="1:253" x14ac:dyDescent="0.25">
      <c r="A311" s="14" t="s">
        <v>23</v>
      </c>
      <c r="B311" s="15" t="s">
        <v>201</v>
      </c>
      <c r="C311" s="15" t="s">
        <v>266</v>
      </c>
      <c r="D311" s="115" t="s">
        <v>267</v>
      </c>
      <c r="E311" s="116"/>
      <c r="F311" s="116"/>
      <c r="G311" s="116"/>
      <c r="H311" s="116"/>
      <c r="I311" s="15" t="s">
        <v>23</v>
      </c>
      <c r="J311" s="16" t="s">
        <v>23</v>
      </c>
      <c r="K311" s="16"/>
      <c r="L311" s="17">
        <f>SUM(L312:L312)</f>
        <v>0</v>
      </c>
    </row>
    <row r="312" spans="1:253" x14ac:dyDescent="0.25">
      <c r="A312" s="18">
        <v>265</v>
      </c>
      <c r="B312" s="2" t="s">
        <v>201</v>
      </c>
      <c r="C312" s="2" t="s">
        <v>268</v>
      </c>
      <c r="D312" s="108" t="s">
        <v>269</v>
      </c>
      <c r="E312" s="102"/>
      <c r="F312" s="102"/>
      <c r="G312" s="102"/>
      <c r="H312" s="102"/>
      <c r="I312" s="2" t="s">
        <v>217</v>
      </c>
      <c r="J312" s="19">
        <v>56.2</v>
      </c>
      <c r="K312" s="19"/>
      <c r="L312" s="20">
        <f>IR312*J312+IS312*J312</f>
        <v>0</v>
      </c>
      <c r="HV312" s="2" t="s">
        <v>266</v>
      </c>
      <c r="HW312" s="2" t="s">
        <v>32</v>
      </c>
      <c r="IR312" s="21">
        <f>K312*0.197058824</f>
        <v>0</v>
      </c>
      <c r="IS312" s="21">
        <f>K312*(1-0.197058824)</f>
        <v>0</v>
      </c>
    </row>
    <row r="313" spans="1:253" x14ac:dyDescent="0.25">
      <c r="A313" s="14" t="s">
        <v>23</v>
      </c>
      <c r="B313" s="15" t="s">
        <v>201</v>
      </c>
      <c r="C313" s="15" t="s">
        <v>270</v>
      </c>
      <c r="D313" s="115" t="s">
        <v>271</v>
      </c>
      <c r="E313" s="116"/>
      <c r="F313" s="116"/>
      <c r="G313" s="116"/>
      <c r="H313" s="116"/>
      <c r="I313" s="15" t="s">
        <v>23</v>
      </c>
      <c r="J313" s="16" t="s">
        <v>23</v>
      </c>
      <c r="K313" s="16"/>
      <c r="L313" s="17">
        <f>SUM(L314:L318)</f>
        <v>0</v>
      </c>
    </row>
    <row r="314" spans="1:253" x14ac:dyDescent="0.25">
      <c r="A314" s="18">
        <v>266</v>
      </c>
      <c r="B314" s="2" t="s">
        <v>201</v>
      </c>
      <c r="C314" s="2" t="s">
        <v>272</v>
      </c>
      <c r="D314" s="108" t="s">
        <v>273</v>
      </c>
      <c r="E314" s="102"/>
      <c r="F314" s="102"/>
      <c r="G314" s="102"/>
      <c r="H314" s="102"/>
      <c r="I314" s="2" t="s">
        <v>62</v>
      </c>
      <c r="J314" s="19">
        <v>24</v>
      </c>
      <c r="K314" s="19"/>
      <c r="L314" s="20">
        <f>IR314*J314+IS314*J314</f>
        <v>0</v>
      </c>
      <c r="HV314" s="2" t="s">
        <v>270</v>
      </c>
      <c r="HW314" s="2" t="s">
        <v>32</v>
      </c>
      <c r="IR314" s="21">
        <f>K314*0</f>
        <v>0</v>
      </c>
      <c r="IS314" s="21">
        <f>K314*(1-0)</f>
        <v>0</v>
      </c>
    </row>
    <row r="315" spans="1:253" x14ac:dyDescent="0.25">
      <c r="A315" s="18">
        <v>267</v>
      </c>
      <c r="B315" s="2" t="s">
        <v>201</v>
      </c>
      <c r="C315" s="2" t="s">
        <v>274</v>
      </c>
      <c r="D315" s="108" t="s">
        <v>275</v>
      </c>
      <c r="E315" s="102"/>
      <c r="F315" s="102"/>
      <c r="G315" s="102"/>
      <c r="H315" s="102"/>
      <c r="I315" s="2" t="s">
        <v>31</v>
      </c>
      <c r="J315" s="19">
        <v>2.2000000000000002</v>
      </c>
      <c r="K315" s="19"/>
      <c r="L315" s="20">
        <f>IR315*J315+IS315*J315</f>
        <v>0</v>
      </c>
      <c r="HV315" s="2" t="s">
        <v>270</v>
      </c>
      <c r="HW315" s="2" t="s">
        <v>32</v>
      </c>
      <c r="IR315" s="21">
        <f>K315*0.310686684</f>
        <v>0</v>
      </c>
      <c r="IS315" s="21">
        <f>K315*(1-0.310686684)</f>
        <v>0</v>
      </c>
    </row>
    <row r="316" spans="1:253" x14ac:dyDescent="0.25">
      <c r="A316" s="18">
        <v>268</v>
      </c>
      <c r="B316" s="2" t="s">
        <v>201</v>
      </c>
      <c r="C316" s="2" t="s">
        <v>276</v>
      </c>
      <c r="D316" s="108" t="s">
        <v>277</v>
      </c>
      <c r="E316" s="102"/>
      <c r="F316" s="102"/>
      <c r="G316" s="102"/>
      <c r="H316" s="102"/>
      <c r="I316" s="2" t="s">
        <v>31</v>
      </c>
      <c r="J316" s="19">
        <v>2.2000000000000002</v>
      </c>
      <c r="K316" s="19"/>
      <c r="L316" s="20">
        <f>IR316*J316+IS316*J316</f>
        <v>0</v>
      </c>
      <c r="HV316" s="2" t="s">
        <v>270</v>
      </c>
      <c r="HW316" s="2" t="s">
        <v>32</v>
      </c>
      <c r="IR316" s="21">
        <f>K316*0.170564632</f>
        <v>0</v>
      </c>
      <c r="IS316" s="21">
        <f>K316*(1-0.170564632)</f>
        <v>0</v>
      </c>
    </row>
    <row r="317" spans="1:253" x14ac:dyDescent="0.25">
      <c r="A317" s="18">
        <v>269</v>
      </c>
      <c r="B317" s="2" t="s">
        <v>201</v>
      </c>
      <c r="C317" s="2" t="s">
        <v>278</v>
      </c>
      <c r="D317" s="108" t="s">
        <v>279</v>
      </c>
      <c r="E317" s="102"/>
      <c r="F317" s="102"/>
      <c r="G317" s="102"/>
      <c r="H317" s="102"/>
      <c r="I317" s="2" t="s">
        <v>31</v>
      </c>
      <c r="J317" s="19">
        <v>2.2000000000000002</v>
      </c>
      <c r="K317" s="19"/>
      <c r="L317" s="20">
        <f>IR317*J317+IS317*J317</f>
        <v>0</v>
      </c>
      <c r="HV317" s="2" t="s">
        <v>270</v>
      </c>
      <c r="HW317" s="2" t="s">
        <v>32</v>
      </c>
      <c r="IR317" s="21">
        <f>K317*0</f>
        <v>0</v>
      </c>
      <c r="IS317" s="21">
        <f>K317*(1-0)</f>
        <v>0</v>
      </c>
    </row>
    <row r="318" spans="1:253" x14ac:dyDescent="0.25">
      <c r="A318" s="18">
        <v>270</v>
      </c>
      <c r="B318" s="2" t="s">
        <v>201</v>
      </c>
      <c r="C318" s="2" t="s">
        <v>280</v>
      </c>
      <c r="D318" s="108" t="s">
        <v>281</v>
      </c>
      <c r="E318" s="102"/>
      <c r="F318" s="102"/>
      <c r="G318" s="102"/>
      <c r="H318" s="102"/>
      <c r="I318" s="2" t="s">
        <v>31</v>
      </c>
      <c r="J318" s="19">
        <v>2.2000000000000002</v>
      </c>
      <c r="K318" s="19"/>
      <c r="L318" s="20">
        <f>IR318*J318+IS318*J318</f>
        <v>0</v>
      </c>
      <c r="HV318" s="2" t="s">
        <v>270</v>
      </c>
      <c r="HW318" s="2" t="s">
        <v>32</v>
      </c>
      <c r="IR318" s="21">
        <f>K318*0.075961165</f>
        <v>0</v>
      </c>
      <c r="IS318" s="21">
        <f>K318*(1-0.075961165)</f>
        <v>0</v>
      </c>
    </row>
    <row r="319" spans="1:253" x14ac:dyDescent="0.25">
      <c r="A319" s="14" t="s">
        <v>23</v>
      </c>
      <c r="B319" s="15" t="s">
        <v>201</v>
      </c>
      <c r="C319" s="15" t="s">
        <v>282</v>
      </c>
      <c r="D319" s="115" t="s">
        <v>283</v>
      </c>
      <c r="E319" s="116"/>
      <c r="F319" s="116"/>
      <c r="G319" s="116"/>
      <c r="H319" s="116"/>
      <c r="I319" s="15" t="s">
        <v>23</v>
      </c>
      <c r="J319" s="16" t="s">
        <v>23</v>
      </c>
      <c r="K319" s="16"/>
      <c r="L319" s="17">
        <f>SUM(L320:L327)</f>
        <v>0</v>
      </c>
    </row>
    <row r="320" spans="1:253" x14ac:dyDescent="0.25">
      <c r="A320" s="18">
        <v>271</v>
      </c>
      <c r="B320" s="2" t="s">
        <v>201</v>
      </c>
      <c r="C320" s="2" t="s">
        <v>284</v>
      </c>
      <c r="D320" s="108" t="s">
        <v>285</v>
      </c>
      <c r="E320" s="102"/>
      <c r="F320" s="102"/>
      <c r="G320" s="102"/>
      <c r="H320" s="102"/>
      <c r="I320" s="2" t="s">
        <v>286</v>
      </c>
      <c r="J320" s="19">
        <v>45</v>
      </c>
      <c r="K320" s="19"/>
      <c r="L320" s="20">
        <f t="shared" ref="L320:L327" si="13">IR320*J320+IS320*J320</f>
        <v>0</v>
      </c>
      <c r="HV320" s="2" t="s">
        <v>282</v>
      </c>
      <c r="HW320" s="2" t="s">
        <v>32</v>
      </c>
      <c r="IR320" s="21">
        <f t="shared" ref="IR320:IR327" si="14">K320*0</f>
        <v>0</v>
      </c>
      <c r="IS320" s="21">
        <f t="shared" ref="IS320:IS327" si="15">K320*(1-0)</f>
        <v>0</v>
      </c>
    </row>
    <row r="321" spans="1:253" x14ac:dyDescent="0.25">
      <c r="A321" s="18">
        <v>272</v>
      </c>
      <c r="B321" s="2" t="s">
        <v>201</v>
      </c>
      <c r="C321" s="2" t="s">
        <v>287</v>
      </c>
      <c r="D321" s="108" t="s">
        <v>288</v>
      </c>
      <c r="E321" s="102"/>
      <c r="F321" s="102"/>
      <c r="G321" s="102"/>
      <c r="H321" s="102"/>
      <c r="I321" s="2" t="s">
        <v>95</v>
      </c>
      <c r="J321" s="19">
        <v>2.1</v>
      </c>
      <c r="K321" s="19"/>
      <c r="L321" s="20">
        <f t="shared" si="13"/>
        <v>0</v>
      </c>
      <c r="HV321" s="2" t="s">
        <v>282</v>
      </c>
      <c r="HW321" s="2" t="s">
        <v>32</v>
      </c>
      <c r="IR321" s="21">
        <f t="shared" si="14"/>
        <v>0</v>
      </c>
      <c r="IS321" s="21">
        <f t="shared" si="15"/>
        <v>0</v>
      </c>
    </row>
    <row r="322" spans="1:253" x14ac:dyDescent="0.25">
      <c r="A322" s="18">
        <v>273</v>
      </c>
      <c r="B322" s="2" t="s">
        <v>201</v>
      </c>
      <c r="C322" s="2" t="s">
        <v>289</v>
      </c>
      <c r="D322" s="108" t="s">
        <v>290</v>
      </c>
      <c r="E322" s="102"/>
      <c r="F322" s="102"/>
      <c r="G322" s="102"/>
      <c r="H322" s="102"/>
      <c r="I322" s="2" t="s">
        <v>95</v>
      </c>
      <c r="J322" s="19">
        <v>6.2</v>
      </c>
      <c r="K322" s="19"/>
      <c r="L322" s="20">
        <f t="shared" si="13"/>
        <v>0</v>
      </c>
      <c r="HV322" s="2" t="s">
        <v>282</v>
      </c>
      <c r="HW322" s="2" t="s">
        <v>32</v>
      </c>
      <c r="IR322" s="21">
        <f t="shared" si="14"/>
        <v>0</v>
      </c>
      <c r="IS322" s="21">
        <f t="shared" si="15"/>
        <v>0</v>
      </c>
    </row>
    <row r="323" spans="1:253" x14ac:dyDescent="0.25">
      <c r="A323" s="18">
        <v>274</v>
      </c>
      <c r="B323" s="2" t="s">
        <v>201</v>
      </c>
      <c r="C323" s="2" t="s">
        <v>291</v>
      </c>
      <c r="D323" s="108" t="s">
        <v>292</v>
      </c>
      <c r="E323" s="102"/>
      <c r="F323" s="102"/>
      <c r="G323" s="102"/>
      <c r="H323" s="102"/>
      <c r="I323" s="2" t="s">
        <v>95</v>
      </c>
      <c r="J323" s="19">
        <v>8.3000000000000007</v>
      </c>
      <c r="K323" s="19"/>
      <c r="L323" s="20">
        <f t="shared" si="13"/>
        <v>0</v>
      </c>
      <c r="HV323" s="2" t="s">
        <v>282</v>
      </c>
      <c r="HW323" s="2" t="s">
        <v>32</v>
      </c>
      <c r="IR323" s="21">
        <f t="shared" si="14"/>
        <v>0</v>
      </c>
      <c r="IS323" s="21">
        <f t="shared" si="15"/>
        <v>0</v>
      </c>
    </row>
    <row r="324" spans="1:253" x14ac:dyDescent="0.25">
      <c r="A324" s="18">
        <v>275</v>
      </c>
      <c r="B324" s="2" t="s">
        <v>201</v>
      </c>
      <c r="C324" s="2" t="s">
        <v>293</v>
      </c>
      <c r="D324" s="108" t="s">
        <v>294</v>
      </c>
      <c r="E324" s="102"/>
      <c r="F324" s="102"/>
      <c r="G324" s="102"/>
      <c r="H324" s="102"/>
      <c r="I324" s="2" t="s">
        <v>95</v>
      </c>
      <c r="J324" s="19">
        <v>8.3000000000000007</v>
      </c>
      <c r="K324" s="19"/>
      <c r="L324" s="20">
        <f t="shared" si="13"/>
        <v>0</v>
      </c>
      <c r="HV324" s="2" t="s">
        <v>282</v>
      </c>
      <c r="HW324" s="2" t="s">
        <v>32</v>
      </c>
      <c r="IR324" s="21">
        <f t="shared" si="14"/>
        <v>0</v>
      </c>
      <c r="IS324" s="21">
        <f t="shared" si="15"/>
        <v>0</v>
      </c>
    </row>
    <row r="325" spans="1:253" x14ac:dyDescent="0.25">
      <c r="A325" s="18">
        <v>276</v>
      </c>
      <c r="B325" s="2" t="s">
        <v>201</v>
      </c>
      <c r="C325" s="2" t="s">
        <v>295</v>
      </c>
      <c r="D325" s="108" t="s">
        <v>296</v>
      </c>
      <c r="E325" s="102"/>
      <c r="F325" s="102"/>
      <c r="G325" s="102"/>
      <c r="H325" s="102"/>
      <c r="I325" s="2" t="s">
        <v>95</v>
      </c>
      <c r="J325" s="19">
        <v>8.3000000000000007</v>
      </c>
      <c r="K325" s="19"/>
      <c r="L325" s="20">
        <f t="shared" si="13"/>
        <v>0</v>
      </c>
      <c r="HV325" s="2" t="s">
        <v>282</v>
      </c>
      <c r="HW325" s="2" t="s">
        <v>32</v>
      </c>
      <c r="IR325" s="21">
        <f t="shared" si="14"/>
        <v>0</v>
      </c>
      <c r="IS325" s="21">
        <f t="shared" si="15"/>
        <v>0</v>
      </c>
    </row>
    <row r="326" spans="1:253" x14ac:dyDescent="0.25">
      <c r="A326" s="18">
        <v>277</v>
      </c>
      <c r="B326" s="2" t="s">
        <v>201</v>
      </c>
      <c r="C326" s="2" t="s">
        <v>297</v>
      </c>
      <c r="D326" s="108" t="s">
        <v>298</v>
      </c>
      <c r="E326" s="102"/>
      <c r="F326" s="102"/>
      <c r="G326" s="102"/>
      <c r="H326" s="102"/>
      <c r="I326" s="2" t="s">
        <v>95</v>
      </c>
      <c r="J326" s="19">
        <v>83</v>
      </c>
      <c r="K326" s="19"/>
      <c r="L326" s="20">
        <f t="shared" si="13"/>
        <v>0</v>
      </c>
      <c r="HV326" s="2" t="s">
        <v>282</v>
      </c>
      <c r="HW326" s="2" t="s">
        <v>32</v>
      </c>
      <c r="IR326" s="21">
        <f t="shared" si="14"/>
        <v>0</v>
      </c>
      <c r="IS326" s="21">
        <f t="shared" si="15"/>
        <v>0</v>
      </c>
    </row>
    <row r="327" spans="1:253" x14ac:dyDescent="0.25">
      <c r="A327" s="18">
        <v>278</v>
      </c>
      <c r="B327" s="2" t="s">
        <v>201</v>
      </c>
      <c r="C327" s="2" t="s">
        <v>299</v>
      </c>
      <c r="D327" s="108" t="s">
        <v>300</v>
      </c>
      <c r="E327" s="102"/>
      <c r="F327" s="102"/>
      <c r="G327" s="102"/>
      <c r="H327" s="102"/>
      <c r="I327" s="2" t="s">
        <v>95</v>
      </c>
      <c r="J327" s="19">
        <v>8.3000000000000007</v>
      </c>
      <c r="K327" s="19"/>
      <c r="L327" s="20">
        <f t="shared" si="13"/>
        <v>0</v>
      </c>
      <c r="HV327" s="2" t="s">
        <v>282</v>
      </c>
      <c r="HW327" s="2" t="s">
        <v>32</v>
      </c>
      <c r="IR327" s="21">
        <f t="shared" si="14"/>
        <v>0</v>
      </c>
      <c r="IS327" s="21">
        <f t="shared" si="15"/>
        <v>0</v>
      </c>
    </row>
    <row r="328" spans="1:253" x14ac:dyDescent="0.25">
      <c r="A328" s="14" t="s">
        <v>23</v>
      </c>
      <c r="B328" s="15" t="s">
        <v>301</v>
      </c>
      <c r="C328" s="15" t="s">
        <v>25</v>
      </c>
      <c r="D328" s="115" t="s">
        <v>302</v>
      </c>
      <c r="E328" s="116"/>
      <c r="F328" s="116"/>
      <c r="G328" s="116"/>
      <c r="H328" s="116"/>
      <c r="I328" s="15" t="s">
        <v>23</v>
      </c>
      <c r="J328" s="16" t="s">
        <v>23</v>
      </c>
      <c r="K328" s="16"/>
      <c r="L328" s="17">
        <f>L329+L337+L339+L341+L346+L352+L355+L357+L359+L361+L367</f>
        <v>0</v>
      </c>
    </row>
    <row r="329" spans="1:253" x14ac:dyDescent="0.25">
      <c r="A329" s="14" t="s">
        <v>23</v>
      </c>
      <c r="B329" s="15" t="s">
        <v>301</v>
      </c>
      <c r="C329" s="15" t="s">
        <v>203</v>
      </c>
      <c r="D329" s="115" t="s">
        <v>204</v>
      </c>
      <c r="E329" s="116"/>
      <c r="F329" s="116"/>
      <c r="G329" s="116"/>
      <c r="H329" s="116"/>
      <c r="I329" s="15" t="s">
        <v>23</v>
      </c>
      <c r="J329" s="16" t="s">
        <v>23</v>
      </c>
      <c r="K329" s="16"/>
      <c r="L329" s="17">
        <f>SUM(L330:L336)</f>
        <v>0</v>
      </c>
    </row>
    <row r="330" spans="1:253" x14ac:dyDescent="0.25">
      <c r="A330" s="18">
        <v>279</v>
      </c>
      <c r="B330" s="2" t="s">
        <v>301</v>
      </c>
      <c r="C330" s="2" t="s">
        <v>205</v>
      </c>
      <c r="D330" s="108" t="s">
        <v>206</v>
      </c>
      <c r="E330" s="102"/>
      <c r="F330" s="102"/>
      <c r="G330" s="102"/>
      <c r="H330" s="102"/>
      <c r="I330" s="2" t="s">
        <v>100</v>
      </c>
      <c r="J330" s="19">
        <v>24</v>
      </c>
      <c r="K330" s="19"/>
      <c r="L330" s="20">
        <f t="shared" ref="L330:L336" si="16">IR330*J330+IS330*J330</f>
        <v>0</v>
      </c>
      <c r="HV330" s="2" t="s">
        <v>203</v>
      </c>
      <c r="HW330" s="2" t="s">
        <v>32</v>
      </c>
      <c r="IR330" s="21">
        <f>K330*0</f>
        <v>0</v>
      </c>
      <c r="IS330" s="21">
        <f>K330*(1-0)</f>
        <v>0</v>
      </c>
    </row>
    <row r="331" spans="1:253" x14ac:dyDescent="0.25">
      <c r="A331" s="18">
        <v>280</v>
      </c>
      <c r="B331" s="2" t="s">
        <v>301</v>
      </c>
      <c r="C331" s="2" t="s">
        <v>207</v>
      </c>
      <c r="D331" s="108" t="s">
        <v>208</v>
      </c>
      <c r="E331" s="102"/>
      <c r="F331" s="102"/>
      <c r="G331" s="102"/>
      <c r="H331" s="102"/>
      <c r="I331" s="2" t="s">
        <v>100</v>
      </c>
      <c r="J331" s="19">
        <v>24</v>
      </c>
      <c r="K331" s="19"/>
      <c r="L331" s="20">
        <f t="shared" si="16"/>
        <v>0</v>
      </c>
      <c r="HV331" s="2" t="s">
        <v>203</v>
      </c>
      <c r="HW331" s="2" t="s">
        <v>32</v>
      </c>
      <c r="IR331" s="21">
        <f>K331*0</f>
        <v>0</v>
      </c>
      <c r="IS331" s="21">
        <f>K331*(1-0)</f>
        <v>0</v>
      </c>
    </row>
    <row r="332" spans="1:253" x14ac:dyDescent="0.25">
      <c r="A332" s="18">
        <v>281</v>
      </c>
      <c r="B332" s="2" t="s">
        <v>301</v>
      </c>
      <c r="C332" s="2" t="s">
        <v>209</v>
      </c>
      <c r="D332" s="108" t="s">
        <v>210</v>
      </c>
      <c r="E332" s="102"/>
      <c r="F332" s="102"/>
      <c r="G332" s="102"/>
      <c r="H332" s="102"/>
      <c r="I332" s="2" t="s">
        <v>62</v>
      </c>
      <c r="J332" s="19">
        <v>24</v>
      </c>
      <c r="K332" s="19"/>
      <c r="L332" s="20">
        <f t="shared" si="16"/>
        <v>0</v>
      </c>
      <c r="HV332" s="2" t="s">
        <v>203</v>
      </c>
      <c r="HW332" s="2" t="s">
        <v>194</v>
      </c>
      <c r="IR332" s="21">
        <f>K332*1</f>
        <v>0</v>
      </c>
      <c r="IS332" s="21">
        <f>K332*(1-1)</f>
        <v>0</v>
      </c>
    </row>
    <row r="333" spans="1:253" x14ac:dyDescent="0.25">
      <c r="A333" s="18">
        <v>282</v>
      </c>
      <c r="B333" s="2" t="s">
        <v>301</v>
      </c>
      <c r="C333" s="2" t="s">
        <v>213</v>
      </c>
      <c r="D333" s="108" t="s">
        <v>214</v>
      </c>
      <c r="E333" s="102"/>
      <c r="F333" s="102"/>
      <c r="G333" s="102"/>
      <c r="H333" s="102"/>
      <c r="I333" s="2" t="s">
        <v>62</v>
      </c>
      <c r="J333" s="19">
        <v>24</v>
      </c>
      <c r="K333" s="19"/>
      <c r="L333" s="20">
        <f t="shared" si="16"/>
        <v>0</v>
      </c>
      <c r="HV333" s="2" t="s">
        <v>203</v>
      </c>
      <c r="HW333" s="2" t="s">
        <v>194</v>
      </c>
      <c r="IR333" s="21">
        <f>K333*1</f>
        <v>0</v>
      </c>
      <c r="IS333" s="21">
        <f>K333*(1-1)</f>
        <v>0</v>
      </c>
    </row>
    <row r="334" spans="1:253" x14ac:dyDescent="0.25">
      <c r="A334" s="18">
        <v>283</v>
      </c>
      <c r="B334" s="2" t="s">
        <v>301</v>
      </c>
      <c r="C334" s="2" t="s">
        <v>211</v>
      </c>
      <c r="D334" s="108" t="s">
        <v>212</v>
      </c>
      <c r="E334" s="102"/>
      <c r="F334" s="102"/>
      <c r="G334" s="102"/>
      <c r="H334" s="102"/>
      <c r="I334" s="2" t="s">
        <v>62</v>
      </c>
      <c r="J334" s="19">
        <v>24</v>
      </c>
      <c r="K334" s="19"/>
      <c r="L334" s="20">
        <f t="shared" si="16"/>
        <v>0</v>
      </c>
      <c r="HV334" s="2" t="s">
        <v>203</v>
      </c>
      <c r="HW334" s="2" t="s">
        <v>32</v>
      </c>
      <c r="IR334" s="21">
        <f>K334*0.022540953</f>
        <v>0</v>
      </c>
      <c r="IS334" s="21">
        <f>K334*(1-0.022540953)</f>
        <v>0</v>
      </c>
    </row>
    <row r="335" spans="1:253" x14ac:dyDescent="0.25">
      <c r="A335" s="18">
        <v>284</v>
      </c>
      <c r="B335" s="2" t="s">
        <v>301</v>
      </c>
      <c r="C335" s="2" t="s">
        <v>215</v>
      </c>
      <c r="D335" s="108" t="s">
        <v>216</v>
      </c>
      <c r="E335" s="102"/>
      <c r="F335" s="102"/>
      <c r="G335" s="102"/>
      <c r="H335" s="102"/>
      <c r="I335" s="2" t="s">
        <v>217</v>
      </c>
      <c r="J335" s="19">
        <v>2.4</v>
      </c>
      <c r="K335" s="19"/>
      <c r="L335" s="20">
        <f t="shared" si="16"/>
        <v>0</v>
      </c>
      <c r="HV335" s="2" t="s">
        <v>203</v>
      </c>
      <c r="HW335" s="2" t="s">
        <v>32</v>
      </c>
      <c r="IR335" s="21">
        <f>K335*0.488714499</f>
        <v>0</v>
      </c>
      <c r="IS335" s="21">
        <f>K335*(1-0.488714499)</f>
        <v>0</v>
      </c>
    </row>
    <row r="336" spans="1:253" x14ac:dyDescent="0.25">
      <c r="A336" s="18">
        <v>285</v>
      </c>
      <c r="B336" s="2" t="s">
        <v>301</v>
      </c>
      <c r="C336" s="2" t="s">
        <v>218</v>
      </c>
      <c r="D336" s="108" t="s">
        <v>219</v>
      </c>
      <c r="E336" s="102"/>
      <c r="F336" s="102"/>
      <c r="G336" s="102"/>
      <c r="H336" s="102"/>
      <c r="I336" s="2" t="s">
        <v>95</v>
      </c>
      <c r="J336" s="19">
        <v>0.8</v>
      </c>
      <c r="K336" s="19"/>
      <c r="L336" s="20">
        <f t="shared" si="16"/>
        <v>0</v>
      </c>
      <c r="HV336" s="2" t="s">
        <v>203</v>
      </c>
      <c r="HW336" s="2" t="s">
        <v>32</v>
      </c>
      <c r="IR336" s="21">
        <f>K336*0</f>
        <v>0</v>
      </c>
      <c r="IS336" s="21">
        <f>K336*(1-0)</f>
        <v>0</v>
      </c>
    </row>
    <row r="337" spans="1:253" x14ac:dyDescent="0.25">
      <c r="A337" s="14" t="s">
        <v>23</v>
      </c>
      <c r="B337" s="15" t="s">
        <v>301</v>
      </c>
      <c r="C337" s="15" t="s">
        <v>220</v>
      </c>
      <c r="D337" s="115" t="s">
        <v>221</v>
      </c>
      <c r="E337" s="116"/>
      <c r="F337" s="116"/>
      <c r="G337" s="116"/>
      <c r="H337" s="116"/>
      <c r="I337" s="15" t="s">
        <v>23</v>
      </c>
      <c r="J337" s="16" t="s">
        <v>23</v>
      </c>
      <c r="K337" s="16"/>
      <c r="L337" s="17">
        <f>SUM(L338:L338)</f>
        <v>0</v>
      </c>
    </row>
    <row r="338" spans="1:253" x14ac:dyDescent="0.25">
      <c r="A338" s="18">
        <v>286</v>
      </c>
      <c r="B338" s="2" t="s">
        <v>301</v>
      </c>
      <c r="C338" s="2" t="s">
        <v>222</v>
      </c>
      <c r="D338" s="108" t="s">
        <v>223</v>
      </c>
      <c r="E338" s="102"/>
      <c r="F338" s="102"/>
      <c r="G338" s="102"/>
      <c r="H338" s="102"/>
      <c r="I338" s="2" t="s">
        <v>62</v>
      </c>
      <c r="J338" s="19">
        <v>24</v>
      </c>
      <c r="K338" s="19"/>
      <c r="L338" s="20">
        <f>IR338*J338+IS338*J338</f>
        <v>0</v>
      </c>
      <c r="HV338" s="2" t="s">
        <v>220</v>
      </c>
      <c r="HW338" s="2" t="s">
        <v>32</v>
      </c>
      <c r="IR338" s="21">
        <f>K338*0.542372881</f>
        <v>0</v>
      </c>
      <c r="IS338" s="21">
        <f>K338*(1-0.542372881)</f>
        <v>0</v>
      </c>
    </row>
    <row r="339" spans="1:253" x14ac:dyDescent="0.25">
      <c r="A339" s="14" t="s">
        <v>23</v>
      </c>
      <c r="B339" s="15" t="s">
        <v>301</v>
      </c>
      <c r="C339" s="15" t="s">
        <v>224</v>
      </c>
      <c r="D339" s="115" t="s">
        <v>225</v>
      </c>
      <c r="E339" s="116"/>
      <c r="F339" s="116"/>
      <c r="G339" s="116"/>
      <c r="H339" s="116"/>
      <c r="I339" s="15" t="s">
        <v>23</v>
      </c>
      <c r="J339" s="16" t="s">
        <v>23</v>
      </c>
      <c r="K339" s="16"/>
      <c r="L339" s="17">
        <f>SUM(L340:L340)</f>
        <v>0</v>
      </c>
    </row>
    <row r="340" spans="1:253" x14ac:dyDescent="0.25">
      <c r="A340" s="18">
        <v>287</v>
      </c>
      <c r="B340" s="2" t="s">
        <v>301</v>
      </c>
      <c r="C340" s="2" t="s">
        <v>226</v>
      </c>
      <c r="D340" s="108" t="s">
        <v>227</v>
      </c>
      <c r="E340" s="102"/>
      <c r="F340" s="102"/>
      <c r="G340" s="102"/>
      <c r="H340" s="102"/>
      <c r="I340" s="2" t="s">
        <v>100</v>
      </c>
      <c r="J340" s="19">
        <v>24</v>
      </c>
      <c r="K340" s="19"/>
      <c r="L340" s="20">
        <f>IR340*J340+IS340*J340</f>
        <v>0</v>
      </c>
      <c r="HV340" s="2" t="s">
        <v>224</v>
      </c>
      <c r="HW340" s="2" t="s">
        <v>32</v>
      </c>
      <c r="IR340" s="21">
        <f>K340*0.5</f>
        <v>0</v>
      </c>
      <c r="IS340" s="21">
        <f>K340*(1-0.5)</f>
        <v>0</v>
      </c>
    </row>
    <row r="341" spans="1:253" x14ac:dyDescent="0.25">
      <c r="A341" s="14" t="s">
        <v>23</v>
      </c>
      <c r="B341" s="15" t="s">
        <v>301</v>
      </c>
      <c r="C341" s="15" t="s">
        <v>228</v>
      </c>
      <c r="D341" s="115" t="s">
        <v>229</v>
      </c>
      <c r="E341" s="116"/>
      <c r="F341" s="116"/>
      <c r="G341" s="116"/>
      <c r="H341" s="116"/>
      <c r="I341" s="15" t="s">
        <v>23</v>
      </c>
      <c r="J341" s="16" t="s">
        <v>23</v>
      </c>
      <c r="K341" s="16"/>
      <c r="L341" s="17">
        <f>SUM(L342:L345)</f>
        <v>0</v>
      </c>
    </row>
    <row r="342" spans="1:253" x14ac:dyDescent="0.25">
      <c r="A342" s="18">
        <v>288</v>
      </c>
      <c r="B342" s="2" t="s">
        <v>301</v>
      </c>
      <c r="C342" s="2" t="s">
        <v>230</v>
      </c>
      <c r="D342" s="108" t="s">
        <v>231</v>
      </c>
      <c r="E342" s="102"/>
      <c r="F342" s="102"/>
      <c r="G342" s="102"/>
      <c r="H342" s="102"/>
      <c r="I342" s="2" t="s">
        <v>232</v>
      </c>
      <c r="J342" s="19">
        <v>96</v>
      </c>
      <c r="K342" s="19"/>
      <c r="L342" s="20">
        <f>IR342*J342+IS342*J342</f>
        <v>0</v>
      </c>
      <c r="HV342" s="2" t="s">
        <v>228</v>
      </c>
      <c r="HW342" s="2" t="s">
        <v>32</v>
      </c>
      <c r="IR342" s="21">
        <f>K342*0.425441941</f>
        <v>0</v>
      </c>
      <c r="IS342" s="21">
        <f>K342*(1-0.425441941)</f>
        <v>0</v>
      </c>
    </row>
    <row r="343" spans="1:253" x14ac:dyDescent="0.25">
      <c r="A343" s="18">
        <v>289</v>
      </c>
      <c r="B343" s="2" t="s">
        <v>301</v>
      </c>
      <c r="C343" s="2" t="s">
        <v>237</v>
      </c>
      <c r="D343" s="108" t="s">
        <v>238</v>
      </c>
      <c r="E343" s="102"/>
      <c r="F343" s="102"/>
      <c r="G343" s="102"/>
      <c r="H343" s="102"/>
      <c r="I343" s="2" t="s">
        <v>51</v>
      </c>
      <c r="J343" s="19">
        <v>480</v>
      </c>
      <c r="K343" s="19"/>
      <c r="L343" s="20">
        <f>IR343*J343+IS343*J343</f>
        <v>0</v>
      </c>
      <c r="HV343" s="2" t="s">
        <v>228</v>
      </c>
      <c r="HW343" s="2" t="s">
        <v>32</v>
      </c>
      <c r="IR343" s="21">
        <f>K343*0</f>
        <v>0</v>
      </c>
      <c r="IS343" s="21">
        <f>K343*(1-0)</f>
        <v>0</v>
      </c>
    </row>
    <row r="344" spans="1:253" x14ac:dyDescent="0.25">
      <c r="A344" s="18">
        <v>290</v>
      </c>
      <c r="B344" s="2" t="s">
        <v>301</v>
      </c>
      <c r="C344" s="2" t="s">
        <v>233</v>
      </c>
      <c r="D344" s="108" t="s">
        <v>234</v>
      </c>
      <c r="E344" s="102"/>
      <c r="F344" s="102"/>
      <c r="G344" s="102"/>
      <c r="H344" s="102"/>
      <c r="I344" s="2" t="s">
        <v>62</v>
      </c>
      <c r="J344" s="19">
        <v>48</v>
      </c>
      <c r="K344" s="19"/>
      <c r="L344" s="20">
        <f>IR344*J344+IS344*J344</f>
        <v>0</v>
      </c>
      <c r="HV344" s="2" t="s">
        <v>228</v>
      </c>
      <c r="HW344" s="2" t="s">
        <v>194</v>
      </c>
      <c r="IR344" s="21">
        <f>K344*1</f>
        <v>0</v>
      </c>
      <c r="IS344" s="21">
        <f>K344*(1-1)</f>
        <v>0</v>
      </c>
    </row>
    <row r="345" spans="1:253" x14ac:dyDescent="0.25">
      <c r="A345" s="18">
        <v>291</v>
      </c>
      <c r="B345" s="2" t="s">
        <v>301</v>
      </c>
      <c r="C345" s="2" t="s">
        <v>235</v>
      </c>
      <c r="D345" s="108" t="s">
        <v>236</v>
      </c>
      <c r="E345" s="102"/>
      <c r="F345" s="102"/>
      <c r="G345" s="102"/>
      <c r="H345" s="102"/>
      <c r="I345" s="2" t="s">
        <v>62</v>
      </c>
      <c r="J345" s="19">
        <v>96</v>
      </c>
      <c r="K345" s="19"/>
      <c r="L345" s="20">
        <f>IR345*J345+IS345*J345</f>
        <v>0</v>
      </c>
      <c r="HV345" s="2" t="s">
        <v>228</v>
      </c>
      <c r="HW345" s="2" t="s">
        <v>194</v>
      </c>
      <c r="IR345" s="21">
        <f>K345*1</f>
        <v>0</v>
      </c>
      <c r="IS345" s="21">
        <f>K345*(1-1)</f>
        <v>0</v>
      </c>
    </row>
    <row r="346" spans="1:253" x14ac:dyDescent="0.25">
      <c r="A346" s="14" t="s">
        <v>23</v>
      </c>
      <c r="B346" s="15" t="s">
        <v>301</v>
      </c>
      <c r="C346" s="15" t="s">
        <v>239</v>
      </c>
      <c r="D346" s="115" t="s">
        <v>240</v>
      </c>
      <c r="E346" s="116"/>
      <c r="F346" s="116"/>
      <c r="G346" s="116"/>
      <c r="H346" s="116"/>
      <c r="I346" s="15" t="s">
        <v>23</v>
      </c>
      <c r="J346" s="16" t="s">
        <v>23</v>
      </c>
      <c r="K346" s="16"/>
      <c r="L346" s="17">
        <f>SUM(L347:L351)</f>
        <v>0</v>
      </c>
    </row>
    <row r="347" spans="1:253" x14ac:dyDescent="0.25">
      <c r="A347" s="18">
        <v>292</v>
      </c>
      <c r="B347" s="2" t="s">
        <v>301</v>
      </c>
      <c r="C347" s="2" t="s">
        <v>241</v>
      </c>
      <c r="D347" s="108" t="s">
        <v>242</v>
      </c>
      <c r="E347" s="102"/>
      <c r="F347" s="102"/>
      <c r="G347" s="102"/>
      <c r="H347" s="102"/>
      <c r="I347" s="2" t="s">
        <v>217</v>
      </c>
      <c r="J347" s="19">
        <v>44.4</v>
      </c>
      <c r="K347" s="19"/>
      <c r="L347" s="20">
        <f>IR347*J347+IS347*J347</f>
        <v>0</v>
      </c>
      <c r="HV347" s="2" t="s">
        <v>239</v>
      </c>
      <c r="HW347" s="2" t="s">
        <v>32</v>
      </c>
      <c r="IR347" s="21">
        <f>K347*0.447130435</f>
        <v>0</v>
      </c>
      <c r="IS347" s="21">
        <f>K347*(1-0.447130435)</f>
        <v>0</v>
      </c>
    </row>
    <row r="348" spans="1:253" x14ac:dyDescent="0.25">
      <c r="A348" s="18">
        <v>293</v>
      </c>
      <c r="B348" s="2" t="s">
        <v>301</v>
      </c>
      <c r="C348" s="2" t="s">
        <v>243</v>
      </c>
      <c r="D348" s="108" t="s">
        <v>244</v>
      </c>
      <c r="E348" s="102"/>
      <c r="F348" s="102"/>
      <c r="G348" s="102"/>
      <c r="H348" s="102"/>
      <c r="I348" s="2" t="s">
        <v>217</v>
      </c>
      <c r="J348" s="19">
        <v>44.4</v>
      </c>
      <c r="K348" s="19"/>
      <c r="L348" s="20">
        <f>IR348*J348+IS348*J348</f>
        <v>0</v>
      </c>
      <c r="HV348" s="2" t="s">
        <v>239</v>
      </c>
      <c r="HW348" s="2" t="s">
        <v>32</v>
      </c>
      <c r="IR348" s="21">
        <f>K348*0</f>
        <v>0</v>
      </c>
      <c r="IS348" s="21">
        <f>K348*(1-0)</f>
        <v>0</v>
      </c>
    </row>
    <row r="349" spans="1:253" x14ac:dyDescent="0.25">
      <c r="A349" s="18">
        <v>294</v>
      </c>
      <c r="B349" s="2" t="s">
        <v>301</v>
      </c>
      <c r="C349" s="2" t="s">
        <v>245</v>
      </c>
      <c r="D349" s="108" t="s">
        <v>246</v>
      </c>
      <c r="E349" s="102"/>
      <c r="F349" s="102"/>
      <c r="G349" s="102"/>
      <c r="H349" s="102"/>
      <c r="I349" s="2" t="s">
        <v>217</v>
      </c>
      <c r="J349" s="19">
        <v>46.6</v>
      </c>
      <c r="K349" s="19"/>
      <c r="L349" s="20">
        <f>IR349*J349+IS349*J349</f>
        <v>0</v>
      </c>
      <c r="HV349" s="2" t="s">
        <v>239</v>
      </c>
      <c r="HW349" s="2" t="s">
        <v>194</v>
      </c>
      <c r="IR349" s="21">
        <f>K349*1</f>
        <v>0</v>
      </c>
      <c r="IS349" s="21">
        <f>K349*(1-1)</f>
        <v>0</v>
      </c>
    </row>
    <row r="350" spans="1:253" x14ac:dyDescent="0.25">
      <c r="A350" s="18">
        <v>295</v>
      </c>
      <c r="B350" s="2" t="s">
        <v>301</v>
      </c>
      <c r="C350" s="2" t="s">
        <v>247</v>
      </c>
      <c r="D350" s="108" t="s">
        <v>248</v>
      </c>
      <c r="E350" s="102"/>
      <c r="F350" s="102"/>
      <c r="G350" s="102"/>
      <c r="H350" s="102"/>
      <c r="I350" s="2" t="s">
        <v>62</v>
      </c>
      <c r="J350" s="19">
        <v>240</v>
      </c>
      <c r="K350" s="19"/>
      <c r="L350" s="20">
        <f>IR350*J350+IS350*J350</f>
        <v>0</v>
      </c>
      <c r="HV350" s="2" t="s">
        <v>239</v>
      </c>
      <c r="HW350" s="2" t="s">
        <v>32</v>
      </c>
      <c r="IR350" s="21">
        <f>K350*0.283738739</f>
        <v>0</v>
      </c>
      <c r="IS350" s="21">
        <f>K350*(1-0.283738739)</f>
        <v>0</v>
      </c>
    </row>
    <row r="351" spans="1:253" x14ac:dyDescent="0.25">
      <c r="A351" s="18">
        <v>296</v>
      </c>
      <c r="B351" s="2" t="s">
        <v>301</v>
      </c>
      <c r="C351" s="2" t="s">
        <v>249</v>
      </c>
      <c r="D351" s="108" t="s">
        <v>250</v>
      </c>
      <c r="E351" s="102"/>
      <c r="F351" s="102"/>
      <c r="G351" s="102"/>
      <c r="H351" s="102"/>
      <c r="I351" s="2" t="s">
        <v>51</v>
      </c>
      <c r="J351" s="19">
        <v>1111</v>
      </c>
      <c r="K351" s="19"/>
      <c r="L351" s="20">
        <f>IR351*J351+IS351*J351</f>
        <v>0</v>
      </c>
      <c r="HV351" s="2" t="s">
        <v>239</v>
      </c>
      <c r="HW351" s="2" t="s">
        <v>32</v>
      </c>
      <c r="IR351" s="21">
        <f>K351*0</f>
        <v>0</v>
      </c>
      <c r="IS351" s="21">
        <f>K351*(1-0)</f>
        <v>0</v>
      </c>
    </row>
    <row r="352" spans="1:253" x14ac:dyDescent="0.25">
      <c r="A352" s="14" t="s">
        <v>23</v>
      </c>
      <c r="B352" s="15" t="s">
        <v>301</v>
      </c>
      <c r="C352" s="15" t="s">
        <v>251</v>
      </c>
      <c r="D352" s="115" t="s">
        <v>252</v>
      </c>
      <c r="E352" s="116"/>
      <c r="F352" s="116"/>
      <c r="G352" s="116"/>
      <c r="H352" s="116"/>
      <c r="I352" s="15" t="s">
        <v>23</v>
      </c>
      <c r="J352" s="16" t="s">
        <v>23</v>
      </c>
      <c r="K352" s="16"/>
      <c r="L352" s="17">
        <f>SUM(L353:L354)</f>
        <v>0</v>
      </c>
    </row>
    <row r="353" spans="1:253" x14ac:dyDescent="0.25">
      <c r="A353" s="18">
        <v>297</v>
      </c>
      <c r="B353" s="2" t="s">
        <v>301</v>
      </c>
      <c r="C353" s="2" t="s">
        <v>253</v>
      </c>
      <c r="D353" s="108" t="s">
        <v>254</v>
      </c>
      <c r="E353" s="102"/>
      <c r="F353" s="102"/>
      <c r="G353" s="102"/>
      <c r="H353" s="102"/>
      <c r="I353" s="2" t="s">
        <v>217</v>
      </c>
      <c r="J353" s="19">
        <v>8.4</v>
      </c>
      <c r="K353" s="19"/>
      <c r="L353" s="20">
        <f>IR353*J353+IS353*J353</f>
        <v>0</v>
      </c>
      <c r="HV353" s="2" t="s">
        <v>251</v>
      </c>
      <c r="HW353" s="2" t="s">
        <v>32</v>
      </c>
      <c r="IR353" s="21">
        <f>K353*0</f>
        <v>0</v>
      </c>
      <c r="IS353" s="21">
        <f>K353*(1-0)</f>
        <v>0</v>
      </c>
    </row>
    <row r="354" spans="1:253" x14ac:dyDescent="0.25">
      <c r="A354" s="18">
        <v>298</v>
      </c>
      <c r="B354" s="2" t="s">
        <v>301</v>
      </c>
      <c r="C354" s="2" t="s">
        <v>255</v>
      </c>
      <c r="D354" s="108" t="s">
        <v>256</v>
      </c>
      <c r="E354" s="102"/>
      <c r="F354" s="102"/>
      <c r="G354" s="102"/>
      <c r="H354" s="102"/>
      <c r="I354" s="2" t="s">
        <v>257</v>
      </c>
      <c r="J354" s="19">
        <v>17.7</v>
      </c>
      <c r="K354" s="19"/>
      <c r="L354" s="20">
        <f>IR354*J354+IS354*J354</f>
        <v>0</v>
      </c>
      <c r="HV354" s="2" t="s">
        <v>251</v>
      </c>
      <c r="HW354" s="2" t="s">
        <v>194</v>
      </c>
      <c r="IR354" s="21">
        <f>K354*1</f>
        <v>0</v>
      </c>
      <c r="IS354" s="21">
        <f>K354*(1-1)</f>
        <v>0</v>
      </c>
    </row>
    <row r="355" spans="1:253" x14ac:dyDescent="0.25">
      <c r="A355" s="14" t="s">
        <v>23</v>
      </c>
      <c r="B355" s="15" t="s">
        <v>301</v>
      </c>
      <c r="C355" s="15" t="s">
        <v>258</v>
      </c>
      <c r="D355" s="115" t="s">
        <v>259</v>
      </c>
      <c r="E355" s="116"/>
      <c r="F355" s="116"/>
      <c r="G355" s="116"/>
      <c r="H355" s="116"/>
      <c r="I355" s="15" t="s">
        <v>23</v>
      </c>
      <c r="J355" s="16" t="s">
        <v>23</v>
      </c>
      <c r="K355" s="16"/>
      <c r="L355" s="17">
        <f>SUM(L356:L356)</f>
        <v>0</v>
      </c>
    </row>
    <row r="356" spans="1:253" x14ac:dyDescent="0.25">
      <c r="A356" s="18">
        <v>299</v>
      </c>
      <c r="B356" s="2" t="s">
        <v>301</v>
      </c>
      <c r="C356" s="2" t="s">
        <v>260</v>
      </c>
      <c r="D356" s="108" t="s">
        <v>261</v>
      </c>
      <c r="E356" s="102"/>
      <c r="F356" s="102"/>
      <c r="G356" s="102"/>
      <c r="H356" s="102"/>
      <c r="I356" s="2" t="s">
        <v>217</v>
      </c>
      <c r="J356" s="19">
        <v>72</v>
      </c>
      <c r="K356" s="19"/>
      <c r="L356" s="20">
        <f>IR356*J356+IS356*J356</f>
        <v>0</v>
      </c>
      <c r="HV356" s="2" t="s">
        <v>258</v>
      </c>
      <c r="HW356" s="2" t="s">
        <v>32</v>
      </c>
      <c r="IR356" s="21">
        <f>K356*0.201505646</f>
        <v>0</v>
      </c>
      <c r="IS356" s="21">
        <f>K356*(1-0.201505646)</f>
        <v>0</v>
      </c>
    </row>
    <row r="357" spans="1:253" x14ac:dyDescent="0.25">
      <c r="A357" s="14" t="s">
        <v>23</v>
      </c>
      <c r="B357" s="15" t="s">
        <v>301</v>
      </c>
      <c r="C357" s="15" t="s">
        <v>262</v>
      </c>
      <c r="D357" s="115" t="s">
        <v>263</v>
      </c>
      <c r="E357" s="116"/>
      <c r="F357" s="116"/>
      <c r="G357" s="116"/>
      <c r="H357" s="116"/>
      <c r="I357" s="15" t="s">
        <v>23</v>
      </c>
      <c r="J357" s="16" t="s">
        <v>23</v>
      </c>
      <c r="K357" s="16"/>
      <c r="L357" s="17">
        <f>SUM(L358:L358)</f>
        <v>0</v>
      </c>
    </row>
    <row r="358" spans="1:253" x14ac:dyDescent="0.25">
      <c r="A358" s="18">
        <v>300</v>
      </c>
      <c r="B358" s="2" t="s">
        <v>301</v>
      </c>
      <c r="C358" s="2" t="s">
        <v>264</v>
      </c>
      <c r="D358" s="108" t="s">
        <v>265</v>
      </c>
      <c r="E358" s="102"/>
      <c r="F358" s="102"/>
      <c r="G358" s="102"/>
      <c r="H358" s="102"/>
      <c r="I358" s="2" t="s">
        <v>217</v>
      </c>
      <c r="J358" s="19">
        <v>990</v>
      </c>
      <c r="K358" s="19"/>
      <c r="L358" s="20">
        <f>IR358*J358+IS358*J358</f>
        <v>0</v>
      </c>
      <c r="HV358" s="2" t="s">
        <v>262</v>
      </c>
      <c r="HW358" s="2" t="s">
        <v>32</v>
      </c>
      <c r="IR358" s="21">
        <f>K358*0</f>
        <v>0</v>
      </c>
      <c r="IS358" s="21">
        <f>K358*(1-0)</f>
        <v>0</v>
      </c>
    </row>
    <row r="359" spans="1:253" x14ac:dyDescent="0.25">
      <c r="A359" s="14" t="s">
        <v>23</v>
      </c>
      <c r="B359" s="15" t="s">
        <v>301</v>
      </c>
      <c r="C359" s="15" t="s">
        <v>266</v>
      </c>
      <c r="D359" s="115" t="s">
        <v>267</v>
      </c>
      <c r="E359" s="116"/>
      <c r="F359" s="116"/>
      <c r="G359" s="116"/>
      <c r="H359" s="116"/>
      <c r="I359" s="15" t="s">
        <v>23</v>
      </c>
      <c r="J359" s="16" t="s">
        <v>23</v>
      </c>
      <c r="K359" s="16"/>
      <c r="L359" s="17">
        <f>SUM(L360:L360)</f>
        <v>0</v>
      </c>
    </row>
    <row r="360" spans="1:253" x14ac:dyDescent="0.25">
      <c r="A360" s="18">
        <v>301</v>
      </c>
      <c r="B360" s="2" t="s">
        <v>301</v>
      </c>
      <c r="C360" s="2" t="s">
        <v>268</v>
      </c>
      <c r="D360" s="108" t="s">
        <v>269</v>
      </c>
      <c r="E360" s="102"/>
      <c r="F360" s="102"/>
      <c r="G360" s="102"/>
      <c r="H360" s="102"/>
      <c r="I360" s="2" t="s">
        <v>217</v>
      </c>
      <c r="J360" s="19">
        <v>56.2</v>
      </c>
      <c r="K360" s="19"/>
      <c r="L360" s="20">
        <f>IR360*J360+IS360*J360</f>
        <v>0</v>
      </c>
      <c r="HV360" s="2" t="s">
        <v>266</v>
      </c>
      <c r="HW360" s="2" t="s">
        <v>32</v>
      </c>
      <c r="IR360" s="21">
        <f>K360*0.197058824</f>
        <v>0</v>
      </c>
      <c r="IS360" s="21">
        <f>K360*(1-0.197058824)</f>
        <v>0</v>
      </c>
    </row>
    <row r="361" spans="1:253" x14ac:dyDescent="0.25">
      <c r="A361" s="14" t="s">
        <v>23</v>
      </c>
      <c r="B361" s="15" t="s">
        <v>301</v>
      </c>
      <c r="C361" s="15" t="s">
        <v>270</v>
      </c>
      <c r="D361" s="115" t="s">
        <v>271</v>
      </c>
      <c r="E361" s="116"/>
      <c r="F361" s="116"/>
      <c r="G361" s="116"/>
      <c r="H361" s="116"/>
      <c r="I361" s="15" t="s">
        <v>23</v>
      </c>
      <c r="J361" s="16" t="s">
        <v>23</v>
      </c>
      <c r="K361" s="16"/>
      <c r="L361" s="17">
        <f>SUM(L362:L366)</f>
        <v>0</v>
      </c>
    </row>
    <row r="362" spans="1:253" x14ac:dyDescent="0.25">
      <c r="A362" s="18">
        <v>302</v>
      </c>
      <c r="B362" s="2" t="s">
        <v>301</v>
      </c>
      <c r="C362" s="2" t="s">
        <v>272</v>
      </c>
      <c r="D362" s="108" t="s">
        <v>273</v>
      </c>
      <c r="E362" s="102"/>
      <c r="F362" s="102"/>
      <c r="G362" s="102"/>
      <c r="H362" s="102"/>
      <c r="I362" s="2" t="s">
        <v>62</v>
      </c>
      <c r="J362" s="19">
        <v>24</v>
      </c>
      <c r="K362" s="19"/>
      <c r="L362" s="20">
        <f>IR362*J362+IS362*J362</f>
        <v>0</v>
      </c>
      <c r="HV362" s="2" t="s">
        <v>270</v>
      </c>
      <c r="HW362" s="2" t="s">
        <v>32</v>
      </c>
      <c r="IR362" s="21">
        <f>K362*0</f>
        <v>0</v>
      </c>
      <c r="IS362" s="21">
        <f>K362*(1-0)</f>
        <v>0</v>
      </c>
    </row>
    <row r="363" spans="1:253" x14ac:dyDescent="0.25">
      <c r="A363" s="18">
        <v>303</v>
      </c>
      <c r="B363" s="2" t="s">
        <v>301</v>
      </c>
      <c r="C363" s="2" t="s">
        <v>274</v>
      </c>
      <c r="D363" s="108" t="s">
        <v>275</v>
      </c>
      <c r="E363" s="102"/>
      <c r="F363" s="102"/>
      <c r="G363" s="102"/>
      <c r="H363" s="102"/>
      <c r="I363" s="2" t="s">
        <v>31</v>
      </c>
      <c r="J363" s="19">
        <v>2.2000000000000002</v>
      </c>
      <c r="K363" s="19"/>
      <c r="L363" s="20">
        <f>IR363*J363+IS363*J363</f>
        <v>0</v>
      </c>
      <c r="HV363" s="2" t="s">
        <v>270</v>
      </c>
      <c r="HW363" s="2" t="s">
        <v>32</v>
      </c>
      <c r="IR363" s="21">
        <f>K363*0.310686684</f>
        <v>0</v>
      </c>
      <c r="IS363" s="21">
        <f>K363*(1-0.310686684)</f>
        <v>0</v>
      </c>
    </row>
    <row r="364" spans="1:253" x14ac:dyDescent="0.25">
      <c r="A364" s="18">
        <v>304</v>
      </c>
      <c r="B364" s="2" t="s">
        <v>301</v>
      </c>
      <c r="C364" s="2" t="s">
        <v>276</v>
      </c>
      <c r="D364" s="108" t="s">
        <v>277</v>
      </c>
      <c r="E364" s="102"/>
      <c r="F364" s="102"/>
      <c r="G364" s="102"/>
      <c r="H364" s="102"/>
      <c r="I364" s="2" t="s">
        <v>31</v>
      </c>
      <c r="J364" s="19">
        <v>2.2000000000000002</v>
      </c>
      <c r="K364" s="19"/>
      <c r="L364" s="20">
        <f>IR364*J364+IS364*J364</f>
        <v>0</v>
      </c>
      <c r="HV364" s="2" t="s">
        <v>270</v>
      </c>
      <c r="HW364" s="2" t="s">
        <v>32</v>
      </c>
      <c r="IR364" s="21">
        <f>K364*0.170564632</f>
        <v>0</v>
      </c>
      <c r="IS364" s="21">
        <f>K364*(1-0.170564632)</f>
        <v>0</v>
      </c>
    </row>
    <row r="365" spans="1:253" x14ac:dyDescent="0.25">
      <c r="A365" s="18">
        <v>305</v>
      </c>
      <c r="B365" s="2" t="s">
        <v>301</v>
      </c>
      <c r="C365" s="2" t="s">
        <v>278</v>
      </c>
      <c r="D365" s="108" t="s">
        <v>279</v>
      </c>
      <c r="E365" s="102"/>
      <c r="F365" s="102"/>
      <c r="G365" s="102"/>
      <c r="H365" s="102"/>
      <c r="I365" s="2" t="s">
        <v>31</v>
      </c>
      <c r="J365" s="19">
        <v>2.2000000000000002</v>
      </c>
      <c r="K365" s="19"/>
      <c r="L365" s="20">
        <f>IR365*J365+IS365*J365</f>
        <v>0</v>
      </c>
      <c r="HV365" s="2" t="s">
        <v>270</v>
      </c>
      <c r="HW365" s="2" t="s">
        <v>32</v>
      </c>
      <c r="IR365" s="21">
        <f>K365*0</f>
        <v>0</v>
      </c>
      <c r="IS365" s="21">
        <f>K365*(1-0)</f>
        <v>0</v>
      </c>
    </row>
    <row r="366" spans="1:253" x14ac:dyDescent="0.25">
      <c r="A366" s="18">
        <v>306</v>
      </c>
      <c r="B366" s="2" t="s">
        <v>301</v>
      </c>
      <c r="C366" s="2" t="s">
        <v>280</v>
      </c>
      <c r="D366" s="108" t="s">
        <v>281</v>
      </c>
      <c r="E366" s="102"/>
      <c r="F366" s="102"/>
      <c r="G366" s="102"/>
      <c r="H366" s="102"/>
      <c r="I366" s="2" t="s">
        <v>31</v>
      </c>
      <c r="J366" s="19">
        <v>2.2000000000000002</v>
      </c>
      <c r="K366" s="19"/>
      <c r="L366" s="20">
        <f>IR366*J366+IS366*J366</f>
        <v>0</v>
      </c>
      <c r="HV366" s="2" t="s">
        <v>270</v>
      </c>
      <c r="HW366" s="2" t="s">
        <v>32</v>
      </c>
      <c r="IR366" s="21">
        <f>K366*0.075961165</f>
        <v>0</v>
      </c>
      <c r="IS366" s="21">
        <f>K366*(1-0.075961165)</f>
        <v>0</v>
      </c>
    </row>
    <row r="367" spans="1:253" x14ac:dyDescent="0.25">
      <c r="A367" s="14" t="s">
        <v>23</v>
      </c>
      <c r="B367" s="15" t="s">
        <v>301</v>
      </c>
      <c r="C367" s="15" t="s">
        <v>282</v>
      </c>
      <c r="D367" s="115" t="s">
        <v>283</v>
      </c>
      <c r="E367" s="116"/>
      <c r="F367" s="116"/>
      <c r="G367" s="116"/>
      <c r="H367" s="116"/>
      <c r="I367" s="15" t="s">
        <v>23</v>
      </c>
      <c r="J367" s="16" t="s">
        <v>23</v>
      </c>
      <c r="K367" s="16"/>
      <c r="L367" s="17">
        <f>SUM(L368:L375)</f>
        <v>0</v>
      </c>
    </row>
    <row r="368" spans="1:253" x14ac:dyDescent="0.25">
      <c r="A368" s="18">
        <v>307</v>
      </c>
      <c r="B368" s="2" t="s">
        <v>301</v>
      </c>
      <c r="C368" s="2" t="s">
        <v>284</v>
      </c>
      <c r="D368" s="108" t="s">
        <v>285</v>
      </c>
      <c r="E368" s="102"/>
      <c r="F368" s="102"/>
      <c r="G368" s="102"/>
      <c r="H368" s="102"/>
      <c r="I368" s="2" t="s">
        <v>286</v>
      </c>
      <c r="J368" s="19">
        <v>45</v>
      </c>
      <c r="K368" s="19"/>
      <c r="L368" s="20">
        <f t="shared" ref="L368:L375" si="17">IR368*J368+IS368*J368</f>
        <v>0</v>
      </c>
      <c r="HV368" s="2" t="s">
        <v>282</v>
      </c>
      <c r="HW368" s="2" t="s">
        <v>32</v>
      </c>
      <c r="IR368" s="21">
        <f t="shared" ref="IR368:IR375" si="18">K368*0</f>
        <v>0</v>
      </c>
      <c r="IS368" s="21">
        <f t="shared" ref="IS368:IS375" si="19">K368*(1-0)</f>
        <v>0</v>
      </c>
    </row>
    <row r="369" spans="1:253" x14ac:dyDescent="0.25">
      <c r="A369" s="18">
        <v>308</v>
      </c>
      <c r="B369" s="2" t="s">
        <v>301</v>
      </c>
      <c r="C369" s="2" t="s">
        <v>287</v>
      </c>
      <c r="D369" s="108" t="s">
        <v>288</v>
      </c>
      <c r="E369" s="102"/>
      <c r="F369" s="102"/>
      <c r="G369" s="102"/>
      <c r="H369" s="102"/>
      <c r="I369" s="2" t="s">
        <v>95</v>
      </c>
      <c r="J369" s="19">
        <v>2.1</v>
      </c>
      <c r="K369" s="19"/>
      <c r="L369" s="20">
        <f t="shared" si="17"/>
        <v>0</v>
      </c>
      <c r="HV369" s="2" t="s">
        <v>282</v>
      </c>
      <c r="HW369" s="2" t="s">
        <v>32</v>
      </c>
      <c r="IR369" s="21">
        <f t="shared" si="18"/>
        <v>0</v>
      </c>
      <c r="IS369" s="21">
        <f t="shared" si="19"/>
        <v>0</v>
      </c>
    </row>
    <row r="370" spans="1:253" x14ac:dyDescent="0.25">
      <c r="A370" s="18">
        <v>309</v>
      </c>
      <c r="B370" s="2" t="s">
        <v>301</v>
      </c>
      <c r="C370" s="2" t="s">
        <v>289</v>
      </c>
      <c r="D370" s="108" t="s">
        <v>290</v>
      </c>
      <c r="E370" s="102"/>
      <c r="F370" s="102"/>
      <c r="G370" s="102"/>
      <c r="H370" s="102"/>
      <c r="I370" s="2" t="s">
        <v>95</v>
      </c>
      <c r="J370" s="19">
        <v>6.2</v>
      </c>
      <c r="K370" s="19"/>
      <c r="L370" s="20">
        <f t="shared" si="17"/>
        <v>0</v>
      </c>
      <c r="HV370" s="2" t="s">
        <v>282</v>
      </c>
      <c r="HW370" s="2" t="s">
        <v>32</v>
      </c>
      <c r="IR370" s="21">
        <f t="shared" si="18"/>
        <v>0</v>
      </c>
      <c r="IS370" s="21">
        <f t="shared" si="19"/>
        <v>0</v>
      </c>
    </row>
    <row r="371" spans="1:253" x14ac:dyDescent="0.25">
      <c r="A371" s="18">
        <v>310</v>
      </c>
      <c r="B371" s="2" t="s">
        <v>301</v>
      </c>
      <c r="C371" s="2" t="s">
        <v>291</v>
      </c>
      <c r="D371" s="108" t="s">
        <v>292</v>
      </c>
      <c r="E371" s="102"/>
      <c r="F371" s="102"/>
      <c r="G371" s="102"/>
      <c r="H371" s="102"/>
      <c r="I371" s="2" t="s">
        <v>95</v>
      </c>
      <c r="J371" s="19">
        <v>8.3000000000000007</v>
      </c>
      <c r="K371" s="19"/>
      <c r="L371" s="20">
        <f t="shared" si="17"/>
        <v>0</v>
      </c>
      <c r="HV371" s="2" t="s">
        <v>282</v>
      </c>
      <c r="HW371" s="2" t="s">
        <v>32</v>
      </c>
      <c r="IR371" s="21">
        <f t="shared" si="18"/>
        <v>0</v>
      </c>
      <c r="IS371" s="21">
        <f t="shared" si="19"/>
        <v>0</v>
      </c>
    </row>
    <row r="372" spans="1:253" x14ac:dyDescent="0.25">
      <c r="A372" s="18">
        <v>311</v>
      </c>
      <c r="B372" s="2" t="s">
        <v>301</v>
      </c>
      <c r="C372" s="2" t="s">
        <v>293</v>
      </c>
      <c r="D372" s="108" t="s">
        <v>294</v>
      </c>
      <c r="E372" s="102"/>
      <c r="F372" s="102"/>
      <c r="G372" s="102"/>
      <c r="H372" s="102"/>
      <c r="I372" s="2" t="s">
        <v>95</v>
      </c>
      <c r="J372" s="19">
        <v>8.3000000000000007</v>
      </c>
      <c r="K372" s="19"/>
      <c r="L372" s="20">
        <f t="shared" si="17"/>
        <v>0</v>
      </c>
      <c r="HV372" s="2" t="s">
        <v>282</v>
      </c>
      <c r="HW372" s="2" t="s">
        <v>32</v>
      </c>
      <c r="IR372" s="21">
        <f t="shared" si="18"/>
        <v>0</v>
      </c>
      <c r="IS372" s="21">
        <f t="shared" si="19"/>
        <v>0</v>
      </c>
    </row>
    <row r="373" spans="1:253" x14ac:dyDescent="0.25">
      <c r="A373" s="18">
        <v>312</v>
      </c>
      <c r="B373" s="2" t="s">
        <v>301</v>
      </c>
      <c r="C373" s="2" t="s">
        <v>295</v>
      </c>
      <c r="D373" s="108" t="s">
        <v>296</v>
      </c>
      <c r="E373" s="102"/>
      <c r="F373" s="102"/>
      <c r="G373" s="102"/>
      <c r="H373" s="102"/>
      <c r="I373" s="2" t="s">
        <v>95</v>
      </c>
      <c r="J373" s="19">
        <v>8.3000000000000007</v>
      </c>
      <c r="K373" s="19"/>
      <c r="L373" s="20">
        <f t="shared" si="17"/>
        <v>0</v>
      </c>
      <c r="HV373" s="2" t="s">
        <v>282</v>
      </c>
      <c r="HW373" s="2" t="s">
        <v>32</v>
      </c>
      <c r="IR373" s="21">
        <f t="shared" si="18"/>
        <v>0</v>
      </c>
      <c r="IS373" s="21">
        <f t="shared" si="19"/>
        <v>0</v>
      </c>
    </row>
    <row r="374" spans="1:253" x14ac:dyDescent="0.25">
      <c r="A374" s="18">
        <v>313</v>
      </c>
      <c r="B374" s="2" t="s">
        <v>301</v>
      </c>
      <c r="C374" s="2" t="s">
        <v>297</v>
      </c>
      <c r="D374" s="108" t="s">
        <v>298</v>
      </c>
      <c r="E374" s="102"/>
      <c r="F374" s="102"/>
      <c r="G374" s="102"/>
      <c r="H374" s="102"/>
      <c r="I374" s="2" t="s">
        <v>95</v>
      </c>
      <c r="J374" s="19">
        <v>83</v>
      </c>
      <c r="K374" s="19"/>
      <c r="L374" s="20">
        <f t="shared" si="17"/>
        <v>0</v>
      </c>
      <c r="HV374" s="2" t="s">
        <v>282</v>
      </c>
      <c r="HW374" s="2" t="s">
        <v>32</v>
      </c>
      <c r="IR374" s="21">
        <f t="shared" si="18"/>
        <v>0</v>
      </c>
      <c r="IS374" s="21">
        <f t="shared" si="19"/>
        <v>0</v>
      </c>
    </row>
    <row r="375" spans="1:253" x14ac:dyDescent="0.25">
      <c r="A375" s="18">
        <v>314</v>
      </c>
      <c r="B375" s="2" t="s">
        <v>301</v>
      </c>
      <c r="C375" s="2" t="s">
        <v>299</v>
      </c>
      <c r="D375" s="108" t="s">
        <v>300</v>
      </c>
      <c r="E375" s="102"/>
      <c r="F375" s="102"/>
      <c r="G375" s="102"/>
      <c r="H375" s="102"/>
      <c r="I375" s="2" t="s">
        <v>95</v>
      </c>
      <c r="J375" s="19">
        <v>8.3000000000000007</v>
      </c>
      <c r="K375" s="19"/>
      <c r="L375" s="20">
        <f t="shared" si="17"/>
        <v>0</v>
      </c>
      <c r="HV375" s="2" t="s">
        <v>282</v>
      </c>
      <c r="HW375" s="2" t="s">
        <v>32</v>
      </c>
      <c r="IR375" s="21">
        <f t="shared" si="18"/>
        <v>0</v>
      </c>
      <c r="IS375" s="21">
        <f t="shared" si="19"/>
        <v>0</v>
      </c>
    </row>
    <row r="376" spans="1:253" x14ac:dyDescent="0.25">
      <c r="A376" s="14" t="s">
        <v>23</v>
      </c>
      <c r="B376" s="15" t="s">
        <v>303</v>
      </c>
      <c r="C376" s="15" t="s">
        <v>25</v>
      </c>
      <c r="D376" s="115" t="s">
        <v>304</v>
      </c>
      <c r="E376" s="116"/>
      <c r="F376" s="116"/>
      <c r="G376" s="116"/>
      <c r="H376" s="116"/>
      <c r="I376" s="15" t="s">
        <v>23</v>
      </c>
      <c r="J376" s="16" t="s">
        <v>23</v>
      </c>
      <c r="K376" s="16"/>
      <c r="L376" s="17">
        <f>L377+L385+L387+L389+L394+L400+L403+L405+L407+L409+L415</f>
        <v>0</v>
      </c>
    </row>
    <row r="377" spans="1:253" x14ac:dyDescent="0.25">
      <c r="A377" s="14" t="s">
        <v>23</v>
      </c>
      <c r="B377" s="15" t="s">
        <v>303</v>
      </c>
      <c r="C377" s="15" t="s">
        <v>203</v>
      </c>
      <c r="D377" s="115" t="s">
        <v>204</v>
      </c>
      <c r="E377" s="116"/>
      <c r="F377" s="116"/>
      <c r="G377" s="116"/>
      <c r="H377" s="116"/>
      <c r="I377" s="15" t="s">
        <v>23</v>
      </c>
      <c r="J377" s="16" t="s">
        <v>23</v>
      </c>
      <c r="K377" s="16"/>
      <c r="L377" s="17">
        <f>SUM(L378:L384)</f>
        <v>0</v>
      </c>
    </row>
    <row r="378" spans="1:253" x14ac:dyDescent="0.25">
      <c r="A378" s="18">
        <v>315</v>
      </c>
      <c r="B378" s="2" t="s">
        <v>303</v>
      </c>
      <c r="C378" s="2" t="s">
        <v>205</v>
      </c>
      <c r="D378" s="108" t="s">
        <v>206</v>
      </c>
      <c r="E378" s="102"/>
      <c r="F378" s="102"/>
      <c r="G378" s="102"/>
      <c r="H378" s="102"/>
      <c r="I378" s="2" t="s">
        <v>100</v>
      </c>
      <c r="J378" s="19">
        <v>24</v>
      </c>
      <c r="K378" s="19"/>
      <c r="L378" s="20">
        <f t="shared" ref="L378:L384" si="20">IR378*J378+IS378*J378</f>
        <v>0</v>
      </c>
      <c r="HV378" s="2" t="s">
        <v>203</v>
      </c>
      <c r="HW378" s="2" t="s">
        <v>32</v>
      </c>
      <c r="IR378" s="21">
        <f>K378*0</f>
        <v>0</v>
      </c>
      <c r="IS378" s="21">
        <f>K378*(1-0)</f>
        <v>0</v>
      </c>
    </row>
    <row r="379" spans="1:253" x14ac:dyDescent="0.25">
      <c r="A379" s="18">
        <v>316</v>
      </c>
      <c r="B379" s="2" t="s">
        <v>303</v>
      </c>
      <c r="C379" s="2" t="s">
        <v>207</v>
      </c>
      <c r="D379" s="108" t="s">
        <v>208</v>
      </c>
      <c r="E379" s="102"/>
      <c r="F379" s="102"/>
      <c r="G379" s="102"/>
      <c r="H379" s="102"/>
      <c r="I379" s="2" t="s">
        <v>100</v>
      </c>
      <c r="J379" s="19">
        <v>24</v>
      </c>
      <c r="K379" s="19"/>
      <c r="L379" s="20">
        <f t="shared" si="20"/>
        <v>0</v>
      </c>
      <c r="HV379" s="2" t="s">
        <v>203</v>
      </c>
      <c r="HW379" s="2" t="s">
        <v>32</v>
      </c>
      <c r="IR379" s="21">
        <f>K379*0</f>
        <v>0</v>
      </c>
      <c r="IS379" s="21">
        <f>K379*(1-0)</f>
        <v>0</v>
      </c>
    </row>
    <row r="380" spans="1:253" x14ac:dyDescent="0.25">
      <c r="A380" s="18">
        <v>317</v>
      </c>
      <c r="B380" s="2" t="s">
        <v>303</v>
      </c>
      <c r="C380" s="2" t="s">
        <v>209</v>
      </c>
      <c r="D380" s="108" t="s">
        <v>210</v>
      </c>
      <c r="E380" s="102"/>
      <c r="F380" s="102"/>
      <c r="G380" s="102"/>
      <c r="H380" s="102"/>
      <c r="I380" s="2" t="s">
        <v>62</v>
      </c>
      <c r="J380" s="19">
        <v>24</v>
      </c>
      <c r="K380" s="19"/>
      <c r="L380" s="20">
        <f t="shared" si="20"/>
        <v>0</v>
      </c>
      <c r="HV380" s="2" t="s">
        <v>203</v>
      </c>
      <c r="HW380" s="2" t="s">
        <v>194</v>
      </c>
      <c r="IR380" s="21">
        <f>K380*1</f>
        <v>0</v>
      </c>
      <c r="IS380" s="21">
        <f>K380*(1-1)</f>
        <v>0</v>
      </c>
    </row>
    <row r="381" spans="1:253" x14ac:dyDescent="0.25">
      <c r="A381" s="18">
        <v>318</v>
      </c>
      <c r="B381" s="2" t="s">
        <v>303</v>
      </c>
      <c r="C381" s="2" t="s">
        <v>211</v>
      </c>
      <c r="D381" s="108" t="s">
        <v>212</v>
      </c>
      <c r="E381" s="102"/>
      <c r="F381" s="102"/>
      <c r="G381" s="102"/>
      <c r="H381" s="102"/>
      <c r="I381" s="2" t="s">
        <v>62</v>
      </c>
      <c r="J381" s="19">
        <v>24</v>
      </c>
      <c r="K381" s="19"/>
      <c r="L381" s="20">
        <f t="shared" si="20"/>
        <v>0</v>
      </c>
      <c r="HV381" s="2" t="s">
        <v>203</v>
      </c>
      <c r="HW381" s="2" t="s">
        <v>32</v>
      </c>
      <c r="IR381" s="21">
        <f>K381*0.022540953</f>
        <v>0</v>
      </c>
      <c r="IS381" s="21">
        <f>K381*(1-0.022540953)</f>
        <v>0</v>
      </c>
    </row>
    <row r="382" spans="1:253" x14ac:dyDescent="0.25">
      <c r="A382" s="18">
        <v>319</v>
      </c>
      <c r="B382" s="2" t="s">
        <v>303</v>
      </c>
      <c r="C382" s="2" t="s">
        <v>213</v>
      </c>
      <c r="D382" s="108" t="s">
        <v>214</v>
      </c>
      <c r="E382" s="102"/>
      <c r="F382" s="102"/>
      <c r="G382" s="102"/>
      <c r="H382" s="102"/>
      <c r="I382" s="2" t="s">
        <v>62</v>
      </c>
      <c r="J382" s="19">
        <v>24</v>
      </c>
      <c r="K382" s="19"/>
      <c r="L382" s="20">
        <f t="shared" si="20"/>
        <v>0</v>
      </c>
      <c r="HV382" s="2" t="s">
        <v>203</v>
      </c>
      <c r="HW382" s="2" t="s">
        <v>194</v>
      </c>
      <c r="IR382" s="21">
        <f>K382*1</f>
        <v>0</v>
      </c>
      <c r="IS382" s="21">
        <f>K382*(1-1)</f>
        <v>0</v>
      </c>
    </row>
    <row r="383" spans="1:253" x14ac:dyDescent="0.25">
      <c r="A383" s="18">
        <v>320</v>
      </c>
      <c r="B383" s="2" t="s">
        <v>303</v>
      </c>
      <c r="C383" s="2" t="s">
        <v>215</v>
      </c>
      <c r="D383" s="108" t="s">
        <v>216</v>
      </c>
      <c r="E383" s="102"/>
      <c r="F383" s="102"/>
      <c r="G383" s="102"/>
      <c r="H383" s="102"/>
      <c r="I383" s="2" t="s">
        <v>217</v>
      </c>
      <c r="J383" s="19">
        <v>2.4</v>
      </c>
      <c r="K383" s="19"/>
      <c r="L383" s="20">
        <f t="shared" si="20"/>
        <v>0</v>
      </c>
      <c r="HV383" s="2" t="s">
        <v>203</v>
      </c>
      <c r="HW383" s="2" t="s">
        <v>32</v>
      </c>
      <c r="IR383" s="21">
        <f>K383*0.488714499</f>
        <v>0</v>
      </c>
      <c r="IS383" s="21">
        <f>K383*(1-0.488714499)</f>
        <v>0</v>
      </c>
    </row>
    <row r="384" spans="1:253" x14ac:dyDescent="0.25">
      <c r="A384" s="18">
        <v>321</v>
      </c>
      <c r="B384" s="2" t="s">
        <v>303</v>
      </c>
      <c r="C384" s="2" t="s">
        <v>218</v>
      </c>
      <c r="D384" s="108" t="s">
        <v>219</v>
      </c>
      <c r="E384" s="102"/>
      <c r="F384" s="102"/>
      <c r="G384" s="102"/>
      <c r="H384" s="102"/>
      <c r="I384" s="2" t="s">
        <v>95</v>
      </c>
      <c r="J384" s="19">
        <v>0.8</v>
      </c>
      <c r="K384" s="19"/>
      <c r="L384" s="20">
        <f t="shared" si="20"/>
        <v>0</v>
      </c>
      <c r="HV384" s="2" t="s">
        <v>203</v>
      </c>
      <c r="HW384" s="2" t="s">
        <v>32</v>
      </c>
      <c r="IR384" s="21">
        <f>K384*0</f>
        <v>0</v>
      </c>
      <c r="IS384" s="21">
        <f>K384*(1-0)</f>
        <v>0</v>
      </c>
    </row>
    <row r="385" spans="1:253" x14ac:dyDescent="0.25">
      <c r="A385" s="14" t="s">
        <v>23</v>
      </c>
      <c r="B385" s="15" t="s">
        <v>303</v>
      </c>
      <c r="C385" s="15" t="s">
        <v>220</v>
      </c>
      <c r="D385" s="115" t="s">
        <v>221</v>
      </c>
      <c r="E385" s="116"/>
      <c r="F385" s="116"/>
      <c r="G385" s="116"/>
      <c r="H385" s="116"/>
      <c r="I385" s="15" t="s">
        <v>23</v>
      </c>
      <c r="J385" s="16" t="s">
        <v>23</v>
      </c>
      <c r="K385" s="16"/>
      <c r="L385" s="17">
        <f>SUM(L386:L386)</f>
        <v>0</v>
      </c>
    </row>
    <row r="386" spans="1:253" x14ac:dyDescent="0.25">
      <c r="A386" s="18">
        <v>322</v>
      </c>
      <c r="B386" s="2" t="s">
        <v>303</v>
      </c>
      <c r="C386" s="2" t="s">
        <v>222</v>
      </c>
      <c r="D386" s="108" t="s">
        <v>223</v>
      </c>
      <c r="E386" s="102"/>
      <c r="F386" s="102"/>
      <c r="G386" s="102"/>
      <c r="H386" s="102"/>
      <c r="I386" s="2" t="s">
        <v>62</v>
      </c>
      <c r="J386" s="19">
        <v>24</v>
      </c>
      <c r="K386" s="19"/>
      <c r="L386" s="20">
        <f>IR386*J386+IS386*J386</f>
        <v>0</v>
      </c>
      <c r="HV386" s="2" t="s">
        <v>220</v>
      </c>
      <c r="HW386" s="2" t="s">
        <v>32</v>
      </c>
      <c r="IR386" s="21">
        <f>K386*0.542372881</f>
        <v>0</v>
      </c>
      <c r="IS386" s="21">
        <f>K386*(1-0.542372881)</f>
        <v>0</v>
      </c>
    </row>
    <row r="387" spans="1:253" x14ac:dyDescent="0.25">
      <c r="A387" s="14" t="s">
        <v>23</v>
      </c>
      <c r="B387" s="15" t="s">
        <v>303</v>
      </c>
      <c r="C387" s="15" t="s">
        <v>224</v>
      </c>
      <c r="D387" s="115" t="s">
        <v>225</v>
      </c>
      <c r="E387" s="116"/>
      <c r="F387" s="116"/>
      <c r="G387" s="116"/>
      <c r="H387" s="116"/>
      <c r="I387" s="15" t="s">
        <v>23</v>
      </c>
      <c r="J387" s="16" t="s">
        <v>23</v>
      </c>
      <c r="K387" s="16"/>
      <c r="L387" s="17">
        <f>SUM(L388:L388)</f>
        <v>0</v>
      </c>
    </row>
    <row r="388" spans="1:253" x14ac:dyDescent="0.25">
      <c r="A388" s="18">
        <v>323</v>
      </c>
      <c r="B388" s="2" t="s">
        <v>303</v>
      </c>
      <c r="C388" s="2" t="s">
        <v>226</v>
      </c>
      <c r="D388" s="108" t="s">
        <v>227</v>
      </c>
      <c r="E388" s="102"/>
      <c r="F388" s="102"/>
      <c r="G388" s="102"/>
      <c r="H388" s="102"/>
      <c r="I388" s="2" t="s">
        <v>100</v>
      </c>
      <c r="J388" s="19">
        <v>24</v>
      </c>
      <c r="K388" s="19"/>
      <c r="L388" s="20">
        <f>IR388*J388+IS388*J388</f>
        <v>0</v>
      </c>
      <c r="HV388" s="2" t="s">
        <v>224</v>
      </c>
      <c r="HW388" s="2" t="s">
        <v>32</v>
      </c>
      <c r="IR388" s="21">
        <f>K388*0.5</f>
        <v>0</v>
      </c>
      <c r="IS388" s="21">
        <f>K388*(1-0.5)</f>
        <v>0</v>
      </c>
    </row>
    <row r="389" spans="1:253" x14ac:dyDescent="0.25">
      <c r="A389" s="14" t="s">
        <v>23</v>
      </c>
      <c r="B389" s="15" t="s">
        <v>303</v>
      </c>
      <c r="C389" s="15" t="s">
        <v>228</v>
      </c>
      <c r="D389" s="115" t="s">
        <v>229</v>
      </c>
      <c r="E389" s="116"/>
      <c r="F389" s="116"/>
      <c r="G389" s="116"/>
      <c r="H389" s="116"/>
      <c r="I389" s="15" t="s">
        <v>23</v>
      </c>
      <c r="J389" s="16" t="s">
        <v>23</v>
      </c>
      <c r="K389" s="16"/>
      <c r="L389" s="17">
        <f>SUM(L390:L393)</f>
        <v>0</v>
      </c>
    </row>
    <row r="390" spans="1:253" x14ac:dyDescent="0.25">
      <c r="A390" s="18">
        <v>324</v>
      </c>
      <c r="B390" s="2" t="s">
        <v>303</v>
      </c>
      <c r="C390" s="2" t="s">
        <v>230</v>
      </c>
      <c r="D390" s="108" t="s">
        <v>231</v>
      </c>
      <c r="E390" s="102"/>
      <c r="F390" s="102"/>
      <c r="G390" s="102"/>
      <c r="H390" s="102"/>
      <c r="I390" s="2" t="s">
        <v>232</v>
      </c>
      <c r="J390" s="19">
        <v>96</v>
      </c>
      <c r="K390" s="19"/>
      <c r="L390" s="20">
        <f>IR390*J390+IS390*J390</f>
        <v>0</v>
      </c>
      <c r="HV390" s="2" t="s">
        <v>228</v>
      </c>
      <c r="HW390" s="2" t="s">
        <v>32</v>
      </c>
      <c r="IR390" s="21">
        <f>K390*0.425441941</f>
        <v>0</v>
      </c>
      <c r="IS390" s="21">
        <f>K390*(1-0.425441941)</f>
        <v>0</v>
      </c>
    </row>
    <row r="391" spans="1:253" x14ac:dyDescent="0.25">
      <c r="A391" s="18">
        <v>325</v>
      </c>
      <c r="B391" s="2" t="s">
        <v>303</v>
      </c>
      <c r="C391" s="2" t="s">
        <v>237</v>
      </c>
      <c r="D391" s="108" t="s">
        <v>238</v>
      </c>
      <c r="E391" s="102"/>
      <c r="F391" s="102"/>
      <c r="G391" s="102"/>
      <c r="H391" s="102"/>
      <c r="I391" s="2" t="s">
        <v>51</v>
      </c>
      <c r="J391" s="19">
        <v>480</v>
      </c>
      <c r="K391" s="19"/>
      <c r="L391" s="20">
        <f>IR391*J391+IS391*J391</f>
        <v>0</v>
      </c>
      <c r="HV391" s="2" t="s">
        <v>228</v>
      </c>
      <c r="HW391" s="2" t="s">
        <v>32</v>
      </c>
      <c r="IR391" s="21">
        <f>K391*0</f>
        <v>0</v>
      </c>
      <c r="IS391" s="21">
        <f>K391*(1-0)</f>
        <v>0</v>
      </c>
    </row>
    <row r="392" spans="1:253" x14ac:dyDescent="0.25">
      <c r="A392" s="18">
        <v>326</v>
      </c>
      <c r="B392" s="2" t="s">
        <v>303</v>
      </c>
      <c r="C392" s="2" t="s">
        <v>233</v>
      </c>
      <c r="D392" s="108" t="s">
        <v>234</v>
      </c>
      <c r="E392" s="102"/>
      <c r="F392" s="102"/>
      <c r="G392" s="102"/>
      <c r="H392" s="102"/>
      <c r="I392" s="2" t="s">
        <v>62</v>
      </c>
      <c r="J392" s="19">
        <v>48</v>
      </c>
      <c r="K392" s="19"/>
      <c r="L392" s="20">
        <f>IR392*J392+IS392*J392</f>
        <v>0</v>
      </c>
      <c r="HV392" s="2" t="s">
        <v>228</v>
      </c>
      <c r="HW392" s="2" t="s">
        <v>194</v>
      </c>
      <c r="IR392" s="21">
        <f>K392*1</f>
        <v>0</v>
      </c>
      <c r="IS392" s="21">
        <f>K392*(1-1)</f>
        <v>0</v>
      </c>
    </row>
    <row r="393" spans="1:253" x14ac:dyDescent="0.25">
      <c r="A393" s="18">
        <v>327</v>
      </c>
      <c r="B393" s="2" t="s">
        <v>303</v>
      </c>
      <c r="C393" s="2" t="s">
        <v>235</v>
      </c>
      <c r="D393" s="108" t="s">
        <v>236</v>
      </c>
      <c r="E393" s="102"/>
      <c r="F393" s="102"/>
      <c r="G393" s="102"/>
      <c r="H393" s="102"/>
      <c r="I393" s="2" t="s">
        <v>62</v>
      </c>
      <c r="J393" s="19">
        <v>96</v>
      </c>
      <c r="K393" s="19"/>
      <c r="L393" s="20">
        <f>IR393*J393+IS393*J393</f>
        <v>0</v>
      </c>
      <c r="HV393" s="2" t="s">
        <v>228</v>
      </c>
      <c r="HW393" s="2" t="s">
        <v>194</v>
      </c>
      <c r="IR393" s="21">
        <f>K393*1</f>
        <v>0</v>
      </c>
      <c r="IS393" s="21">
        <f>K393*(1-1)</f>
        <v>0</v>
      </c>
    </row>
    <row r="394" spans="1:253" x14ac:dyDescent="0.25">
      <c r="A394" s="14" t="s">
        <v>23</v>
      </c>
      <c r="B394" s="15" t="s">
        <v>303</v>
      </c>
      <c r="C394" s="15" t="s">
        <v>239</v>
      </c>
      <c r="D394" s="115" t="s">
        <v>240</v>
      </c>
      <c r="E394" s="116"/>
      <c r="F394" s="116"/>
      <c r="G394" s="116"/>
      <c r="H394" s="116"/>
      <c r="I394" s="15" t="s">
        <v>23</v>
      </c>
      <c r="J394" s="16" t="s">
        <v>23</v>
      </c>
      <c r="K394" s="16"/>
      <c r="L394" s="17">
        <f>SUM(L395:L399)</f>
        <v>0</v>
      </c>
    </row>
    <row r="395" spans="1:253" x14ac:dyDescent="0.25">
      <c r="A395" s="18">
        <v>328</v>
      </c>
      <c r="B395" s="2" t="s">
        <v>303</v>
      </c>
      <c r="C395" s="2" t="s">
        <v>241</v>
      </c>
      <c r="D395" s="108" t="s">
        <v>242</v>
      </c>
      <c r="E395" s="102"/>
      <c r="F395" s="102"/>
      <c r="G395" s="102"/>
      <c r="H395" s="102"/>
      <c r="I395" s="2" t="s">
        <v>217</v>
      </c>
      <c r="J395" s="19">
        <v>44.4</v>
      </c>
      <c r="K395" s="19"/>
      <c r="L395" s="20">
        <f>IR395*J395+IS395*J395</f>
        <v>0</v>
      </c>
      <c r="HV395" s="2" t="s">
        <v>239</v>
      </c>
      <c r="HW395" s="2" t="s">
        <v>32</v>
      </c>
      <c r="IR395" s="21">
        <f>K395*0.447130435</f>
        <v>0</v>
      </c>
      <c r="IS395" s="21">
        <f>K395*(1-0.447130435)</f>
        <v>0</v>
      </c>
    </row>
    <row r="396" spans="1:253" x14ac:dyDescent="0.25">
      <c r="A396" s="18">
        <v>329</v>
      </c>
      <c r="B396" s="2" t="s">
        <v>303</v>
      </c>
      <c r="C396" s="2" t="s">
        <v>243</v>
      </c>
      <c r="D396" s="108" t="s">
        <v>244</v>
      </c>
      <c r="E396" s="102"/>
      <c r="F396" s="102"/>
      <c r="G396" s="102"/>
      <c r="H396" s="102"/>
      <c r="I396" s="2" t="s">
        <v>217</v>
      </c>
      <c r="J396" s="19">
        <v>44.4</v>
      </c>
      <c r="K396" s="19"/>
      <c r="L396" s="20">
        <f>IR396*J396+IS396*J396</f>
        <v>0</v>
      </c>
      <c r="HV396" s="2" t="s">
        <v>239</v>
      </c>
      <c r="HW396" s="2" t="s">
        <v>32</v>
      </c>
      <c r="IR396" s="21">
        <f>K396*0</f>
        <v>0</v>
      </c>
      <c r="IS396" s="21">
        <f>K396*(1-0)</f>
        <v>0</v>
      </c>
    </row>
    <row r="397" spans="1:253" x14ac:dyDescent="0.25">
      <c r="A397" s="18">
        <v>330</v>
      </c>
      <c r="B397" s="2" t="s">
        <v>303</v>
      </c>
      <c r="C397" s="2" t="s">
        <v>245</v>
      </c>
      <c r="D397" s="108" t="s">
        <v>246</v>
      </c>
      <c r="E397" s="102"/>
      <c r="F397" s="102"/>
      <c r="G397" s="102"/>
      <c r="H397" s="102"/>
      <c r="I397" s="2" t="s">
        <v>217</v>
      </c>
      <c r="J397" s="19">
        <v>46.6</v>
      </c>
      <c r="K397" s="19"/>
      <c r="L397" s="20">
        <f>IR397*J397+IS397*J397</f>
        <v>0</v>
      </c>
      <c r="HV397" s="2" t="s">
        <v>239</v>
      </c>
      <c r="HW397" s="2" t="s">
        <v>194</v>
      </c>
      <c r="IR397" s="21">
        <f>K397*1</f>
        <v>0</v>
      </c>
      <c r="IS397" s="21">
        <f>K397*(1-1)</f>
        <v>0</v>
      </c>
    </row>
    <row r="398" spans="1:253" x14ac:dyDescent="0.25">
      <c r="A398" s="18">
        <v>331</v>
      </c>
      <c r="B398" s="2" t="s">
        <v>303</v>
      </c>
      <c r="C398" s="2" t="s">
        <v>247</v>
      </c>
      <c r="D398" s="108" t="s">
        <v>248</v>
      </c>
      <c r="E398" s="102"/>
      <c r="F398" s="102"/>
      <c r="G398" s="102"/>
      <c r="H398" s="102"/>
      <c r="I398" s="2" t="s">
        <v>62</v>
      </c>
      <c r="J398" s="19">
        <v>240</v>
      </c>
      <c r="K398" s="19"/>
      <c r="L398" s="20">
        <f>IR398*J398+IS398*J398</f>
        <v>0</v>
      </c>
      <c r="HV398" s="2" t="s">
        <v>239</v>
      </c>
      <c r="HW398" s="2" t="s">
        <v>32</v>
      </c>
      <c r="IR398" s="21">
        <f>K398*0.283738739</f>
        <v>0</v>
      </c>
      <c r="IS398" s="21">
        <f>K398*(1-0.283738739)</f>
        <v>0</v>
      </c>
    </row>
    <row r="399" spans="1:253" x14ac:dyDescent="0.25">
      <c r="A399" s="18">
        <v>332</v>
      </c>
      <c r="B399" s="2" t="s">
        <v>303</v>
      </c>
      <c r="C399" s="2" t="s">
        <v>249</v>
      </c>
      <c r="D399" s="108" t="s">
        <v>250</v>
      </c>
      <c r="E399" s="102"/>
      <c r="F399" s="102"/>
      <c r="G399" s="102"/>
      <c r="H399" s="102"/>
      <c r="I399" s="2" t="s">
        <v>51</v>
      </c>
      <c r="J399" s="19">
        <v>1111</v>
      </c>
      <c r="K399" s="19"/>
      <c r="L399" s="20">
        <f>IR399*J399+IS399*J399</f>
        <v>0</v>
      </c>
      <c r="HV399" s="2" t="s">
        <v>239</v>
      </c>
      <c r="HW399" s="2" t="s">
        <v>32</v>
      </c>
      <c r="IR399" s="21">
        <f>K399*0</f>
        <v>0</v>
      </c>
      <c r="IS399" s="21">
        <f>K399*(1-0)</f>
        <v>0</v>
      </c>
    </row>
    <row r="400" spans="1:253" x14ac:dyDescent="0.25">
      <c r="A400" s="14" t="s">
        <v>23</v>
      </c>
      <c r="B400" s="15" t="s">
        <v>303</v>
      </c>
      <c r="C400" s="15" t="s">
        <v>251</v>
      </c>
      <c r="D400" s="115" t="s">
        <v>252</v>
      </c>
      <c r="E400" s="116"/>
      <c r="F400" s="116"/>
      <c r="G400" s="116"/>
      <c r="H400" s="116"/>
      <c r="I400" s="15" t="s">
        <v>23</v>
      </c>
      <c r="J400" s="16" t="s">
        <v>23</v>
      </c>
      <c r="K400" s="16"/>
      <c r="L400" s="17">
        <f>SUM(L401:L402)</f>
        <v>0</v>
      </c>
    </row>
    <row r="401" spans="1:253" x14ac:dyDescent="0.25">
      <c r="A401" s="18">
        <v>333</v>
      </c>
      <c r="B401" s="2" t="s">
        <v>303</v>
      </c>
      <c r="C401" s="2" t="s">
        <v>253</v>
      </c>
      <c r="D401" s="108" t="s">
        <v>254</v>
      </c>
      <c r="E401" s="102"/>
      <c r="F401" s="102"/>
      <c r="G401" s="102"/>
      <c r="H401" s="102"/>
      <c r="I401" s="2" t="s">
        <v>217</v>
      </c>
      <c r="J401" s="19">
        <v>8.4</v>
      </c>
      <c r="K401" s="19"/>
      <c r="L401" s="20">
        <f>IR401*J401+IS401*J401</f>
        <v>0</v>
      </c>
      <c r="HV401" s="2" t="s">
        <v>251</v>
      </c>
      <c r="HW401" s="2" t="s">
        <v>32</v>
      </c>
      <c r="IR401" s="21">
        <f>K401*0</f>
        <v>0</v>
      </c>
      <c r="IS401" s="21">
        <f>K401*(1-0)</f>
        <v>0</v>
      </c>
    </row>
    <row r="402" spans="1:253" x14ac:dyDescent="0.25">
      <c r="A402" s="18">
        <v>334</v>
      </c>
      <c r="B402" s="2" t="s">
        <v>303</v>
      </c>
      <c r="C402" s="2" t="s">
        <v>255</v>
      </c>
      <c r="D402" s="108" t="s">
        <v>256</v>
      </c>
      <c r="E402" s="102"/>
      <c r="F402" s="102"/>
      <c r="G402" s="102"/>
      <c r="H402" s="102"/>
      <c r="I402" s="2" t="s">
        <v>257</v>
      </c>
      <c r="J402" s="19">
        <v>17.7</v>
      </c>
      <c r="K402" s="19"/>
      <c r="L402" s="20">
        <f>IR402*J402+IS402*J402</f>
        <v>0</v>
      </c>
      <c r="HV402" s="2" t="s">
        <v>251</v>
      </c>
      <c r="HW402" s="2" t="s">
        <v>194</v>
      </c>
      <c r="IR402" s="21">
        <f>K402*1</f>
        <v>0</v>
      </c>
      <c r="IS402" s="21">
        <f>K402*(1-1)</f>
        <v>0</v>
      </c>
    </row>
    <row r="403" spans="1:253" x14ac:dyDescent="0.25">
      <c r="A403" s="14" t="s">
        <v>23</v>
      </c>
      <c r="B403" s="15" t="s">
        <v>303</v>
      </c>
      <c r="C403" s="15" t="s">
        <v>258</v>
      </c>
      <c r="D403" s="115" t="s">
        <v>259</v>
      </c>
      <c r="E403" s="116"/>
      <c r="F403" s="116"/>
      <c r="G403" s="116"/>
      <c r="H403" s="116"/>
      <c r="I403" s="15" t="s">
        <v>23</v>
      </c>
      <c r="J403" s="16" t="s">
        <v>23</v>
      </c>
      <c r="K403" s="16"/>
      <c r="L403" s="17">
        <f>SUM(L404:L404)</f>
        <v>0</v>
      </c>
    </row>
    <row r="404" spans="1:253" x14ac:dyDescent="0.25">
      <c r="A404" s="18">
        <v>335</v>
      </c>
      <c r="B404" s="2" t="s">
        <v>303</v>
      </c>
      <c r="C404" s="2" t="s">
        <v>260</v>
      </c>
      <c r="D404" s="108" t="s">
        <v>261</v>
      </c>
      <c r="E404" s="102"/>
      <c r="F404" s="102"/>
      <c r="G404" s="102"/>
      <c r="H404" s="102"/>
      <c r="I404" s="2" t="s">
        <v>217</v>
      </c>
      <c r="J404" s="19">
        <v>72</v>
      </c>
      <c r="K404" s="19"/>
      <c r="L404" s="20">
        <f>IR404*J404+IS404*J404</f>
        <v>0</v>
      </c>
      <c r="HV404" s="2" t="s">
        <v>258</v>
      </c>
      <c r="HW404" s="2" t="s">
        <v>32</v>
      </c>
      <c r="IR404" s="21">
        <f>K404*0.201505646</f>
        <v>0</v>
      </c>
      <c r="IS404" s="21">
        <f>K404*(1-0.201505646)</f>
        <v>0</v>
      </c>
    </row>
    <row r="405" spans="1:253" x14ac:dyDescent="0.25">
      <c r="A405" s="14" t="s">
        <v>23</v>
      </c>
      <c r="B405" s="15" t="s">
        <v>303</v>
      </c>
      <c r="C405" s="15" t="s">
        <v>262</v>
      </c>
      <c r="D405" s="115" t="s">
        <v>263</v>
      </c>
      <c r="E405" s="116"/>
      <c r="F405" s="116"/>
      <c r="G405" s="116"/>
      <c r="H405" s="116"/>
      <c r="I405" s="15" t="s">
        <v>23</v>
      </c>
      <c r="J405" s="16" t="s">
        <v>23</v>
      </c>
      <c r="K405" s="16"/>
      <c r="L405" s="17">
        <f>SUM(L406:L406)</f>
        <v>0</v>
      </c>
    </row>
    <row r="406" spans="1:253" x14ac:dyDescent="0.25">
      <c r="A406" s="18">
        <v>336</v>
      </c>
      <c r="B406" s="2" t="s">
        <v>303</v>
      </c>
      <c r="C406" s="2" t="s">
        <v>264</v>
      </c>
      <c r="D406" s="108" t="s">
        <v>265</v>
      </c>
      <c r="E406" s="102"/>
      <c r="F406" s="102"/>
      <c r="G406" s="102"/>
      <c r="H406" s="102"/>
      <c r="I406" s="2" t="s">
        <v>217</v>
      </c>
      <c r="J406" s="19">
        <v>990</v>
      </c>
      <c r="K406" s="19"/>
      <c r="L406" s="20">
        <f>IR406*J406+IS406*J406</f>
        <v>0</v>
      </c>
      <c r="HV406" s="2" t="s">
        <v>262</v>
      </c>
      <c r="HW406" s="2" t="s">
        <v>32</v>
      </c>
      <c r="IR406" s="21">
        <f>K406*0</f>
        <v>0</v>
      </c>
      <c r="IS406" s="21">
        <f>K406*(1-0)</f>
        <v>0</v>
      </c>
    </row>
    <row r="407" spans="1:253" x14ac:dyDescent="0.25">
      <c r="A407" s="14" t="s">
        <v>23</v>
      </c>
      <c r="B407" s="15" t="s">
        <v>303</v>
      </c>
      <c r="C407" s="15" t="s">
        <v>266</v>
      </c>
      <c r="D407" s="115" t="s">
        <v>267</v>
      </c>
      <c r="E407" s="116"/>
      <c r="F407" s="116"/>
      <c r="G407" s="116"/>
      <c r="H407" s="116"/>
      <c r="I407" s="15" t="s">
        <v>23</v>
      </c>
      <c r="J407" s="16" t="s">
        <v>23</v>
      </c>
      <c r="K407" s="16"/>
      <c r="L407" s="17">
        <f>SUM(L408:L408)</f>
        <v>0</v>
      </c>
    </row>
    <row r="408" spans="1:253" x14ac:dyDescent="0.25">
      <c r="A408" s="18">
        <v>337</v>
      </c>
      <c r="B408" s="2" t="s">
        <v>303</v>
      </c>
      <c r="C408" s="2" t="s">
        <v>268</v>
      </c>
      <c r="D408" s="108" t="s">
        <v>269</v>
      </c>
      <c r="E408" s="102"/>
      <c r="F408" s="102"/>
      <c r="G408" s="102"/>
      <c r="H408" s="102"/>
      <c r="I408" s="2" t="s">
        <v>217</v>
      </c>
      <c r="J408" s="19">
        <v>56.2</v>
      </c>
      <c r="K408" s="19"/>
      <c r="L408" s="20">
        <f>IR408*J408+IS408*J408</f>
        <v>0</v>
      </c>
      <c r="HV408" s="2" t="s">
        <v>266</v>
      </c>
      <c r="HW408" s="2" t="s">
        <v>32</v>
      </c>
      <c r="IR408" s="21">
        <f>K408*0.197058824</f>
        <v>0</v>
      </c>
      <c r="IS408" s="21">
        <f>K408*(1-0.197058824)</f>
        <v>0</v>
      </c>
    </row>
    <row r="409" spans="1:253" x14ac:dyDescent="0.25">
      <c r="A409" s="14" t="s">
        <v>23</v>
      </c>
      <c r="B409" s="15" t="s">
        <v>303</v>
      </c>
      <c r="C409" s="15" t="s">
        <v>270</v>
      </c>
      <c r="D409" s="115" t="s">
        <v>271</v>
      </c>
      <c r="E409" s="116"/>
      <c r="F409" s="116"/>
      <c r="G409" s="116"/>
      <c r="H409" s="116"/>
      <c r="I409" s="15" t="s">
        <v>23</v>
      </c>
      <c r="J409" s="16" t="s">
        <v>23</v>
      </c>
      <c r="K409" s="16"/>
      <c r="L409" s="17">
        <f>SUM(L410:L414)</f>
        <v>0</v>
      </c>
    </row>
    <row r="410" spans="1:253" x14ac:dyDescent="0.25">
      <c r="A410" s="18">
        <v>338</v>
      </c>
      <c r="B410" s="2" t="s">
        <v>303</v>
      </c>
      <c r="C410" s="2" t="s">
        <v>272</v>
      </c>
      <c r="D410" s="108" t="s">
        <v>273</v>
      </c>
      <c r="E410" s="102"/>
      <c r="F410" s="102"/>
      <c r="G410" s="102"/>
      <c r="H410" s="102"/>
      <c r="I410" s="2" t="s">
        <v>62</v>
      </c>
      <c r="J410" s="19">
        <v>24</v>
      </c>
      <c r="K410" s="19"/>
      <c r="L410" s="20">
        <f>IR410*J410+IS410*J410</f>
        <v>0</v>
      </c>
      <c r="HV410" s="2" t="s">
        <v>270</v>
      </c>
      <c r="HW410" s="2" t="s">
        <v>32</v>
      </c>
      <c r="IR410" s="21">
        <f>K410*0</f>
        <v>0</v>
      </c>
      <c r="IS410" s="21">
        <f>K410*(1-0)</f>
        <v>0</v>
      </c>
    </row>
    <row r="411" spans="1:253" x14ac:dyDescent="0.25">
      <c r="A411" s="18">
        <v>339</v>
      </c>
      <c r="B411" s="2" t="s">
        <v>303</v>
      </c>
      <c r="C411" s="2" t="s">
        <v>274</v>
      </c>
      <c r="D411" s="108" t="s">
        <v>275</v>
      </c>
      <c r="E411" s="102"/>
      <c r="F411" s="102"/>
      <c r="G411" s="102"/>
      <c r="H411" s="102"/>
      <c r="I411" s="2" t="s">
        <v>31</v>
      </c>
      <c r="J411" s="19">
        <v>2.2000000000000002</v>
      </c>
      <c r="K411" s="19"/>
      <c r="L411" s="20">
        <f>IR411*J411+IS411*J411</f>
        <v>0</v>
      </c>
      <c r="HV411" s="2" t="s">
        <v>270</v>
      </c>
      <c r="HW411" s="2" t="s">
        <v>32</v>
      </c>
      <c r="IR411" s="21">
        <f>K411*0.310686684</f>
        <v>0</v>
      </c>
      <c r="IS411" s="21">
        <f>K411*(1-0.310686684)</f>
        <v>0</v>
      </c>
    </row>
    <row r="412" spans="1:253" x14ac:dyDescent="0.25">
      <c r="A412" s="18">
        <v>340</v>
      </c>
      <c r="B412" s="2" t="s">
        <v>303</v>
      </c>
      <c r="C412" s="2" t="s">
        <v>276</v>
      </c>
      <c r="D412" s="108" t="s">
        <v>277</v>
      </c>
      <c r="E412" s="102"/>
      <c r="F412" s="102"/>
      <c r="G412" s="102"/>
      <c r="H412" s="102"/>
      <c r="I412" s="2" t="s">
        <v>31</v>
      </c>
      <c r="J412" s="19">
        <v>2.2000000000000002</v>
      </c>
      <c r="K412" s="19"/>
      <c r="L412" s="20">
        <f>IR412*J412+IS412*J412</f>
        <v>0</v>
      </c>
      <c r="HV412" s="2" t="s">
        <v>270</v>
      </c>
      <c r="HW412" s="2" t="s">
        <v>32</v>
      </c>
      <c r="IR412" s="21">
        <f>K412*0.170564632</f>
        <v>0</v>
      </c>
      <c r="IS412" s="21">
        <f>K412*(1-0.170564632)</f>
        <v>0</v>
      </c>
    </row>
    <row r="413" spans="1:253" x14ac:dyDescent="0.25">
      <c r="A413" s="18">
        <v>341</v>
      </c>
      <c r="B413" s="2" t="s">
        <v>303</v>
      </c>
      <c r="C413" s="2" t="s">
        <v>278</v>
      </c>
      <c r="D413" s="108" t="s">
        <v>279</v>
      </c>
      <c r="E413" s="102"/>
      <c r="F413" s="102"/>
      <c r="G413" s="102"/>
      <c r="H413" s="102"/>
      <c r="I413" s="2" t="s">
        <v>31</v>
      </c>
      <c r="J413" s="19">
        <v>2.2000000000000002</v>
      </c>
      <c r="K413" s="19"/>
      <c r="L413" s="20">
        <f>IR413*J413+IS413*J413</f>
        <v>0</v>
      </c>
      <c r="HV413" s="2" t="s">
        <v>270</v>
      </c>
      <c r="HW413" s="2" t="s">
        <v>32</v>
      </c>
      <c r="IR413" s="21">
        <f>K413*0</f>
        <v>0</v>
      </c>
      <c r="IS413" s="21">
        <f>K413*(1-0)</f>
        <v>0</v>
      </c>
    </row>
    <row r="414" spans="1:253" x14ac:dyDescent="0.25">
      <c r="A414" s="18">
        <v>342</v>
      </c>
      <c r="B414" s="2" t="s">
        <v>303</v>
      </c>
      <c r="C414" s="2" t="s">
        <v>280</v>
      </c>
      <c r="D414" s="108" t="s">
        <v>281</v>
      </c>
      <c r="E414" s="102"/>
      <c r="F414" s="102"/>
      <c r="G414" s="102"/>
      <c r="H414" s="102"/>
      <c r="I414" s="2" t="s">
        <v>31</v>
      </c>
      <c r="J414" s="19">
        <v>2.2000000000000002</v>
      </c>
      <c r="K414" s="19"/>
      <c r="L414" s="20">
        <f>IR414*J414+IS414*J414</f>
        <v>0</v>
      </c>
      <c r="HV414" s="2" t="s">
        <v>270</v>
      </c>
      <c r="HW414" s="2" t="s">
        <v>32</v>
      </c>
      <c r="IR414" s="21">
        <f>K414*0.075961165</f>
        <v>0</v>
      </c>
      <c r="IS414" s="21">
        <f>K414*(1-0.075961165)</f>
        <v>0</v>
      </c>
    </row>
    <row r="415" spans="1:253" x14ac:dyDescent="0.25">
      <c r="A415" s="14" t="s">
        <v>23</v>
      </c>
      <c r="B415" s="15" t="s">
        <v>303</v>
      </c>
      <c r="C415" s="15" t="s">
        <v>282</v>
      </c>
      <c r="D415" s="115" t="s">
        <v>283</v>
      </c>
      <c r="E415" s="116"/>
      <c r="F415" s="116"/>
      <c r="G415" s="116"/>
      <c r="H415" s="116"/>
      <c r="I415" s="15" t="s">
        <v>23</v>
      </c>
      <c r="J415" s="16" t="s">
        <v>23</v>
      </c>
      <c r="K415" s="16"/>
      <c r="L415" s="17">
        <f>SUM(L416:L423)</f>
        <v>0</v>
      </c>
    </row>
    <row r="416" spans="1:253" x14ac:dyDescent="0.25">
      <c r="A416" s="18">
        <v>343</v>
      </c>
      <c r="B416" s="2" t="s">
        <v>303</v>
      </c>
      <c r="C416" s="2" t="s">
        <v>284</v>
      </c>
      <c r="D416" s="108" t="s">
        <v>285</v>
      </c>
      <c r="E416" s="102"/>
      <c r="F416" s="102"/>
      <c r="G416" s="102"/>
      <c r="H416" s="102"/>
      <c r="I416" s="2" t="s">
        <v>286</v>
      </c>
      <c r="J416" s="19">
        <v>45</v>
      </c>
      <c r="K416" s="19"/>
      <c r="L416" s="20">
        <f t="shared" ref="L416:L423" si="21">IR416*J416+IS416*J416</f>
        <v>0</v>
      </c>
      <c r="HV416" s="2" t="s">
        <v>282</v>
      </c>
      <c r="HW416" s="2" t="s">
        <v>32</v>
      </c>
      <c r="IR416" s="21">
        <f t="shared" ref="IR416:IR423" si="22">K416*0</f>
        <v>0</v>
      </c>
      <c r="IS416" s="21">
        <f t="shared" ref="IS416:IS423" si="23">K416*(1-0)</f>
        <v>0</v>
      </c>
    </row>
    <row r="417" spans="1:253" x14ac:dyDescent="0.25">
      <c r="A417" s="18">
        <v>344</v>
      </c>
      <c r="B417" s="2" t="s">
        <v>303</v>
      </c>
      <c r="C417" s="2" t="s">
        <v>287</v>
      </c>
      <c r="D417" s="108" t="s">
        <v>288</v>
      </c>
      <c r="E417" s="102"/>
      <c r="F417" s="102"/>
      <c r="G417" s="102"/>
      <c r="H417" s="102"/>
      <c r="I417" s="2" t="s">
        <v>95</v>
      </c>
      <c r="J417" s="19">
        <v>2.1</v>
      </c>
      <c r="K417" s="19"/>
      <c r="L417" s="20">
        <f t="shared" si="21"/>
        <v>0</v>
      </c>
      <c r="HV417" s="2" t="s">
        <v>282</v>
      </c>
      <c r="HW417" s="2" t="s">
        <v>32</v>
      </c>
      <c r="IR417" s="21">
        <f t="shared" si="22"/>
        <v>0</v>
      </c>
      <c r="IS417" s="21">
        <f t="shared" si="23"/>
        <v>0</v>
      </c>
    </row>
    <row r="418" spans="1:253" x14ac:dyDescent="0.25">
      <c r="A418" s="18">
        <v>345</v>
      </c>
      <c r="B418" s="2" t="s">
        <v>303</v>
      </c>
      <c r="C418" s="2" t="s">
        <v>289</v>
      </c>
      <c r="D418" s="108" t="s">
        <v>290</v>
      </c>
      <c r="E418" s="102"/>
      <c r="F418" s="102"/>
      <c r="G418" s="102"/>
      <c r="H418" s="102"/>
      <c r="I418" s="2" t="s">
        <v>95</v>
      </c>
      <c r="J418" s="19">
        <v>6.2</v>
      </c>
      <c r="K418" s="19"/>
      <c r="L418" s="20">
        <f t="shared" si="21"/>
        <v>0</v>
      </c>
      <c r="HV418" s="2" t="s">
        <v>282</v>
      </c>
      <c r="HW418" s="2" t="s">
        <v>32</v>
      </c>
      <c r="IR418" s="21">
        <f t="shared" si="22"/>
        <v>0</v>
      </c>
      <c r="IS418" s="21">
        <f t="shared" si="23"/>
        <v>0</v>
      </c>
    </row>
    <row r="419" spans="1:253" x14ac:dyDescent="0.25">
      <c r="A419" s="18">
        <v>346</v>
      </c>
      <c r="B419" s="2" t="s">
        <v>303</v>
      </c>
      <c r="C419" s="2" t="s">
        <v>291</v>
      </c>
      <c r="D419" s="108" t="s">
        <v>292</v>
      </c>
      <c r="E419" s="102"/>
      <c r="F419" s="102"/>
      <c r="G419" s="102"/>
      <c r="H419" s="102"/>
      <c r="I419" s="2" t="s">
        <v>95</v>
      </c>
      <c r="J419" s="19">
        <v>8.3000000000000007</v>
      </c>
      <c r="K419" s="19"/>
      <c r="L419" s="20">
        <f t="shared" si="21"/>
        <v>0</v>
      </c>
      <c r="HV419" s="2" t="s">
        <v>282</v>
      </c>
      <c r="HW419" s="2" t="s">
        <v>32</v>
      </c>
      <c r="IR419" s="21">
        <f t="shared" si="22"/>
        <v>0</v>
      </c>
      <c r="IS419" s="21">
        <f t="shared" si="23"/>
        <v>0</v>
      </c>
    </row>
    <row r="420" spans="1:253" x14ac:dyDescent="0.25">
      <c r="A420" s="18">
        <v>347</v>
      </c>
      <c r="B420" s="2" t="s">
        <v>303</v>
      </c>
      <c r="C420" s="2" t="s">
        <v>293</v>
      </c>
      <c r="D420" s="108" t="s">
        <v>294</v>
      </c>
      <c r="E420" s="102"/>
      <c r="F420" s="102"/>
      <c r="G420" s="102"/>
      <c r="H420" s="102"/>
      <c r="I420" s="2" t="s">
        <v>95</v>
      </c>
      <c r="J420" s="19">
        <v>8.3000000000000007</v>
      </c>
      <c r="K420" s="19"/>
      <c r="L420" s="20">
        <f t="shared" si="21"/>
        <v>0</v>
      </c>
      <c r="HV420" s="2" t="s">
        <v>282</v>
      </c>
      <c r="HW420" s="2" t="s">
        <v>32</v>
      </c>
      <c r="IR420" s="21">
        <f t="shared" si="22"/>
        <v>0</v>
      </c>
      <c r="IS420" s="21">
        <f t="shared" si="23"/>
        <v>0</v>
      </c>
    </row>
    <row r="421" spans="1:253" x14ac:dyDescent="0.25">
      <c r="A421" s="18">
        <v>348</v>
      </c>
      <c r="B421" s="2" t="s">
        <v>303</v>
      </c>
      <c r="C421" s="2" t="s">
        <v>295</v>
      </c>
      <c r="D421" s="108" t="s">
        <v>296</v>
      </c>
      <c r="E421" s="102"/>
      <c r="F421" s="102"/>
      <c r="G421" s="102"/>
      <c r="H421" s="102"/>
      <c r="I421" s="2" t="s">
        <v>95</v>
      </c>
      <c r="J421" s="19">
        <v>8.3000000000000007</v>
      </c>
      <c r="K421" s="19"/>
      <c r="L421" s="20">
        <f t="shared" si="21"/>
        <v>0</v>
      </c>
      <c r="HV421" s="2" t="s">
        <v>282</v>
      </c>
      <c r="HW421" s="2" t="s">
        <v>32</v>
      </c>
      <c r="IR421" s="21">
        <f t="shared" si="22"/>
        <v>0</v>
      </c>
      <c r="IS421" s="21">
        <f t="shared" si="23"/>
        <v>0</v>
      </c>
    </row>
    <row r="422" spans="1:253" x14ac:dyDescent="0.25">
      <c r="A422" s="18">
        <v>349</v>
      </c>
      <c r="B422" s="2" t="s">
        <v>303</v>
      </c>
      <c r="C422" s="2" t="s">
        <v>297</v>
      </c>
      <c r="D422" s="108" t="s">
        <v>298</v>
      </c>
      <c r="E422" s="102"/>
      <c r="F422" s="102"/>
      <c r="G422" s="102"/>
      <c r="H422" s="102"/>
      <c r="I422" s="2" t="s">
        <v>95</v>
      </c>
      <c r="J422" s="19">
        <v>83</v>
      </c>
      <c r="K422" s="19"/>
      <c r="L422" s="20">
        <f t="shared" si="21"/>
        <v>0</v>
      </c>
      <c r="HV422" s="2" t="s">
        <v>282</v>
      </c>
      <c r="HW422" s="2" t="s">
        <v>32</v>
      </c>
      <c r="IR422" s="21">
        <f t="shared" si="22"/>
        <v>0</v>
      </c>
      <c r="IS422" s="21">
        <f t="shared" si="23"/>
        <v>0</v>
      </c>
    </row>
    <row r="423" spans="1:253" x14ac:dyDescent="0.25">
      <c r="A423" s="18">
        <v>350</v>
      </c>
      <c r="B423" s="2" t="s">
        <v>303</v>
      </c>
      <c r="C423" s="2" t="s">
        <v>299</v>
      </c>
      <c r="D423" s="108" t="s">
        <v>300</v>
      </c>
      <c r="E423" s="102"/>
      <c r="F423" s="102"/>
      <c r="G423" s="102"/>
      <c r="H423" s="102"/>
      <c r="I423" s="2" t="s">
        <v>95</v>
      </c>
      <c r="J423" s="19">
        <v>8.3000000000000007</v>
      </c>
      <c r="K423" s="19"/>
      <c r="L423" s="20">
        <f t="shared" si="21"/>
        <v>0</v>
      </c>
      <c r="HV423" s="2" t="s">
        <v>282</v>
      </c>
      <c r="HW423" s="2" t="s">
        <v>32</v>
      </c>
      <c r="IR423" s="21">
        <f t="shared" si="22"/>
        <v>0</v>
      </c>
      <c r="IS423" s="21">
        <f t="shared" si="23"/>
        <v>0</v>
      </c>
    </row>
    <row r="424" spans="1:253" x14ac:dyDescent="0.25">
      <c r="A424" s="14" t="s">
        <v>23</v>
      </c>
      <c r="B424" s="15" t="s">
        <v>305</v>
      </c>
      <c r="C424" s="15" t="s">
        <v>25</v>
      </c>
      <c r="D424" s="115" t="s">
        <v>306</v>
      </c>
      <c r="E424" s="116"/>
      <c r="F424" s="116"/>
      <c r="G424" s="116"/>
      <c r="H424" s="116"/>
      <c r="I424" s="15" t="s">
        <v>23</v>
      </c>
      <c r="J424" s="16" t="s">
        <v>23</v>
      </c>
      <c r="K424" s="16"/>
      <c r="L424" s="17">
        <f>L426+L428+L431</f>
        <v>0</v>
      </c>
    </row>
    <row r="425" spans="1:253" x14ac:dyDescent="0.25">
      <c r="A425" s="14" t="s">
        <v>23</v>
      </c>
      <c r="B425" s="15" t="s">
        <v>305</v>
      </c>
      <c r="C425" s="15" t="s">
        <v>307</v>
      </c>
      <c r="D425" s="115" t="s">
        <v>308</v>
      </c>
      <c r="E425" s="116"/>
      <c r="F425" s="116"/>
      <c r="G425" s="116"/>
      <c r="H425" s="116"/>
      <c r="I425" s="15" t="s">
        <v>23</v>
      </c>
      <c r="J425" s="16" t="s">
        <v>23</v>
      </c>
      <c r="K425" s="16"/>
      <c r="L425" s="17">
        <f>L426+L428+L431</f>
        <v>0</v>
      </c>
    </row>
    <row r="426" spans="1:253" x14ac:dyDescent="0.25">
      <c r="A426" s="14" t="s">
        <v>23</v>
      </c>
      <c r="B426" s="15" t="s">
        <v>305</v>
      </c>
      <c r="C426" s="15" t="s">
        <v>309</v>
      </c>
      <c r="D426" s="115" t="s">
        <v>310</v>
      </c>
      <c r="E426" s="116"/>
      <c r="F426" s="116"/>
      <c r="G426" s="116"/>
      <c r="H426" s="116"/>
      <c r="I426" s="15" t="s">
        <v>23</v>
      </c>
      <c r="J426" s="16" t="s">
        <v>23</v>
      </c>
      <c r="K426" s="16"/>
      <c r="L426" s="17">
        <f>SUM(L427:L427)</f>
        <v>0</v>
      </c>
    </row>
    <row r="427" spans="1:253" x14ac:dyDescent="0.25">
      <c r="A427" s="18">
        <v>351</v>
      </c>
      <c r="B427" s="2" t="s">
        <v>305</v>
      </c>
      <c r="C427" s="2" t="s">
        <v>311</v>
      </c>
      <c r="D427" s="108" t="s">
        <v>312</v>
      </c>
      <c r="E427" s="102"/>
      <c r="F427" s="102"/>
      <c r="G427" s="102"/>
      <c r="H427" s="102"/>
      <c r="I427" s="2" t="s">
        <v>313</v>
      </c>
      <c r="J427" s="19">
        <v>24</v>
      </c>
      <c r="K427" s="19"/>
      <c r="L427" s="20">
        <f>IR427*J427+IS427*J427</f>
        <v>0</v>
      </c>
      <c r="HV427" s="2" t="s">
        <v>309</v>
      </c>
      <c r="HW427" s="2" t="s">
        <v>32</v>
      </c>
      <c r="IR427" s="21">
        <f>K427*0</f>
        <v>0</v>
      </c>
      <c r="IS427" s="21">
        <f>K427*(1-0)</f>
        <v>0</v>
      </c>
    </row>
    <row r="428" spans="1:253" x14ac:dyDescent="0.25">
      <c r="A428" s="14" t="s">
        <v>23</v>
      </c>
      <c r="B428" s="15" t="s">
        <v>305</v>
      </c>
      <c r="C428" s="15" t="s">
        <v>314</v>
      </c>
      <c r="D428" s="115" t="s">
        <v>315</v>
      </c>
      <c r="E428" s="116"/>
      <c r="F428" s="116"/>
      <c r="G428" s="116"/>
      <c r="H428" s="116"/>
      <c r="I428" s="15" t="s">
        <v>23</v>
      </c>
      <c r="J428" s="16" t="s">
        <v>23</v>
      </c>
      <c r="K428" s="16"/>
      <c r="L428" s="17">
        <f>SUM(L429:L430)</f>
        <v>0</v>
      </c>
    </row>
    <row r="429" spans="1:253" x14ac:dyDescent="0.25">
      <c r="A429" s="18">
        <v>352</v>
      </c>
      <c r="B429" s="2" t="s">
        <v>305</v>
      </c>
      <c r="C429" s="2" t="s">
        <v>316</v>
      </c>
      <c r="D429" s="108" t="s">
        <v>315</v>
      </c>
      <c r="E429" s="102"/>
      <c r="F429" s="102"/>
      <c r="G429" s="102"/>
      <c r="H429" s="102"/>
      <c r="I429" s="2" t="s">
        <v>317</v>
      </c>
      <c r="J429" s="19">
        <v>1</v>
      </c>
      <c r="K429" s="19"/>
      <c r="L429" s="20">
        <f>IR429*J429+IS429*J429</f>
        <v>0</v>
      </c>
      <c r="HV429" s="2" t="s">
        <v>314</v>
      </c>
      <c r="HW429" s="2" t="s">
        <v>32</v>
      </c>
      <c r="IR429" s="21">
        <f>K429*0</f>
        <v>0</v>
      </c>
      <c r="IS429" s="21">
        <f>K429*(1-0)</f>
        <v>0</v>
      </c>
    </row>
    <row r="430" spans="1:253" x14ac:dyDescent="0.25">
      <c r="A430" s="18">
        <v>353</v>
      </c>
      <c r="B430" s="2" t="s">
        <v>305</v>
      </c>
      <c r="C430" s="2" t="s">
        <v>318</v>
      </c>
      <c r="D430" s="108" t="s">
        <v>319</v>
      </c>
      <c r="E430" s="102"/>
      <c r="F430" s="102"/>
      <c r="G430" s="102"/>
      <c r="H430" s="102"/>
      <c r="I430" s="2" t="s">
        <v>317</v>
      </c>
      <c r="J430" s="19">
        <v>1</v>
      </c>
      <c r="K430" s="19"/>
      <c r="L430" s="20">
        <f>IR430*J430+IS430*J430</f>
        <v>0</v>
      </c>
      <c r="HV430" s="2" t="s">
        <v>314</v>
      </c>
      <c r="HW430" s="2" t="s">
        <v>32</v>
      </c>
      <c r="IR430" s="21">
        <f>K430*0</f>
        <v>0</v>
      </c>
      <c r="IS430" s="21">
        <f>K430*(1-0)</f>
        <v>0</v>
      </c>
    </row>
    <row r="431" spans="1:253" x14ac:dyDescent="0.25">
      <c r="A431" s="14" t="s">
        <v>23</v>
      </c>
      <c r="B431" s="15" t="s">
        <v>305</v>
      </c>
      <c r="C431" s="15" t="s">
        <v>320</v>
      </c>
      <c r="D431" s="115" t="s">
        <v>321</v>
      </c>
      <c r="E431" s="116"/>
      <c r="F431" s="116"/>
      <c r="G431" s="116"/>
      <c r="H431" s="116"/>
      <c r="I431" s="15" t="s">
        <v>23</v>
      </c>
      <c r="J431" s="16" t="s">
        <v>23</v>
      </c>
      <c r="K431" s="16"/>
      <c r="L431" s="17">
        <f>SUM(L432:L432)</f>
        <v>0</v>
      </c>
    </row>
    <row r="432" spans="1:253" x14ac:dyDescent="0.25">
      <c r="A432" s="18">
        <v>354</v>
      </c>
      <c r="B432" s="2" t="s">
        <v>305</v>
      </c>
      <c r="C432" s="2" t="s">
        <v>322</v>
      </c>
      <c r="D432" s="108" t="s">
        <v>321</v>
      </c>
      <c r="E432" s="102"/>
      <c r="F432" s="102"/>
      <c r="G432" s="102"/>
      <c r="H432" s="102"/>
      <c r="I432" s="2" t="s">
        <v>317</v>
      </c>
      <c r="J432" s="19">
        <v>1</v>
      </c>
      <c r="K432" s="19"/>
      <c r="L432" s="20">
        <f>IR432*J432+IS432*J432</f>
        <v>0</v>
      </c>
      <c r="HV432" s="2" t="s">
        <v>320</v>
      </c>
      <c r="HW432" s="2" t="s">
        <v>32</v>
      </c>
      <c r="IR432" s="21">
        <f>K432*0</f>
        <v>0</v>
      </c>
      <c r="IS432" s="21">
        <f>K432*(1-0)</f>
        <v>0</v>
      </c>
    </row>
    <row r="433" spans="1:253" x14ac:dyDescent="0.25">
      <c r="A433" s="14" t="s">
        <v>23</v>
      </c>
      <c r="B433" s="15" t="s">
        <v>323</v>
      </c>
      <c r="C433" s="15" t="s">
        <v>25</v>
      </c>
      <c r="D433" s="115" t="s">
        <v>324</v>
      </c>
      <c r="E433" s="116"/>
      <c r="F433" s="116"/>
      <c r="G433" s="116"/>
      <c r="H433" s="116"/>
      <c r="I433" s="15" t="s">
        <v>23</v>
      </c>
      <c r="J433" s="16" t="s">
        <v>23</v>
      </c>
      <c r="K433" s="16"/>
      <c r="L433" s="17">
        <f>L435+L437+L440</f>
        <v>0</v>
      </c>
    </row>
    <row r="434" spans="1:253" x14ac:dyDescent="0.25">
      <c r="A434" s="14" t="s">
        <v>23</v>
      </c>
      <c r="B434" s="15" t="s">
        <v>323</v>
      </c>
      <c r="C434" s="15" t="s">
        <v>307</v>
      </c>
      <c r="D434" s="115" t="s">
        <v>308</v>
      </c>
      <c r="E434" s="116"/>
      <c r="F434" s="116"/>
      <c r="G434" s="116"/>
      <c r="H434" s="116"/>
      <c r="I434" s="15" t="s">
        <v>23</v>
      </c>
      <c r="J434" s="16" t="s">
        <v>23</v>
      </c>
      <c r="K434" s="16"/>
      <c r="L434" s="17">
        <f>L426+L428+L431+L435+L437+L440</f>
        <v>0</v>
      </c>
    </row>
    <row r="435" spans="1:253" x14ac:dyDescent="0.25">
      <c r="A435" s="14" t="s">
        <v>23</v>
      </c>
      <c r="B435" s="15" t="s">
        <v>323</v>
      </c>
      <c r="C435" s="15" t="s">
        <v>309</v>
      </c>
      <c r="D435" s="115" t="s">
        <v>310</v>
      </c>
      <c r="E435" s="116"/>
      <c r="F435" s="116"/>
      <c r="G435" s="116"/>
      <c r="H435" s="116"/>
      <c r="I435" s="15" t="s">
        <v>23</v>
      </c>
      <c r="J435" s="16" t="s">
        <v>23</v>
      </c>
      <c r="K435" s="16"/>
      <c r="L435" s="17">
        <f>SUM(L436:L436)</f>
        <v>0</v>
      </c>
    </row>
    <row r="436" spans="1:253" x14ac:dyDescent="0.25">
      <c r="A436" s="18">
        <v>355</v>
      </c>
      <c r="B436" s="2" t="s">
        <v>323</v>
      </c>
      <c r="C436" s="2" t="s">
        <v>311</v>
      </c>
      <c r="D436" s="108" t="s">
        <v>312</v>
      </c>
      <c r="E436" s="102"/>
      <c r="F436" s="102"/>
      <c r="G436" s="102"/>
      <c r="H436" s="102"/>
      <c r="I436" s="2" t="s">
        <v>313</v>
      </c>
      <c r="J436" s="19">
        <v>24</v>
      </c>
      <c r="K436" s="19"/>
      <c r="L436" s="20">
        <f>IR436*J436+IS436*J436</f>
        <v>0</v>
      </c>
      <c r="HV436" s="2" t="s">
        <v>309</v>
      </c>
      <c r="HW436" s="2" t="s">
        <v>32</v>
      </c>
      <c r="IR436" s="21">
        <f>K436*0</f>
        <v>0</v>
      </c>
      <c r="IS436" s="21">
        <f>K436*(1-0)</f>
        <v>0</v>
      </c>
    </row>
    <row r="437" spans="1:253" x14ac:dyDescent="0.25">
      <c r="A437" s="14" t="s">
        <v>23</v>
      </c>
      <c r="B437" s="15" t="s">
        <v>323</v>
      </c>
      <c r="C437" s="15" t="s">
        <v>314</v>
      </c>
      <c r="D437" s="115" t="s">
        <v>315</v>
      </c>
      <c r="E437" s="116"/>
      <c r="F437" s="116"/>
      <c r="G437" s="116"/>
      <c r="H437" s="116"/>
      <c r="I437" s="15" t="s">
        <v>23</v>
      </c>
      <c r="J437" s="16" t="s">
        <v>23</v>
      </c>
      <c r="K437" s="16"/>
      <c r="L437" s="17">
        <f>SUM(L438:L439)</f>
        <v>0</v>
      </c>
    </row>
    <row r="438" spans="1:253" x14ac:dyDescent="0.25">
      <c r="A438" s="18">
        <v>356</v>
      </c>
      <c r="B438" s="2" t="s">
        <v>323</v>
      </c>
      <c r="C438" s="2" t="s">
        <v>316</v>
      </c>
      <c r="D438" s="108" t="s">
        <v>315</v>
      </c>
      <c r="E438" s="102"/>
      <c r="F438" s="102"/>
      <c r="G438" s="102"/>
      <c r="H438" s="102"/>
      <c r="I438" s="2" t="s">
        <v>317</v>
      </c>
      <c r="J438" s="19">
        <v>1</v>
      </c>
      <c r="K438" s="19"/>
      <c r="L438" s="20">
        <f>IR438*J438+IS438*J438</f>
        <v>0</v>
      </c>
      <c r="HV438" s="2" t="s">
        <v>314</v>
      </c>
      <c r="HW438" s="2" t="s">
        <v>32</v>
      </c>
      <c r="IR438" s="21">
        <f>K438*0</f>
        <v>0</v>
      </c>
      <c r="IS438" s="21">
        <f>K438*(1-0)</f>
        <v>0</v>
      </c>
    </row>
    <row r="439" spans="1:253" x14ac:dyDescent="0.25">
      <c r="A439" s="18">
        <v>357</v>
      </c>
      <c r="B439" s="2" t="s">
        <v>323</v>
      </c>
      <c r="C439" s="2" t="s">
        <v>318</v>
      </c>
      <c r="D439" s="108" t="s">
        <v>319</v>
      </c>
      <c r="E439" s="102"/>
      <c r="F439" s="102"/>
      <c r="G439" s="102"/>
      <c r="H439" s="102"/>
      <c r="I439" s="2" t="s">
        <v>317</v>
      </c>
      <c r="J439" s="19">
        <v>1</v>
      </c>
      <c r="K439" s="19"/>
      <c r="L439" s="20">
        <f>IR439*J439+IS439*J439</f>
        <v>0</v>
      </c>
      <c r="HV439" s="2" t="s">
        <v>314</v>
      </c>
      <c r="HW439" s="2" t="s">
        <v>32</v>
      </c>
      <c r="IR439" s="21">
        <f>K439*0</f>
        <v>0</v>
      </c>
      <c r="IS439" s="21">
        <f>K439*(1-0)</f>
        <v>0</v>
      </c>
    </row>
    <row r="440" spans="1:253" x14ac:dyDescent="0.25">
      <c r="A440" s="14" t="s">
        <v>23</v>
      </c>
      <c r="B440" s="15" t="s">
        <v>323</v>
      </c>
      <c r="C440" s="15" t="s">
        <v>320</v>
      </c>
      <c r="D440" s="115" t="s">
        <v>321</v>
      </c>
      <c r="E440" s="116"/>
      <c r="F440" s="116"/>
      <c r="G440" s="116"/>
      <c r="H440" s="116"/>
      <c r="I440" s="15" t="s">
        <v>23</v>
      </c>
      <c r="J440" s="16" t="s">
        <v>23</v>
      </c>
      <c r="K440" s="16"/>
      <c r="L440" s="17">
        <f>SUM(L441:L441)</f>
        <v>0</v>
      </c>
    </row>
    <row r="441" spans="1:253" x14ac:dyDescent="0.25">
      <c r="A441" s="18">
        <v>358</v>
      </c>
      <c r="B441" s="2" t="s">
        <v>323</v>
      </c>
      <c r="C441" s="2" t="s">
        <v>322</v>
      </c>
      <c r="D441" s="108" t="s">
        <v>321</v>
      </c>
      <c r="E441" s="102"/>
      <c r="F441" s="102"/>
      <c r="G441" s="102"/>
      <c r="H441" s="102"/>
      <c r="I441" s="2" t="s">
        <v>317</v>
      </c>
      <c r="J441" s="19">
        <v>1</v>
      </c>
      <c r="K441" s="19"/>
      <c r="L441" s="20">
        <f>IR441*J441+IS441*J441</f>
        <v>0</v>
      </c>
      <c r="HV441" s="2" t="s">
        <v>320</v>
      </c>
      <c r="HW441" s="2" t="s">
        <v>32</v>
      </c>
      <c r="IR441" s="21">
        <f>K441*0</f>
        <v>0</v>
      </c>
      <c r="IS441" s="21">
        <f>K441*(1-0)</f>
        <v>0</v>
      </c>
    </row>
    <row r="442" spans="1:253" x14ac:dyDescent="0.25">
      <c r="A442" s="14" t="s">
        <v>23</v>
      </c>
      <c r="B442" s="15" t="s">
        <v>325</v>
      </c>
      <c r="C442" s="15" t="s">
        <v>25</v>
      </c>
      <c r="D442" s="115" t="s">
        <v>326</v>
      </c>
      <c r="E442" s="116"/>
      <c r="F442" s="116"/>
      <c r="G442" s="116"/>
      <c r="H442" s="116"/>
      <c r="I442" s="15" t="s">
        <v>23</v>
      </c>
      <c r="J442" s="16" t="s">
        <v>23</v>
      </c>
      <c r="K442" s="16"/>
      <c r="L442" s="17">
        <f>L444+L446+L449</f>
        <v>0</v>
      </c>
    </row>
    <row r="443" spans="1:253" x14ac:dyDescent="0.25">
      <c r="A443" s="14" t="s">
        <v>23</v>
      </c>
      <c r="B443" s="15" t="s">
        <v>325</v>
      </c>
      <c r="C443" s="15" t="s">
        <v>307</v>
      </c>
      <c r="D443" s="115" t="s">
        <v>308</v>
      </c>
      <c r="E443" s="116"/>
      <c r="F443" s="116"/>
      <c r="G443" s="116"/>
      <c r="H443" s="116"/>
      <c r="I443" s="15" t="s">
        <v>23</v>
      </c>
      <c r="J443" s="16" t="s">
        <v>23</v>
      </c>
      <c r="K443" s="16"/>
      <c r="L443" s="17">
        <f>L426+L428+L431+L435+L437+L440+L444+L446+L449</f>
        <v>0</v>
      </c>
    </row>
    <row r="444" spans="1:253" x14ac:dyDescent="0.25">
      <c r="A444" s="14" t="s">
        <v>23</v>
      </c>
      <c r="B444" s="15" t="s">
        <v>325</v>
      </c>
      <c r="C444" s="15" t="s">
        <v>309</v>
      </c>
      <c r="D444" s="115" t="s">
        <v>310</v>
      </c>
      <c r="E444" s="116"/>
      <c r="F444" s="116"/>
      <c r="G444" s="116"/>
      <c r="H444" s="116"/>
      <c r="I444" s="15" t="s">
        <v>23</v>
      </c>
      <c r="J444" s="16" t="s">
        <v>23</v>
      </c>
      <c r="K444" s="16"/>
      <c r="L444" s="17">
        <f>SUM(L445:L445)</f>
        <v>0</v>
      </c>
    </row>
    <row r="445" spans="1:253" x14ac:dyDescent="0.25">
      <c r="A445" s="18">
        <v>359</v>
      </c>
      <c r="B445" s="2" t="s">
        <v>325</v>
      </c>
      <c r="C445" s="2" t="s">
        <v>311</v>
      </c>
      <c r="D445" s="108" t="s">
        <v>312</v>
      </c>
      <c r="E445" s="102"/>
      <c r="F445" s="102"/>
      <c r="G445" s="102"/>
      <c r="H445" s="102"/>
      <c r="I445" s="2" t="s">
        <v>313</v>
      </c>
      <c r="J445" s="19">
        <v>24</v>
      </c>
      <c r="K445" s="19"/>
      <c r="L445" s="20">
        <f>IR445*J445+IS445*J445</f>
        <v>0</v>
      </c>
      <c r="HV445" s="2" t="s">
        <v>309</v>
      </c>
      <c r="HW445" s="2" t="s">
        <v>32</v>
      </c>
      <c r="IR445" s="21">
        <f>K445*0</f>
        <v>0</v>
      </c>
      <c r="IS445" s="21">
        <f>K445*(1-0)</f>
        <v>0</v>
      </c>
    </row>
    <row r="446" spans="1:253" x14ac:dyDescent="0.25">
      <c r="A446" s="14" t="s">
        <v>23</v>
      </c>
      <c r="B446" s="15" t="s">
        <v>325</v>
      </c>
      <c r="C446" s="15" t="s">
        <v>314</v>
      </c>
      <c r="D446" s="115" t="s">
        <v>315</v>
      </c>
      <c r="E446" s="116"/>
      <c r="F446" s="116"/>
      <c r="G446" s="116"/>
      <c r="H446" s="116"/>
      <c r="I446" s="15" t="s">
        <v>23</v>
      </c>
      <c r="J446" s="16" t="s">
        <v>23</v>
      </c>
      <c r="K446" s="16"/>
      <c r="L446" s="17">
        <f>SUM(L447:L448)</f>
        <v>0</v>
      </c>
    </row>
    <row r="447" spans="1:253" x14ac:dyDescent="0.25">
      <c r="A447" s="18">
        <v>360</v>
      </c>
      <c r="B447" s="2" t="s">
        <v>325</v>
      </c>
      <c r="C447" s="2" t="s">
        <v>316</v>
      </c>
      <c r="D447" s="108" t="s">
        <v>315</v>
      </c>
      <c r="E447" s="102"/>
      <c r="F447" s="102"/>
      <c r="G447" s="102"/>
      <c r="H447" s="102"/>
      <c r="I447" s="2" t="s">
        <v>317</v>
      </c>
      <c r="J447" s="19">
        <v>1</v>
      </c>
      <c r="K447" s="19"/>
      <c r="L447" s="20">
        <f>IR447*J447+IS447*J447</f>
        <v>0</v>
      </c>
      <c r="HV447" s="2" t="s">
        <v>314</v>
      </c>
      <c r="HW447" s="2" t="s">
        <v>32</v>
      </c>
      <c r="IR447" s="21">
        <f>K447*0</f>
        <v>0</v>
      </c>
      <c r="IS447" s="21">
        <f>K447*(1-0)</f>
        <v>0</v>
      </c>
    </row>
    <row r="448" spans="1:253" x14ac:dyDescent="0.25">
      <c r="A448" s="18">
        <v>361</v>
      </c>
      <c r="B448" s="2" t="s">
        <v>325</v>
      </c>
      <c r="C448" s="2" t="s">
        <v>318</v>
      </c>
      <c r="D448" s="108" t="s">
        <v>319</v>
      </c>
      <c r="E448" s="102"/>
      <c r="F448" s="102"/>
      <c r="G448" s="102"/>
      <c r="H448" s="102"/>
      <c r="I448" s="2" t="s">
        <v>317</v>
      </c>
      <c r="J448" s="19">
        <v>1</v>
      </c>
      <c r="K448" s="19"/>
      <c r="L448" s="20">
        <f>IR448*J448+IS448*J448</f>
        <v>0</v>
      </c>
      <c r="HV448" s="2" t="s">
        <v>314</v>
      </c>
      <c r="HW448" s="2" t="s">
        <v>32</v>
      </c>
      <c r="IR448" s="21">
        <f>K448*0</f>
        <v>0</v>
      </c>
      <c r="IS448" s="21">
        <f>K448*(1-0)</f>
        <v>0</v>
      </c>
    </row>
    <row r="449" spans="1:253" x14ac:dyDescent="0.25">
      <c r="A449" s="14" t="s">
        <v>23</v>
      </c>
      <c r="B449" s="15" t="s">
        <v>325</v>
      </c>
      <c r="C449" s="15" t="s">
        <v>320</v>
      </c>
      <c r="D449" s="115" t="s">
        <v>321</v>
      </c>
      <c r="E449" s="116"/>
      <c r="F449" s="116"/>
      <c r="G449" s="116"/>
      <c r="H449" s="116"/>
      <c r="I449" s="15" t="s">
        <v>23</v>
      </c>
      <c r="J449" s="16" t="s">
        <v>23</v>
      </c>
      <c r="K449" s="16"/>
      <c r="L449" s="17">
        <f>SUM(L450:L450)</f>
        <v>0</v>
      </c>
    </row>
    <row r="450" spans="1:253" x14ac:dyDescent="0.25">
      <c r="A450" s="22">
        <v>362</v>
      </c>
      <c r="B450" s="6" t="s">
        <v>325</v>
      </c>
      <c r="C450" s="6" t="s">
        <v>322</v>
      </c>
      <c r="D450" s="117" t="s">
        <v>321</v>
      </c>
      <c r="E450" s="105"/>
      <c r="F450" s="105"/>
      <c r="G450" s="105"/>
      <c r="H450" s="105"/>
      <c r="I450" s="6" t="s">
        <v>317</v>
      </c>
      <c r="J450" s="23">
        <v>1</v>
      </c>
      <c r="K450" s="23"/>
      <c r="L450" s="24">
        <f>IR450*J450+IS450*J450</f>
        <v>0</v>
      </c>
      <c r="HV450" s="2" t="s">
        <v>320</v>
      </c>
      <c r="HW450" s="2" t="s">
        <v>32</v>
      </c>
      <c r="IR450" s="21">
        <f>K450*0</f>
        <v>0</v>
      </c>
      <c r="IS450" s="21">
        <f>K450*(1-0)</f>
        <v>0</v>
      </c>
    </row>
    <row r="452" spans="1:253" x14ac:dyDescent="0.25">
      <c r="K452" s="3" t="s">
        <v>327</v>
      </c>
      <c r="L452" s="25">
        <f>ROUND(L12+L24+L36+L48+L76+L81+L109+L114+L142+L147+L176+L207+L236+L251+L266+L281+L289+L291+L293+L298+L304+L307+L309+L311+L313+L319+L329+L337+L339+L341+L346+L352+L355+L357+L359+L361+L367+L377+L385+L387+L389+L394+L400+L403+L405+L407+L409+L415+L426+L428+L431+L435+L437+L440+L444+L446+L449,0)</f>
        <v>0</v>
      </c>
    </row>
  </sheetData>
  <mergeCells count="466">
    <mergeCell ref="D447:H447"/>
    <mergeCell ref="D448:H448"/>
    <mergeCell ref="D449:H449"/>
    <mergeCell ref="D450:H450"/>
    <mergeCell ref="D442:H442"/>
    <mergeCell ref="D443:H443"/>
    <mergeCell ref="D444:H444"/>
    <mergeCell ref="D445:H445"/>
    <mergeCell ref="D446:H446"/>
    <mergeCell ref="D437:H437"/>
    <mergeCell ref="D438:H438"/>
    <mergeCell ref="D439:H439"/>
    <mergeCell ref="D440:H440"/>
    <mergeCell ref="D441:H441"/>
    <mergeCell ref="D432:H432"/>
    <mergeCell ref="D433:H433"/>
    <mergeCell ref="D434:H434"/>
    <mergeCell ref="D435:H435"/>
    <mergeCell ref="D436:H436"/>
    <mergeCell ref="D427:H427"/>
    <mergeCell ref="D428:H428"/>
    <mergeCell ref="D429:H429"/>
    <mergeCell ref="D430:H430"/>
    <mergeCell ref="D431:H431"/>
    <mergeCell ref="D422:H422"/>
    <mergeCell ref="D423:H423"/>
    <mergeCell ref="D424:H424"/>
    <mergeCell ref="D425:H425"/>
    <mergeCell ref="D426:H426"/>
    <mergeCell ref="D417:H417"/>
    <mergeCell ref="D418:H418"/>
    <mergeCell ref="D419:H419"/>
    <mergeCell ref="D420:H420"/>
    <mergeCell ref="D421:H421"/>
    <mergeCell ref="D412:H412"/>
    <mergeCell ref="D413:H413"/>
    <mergeCell ref="D414:H414"/>
    <mergeCell ref="D415:H415"/>
    <mergeCell ref="D416:H416"/>
    <mergeCell ref="D407:H407"/>
    <mergeCell ref="D408:H408"/>
    <mergeCell ref="D409:H409"/>
    <mergeCell ref="D410:H410"/>
    <mergeCell ref="D411:H411"/>
    <mergeCell ref="D402:H402"/>
    <mergeCell ref="D403:H403"/>
    <mergeCell ref="D404:H404"/>
    <mergeCell ref="D405:H405"/>
    <mergeCell ref="D406:H406"/>
    <mergeCell ref="D397:H397"/>
    <mergeCell ref="D398:H398"/>
    <mergeCell ref="D399:H399"/>
    <mergeCell ref="D400:H400"/>
    <mergeCell ref="D401:H401"/>
    <mergeCell ref="D392:H392"/>
    <mergeCell ref="D393:H393"/>
    <mergeCell ref="D394:H394"/>
    <mergeCell ref="D395:H395"/>
    <mergeCell ref="D396:H396"/>
    <mergeCell ref="D387:H387"/>
    <mergeCell ref="D388:H388"/>
    <mergeCell ref="D389:H389"/>
    <mergeCell ref="D390:H390"/>
    <mergeCell ref="D391:H391"/>
    <mergeCell ref="D382:H382"/>
    <mergeCell ref="D383:H383"/>
    <mergeCell ref="D384:H384"/>
    <mergeCell ref="D385:H385"/>
    <mergeCell ref="D386:H386"/>
    <mergeCell ref="D377:H377"/>
    <mergeCell ref="D378:H378"/>
    <mergeCell ref="D379:H379"/>
    <mergeCell ref="D380:H380"/>
    <mergeCell ref="D381:H381"/>
    <mergeCell ref="D372:H372"/>
    <mergeCell ref="D373:H373"/>
    <mergeCell ref="D374:H374"/>
    <mergeCell ref="D375:H375"/>
    <mergeCell ref="D376:H376"/>
    <mergeCell ref="D367:H367"/>
    <mergeCell ref="D368:H368"/>
    <mergeCell ref="D369:H369"/>
    <mergeCell ref="D370:H370"/>
    <mergeCell ref="D371:H371"/>
    <mergeCell ref="D362:H362"/>
    <mergeCell ref="D363:H363"/>
    <mergeCell ref="D364:H364"/>
    <mergeCell ref="D365:H365"/>
    <mergeCell ref="D366:H366"/>
    <mergeCell ref="D357:H357"/>
    <mergeCell ref="D358:H358"/>
    <mergeCell ref="D359:H359"/>
    <mergeCell ref="D360:H360"/>
    <mergeCell ref="D361:H361"/>
    <mergeCell ref="D352:H352"/>
    <mergeCell ref="D353:H353"/>
    <mergeCell ref="D354:H354"/>
    <mergeCell ref="D355:H355"/>
    <mergeCell ref="D356:H356"/>
    <mergeCell ref="D347:H347"/>
    <mergeCell ref="D348:H348"/>
    <mergeCell ref="D349:H349"/>
    <mergeCell ref="D350:H350"/>
    <mergeCell ref="D351:H351"/>
    <mergeCell ref="D342:H342"/>
    <mergeCell ref="D343:H343"/>
    <mergeCell ref="D344:H344"/>
    <mergeCell ref="D345:H345"/>
    <mergeCell ref="D346:H346"/>
    <mergeCell ref="D337:H337"/>
    <mergeCell ref="D338:H338"/>
    <mergeCell ref="D339:H339"/>
    <mergeCell ref="D340:H340"/>
    <mergeCell ref="D341:H341"/>
    <mergeCell ref="D332:H332"/>
    <mergeCell ref="D333:H333"/>
    <mergeCell ref="D334:H334"/>
    <mergeCell ref="D335:H335"/>
    <mergeCell ref="D336:H336"/>
    <mergeCell ref="D327:H327"/>
    <mergeCell ref="D328:H328"/>
    <mergeCell ref="D329:H329"/>
    <mergeCell ref="D330:H330"/>
    <mergeCell ref="D331:H331"/>
    <mergeCell ref="D322:H322"/>
    <mergeCell ref="D323:H323"/>
    <mergeCell ref="D324:H324"/>
    <mergeCell ref="D325:H325"/>
    <mergeCell ref="D326:H326"/>
    <mergeCell ref="D317:H317"/>
    <mergeCell ref="D318:H318"/>
    <mergeCell ref="D319:H319"/>
    <mergeCell ref="D320:H320"/>
    <mergeCell ref="D321:H321"/>
    <mergeCell ref="D312:H312"/>
    <mergeCell ref="D313:H313"/>
    <mergeCell ref="D314:H314"/>
    <mergeCell ref="D315:H315"/>
    <mergeCell ref="D316:H316"/>
    <mergeCell ref="D307:H307"/>
    <mergeCell ref="D308:H308"/>
    <mergeCell ref="D309:H309"/>
    <mergeCell ref="D310:H310"/>
    <mergeCell ref="D311:H311"/>
    <mergeCell ref="D302:H302"/>
    <mergeCell ref="D303:H303"/>
    <mergeCell ref="D304:H304"/>
    <mergeCell ref="D305:H305"/>
    <mergeCell ref="D306:H306"/>
    <mergeCell ref="D297:H297"/>
    <mergeCell ref="D298:H298"/>
    <mergeCell ref="D299:H299"/>
    <mergeCell ref="D300:H300"/>
    <mergeCell ref="D301:H301"/>
    <mergeCell ref="D292:H292"/>
    <mergeCell ref="D293:H293"/>
    <mergeCell ref="D294:H294"/>
    <mergeCell ref="D295:H295"/>
    <mergeCell ref="D296:H296"/>
    <mergeCell ref="D287:H287"/>
    <mergeCell ref="D288:H288"/>
    <mergeCell ref="D289:H289"/>
    <mergeCell ref="D290:H290"/>
    <mergeCell ref="D291:H291"/>
    <mergeCell ref="D282:H282"/>
    <mergeCell ref="D283:H283"/>
    <mergeCell ref="D284:H284"/>
    <mergeCell ref="D285:H285"/>
    <mergeCell ref="D286:H286"/>
    <mergeCell ref="D277:H277"/>
    <mergeCell ref="D278:H278"/>
    <mergeCell ref="D279:H279"/>
    <mergeCell ref="D280:H280"/>
    <mergeCell ref="D281:H281"/>
    <mergeCell ref="D272:H272"/>
    <mergeCell ref="D273:H273"/>
    <mergeCell ref="D274:H274"/>
    <mergeCell ref="D275:H275"/>
    <mergeCell ref="D276:H276"/>
    <mergeCell ref="D267:H267"/>
    <mergeCell ref="D268:H268"/>
    <mergeCell ref="D269:H269"/>
    <mergeCell ref="D270:H270"/>
    <mergeCell ref="D271:H271"/>
    <mergeCell ref="D262:H262"/>
    <mergeCell ref="D263:H263"/>
    <mergeCell ref="D264:H264"/>
    <mergeCell ref="D265:H265"/>
    <mergeCell ref="D266:H266"/>
    <mergeCell ref="D257:H257"/>
    <mergeCell ref="D258:H258"/>
    <mergeCell ref="D259:H259"/>
    <mergeCell ref="D260:H260"/>
    <mergeCell ref="D261:H261"/>
    <mergeCell ref="D252:H252"/>
    <mergeCell ref="D253:H253"/>
    <mergeCell ref="D254:H254"/>
    <mergeCell ref="D255:H255"/>
    <mergeCell ref="D256:H256"/>
    <mergeCell ref="D247:H247"/>
    <mergeCell ref="D248:H248"/>
    <mergeCell ref="D249:H249"/>
    <mergeCell ref="D250:H250"/>
    <mergeCell ref="D251:H251"/>
    <mergeCell ref="D242:H242"/>
    <mergeCell ref="D243:H243"/>
    <mergeCell ref="D244:H244"/>
    <mergeCell ref="D245:H245"/>
    <mergeCell ref="D246:H246"/>
    <mergeCell ref="D237:H237"/>
    <mergeCell ref="D238:H238"/>
    <mergeCell ref="D239:H239"/>
    <mergeCell ref="D240:H240"/>
    <mergeCell ref="D241:H241"/>
    <mergeCell ref="D232:H232"/>
    <mergeCell ref="D233:H233"/>
    <mergeCell ref="D234:H234"/>
    <mergeCell ref="D235:H235"/>
    <mergeCell ref="D236:H236"/>
    <mergeCell ref="D227:H227"/>
    <mergeCell ref="D228:H228"/>
    <mergeCell ref="D229:H229"/>
    <mergeCell ref="D230:H230"/>
    <mergeCell ref="D231:H231"/>
    <mergeCell ref="D222:H222"/>
    <mergeCell ref="D223:H223"/>
    <mergeCell ref="D224:H224"/>
    <mergeCell ref="D225:H225"/>
    <mergeCell ref="D226:H226"/>
    <mergeCell ref="D217:H217"/>
    <mergeCell ref="D218:H218"/>
    <mergeCell ref="D219:H219"/>
    <mergeCell ref="D220:H220"/>
    <mergeCell ref="D221:H221"/>
    <mergeCell ref="D212:H212"/>
    <mergeCell ref="D213:H213"/>
    <mergeCell ref="D214:H214"/>
    <mergeCell ref="D215:H215"/>
    <mergeCell ref="D216:H216"/>
    <mergeCell ref="D207:H207"/>
    <mergeCell ref="D208:H208"/>
    <mergeCell ref="D209:H209"/>
    <mergeCell ref="D210:H210"/>
    <mergeCell ref="D211:H211"/>
    <mergeCell ref="D202:H202"/>
    <mergeCell ref="D203:H203"/>
    <mergeCell ref="D204:H204"/>
    <mergeCell ref="D205:H205"/>
    <mergeCell ref="D206:H206"/>
    <mergeCell ref="D197:H197"/>
    <mergeCell ref="D198:H198"/>
    <mergeCell ref="D199:H199"/>
    <mergeCell ref="D200:H200"/>
    <mergeCell ref="D201:H201"/>
    <mergeCell ref="D192:H192"/>
    <mergeCell ref="D193:H193"/>
    <mergeCell ref="D194:H194"/>
    <mergeCell ref="D195:H195"/>
    <mergeCell ref="D196:H196"/>
    <mergeCell ref="D187:H187"/>
    <mergeCell ref="D188:H188"/>
    <mergeCell ref="D189:H189"/>
    <mergeCell ref="D190:H190"/>
    <mergeCell ref="D191:H191"/>
    <mergeCell ref="D182:H182"/>
    <mergeCell ref="D183:H183"/>
    <mergeCell ref="D184:H184"/>
    <mergeCell ref="D185:H185"/>
    <mergeCell ref="D186:H186"/>
    <mergeCell ref="D177:H177"/>
    <mergeCell ref="D178:H178"/>
    <mergeCell ref="D179:H179"/>
    <mergeCell ref="D180:H180"/>
    <mergeCell ref="D181:H181"/>
    <mergeCell ref="D172:H172"/>
    <mergeCell ref="D173:H173"/>
    <mergeCell ref="D174:H174"/>
    <mergeCell ref="D175:H175"/>
    <mergeCell ref="D176:H176"/>
    <mergeCell ref="D167:H167"/>
    <mergeCell ref="D168:H168"/>
    <mergeCell ref="D169:H169"/>
    <mergeCell ref="D170:H170"/>
    <mergeCell ref="D171:H171"/>
    <mergeCell ref="D162:H162"/>
    <mergeCell ref="D163:H163"/>
    <mergeCell ref="D164:H164"/>
    <mergeCell ref="D165:H165"/>
    <mergeCell ref="D166:H166"/>
    <mergeCell ref="D157:H157"/>
    <mergeCell ref="D158:H158"/>
    <mergeCell ref="D159:H159"/>
    <mergeCell ref="D160:H160"/>
    <mergeCell ref="D161:H161"/>
    <mergeCell ref="D152:H152"/>
    <mergeCell ref="D153:H153"/>
    <mergeCell ref="D154:H154"/>
    <mergeCell ref="D155:H155"/>
    <mergeCell ref="D156:H156"/>
    <mergeCell ref="D147:H147"/>
    <mergeCell ref="D148:H148"/>
    <mergeCell ref="D149:H149"/>
    <mergeCell ref="D150:H150"/>
    <mergeCell ref="D151:H151"/>
    <mergeCell ref="D142:H142"/>
    <mergeCell ref="D143:H143"/>
    <mergeCell ref="D144:H144"/>
    <mergeCell ref="D145:H145"/>
    <mergeCell ref="D146:H146"/>
    <mergeCell ref="D137:H137"/>
    <mergeCell ref="D138:H138"/>
    <mergeCell ref="D139:H139"/>
    <mergeCell ref="D140:H140"/>
    <mergeCell ref="D141:H141"/>
    <mergeCell ref="D132:H132"/>
    <mergeCell ref="D133:H133"/>
    <mergeCell ref="D134:H134"/>
    <mergeCell ref="D135:H135"/>
    <mergeCell ref="D136:H136"/>
    <mergeCell ref="D127:H127"/>
    <mergeCell ref="D128:H128"/>
    <mergeCell ref="D129:H129"/>
    <mergeCell ref="D130:H130"/>
    <mergeCell ref="D131:H131"/>
    <mergeCell ref="D122:H122"/>
    <mergeCell ref="D123:H123"/>
    <mergeCell ref="D124:H124"/>
    <mergeCell ref="D125:H125"/>
    <mergeCell ref="D126:H126"/>
    <mergeCell ref="D117:H117"/>
    <mergeCell ref="D118:H118"/>
    <mergeCell ref="D119:H119"/>
    <mergeCell ref="D120:H120"/>
    <mergeCell ref="D121:H121"/>
    <mergeCell ref="D112:H112"/>
    <mergeCell ref="D113:H113"/>
    <mergeCell ref="D114:H114"/>
    <mergeCell ref="D115:H115"/>
    <mergeCell ref="D116:H116"/>
    <mergeCell ref="D107:H107"/>
    <mergeCell ref="D108:H108"/>
    <mergeCell ref="D109:H109"/>
    <mergeCell ref="D110:H110"/>
    <mergeCell ref="D111:H111"/>
    <mergeCell ref="D102:H102"/>
    <mergeCell ref="D103:H103"/>
    <mergeCell ref="D104:H104"/>
    <mergeCell ref="D105:H105"/>
    <mergeCell ref="D106:H106"/>
    <mergeCell ref="D97:H97"/>
    <mergeCell ref="D98:H98"/>
    <mergeCell ref="D99:H99"/>
    <mergeCell ref="D100:H100"/>
    <mergeCell ref="D101:H101"/>
    <mergeCell ref="D92:H92"/>
    <mergeCell ref="D93:H93"/>
    <mergeCell ref="D94:H94"/>
    <mergeCell ref="D95:H95"/>
    <mergeCell ref="D96:H96"/>
    <mergeCell ref="D87:H87"/>
    <mergeCell ref="D88:H88"/>
    <mergeCell ref="D89:H89"/>
    <mergeCell ref="D90:H90"/>
    <mergeCell ref="D91:H91"/>
    <mergeCell ref="D82:H82"/>
    <mergeCell ref="D83:H83"/>
    <mergeCell ref="D84:H84"/>
    <mergeCell ref="D85:H85"/>
    <mergeCell ref="D86:H86"/>
    <mergeCell ref="D77:H77"/>
    <mergeCell ref="D78:H78"/>
    <mergeCell ref="D79:H79"/>
    <mergeCell ref="D80:H80"/>
    <mergeCell ref="D81:H81"/>
    <mergeCell ref="D72:H72"/>
    <mergeCell ref="D73:H73"/>
    <mergeCell ref="D74:H74"/>
    <mergeCell ref="D75:H75"/>
    <mergeCell ref="D76:H76"/>
    <mergeCell ref="D67:H67"/>
    <mergeCell ref="D68:H68"/>
    <mergeCell ref="D69:H69"/>
    <mergeCell ref="D70:H70"/>
    <mergeCell ref="D71:H71"/>
    <mergeCell ref="D62:H62"/>
    <mergeCell ref="D63:H63"/>
    <mergeCell ref="D64:H64"/>
    <mergeCell ref="D65:H65"/>
    <mergeCell ref="D66:H66"/>
    <mergeCell ref="D57:H57"/>
    <mergeCell ref="D58:H58"/>
    <mergeCell ref="D59:H59"/>
    <mergeCell ref="D60:H60"/>
    <mergeCell ref="D61:H61"/>
    <mergeCell ref="D52:H52"/>
    <mergeCell ref="D53:H53"/>
    <mergeCell ref="D54:H54"/>
    <mergeCell ref="D55:H55"/>
    <mergeCell ref="D56:H56"/>
    <mergeCell ref="D47:H47"/>
    <mergeCell ref="D48:H48"/>
    <mergeCell ref="D49:H49"/>
    <mergeCell ref="D50:H50"/>
    <mergeCell ref="D51:H51"/>
    <mergeCell ref="D42:H42"/>
    <mergeCell ref="D43:H43"/>
    <mergeCell ref="D44:H44"/>
    <mergeCell ref="D45:H45"/>
    <mergeCell ref="D46:H46"/>
    <mergeCell ref="D37:H37"/>
    <mergeCell ref="D38:H38"/>
    <mergeCell ref="D39:H39"/>
    <mergeCell ref="D40:H40"/>
    <mergeCell ref="D41:H41"/>
    <mergeCell ref="D32:H32"/>
    <mergeCell ref="D33:H33"/>
    <mergeCell ref="D34:H34"/>
    <mergeCell ref="D35:H35"/>
    <mergeCell ref="D36:H36"/>
    <mergeCell ref="D27:H27"/>
    <mergeCell ref="D28:H28"/>
    <mergeCell ref="D29:H29"/>
    <mergeCell ref="D30:H30"/>
    <mergeCell ref="D31:H31"/>
    <mergeCell ref="D22:H22"/>
    <mergeCell ref="D23:H23"/>
    <mergeCell ref="D24:H24"/>
    <mergeCell ref="D25:H25"/>
    <mergeCell ref="D26:H26"/>
    <mergeCell ref="D17:H17"/>
    <mergeCell ref="D18:H18"/>
    <mergeCell ref="D19:H19"/>
    <mergeCell ref="D20:H20"/>
    <mergeCell ref="D21:H21"/>
    <mergeCell ref="D12:H12"/>
    <mergeCell ref="D13:H13"/>
    <mergeCell ref="D14:H14"/>
    <mergeCell ref="D15:H15"/>
    <mergeCell ref="D16:H16"/>
    <mergeCell ref="I2:L3"/>
    <mergeCell ref="I4:L5"/>
    <mergeCell ref="I6:L7"/>
    <mergeCell ref="I8:L9"/>
    <mergeCell ref="D11:H11"/>
    <mergeCell ref="G6:G7"/>
    <mergeCell ref="G8:G9"/>
    <mergeCell ref="H2:H3"/>
    <mergeCell ref="H4:H5"/>
    <mergeCell ref="H6:H7"/>
    <mergeCell ref="H8:H9"/>
    <mergeCell ref="D10:H10"/>
    <mergeCell ref="A1:L1"/>
    <mergeCell ref="A2:C3"/>
    <mergeCell ref="A4:C5"/>
    <mergeCell ref="A6:C7"/>
    <mergeCell ref="A8:C9"/>
    <mergeCell ref="D2:D3"/>
    <mergeCell ref="D4:D5"/>
    <mergeCell ref="D6:D7"/>
    <mergeCell ref="D8:D9"/>
    <mergeCell ref="E2:F3"/>
    <mergeCell ref="E4:F5"/>
    <mergeCell ref="E6:F7"/>
    <mergeCell ref="E8:F9"/>
    <mergeCell ref="G2:G3"/>
    <mergeCell ref="G4:G5"/>
  </mergeCells>
  <pageMargins left="0.393999993801117" right="0.393999993801117" top="0.59100002050399802" bottom="0.59100002050399802" header="0" footer="0"/>
  <pageSetup scale="7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23" t="s">
        <v>308</v>
      </c>
      <c r="B1" s="98"/>
      <c r="C1" s="98"/>
      <c r="D1" s="98"/>
      <c r="E1" s="98"/>
      <c r="F1" s="98"/>
      <c r="G1" s="98"/>
      <c r="H1" s="98"/>
      <c r="I1" s="98"/>
    </row>
    <row r="2" spans="1:9" x14ac:dyDescent="0.25">
      <c r="A2" s="99" t="s">
        <v>1</v>
      </c>
      <c r="B2" s="100"/>
      <c r="C2" s="106" t="str">
        <f>'Stavební rozpočet'!D2</f>
        <v>Rekonstrukce rozvodů vody a plynu pro BD Kosmonautů 1213/5, 1214/7 ,1215/9 Havířov-Podlesí</v>
      </c>
      <c r="D2" s="124"/>
      <c r="E2" s="109" t="s">
        <v>3</v>
      </c>
      <c r="F2" s="109" t="str">
        <f>'Stavební rozpočet'!J2</f>
        <v>Stavební bytové družstvo Havířov</v>
      </c>
      <c r="G2" s="100"/>
      <c r="H2" s="109" t="s">
        <v>335</v>
      </c>
      <c r="I2" s="110" t="s">
        <v>336</v>
      </c>
    </row>
    <row r="3" spans="1:9" ht="25.5" customHeight="1" x14ac:dyDescent="0.25">
      <c r="A3" s="101"/>
      <c r="B3" s="102"/>
      <c r="C3" s="107"/>
      <c r="D3" s="107"/>
      <c r="E3" s="102"/>
      <c r="F3" s="102"/>
      <c r="G3" s="102"/>
      <c r="H3" s="102"/>
      <c r="I3" s="111"/>
    </row>
    <row r="4" spans="1:9" x14ac:dyDescent="0.25">
      <c r="A4" s="103" t="s">
        <v>4</v>
      </c>
      <c r="B4" s="102"/>
      <c r="C4" s="108" t="str">
        <f>'Stavební rozpočet'!D4</f>
        <v xml:space="preserve"> </v>
      </c>
      <c r="D4" s="102"/>
      <c r="E4" s="108" t="s">
        <v>6</v>
      </c>
      <c r="F4" s="108" t="str">
        <f>'Stavební rozpočet'!J4</f>
        <v>ETRACOM s.r.o.</v>
      </c>
      <c r="G4" s="102"/>
      <c r="H4" s="108" t="s">
        <v>335</v>
      </c>
      <c r="I4" s="111" t="s">
        <v>337</v>
      </c>
    </row>
    <row r="5" spans="1:9" ht="15" customHeight="1" x14ac:dyDescent="0.25">
      <c r="A5" s="101"/>
      <c r="B5" s="102"/>
      <c r="C5" s="102"/>
      <c r="D5" s="102"/>
      <c r="E5" s="102"/>
      <c r="F5" s="102"/>
      <c r="G5" s="102"/>
      <c r="H5" s="102"/>
      <c r="I5" s="111"/>
    </row>
    <row r="6" spans="1:9" x14ac:dyDescent="0.25">
      <c r="A6" s="103" t="s">
        <v>7</v>
      </c>
      <c r="B6" s="102"/>
      <c r="C6" s="108" t="str">
        <f>'Stavební rozpočet'!D6</f>
        <v xml:space="preserve"> </v>
      </c>
      <c r="D6" s="102"/>
      <c r="E6" s="108" t="s">
        <v>9</v>
      </c>
      <c r="F6" s="108" t="str">
        <f>'Stavební rozpočet'!J6</f>
        <v> </v>
      </c>
      <c r="G6" s="102"/>
      <c r="H6" s="108" t="s">
        <v>335</v>
      </c>
      <c r="I6" s="111" t="s">
        <v>25</v>
      </c>
    </row>
    <row r="7" spans="1:9" ht="15" customHeight="1" x14ac:dyDescent="0.25">
      <c r="A7" s="101"/>
      <c r="B7" s="102"/>
      <c r="C7" s="102"/>
      <c r="D7" s="102"/>
      <c r="E7" s="102"/>
      <c r="F7" s="102"/>
      <c r="G7" s="102"/>
      <c r="H7" s="102"/>
      <c r="I7" s="111"/>
    </row>
    <row r="8" spans="1:9" x14ac:dyDescent="0.25">
      <c r="A8" s="103" t="s">
        <v>5</v>
      </c>
      <c r="B8" s="102"/>
      <c r="C8" s="108" t="str">
        <f>'Stavební rozpočet'!H4</f>
        <v xml:space="preserve"> </v>
      </c>
      <c r="D8" s="102"/>
      <c r="E8" s="108" t="s">
        <v>8</v>
      </c>
      <c r="F8" s="108" t="str">
        <f>'Stavební rozpočet'!H6</f>
        <v xml:space="preserve"> </v>
      </c>
      <c r="G8" s="102"/>
      <c r="H8" s="102" t="s">
        <v>338</v>
      </c>
      <c r="I8" s="125">
        <v>362</v>
      </c>
    </row>
    <row r="9" spans="1:9" x14ac:dyDescent="0.25">
      <c r="A9" s="101"/>
      <c r="B9" s="102"/>
      <c r="C9" s="102"/>
      <c r="D9" s="102"/>
      <c r="E9" s="102"/>
      <c r="F9" s="102"/>
      <c r="G9" s="102"/>
      <c r="H9" s="102"/>
      <c r="I9" s="111"/>
    </row>
    <row r="10" spans="1:9" x14ac:dyDescent="0.25">
      <c r="A10" s="103" t="s">
        <v>10</v>
      </c>
      <c r="B10" s="102"/>
      <c r="C10" s="108" t="str">
        <f>'Stavební rozpočet'!D8</f>
        <v xml:space="preserve"> </v>
      </c>
      <c r="D10" s="102"/>
      <c r="E10" s="108" t="s">
        <v>12</v>
      </c>
      <c r="F10" s="108" t="str">
        <f>'Stavební rozpočet'!J8</f>
        <v>Ing. Radim Kyjonka</v>
      </c>
      <c r="G10" s="102"/>
      <c r="H10" s="102" t="s">
        <v>339</v>
      </c>
      <c r="I10" s="121" t="str">
        <f>'Stavební rozpočet'!H8</f>
        <v>24.10.2024</v>
      </c>
    </row>
    <row r="11" spans="1:9" x14ac:dyDescent="0.25">
      <c r="A11" s="104"/>
      <c r="B11" s="105"/>
      <c r="C11" s="105"/>
      <c r="D11" s="105"/>
      <c r="E11" s="105"/>
      <c r="F11" s="105"/>
      <c r="G11" s="105"/>
      <c r="H11" s="105"/>
      <c r="I11" s="112"/>
    </row>
    <row r="13" spans="1:9" ht="15.75" x14ac:dyDescent="0.25">
      <c r="A13" s="159" t="s">
        <v>380</v>
      </c>
      <c r="B13" s="159"/>
      <c r="C13" s="159"/>
      <c r="D13" s="159"/>
      <c r="E13" s="159"/>
    </row>
    <row r="14" spans="1:9" x14ac:dyDescent="0.25">
      <c r="A14" s="160" t="s">
        <v>381</v>
      </c>
      <c r="B14" s="161"/>
      <c r="C14" s="161"/>
      <c r="D14" s="161"/>
      <c r="E14" s="162"/>
      <c r="F14" s="52" t="s">
        <v>382</v>
      </c>
      <c r="G14" s="52" t="s">
        <v>51</v>
      </c>
      <c r="H14" s="52" t="s">
        <v>383</v>
      </c>
      <c r="I14" s="52" t="s">
        <v>382</v>
      </c>
    </row>
    <row r="15" spans="1:9" x14ac:dyDescent="0.25">
      <c r="A15" s="163" t="s">
        <v>349</v>
      </c>
      <c r="B15" s="164"/>
      <c r="C15" s="164"/>
      <c r="D15" s="164"/>
      <c r="E15" s="165"/>
      <c r="F15" s="53">
        <v>0</v>
      </c>
      <c r="G15" s="54" t="s">
        <v>25</v>
      </c>
      <c r="H15" s="54" t="s">
        <v>25</v>
      </c>
      <c r="I15" s="53">
        <f>F15</f>
        <v>0</v>
      </c>
    </row>
    <row r="16" spans="1:9" x14ac:dyDescent="0.25">
      <c r="A16" s="163" t="s">
        <v>351</v>
      </c>
      <c r="B16" s="164"/>
      <c r="C16" s="164"/>
      <c r="D16" s="164"/>
      <c r="E16" s="165"/>
      <c r="F16" s="53">
        <v>0</v>
      </c>
      <c r="G16" s="54" t="s">
        <v>25</v>
      </c>
      <c r="H16" s="54" t="s">
        <v>25</v>
      </c>
      <c r="I16" s="53">
        <f>F16</f>
        <v>0</v>
      </c>
    </row>
    <row r="17" spans="1:9" x14ac:dyDescent="0.25">
      <c r="A17" s="166" t="s">
        <v>354</v>
      </c>
      <c r="B17" s="167"/>
      <c r="C17" s="167"/>
      <c r="D17" s="167"/>
      <c r="E17" s="168"/>
      <c r="F17" s="55">
        <v>0</v>
      </c>
      <c r="G17" s="56" t="s">
        <v>25</v>
      </c>
      <c r="H17" s="56" t="s">
        <v>25</v>
      </c>
      <c r="I17" s="55">
        <f>F17</f>
        <v>0</v>
      </c>
    </row>
    <row r="18" spans="1:9" x14ac:dyDescent="0.25">
      <c r="A18" s="169" t="s">
        <v>384</v>
      </c>
      <c r="B18" s="170"/>
      <c r="C18" s="170"/>
      <c r="D18" s="170"/>
      <c r="E18" s="171"/>
      <c r="F18" s="57" t="s">
        <v>25</v>
      </c>
      <c r="G18" s="58" t="s">
        <v>25</v>
      </c>
      <c r="H18" s="58" t="s">
        <v>25</v>
      </c>
      <c r="I18" s="59">
        <f>SUM(I15:I17)</f>
        <v>0</v>
      </c>
    </row>
    <row r="20" spans="1:9" x14ac:dyDescent="0.25">
      <c r="A20" s="160" t="s">
        <v>346</v>
      </c>
      <c r="B20" s="161"/>
      <c r="C20" s="161"/>
      <c r="D20" s="161"/>
      <c r="E20" s="162"/>
      <c r="F20" s="52" t="s">
        <v>382</v>
      </c>
      <c r="G20" s="52" t="s">
        <v>51</v>
      </c>
      <c r="H20" s="52" t="s">
        <v>383</v>
      </c>
      <c r="I20" s="52" t="s">
        <v>382</v>
      </c>
    </row>
    <row r="21" spans="1:9" x14ac:dyDescent="0.25">
      <c r="A21" s="163" t="s">
        <v>315</v>
      </c>
      <c r="B21" s="164"/>
      <c r="C21" s="164"/>
      <c r="D21" s="164"/>
      <c r="E21" s="165"/>
      <c r="F21" s="53">
        <v>0</v>
      </c>
      <c r="G21" s="54" t="s">
        <v>25</v>
      </c>
      <c r="H21" s="54" t="s">
        <v>25</v>
      </c>
      <c r="I21" s="53">
        <f t="shared" ref="I21:I26" si="0">F21</f>
        <v>0</v>
      </c>
    </row>
    <row r="22" spans="1:9" x14ac:dyDescent="0.25">
      <c r="A22" s="163" t="s">
        <v>352</v>
      </c>
      <c r="B22" s="164"/>
      <c r="C22" s="164"/>
      <c r="D22" s="164"/>
      <c r="E22" s="165"/>
      <c r="F22" s="53">
        <v>0</v>
      </c>
      <c r="G22" s="54" t="s">
        <v>25</v>
      </c>
      <c r="H22" s="54" t="s">
        <v>25</v>
      </c>
      <c r="I22" s="53">
        <f t="shared" si="0"/>
        <v>0</v>
      </c>
    </row>
    <row r="23" spans="1:9" x14ac:dyDescent="0.25">
      <c r="A23" s="163" t="s">
        <v>355</v>
      </c>
      <c r="B23" s="164"/>
      <c r="C23" s="164"/>
      <c r="D23" s="164"/>
      <c r="E23" s="165"/>
      <c r="F23" s="53">
        <v>0</v>
      </c>
      <c r="G23" s="54" t="s">
        <v>25</v>
      </c>
      <c r="H23" s="54" t="s">
        <v>25</v>
      </c>
      <c r="I23" s="53">
        <f t="shared" si="0"/>
        <v>0</v>
      </c>
    </row>
    <row r="24" spans="1:9" x14ac:dyDescent="0.25">
      <c r="A24" s="163" t="s">
        <v>321</v>
      </c>
      <c r="B24" s="164"/>
      <c r="C24" s="164"/>
      <c r="D24" s="164"/>
      <c r="E24" s="165"/>
      <c r="F24" s="53">
        <v>0</v>
      </c>
      <c r="G24" s="54" t="s">
        <v>25</v>
      </c>
      <c r="H24" s="54" t="s">
        <v>25</v>
      </c>
      <c r="I24" s="53">
        <f t="shared" si="0"/>
        <v>0</v>
      </c>
    </row>
    <row r="25" spans="1:9" x14ac:dyDescent="0.25">
      <c r="A25" s="163" t="s">
        <v>357</v>
      </c>
      <c r="B25" s="164"/>
      <c r="C25" s="164"/>
      <c r="D25" s="164"/>
      <c r="E25" s="165"/>
      <c r="F25" s="53">
        <v>0</v>
      </c>
      <c r="G25" s="54" t="s">
        <v>25</v>
      </c>
      <c r="H25" s="54" t="s">
        <v>25</v>
      </c>
      <c r="I25" s="53">
        <f t="shared" si="0"/>
        <v>0</v>
      </c>
    </row>
    <row r="26" spans="1:9" x14ac:dyDescent="0.25">
      <c r="A26" s="166" t="s">
        <v>358</v>
      </c>
      <c r="B26" s="167"/>
      <c r="C26" s="167"/>
      <c r="D26" s="167"/>
      <c r="E26" s="168"/>
      <c r="F26" s="55">
        <v>0</v>
      </c>
      <c r="G26" s="56" t="s">
        <v>25</v>
      </c>
      <c r="H26" s="56" t="s">
        <v>25</v>
      </c>
      <c r="I26" s="55">
        <f t="shared" si="0"/>
        <v>0</v>
      </c>
    </row>
    <row r="27" spans="1:9" x14ac:dyDescent="0.25">
      <c r="A27" s="169" t="s">
        <v>385</v>
      </c>
      <c r="B27" s="170"/>
      <c r="C27" s="170"/>
      <c r="D27" s="170"/>
      <c r="E27" s="171"/>
      <c r="F27" s="57" t="s">
        <v>25</v>
      </c>
      <c r="G27" s="58" t="s">
        <v>25</v>
      </c>
      <c r="H27" s="58" t="s">
        <v>25</v>
      </c>
      <c r="I27" s="59">
        <f>SUM(I21:I26)</f>
        <v>0</v>
      </c>
    </row>
    <row r="29" spans="1:9" ht="15.75" x14ac:dyDescent="0.25">
      <c r="A29" s="172" t="s">
        <v>386</v>
      </c>
      <c r="B29" s="173"/>
      <c r="C29" s="173"/>
      <c r="D29" s="173"/>
      <c r="E29" s="174"/>
      <c r="F29" s="175">
        <f>I18+I27</f>
        <v>0</v>
      </c>
      <c r="G29" s="176"/>
      <c r="H29" s="176"/>
      <c r="I29" s="177"/>
    </row>
    <row r="33" spans="1:9" ht="15.75" x14ac:dyDescent="0.25">
      <c r="A33" s="159" t="s">
        <v>387</v>
      </c>
      <c r="B33" s="159"/>
      <c r="C33" s="159"/>
      <c r="D33" s="159"/>
      <c r="E33" s="159"/>
    </row>
    <row r="34" spans="1:9" x14ac:dyDescent="0.25">
      <c r="A34" s="160" t="s">
        <v>388</v>
      </c>
      <c r="B34" s="161"/>
      <c r="C34" s="161"/>
      <c r="D34" s="161"/>
      <c r="E34" s="162"/>
      <c r="F34" s="52" t="s">
        <v>382</v>
      </c>
      <c r="G34" s="52" t="s">
        <v>51</v>
      </c>
      <c r="H34" s="52" t="s">
        <v>383</v>
      </c>
      <c r="I34" s="52" t="s">
        <v>382</v>
      </c>
    </row>
    <row r="35" spans="1:9" x14ac:dyDescent="0.25">
      <c r="A35" s="163" t="s">
        <v>310</v>
      </c>
      <c r="B35" s="164"/>
      <c r="C35" s="164"/>
      <c r="D35" s="164"/>
      <c r="E35" s="165"/>
      <c r="F35" s="53">
        <f>SUM('Stavební rozpočet'!BM12:BM483)</f>
        <v>0</v>
      </c>
      <c r="G35" s="54" t="s">
        <v>25</v>
      </c>
      <c r="H35" s="54" t="s">
        <v>25</v>
      </c>
      <c r="I35" s="53">
        <f t="shared" ref="I35:I44" si="1">F35</f>
        <v>0</v>
      </c>
    </row>
    <row r="36" spans="1:9" x14ac:dyDescent="0.25">
      <c r="A36" s="163" t="s">
        <v>389</v>
      </c>
      <c r="B36" s="164"/>
      <c r="C36" s="164"/>
      <c r="D36" s="164"/>
      <c r="E36" s="165"/>
      <c r="F36" s="53">
        <f>SUM('Stavební rozpočet'!BN12:BN483)</f>
        <v>0</v>
      </c>
      <c r="G36" s="54" t="s">
        <v>25</v>
      </c>
      <c r="H36" s="54" t="s">
        <v>25</v>
      </c>
      <c r="I36" s="53">
        <f t="shared" si="1"/>
        <v>0</v>
      </c>
    </row>
    <row r="37" spans="1:9" x14ac:dyDescent="0.25">
      <c r="A37" s="163" t="s">
        <v>315</v>
      </c>
      <c r="B37" s="164"/>
      <c r="C37" s="164"/>
      <c r="D37" s="164"/>
      <c r="E37" s="165"/>
      <c r="F37" s="53">
        <f>SUM('Stavební rozpočet'!BO12:BO483)</f>
        <v>0</v>
      </c>
      <c r="G37" s="54" t="s">
        <v>25</v>
      </c>
      <c r="H37" s="54" t="s">
        <v>25</v>
      </c>
      <c r="I37" s="53">
        <f t="shared" si="1"/>
        <v>0</v>
      </c>
    </row>
    <row r="38" spans="1:9" x14ac:dyDescent="0.25">
      <c r="A38" s="163" t="s">
        <v>390</v>
      </c>
      <c r="B38" s="164"/>
      <c r="C38" s="164"/>
      <c r="D38" s="164"/>
      <c r="E38" s="165"/>
      <c r="F38" s="53">
        <f>SUM('Stavební rozpočet'!BP12:BP483)</f>
        <v>0</v>
      </c>
      <c r="G38" s="54" t="s">
        <v>25</v>
      </c>
      <c r="H38" s="54" t="s">
        <v>25</v>
      </c>
      <c r="I38" s="53">
        <f t="shared" si="1"/>
        <v>0</v>
      </c>
    </row>
    <row r="39" spans="1:9" x14ac:dyDescent="0.25">
      <c r="A39" s="163" t="s">
        <v>391</v>
      </c>
      <c r="B39" s="164"/>
      <c r="C39" s="164"/>
      <c r="D39" s="164"/>
      <c r="E39" s="165"/>
      <c r="F39" s="53">
        <f>SUM('Stavební rozpočet'!BQ12:BQ483)</f>
        <v>0</v>
      </c>
      <c r="G39" s="54" t="s">
        <v>25</v>
      </c>
      <c r="H39" s="54" t="s">
        <v>25</v>
      </c>
      <c r="I39" s="53">
        <f t="shared" si="1"/>
        <v>0</v>
      </c>
    </row>
    <row r="40" spans="1:9" x14ac:dyDescent="0.25">
      <c r="A40" s="163" t="s">
        <v>355</v>
      </c>
      <c r="B40" s="164"/>
      <c r="C40" s="164"/>
      <c r="D40" s="164"/>
      <c r="E40" s="165"/>
      <c r="F40" s="53">
        <f>SUM('Stavební rozpočet'!BR12:BR483)</f>
        <v>0</v>
      </c>
      <c r="G40" s="54" t="s">
        <v>25</v>
      </c>
      <c r="H40" s="54" t="s">
        <v>25</v>
      </c>
      <c r="I40" s="53">
        <f t="shared" si="1"/>
        <v>0</v>
      </c>
    </row>
    <row r="41" spans="1:9" x14ac:dyDescent="0.25">
      <c r="A41" s="163" t="s">
        <v>321</v>
      </c>
      <c r="B41" s="164"/>
      <c r="C41" s="164"/>
      <c r="D41" s="164"/>
      <c r="E41" s="165"/>
      <c r="F41" s="53">
        <f>SUM('Stavební rozpočet'!BS12:BS483)</f>
        <v>0</v>
      </c>
      <c r="G41" s="54" t="s">
        <v>25</v>
      </c>
      <c r="H41" s="54" t="s">
        <v>25</v>
      </c>
      <c r="I41" s="53">
        <f t="shared" si="1"/>
        <v>0</v>
      </c>
    </row>
    <row r="42" spans="1:9" x14ac:dyDescent="0.25">
      <c r="A42" s="163" t="s">
        <v>392</v>
      </c>
      <c r="B42" s="164"/>
      <c r="C42" s="164"/>
      <c r="D42" s="164"/>
      <c r="E42" s="165"/>
      <c r="F42" s="53">
        <f>SUM('Stavební rozpočet'!BT12:BT483)</f>
        <v>0</v>
      </c>
      <c r="G42" s="54" t="s">
        <v>25</v>
      </c>
      <c r="H42" s="54" t="s">
        <v>25</v>
      </c>
      <c r="I42" s="53">
        <f t="shared" si="1"/>
        <v>0</v>
      </c>
    </row>
    <row r="43" spans="1:9" x14ac:dyDescent="0.25">
      <c r="A43" s="163" t="s">
        <v>393</v>
      </c>
      <c r="B43" s="164"/>
      <c r="C43" s="164"/>
      <c r="D43" s="164"/>
      <c r="E43" s="165"/>
      <c r="F43" s="53">
        <f>SUM('Stavební rozpočet'!BU12:BU483)</f>
        <v>0</v>
      </c>
      <c r="G43" s="54" t="s">
        <v>25</v>
      </c>
      <c r="H43" s="54" t="s">
        <v>25</v>
      </c>
      <c r="I43" s="53">
        <f t="shared" si="1"/>
        <v>0</v>
      </c>
    </row>
    <row r="44" spans="1:9" x14ac:dyDescent="0.25">
      <c r="A44" s="166" t="s">
        <v>394</v>
      </c>
      <c r="B44" s="167"/>
      <c r="C44" s="167"/>
      <c r="D44" s="167"/>
      <c r="E44" s="168"/>
      <c r="F44" s="55">
        <f>SUM('Stavební rozpočet'!BV12:BV483)</f>
        <v>0</v>
      </c>
      <c r="G44" s="56" t="s">
        <v>25</v>
      </c>
      <c r="H44" s="56" t="s">
        <v>25</v>
      </c>
      <c r="I44" s="55">
        <f t="shared" si="1"/>
        <v>0</v>
      </c>
    </row>
    <row r="45" spans="1:9" x14ac:dyDescent="0.25">
      <c r="A45" s="169" t="s">
        <v>395</v>
      </c>
      <c r="B45" s="170"/>
      <c r="C45" s="170"/>
      <c r="D45" s="170"/>
      <c r="E45" s="171"/>
      <c r="F45" s="57" t="s">
        <v>25</v>
      </c>
      <c r="G45" s="58" t="s">
        <v>25</v>
      </c>
      <c r="H45" s="58" t="s">
        <v>25</v>
      </c>
      <c r="I45" s="59">
        <f>SUM(I35:I44)</f>
        <v>0</v>
      </c>
    </row>
  </sheetData>
  <mergeCells count="60">
    <mergeCell ref="A41:E41"/>
    <mergeCell ref="A42:E42"/>
    <mergeCell ref="A43:E43"/>
    <mergeCell ref="A44:E44"/>
    <mergeCell ref="A45:E45"/>
    <mergeCell ref="A36:E36"/>
    <mergeCell ref="A37:E37"/>
    <mergeCell ref="A38:E38"/>
    <mergeCell ref="A39:E39"/>
    <mergeCell ref="A40:E40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C2:D3"/>
    <mergeCell ref="C4:D5"/>
    <mergeCell ref="C6:D7"/>
    <mergeCell ref="C8:D9"/>
    <mergeCell ref="C10:D11"/>
    <mergeCell ref="F2:G3"/>
    <mergeCell ref="F4:G5"/>
    <mergeCell ref="F6:G7"/>
    <mergeCell ref="F8:G9"/>
    <mergeCell ref="F10:G11"/>
    <mergeCell ref="A10:B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Z486"/>
  <sheetViews>
    <sheetView workbookViewId="0">
      <pane ySplit="11" topLeftCell="A12" activePane="bottomLeft" state="frozen"/>
      <selection pane="bottomLeft" activeCell="A486" sqref="A486:P486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28.5703125" customWidth="1"/>
    <col min="5" max="5" width="35.7109375" customWidth="1"/>
    <col min="6" max="6" width="6.7109375" customWidth="1"/>
    <col min="7" max="7" width="12.85546875" customWidth="1"/>
    <col min="8" max="8" width="12" customWidth="1"/>
    <col min="9" max="9" width="11.140625" customWidth="1"/>
    <col min="10" max="13" width="15.7109375" customWidth="1"/>
    <col min="14" max="15" width="11.7109375" customWidth="1"/>
    <col min="16" max="16" width="13.42578125" customWidth="1"/>
    <col min="25" max="75" width="12.140625" hidden="1"/>
    <col min="76" max="76" width="64.28515625" hidden="1" customWidth="1"/>
    <col min="77" max="78" width="12.140625" hidden="1"/>
  </cols>
  <sheetData>
    <row r="1" spans="1:76" ht="54.75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AS1" s="60">
        <f>SUM(AJ1:AJ2)</f>
        <v>0</v>
      </c>
      <c r="AT1" s="60">
        <f>SUM(AK1:AK2)</f>
        <v>0</v>
      </c>
      <c r="AU1" s="60">
        <f>SUM(AL1:AL2)</f>
        <v>0</v>
      </c>
    </row>
    <row r="2" spans="1:76" x14ac:dyDescent="0.25">
      <c r="A2" s="99" t="s">
        <v>1</v>
      </c>
      <c r="B2" s="100"/>
      <c r="C2" s="100"/>
      <c r="D2" s="106" t="s">
        <v>396</v>
      </c>
      <c r="E2" s="124"/>
      <c r="F2" s="100" t="s">
        <v>2</v>
      </c>
      <c r="G2" s="100"/>
      <c r="H2" s="100" t="s">
        <v>23</v>
      </c>
      <c r="I2" s="109" t="s">
        <v>3</v>
      </c>
      <c r="J2" s="109" t="s">
        <v>397</v>
      </c>
      <c r="K2" s="100"/>
      <c r="L2" s="100"/>
      <c r="M2" s="100"/>
      <c r="N2" s="100"/>
      <c r="O2" s="100"/>
      <c r="P2" s="110"/>
    </row>
    <row r="3" spans="1:76" x14ac:dyDescent="0.25">
      <c r="A3" s="101"/>
      <c r="B3" s="102"/>
      <c r="C3" s="102"/>
      <c r="D3" s="107"/>
      <c r="E3" s="107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11"/>
    </row>
    <row r="4" spans="1:76" x14ac:dyDescent="0.25">
      <c r="A4" s="103" t="s">
        <v>4</v>
      </c>
      <c r="B4" s="102"/>
      <c r="C4" s="102"/>
      <c r="D4" s="108" t="s">
        <v>23</v>
      </c>
      <c r="E4" s="102"/>
      <c r="F4" s="102" t="s">
        <v>5</v>
      </c>
      <c r="G4" s="102"/>
      <c r="H4" s="102" t="s">
        <v>23</v>
      </c>
      <c r="I4" s="108" t="s">
        <v>6</v>
      </c>
      <c r="J4" s="108" t="s">
        <v>398</v>
      </c>
      <c r="K4" s="102"/>
      <c r="L4" s="102"/>
      <c r="M4" s="102"/>
      <c r="N4" s="102"/>
      <c r="O4" s="102"/>
      <c r="P4" s="111"/>
    </row>
    <row r="5" spans="1:76" x14ac:dyDescent="0.2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11"/>
    </row>
    <row r="6" spans="1:76" x14ac:dyDescent="0.25">
      <c r="A6" s="103" t="s">
        <v>7</v>
      </c>
      <c r="B6" s="102"/>
      <c r="C6" s="102"/>
      <c r="D6" s="108" t="s">
        <v>23</v>
      </c>
      <c r="E6" s="102"/>
      <c r="F6" s="102" t="s">
        <v>8</v>
      </c>
      <c r="G6" s="102"/>
      <c r="H6" s="102" t="s">
        <v>23</v>
      </c>
      <c r="I6" s="108" t="s">
        <v>9</v>
      </c>
      <c r="J6" s="102" t="s">
        <v>399</v>
      </c>
      <c r="K6" s="102"/>
      <c r="L6" s="102"/>
      <c r="M6" s="102"/>
      <c r="N6" s="102"/>
      <c r="O6" s="102"/>
      <c r="P6" s="111"/>
    </row>
    <row r="7" spans="1:76" x14ac:dyDescent="0.25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11"/>
    </row>
    <row r="8" spans="1:76" x14ac:dyDescent="0.25">
      <c r="A8" s="103" t="s">
        <v>10</v>
      </c>
      <c r="B8" s="102"/>
      <c r="C8" s="102"/>
      <c r="D8" s="108" t="s">
        <v>23</v>
      </c>
      <c r="E8" s="102"/>
      <c r="F8" s="102" t="s">
        <v>11</v>
      </c>
      <c r="G8" s="102"/>
      <c r="H8" s="102" t="s">
        <v>328</v>
      </c>
      <c r="I8" s="108" t="s">
        <v>12</v>
      </c>
      <c r="J8" s="108" t="s">
        <v>400</v>
      </c>
      <c r="K8" s="102"/>
      <c r="L8" s="102"/>
      <c r="M8" s="102"/>
      <c r="N8" s="102"/>
      <c r="O8" s="102"/>
      <c r="P8" s="111"/>
    </row>
    <row r="9" spans="1:76" x14ac:dyDescent="0.25">
      <c r="A9" s="11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22"/>
    </row>
    <row r="10" spans="1:76" x14ac:dyDescent="0.25">
      <c r="A10" s="61" t="s">
        <v>13</v>
      </c>
      <c r="B10" s="62" t="s">
        <v>14</v>
      </c>
      <c r="C10" s="62" t="s">
        <v>15</v>
      </c>
      <c r="D10" s="178" t="s">
        <v>16</v>
      </c>
      <c r="E10" s="179"/>
      <c r="F10" s="62" t="s">
        <v>17</v>
      </c>
      <c r="G10" s="63" t="s">
        <v>18</v>
      </c>
      <c r="H10" s="64" t="s">
        <v>401</v>
      </c>
      <c r="I10" s="65" t="s">
        <v>402</v>
      </c>
      <c r="J10" s="182" t="s">
        <v>403</v>
      </c>
      <c r="K10" s="183"/>
      <c r="L10" s="184"/>
      <c r="M10" s="66" t="s">
        <v>403</v>
      </c>
      <c r="N10" s="185" t="s">
        <v>404</v>
      </c>
      <c r="O10" s="186"/>
      <c r="P10" s="67" t="s">
        <v>405</v>
      </c>
      <c r="BK10" s="16" t="s">
        <v>22</v>
      </c>
      <c r="BL10" s="68" t="s">
        <v>21</v>
      </c>
      <c r="BW10" s="68" t="s">
        <v>406</v>
      </c>
    </row>
    <row r="11" spans="1:76" x14ac:dyDescent="0.25">
      <c r="A11" s="69" t="s">
        <v>23</v>
      </c>
      <c r="B11" s="70" t="s">
        <v>23</v>
      </c>
      <c r="C11" s="70" t="s">
        <v>23</v>
      </c>
      <c r="D11" s="180" t="s">
        <v>407</v>
      </c>
      <c r="E11" s="181"/>
      <c r="F11" s="70" t="s">
        <v>23</v>
      </c>
      <c r="G11" s="70" t="s">
        <v>23</v>
      </c>
      <c r="H11" s="71" t="s">
        <v>408</v>
      </c>
      <c r="I11" s="72" t="s">
        <v>23</v>
      </c>
      <c r="J11" s="73" t="s">
        <v>409</v>
      </c>
      <c r="K11" s="74" t="s">
        <v>350</v>
      </c>
      <c r="L11" s="75" t="s">
        <v>410</v>
      </c>
      <c r="M11" s="76" t="s">
        <v>411</v>
      </c>
      <c r="N11" s="77" t="s">
        <v>412</v>
      </c>
      <c r="O11" s="78" t="s">
        <v>410</v>
      </c>
      <c r="P11" s="79" t="s">
        <v>413</v>
      </c>
      <c r="Z11" s="16" t="s">
        <v>414</v>
      </c>
      <c r="AA11" s="16" t="s">
        <v>415</v>
      </c>
      <c r="AB11" s="16" t="s">
        <v>416</v>
      </c>
      <c r="AC11" s="16" t="s">
        <v>417</v>
      </c>
      <c r="AD11" s="16" t="s">
        <v>418</v>
      </c>
      <c r="AE11" s="16" t="s">
        <v>419</v>
      </c>
      <c r="AF11" s="16" t="s">
        <v>420</v>
      </c>
      <c r="AG11" s="16" t="s">
        <v>421</v>
      </c>
      <c r="AH11" s="16" t="s">
        <v>422</v>
      </c>
      <c r="BH11" s="16" t="s">
        <v>423</v>
      </c>
      <c r="BI11" s="16" t="s">
        <v>424</v>
      </c>
      <c r="BJ11" s="16" t="s">
        <v>425</v>
      </c>
    </row>
    <row r="12" spans="1:76" x14ac:dyDescent="0.25">
      <c r="A12" s="80" t="s">
        <v>25</v>
      </c>
      <c r="B12" s="11" t="s">
        <v>24</v>
      </c>
      <c r="C12" s="11" t="s">
        <v>25</v>
      </c>
      <c r="D12" s="113" t="s">
        <v>26</v>
      </c>
      <c r="E12" s="114"/>
      <c r="F12" s="81" t="s">
        <v>23</v>
      </c>
      <c r="G12" s="81" t="s">
        <v>23</v>
      </c>
      <c r="H12" s="81" t="s">
        <v>23</v>
      </c>
      <c r="I12" s="81" t="s">
        <v>23</v>
      </c>
      <c r="J12" s="82">
        <f>J13</f>
        <v>0</v>
      </c>
      <c r="K12" s="82">
        <f>K13</f>
        <v>0</v>
      </c>
      <c r="L12" s="82">
        <f>L13</f>
        <v>0</v>
      </c>
      <c r="M12" s="82">
        <f>M13</f>
        <v>0</v>
      </c>
      <c r="N12" s="12" t="s">
        <v>25</v>
      </c>
      <c r="O12" s="82">
        <f>O13</f>
        <v>1.116E-2</v>
      </c>
      <c r="P12" s="83" t="s">
        <v>25</v>
      </c>
    </row>
    <row r="13" spans="1:76" x14ac:dyDescent="0.25">
      <c r="A13" s="84" t="s">
        <v>25</v>
      </c>
      <c r="B13" s="15" t="s">
        <v>24</v>
      </c>
      <c r="C13" s="15" t="s">
        <v>27</v>
      </c>
      <c r="D13" s="115" t="s">
        <v>28</v>
      </c>
      <c r="E13" s="116"/>
      <c r="F13" s="85" t="s">
        <v>23</v>
      </c>
      <c r="G13" s="85" t="s">
        <v>23</v>
      </c>
      <c r="H13" s="85" t="s">
        <v>23</v>
      </c>
      <c r="I13" s="85" t="s">
        <v>23</v>
      </c>
      <c r="J13" s="60">
        <f>SUM(J14:J26)</f>
        <v>0</v>
      </c>
      <c r="K13" s="60">
        <f>SUM(K14:K26)</f>
        <v>0</v>
      </c>
      <c r="L13" s="60">
        <f>SUM(L14:L26)</f>
        <v>0</v>
      </c>
      <c r="M13" s="60">
        <f>SUM(M14:M26)</f>
        <v>0</v>
      </c>
      <c r="N13" s="16" t="s">
        <v>25</v>
      </c>
      <c r="O13" s="60">
        <f>SUM(O14:O26)</f>
        <v>1.116E-2</v>
      </c>
      <c r="P13" s="86" t="s">
        <v>25</v>
      </c>
      <c r="AI13" s="16" t="s">
        <v>24</v>
      </c>
      <c r="AS13" s="60">
        <f>SUM(AJ14:AJ26)</f>
        <v>0</v>
      </c>
      <c r="AT13" s="60">
        <f>SUM(AK14:AK26)</f>
        <v>0</v>
      </c>
      <c r="AU13" s="60">
        <f>SUM(AL14:AL26)</f>
        <v>0</v>
      </c>
    </row>
    <row r="14" spans="1:76" x14ac:dyDescent="0.25">
      <c r="A14" s="1" t="s">
        <v>426</v>
      </c>
      <c r="B14" s="2" t="s">
        <v>24</v>
      </c>
      <c r="C14" s="2" t="s">
        <v>29</v>
      </c>
      <c r="D14" s="108" t="s">
        <v>30</v>
      </c>
      <c r="E14" s="102"/>
      <c r="F14" s="2" t="s">
        <v>31</v>
      </c>
      <c r="G14" s="19">
        <f>'Rozpočet - vybrané sloupce'!J13</f>
        <v>3</v>
      </c>
      <c r="H14" s="19">
        <f>'Rozpočet - vybrané sloupce'!K13</f>
        <v>0</v>
      </c>
      <c r="I14" s="87" t="s">
        <v>427</v>
      </c>
      <c r="J14" s="19">
        <f>G14*AO14</f>
        <v>0</v>
      </c>
      <c r="K14" s="19">
        <f>G14*AP14</f>
        <v>0</v>
      </c>
      <c r="L14" s="19">
        <f>G14*H14</f>
        <v>0</v>
      </c>
      <c r="M14" s="19">
        <f>L14*(1+BW14/100)</f>
        <v>0</v>
      </c>
      <c r="N14" s="19">
        <v>2.7999999999999998E-4</v>
      </c>
      <c r="O14" s="19">
        <f>G14*N14</f>
        <v>8.3999999999999993E-4</v>
      </c>
      <c r="P14" s="88" t="s">
        <v>428</v>
      </c>
      <c r="Z14" s="19">
        <f>IF(AQ14="5",BJ14,0)</f>
        <v>0</v>
      </c>
      <c r="AB14" s="19">
        <f>IF(AQ14="1",BH14,0)</f>
        <v>0</v>
      </c>
      <c r="AC14" s="19">
        <f>IF(AQ14="1",BI14,0)</f>
        <v>0</v>
      </c>
      <c r="AD14" s="19">
        <f>IF(AQ14="7",BH14,0)</f>
        <v>0</v>
      </c>
      <c r="AE14" s="19">
        <f>IF(AQ14="7",BI14,0)</f>
        <v>0</v>
      </c>
      <c r="AF14" s="19">
        <f>IF(AQ14="2",BH14,0)</f>
        <v>0</v>
      </c>
      <c r="AG14" s="19">
        <f>IF(AQ14="2",BI14,0)</f>
        <v>0</v>
      </c>
      <c r="AH14" s="19">
        <f>IF(AQ14="0",BJ14,0)</f>
        <v>0</v>
      </c>
      <c r="AI14" s="16" t="s">
        <v>24</v>
      </c>
      <c r="AJ14" s="19">
        <f>IF(AN14=0,L14,0)</f>
        <v>0</v>
      </c>
      <c r="AK14" s="19">
        <f>IF(AN14=12,L14,0)</f>
        <v>0</v>
      </c>
      <c r="AL14" s="19">
        <f>IF(AN14=21,L14,0)</f>
        <v>0</v>
      </c>
      <c r="AN14" s="19">
        <v>12</v>
      </c>
      <c r="AO14" s="19">
        <f>H14*0</f>
        <v>0</v>
      </c>
      <c r="AP14" s="19">
        <f>H14*(1-0)</f>
        <v>0</v>
      </c>
      <c r="AQ14" s="87" t="s">
        <v>429</v>
      </c>
      <c r="AV14" s="19">
        <f>AW14+AX14</f>
        <v>0</v>
      </c>
      <c r="AW14" s="19">
        <f>G14*AO14</f>
        <v>0</v>
      </c>
      <c r="AX14" s="19">
        <f>G14*AP14</f>
        <v>0</v>
      </c>
      <c r="AY14" s="87" t="s">
        <v>430</v>
      </c>
      <c r="AZ14" s="87" t="s">
        <v>431</v>
      </c>
      <c r="BA14" s="16" t="s">
        <v>432</v>
      </c>
      <c r="BC14" s="19">
        <f>AW14+AX14</f>
        <v>0</v>
      </c>
      <c r="BD14" s="19">
        <f>H14/(100-BE14)*100</f>
        <v>0</v>
      </c>
      <c r="BE14" s="19">
        <v>0</v>
      </c>
      <c r="BF14" s="19">
        <f>O14</f>
        <v>8.3999999999999993E-4</v>
      </c>
      <c r="BH14" s="19">
        <f>G14*AO14</f>
        <v>0</v>
      </c>
      <c r="BI14" s="19">
        <f>G14*AP14</f>
        <v>0</v>
      </c>
      <c r="BJ14" s="19">
        <f>G14*H14</f>
        <v>0</v>
      </c>
      <c r="BK14" s="19"/>
      <c r="BL14" s="19">
        <v>722</v>
      </c>
      <c r="BW14" s="19" t="str">
        <f>I14</f>
        <v>12</v>
      </c>
      <c r="BX14" s="4" t="s">
        <v>30</v>
      </c>
    </row>
    <row r="15" spans="1:76" x14ac:dyDescent="0.25">
      <c r="A15" s="1" t="s">
        <v>433</v>
      </c>
      <c r="B15" s="2" t="s">
        <v>24</v>
      </c>
      <c r="C15" s="2" t="s">
        <v>33</v>
      </c>
      <c r="D15" s="108" t="s">
        <v>34</v>
      </c>
      <c r="E15" s="102"/>
      <c r="F15" s="2" t="s">
        <v>31</v>
      </c>
      <c r="G15" s="19">
        <f>'Rozpočet - vybrané sloupce'!J14</f>
        <v>6</v>
      </c>
      <c r="H15" s="19">
        <f>'Rozpočet - vybrané sloupce'!K14</f>
        <v>0</v>
      </c>
      <c r="I15" s="87" t="s">
        <v>427</v>
      </c>
      <c r="J15" s="19">
        <f>G15*AO15</f>
        <v>0</v>
      </c>
      <c r="K15" s="19">
        <f>G15*AP15</f>
        <v>0</v>
      </c>
      <c r="L15" s="19">
        <f>G15*H15</f>
        <v>0</v>
      </c>
      <c r="M15" s="19">
        <f>L15*(1+BW15/100)</f>
        <v>0</v>
      </c>
      <c r="N15" s="19">
        <v>2.9E-4</v>
      </c>
      <c r="O15" s="19">
        <f>G15*N15</f>
        <v>1.74E-3</v>
      </c>
      <c r="P15" s="88" t="s">
        <v>428</v>
      </c>
      <c r="Z15" s="19">
        <f>IF(AQ15="5",BJ15,0)</f>
        <v>0</v>
      </c>
      <c r="AB15" s="19">
        <f>IF(AQ15="1",BH15,0)</f>
        <v>0</v>
      </c>
      <c r="AC15" s="19">
        <f>IF(AQ15="1",BI15,0)</f>
        <v>0</v>
      </c>
      <c r="AD15" s="19">
        <f>IF(AQ15="7",BH15,0)</f>
        <v>0</v>
      </c>
      <c r="AE15" s="19">
        <f>IF(AQ15="7",BI15,0)</f>
        <v>0</v>
      </c>
      <c r="AF15" s="19">
        <f>IF(AQ15="2",BH15,0)</f>
        <v>0</v>
      </c>
      <c r="AG15" s="19">
        <f>IF(AQ15="2",BI15,0)</f>
        <v>0</v>
      </c>
      <c r="AH15" s="19">
        <f>IF(AQ15="0",BJ15,0)</f>
        <v>0</v>
      </c>
      <c r="AI15" s="16" t="s">
        <v>24</v>
      </c>
      <c r="AJ15" s="19">
        <f>IF(AN15=0,L15,0)</f>
        <v>0</v>
      </c>
      <c r="AK15" s="19">
        <f>IF(AN15=12,L15,0)</f>
        <v>0</v>
      </c>
      <c r="AL15" s="19">
        <f>IF(AN15=21,L15,0)</f>
        <v>0</v>
      </c>
      <c r="AN15" s="19">
        <v>12</v>
      </c>
      <c r="AO15" s="19">
        <f>H15*0</f>
        <v>0</v>
      </c>
      <c r="AP15" s="19">
        <f>H15*(1-0)</f>
        <v>0</v>
      </c>
      <c r="AQ15" s="87" t="s">
        <v>429</v>
      </c>
      <c r="AV15" s="19">
        <f>AW15+AX15</f>
        <v>0</v>
      </c>
      <c r="AW15" s="19">
        <f>G15*AO15</f>
        <v>0</v>
      </c>
      <c r="AX15" s="19">
        <f>G15*AP15</f>
        <v>0</v>
      </c>
      <c r="AY15" s="87" t="s">
        <v>430</v>
      </c>
      <c r="AZ15" s="87" t="s">
        <v>431</v>
      </c>
      <c r="BA15" s="16" t="s">
        <v>432</v>
      </c>
      <c r="BC15" s="19">
        <f>AW15+AX15</f>
        <v>0</v>
      </c>
      <c r="BD15" s="19">
        <f>H15/(100-BE15)*100</f>
        <v>0</v>
      </c>
      <c r="BE15" s="19">
        <v>0</v>
      </c>
      <c r="BF15" s="19">
        <f>O15</f>
        <v>1.74E-3</v>
      </c>
      <c r="BH15" s="19">
        <f>G15*AO15</f>
        <v>0</v>
      </c>
      <c r="BI15" s="19">
        <f>G15*AP15</f>
        <v>0</v>
      </c>
      <c r="BJ15" s="19">
        <f>G15*H15</f>
        <v>0</v>
      </c>
      <c r="BK15" s="19"/>
      <c r="BL15" s="19">
        <v>722</v>
      </c>
      <c r="BW15" s="19" t="str">
        <f>I15</f>
        <v>12</v>
      </c>
      <c r="BX15" s="4" t="s">
        <v>34</v>
      </c>
    </row>
    <row r="16" spans="1:76" x14ac:dyDescent="0.25">
      <c r="A16" s="1" t="s">
        <v>434</v>
      </c>
      <c r="B16" s="2" t="s">
        <v>24</v>
      </c>
      <c r="C16" s="2" t="s">
        <v>35</v>
      </c>
      <c r="D16" s="108" t="s">
        <v>36</v>
      </c>
      <c r="E16" s="102"/>
      <c r="F16" s="2" t="s">
        <v>31</v>
      </c>
      <c r="G16" s="19">
        <f>'Rozpočet - vybrané sloupce'!J15</f>
        <v>3</v>
      </c>
      <c r="H16" s="19">
        <f>'Rozpočet - vybrané sloupce'!K15</f>
        <v>0</v>
      </c>
      <c r="I16" s="87" t="s">
        <v>427</v>
      </c>
      <c r="J16" s="19">
        <f>G16*AO16</f>
        <v>0</v>
      </c>
      <c r="K16" s="19">
        <f>G16*AP16</f>
        <v>0</v>
      </c>
      <c r="L16" s="19">
        <f>G16*H16</f>
        <v>0</v>
      </c>
      <c r="M16" s="19">
        <f>L16*(1+BW16/100)</f>
        <v>0</v>
      </c>
      <c r="N16" s="19">
        <v>5.2999999999999998E-4</v>
      </c>
      <c r="O16" s="19">
        <f>G16*N16</f>
        <v>1.5899999999999998E-3</v>
      </c>
      <c r="P16" s="88" t="s">
        <v>428</v>
      </c>
      <c r="Z16" s="19">
        <f>IF(AQ16="5",BJ16,0)</f>
        <v>0</v>
      </c>
      <c r="AB16" s="19">
        <f>IF(AQ16="1",BH16,0)</f>
        <v>0</v>
      </c>
      <c r="AC16" s="19">
        <f>IF(AQ16="1",BI16,0)</f>
        <v>0</v>
      </c>
      <c r="AD16" s="19">
        <f>IF(AQ16="7",BH16,0)</f>
        <v>0</v>
      </c>
      <c r="AE16" s="19">
        <f>IF(AQ16="7",BI16,0)</f>
        <v>0</v>
      </c>
      <c r="AF16" s="19">
        <f>IF(AQ16="2",BH16,0)</f>
        <v>0</v>
      </c>
      <c r="AG16" s="19">
        <f>IF(AQ16="2",BI16,0)</f>
        <v>0</v>
      </c>
      <c r="AH16" s="19">
        <f>IF(AQ16="0",BJ16,0)</f>
        <v>0</v>
      </c>
      <c r="AI16" s="16" t="s">
        <v>24</v>
      </c>
      <c r="AJ16" s="19">
        <f>IF(AN16=0,L16,0)</f>
        <v>0</v>
      </c>
      <c r="AK16" s="19">
        <f>IF(AN16=12,L16,0)</f>
        <v>0</v>
      </c>
      <c r="AL16" s="19">
        <f>IF(AN16=21,L16,0)</f>
        <v>0</v>
      </c>
      <c r="AN16" s="19">
        <v>12</v>
      </c>
      <c r="AO16" s="19">
        <f>H16*0.499013323</f>
        <v>0</v>
      </c>
      <c r="AP16" s="19">
        <f>H16*(1-0.499013323)</f>
        <v>0</v>
      </c>
      <c r="AQ16" s="87" t="s">
        <v>429</v>
      </c>
      <c r="AV16" s="19">
        <f>AW16+AX16</f>
        <v>0</v>
      </c>
      <c r="AW16" s="19">
        <f>G16*AO16</f>
        <v>0</v>
      </c>
      <c r="AX16" s="19">
        <f>G16*AP16</f>
        <v>0</v>
      </c>
      <c r="AY16" s="87" t="s">
        <v>430</v>
      </c>
      <c r="AZ16" s="87" t="s">
        <v>431</v>
      </c>
      <c r="BA16" s="16" t="s">
        <v>432</v>
      </c>
      <c r="BC16" s="19">
        <f>AW16+AX16</f>
        <v>0</v>
      </c>
      <c r="BD16" s="19">
        <f>H16/(100-BE16)*100</f>
        <v>0</v>
      </c>
      <c r="BE16" s="19">
        <v>0</v>
      </c>
      <c r="BF16" s="19">
        <f>O16</f>
        <v>1.5899999999999998E-3</v>
      </c>
      <c r="BH16" s="19">
        <f>G16*AO16</f>
        <v>0</v>
      </c>
      <c r="BI16" s="19">
        <f>G16*AP16</f>
        <v>0</v>
      </c>
      <c r="BJ16" s="19">
        <f>G16*H16</f>
        <v>0</v>
      </c>
      <c r="BK16" s="19"/>
      <c r="BL16" s="19">
        <v>722</v>
      </c>
      <c r="BW16" s="19" t="str">
        <f>I16</f>
        <v>12</v>
      </c>
      <c r="BX16" s="4" t="s">
        <v>36</v>
      </c>
    </row>
    <row r="17" spans="1:76" x14ac:dyDescent="0.25">
      <c r="A17" s="1" t="s">
        <v>435</v>
      </c>
      <c r="B17" s="2" t="s">
        <v>24</v>
      </c>
      <c r="C17" s="2" t="s">
        <v>37</v>
      </c>
      <c r="D17" s="108" t="s">
        <v>38</v>
      </c>
      <c r="E17" s="102"/>
      <c r="F17" s="2" t="s">
        <v>31</v>
      </c>
      <c r="G17" s="19">
        <f>'Rozpočet - vybrané sloupce'!J16</f>
        <v>6</v>
      </c>
      <c r="H17" s="19">
        <f>'Rozpočet - vybrané sloupce'!K16</f>
        <v>0</v>
      </c>
      <c r="I17" s="87" t="s">
        <v>427</v>
      </c>
      <c r="J17" s="19">
        <f>G17*AO17</f>
        <v>0</v>
      </c>
      <c r="K17" s="19">
        <f>G17*AP17</f>
        <v>0</v>
      </c>
      <c r="L17" s="19">
        <f>G17*H17</f>
        <v>0</v>
      </c>
      <c r="M17" s="19">
        <f>L17*(1+BW17/100)</f>
        <v>0</v>
      </c>
      <c r="N17" s="19">
        <v>1.0200000000000001E-3</v>
      </c>
      <c r="O17" s="19">
        <f>G17*N17</f>
        <v>6.1200000000000004E-3</v>
      </c>
      <c r="P17" s="88" t="s">
        <v>428</v>
      </c>
      <c r="Z17" s="19">
        <f>IF(AQ17="5",BJ17,0)</f>
        <v>0</v>
      </c>
      <c r="AB17" s="19">
        <f>IF(AQ17="1",BH17,0)</f>
        <v>0</v>
      </c>
      <c r="AC17" s="19">
        <f>IF(AQ17="1",BI17,0)</f>
        <v>0</v>
      </c>
      <c r="AD17" s="19">
        <f>IF(AQ17="7",BH17,0)</f>
        <v>0</v>
      </c>
      <c r="AE17" s="19">
        <f>IF(AQ17="7",BI17,0)</f>
        <v>0</v>
      </c>
      <c r="AF17" s="19">
        <f>IF(AQ17="2",BH17,0)</f>
        <v>0</v>
      </c>
      <c r="AG17" s="19">
        <f>IF(AQ17="2",BI17,0)</f>
        <v>0</v>
      </c>
      <c r="AH17" s="19">
        <f>IF(AQ17="0",BJ17,0)</f>
        <v>0</v>
      </c>
      <c r="AI17" s="16" t="s">
        <v>24</v>
      </c>
      <c r="AJ17" s="19">
        <f>IF(AN17=0,L17,0)</f>
        <v>0</v>
      </c>
      <c r="AK17" s="19">
        <f>IF(AN17=12,L17,0)</f>
        <v>0</v>
      </c>
      <c r="AL17" s="19">
        <f>IF(AN17=21,L17,0)</f>
        <v>0</v>
      </c>
      <c r="AN17" s="19">
        <v>12</v>
      </c>
      <c r="AO17" s="19">
        <f>H17*0.679747138</f>
        <v>0</v>
      </c>
      <c r="AP17" s="19">
        <f>H17*(1-0.679747138)</f>
        <v>0</v>
      </c>
      <c r="AQ17" s="87" t="s">
        <v>429</v>
      </c>
      <c r="AV17" s="19">
        <f>AW17+AX17</f>
        <v>0</v>
      </c>
      <c r="AW17" s="19">
        <f>G17*AO17</f>
        <v>0</v>
      </c>
      <c r="AX17" s="19">
        <f>G17*AP17</f>
        <v>0</v>
      </c>
      <c r="AY17" s="87" t="s">
        <v>430</v>
      </c>
      <c r="AZ17" s="87" t="s">
        <v>431</v>
      </c>
      <c r="BA17" s="16" t="s">
        <v>432</v>
      </c>
      <c r="BC17" s="19">
        <f>AW17+AX17</f>
        <v>0</v>
      </c>
      <c r="BD17" s="19">
        <f>H17/(100-BE17)*100</f>
        <v>0</v>
      </c>
      <c r="BE17" s="19">
        <v>0</v>
      </c>
      <c r="BF17" s="19">
        <f>O17</f>
        <v>6.1200000000000004E-3</v>
      </c>
      <c r="BH17" s="19">
        <f>G17*AO17</f>
        <v>0</v>
      </c>
      <c r="BI17" s="19">
        <f>G17*AP17</f>
        <v>0</v>
      </c>
      <c r="BJ17" s="19">
        <f>G17*H17</f>
        <v>0</v>
      </c>
      <c r="BK17" s="19"/>
      <c r="BL17" s="19">
        <v>722</v>
      </c>
      <c r="BW17" s="19" t="str">
        <f>I17</f>
        <v>12</v>
      </c>
      <c r="BX17" s="4" t="s">
        <v>38</v>
      </c>
    </row>
    <row r="18" spans="1:76" x14ac:dyDescent="0.25">
      <c r="A18" s="1" t="s">
        <v>436</v>
      </c>
      <c r="B18" s="2" t="s">
        <v>24</v>
      </c>
      <c r="C18" s="2" t="s">
        <v>39</v>
      </c>
      <c r="D18" s="108" t="s">
        <v>40</v>
      </c>
      <c r="E18" s="102"/>
      <c r="F18" s="2" t="s">
        <v>31</v>
      </c>
      <c r="G18" s="19">
        <f>'Rozpočet - vybrané sloupce'!J17</f>
        <v>3</v>
      </c>
      <c r="H18" s="19">
        <f>'Rozpočet - vybrané sloupce'!K17</f>
        <v>0</v>
      </c>
      <c r="I18" s="87" t="s">
        <v>427</v>
      </c>
      <c r="J18" s="19">
        <f>G18*AO18</f>
        <v>0</v>
      </c>
      <c r="K18" s="19">
        <f>G18*AP18</f>
        <v>0</v>
      </c>
      <c r="L18" s="19">
        <f>G18*H18</f>
        <v>0</v>
      </c>
      <c r="M18" s="19">
        <f>L18*(1+BW18/100)</f>
        <v>0</v>
      </c>
      <c r="N18" s="19">
        <v>9.0000000000000006E-5</v>
      </c>
      <c r="O18" s="19">
        <f>G18*N18</f>
        <v>2.7E-4</v>
      </c>
      <c r="P18" s="88" t="s">
        <v>428</v>
      </c>
      <c r="Z18" s="19">
        <f>IF(AQ18="5",BJ18,0)</f>
        <v>0</v>
      </c>
      <c r="AB18" s="19">
        <f>IF(AQ18="1",BH18,0)</f>
        <v>0</v>
      </c>
      <c r="AC18" s="19">
        <f>IF(AQ18="1",BI18,0)</f>
        <v>0</v>
      </c>
      <c r="AD18" s="19">
        <f>IF(AQ18="7",BH18,0)</f>
        <v>0</v>
      </c>
      <c r="AE18" s="19">
        <f>IF(AQ18="7",BI18,0)</f>
        <v>0</v>
      </c>
      <c r="AF18" s="19">
        <f>IF(AQ18="2",BH18,0)</f>
        <v>0</v>
      </c>
      <c r="AG18" s="19">
        <f>IF(AQ18="2",BI18,0)</f>
        <v>0</v>
      </c>
      <c r="AH18" s="19">
        <f>IF(AQ18="0",BJ18,0)</f>
        <v>0</v>
      </c>
      <c r="AI18" s="16" t="s">
        <v>24</v>
      </c>
      <c r="AJ18" s="19">
        <f>IF(AN18=0,L18,0)</f>
        <v>0</v>
      </c>
      <c r="AK18" s="19">
        <f>IF(AN18=12,L18,0)</f>
        <v>0</v>
      </c>
      <c r="AL18" s="19">
        <f>IF(AN18=21,L18,0)</f>
        <v>0</v>
      </c>
      <c r="AN18" s="19">
        <v>12</v>
      </c>
      <c r="AO18" s="19">
        <f>H18*0.255581395</f>
        <v>0</v>
      </c>
      <c r="AP18" s="19">
        <f>H18*(1-0.255581395)</f>
        <v>0</v>
      </c>
      <c r="AQ18" s="87" t="s">
        <v>429</v>
      </c>
      <c r="AV18" s="19">
        <f>AW18+AX18</f>
        <v>0</v>
      </c>
      <c r="AW18" s="19">
        <f>G18*AO18</f>
        <v>0</v>
      </c>
      <c r="AX18" s="19">
        <f>G18*AP18</f>
        <v>0</v>
      </c>
      <c r="AY18" s="87" t="s">
        <v>430</v>
      </c>
      <c r="AZ18" s="87" t="s">
        <v>431</v>
      </c>
      <c r="BA18" s="16" t="s">
        <v>432</v>
      </c>
      <c r="BC18" s="19">
        <f>AW18+AX18</f>
        <v>0</v>
      </c>
      <c r="BD18" s="19">
        <f>H18/(100-BE18)*100</f>
        <v>0</v>
      </c>
      <c r="BE18" s="19">
        <v>0</v>
      </c>
      <c r="BF18" s="19">
        <f>O18</f>
        <v>2.7E-4</v>
      </c>
      <c r="BH18" s="19">
        <f>G18*AO18</f>
        <v>0</v>
      </c>
      <c r="BI18" s="19">
        <f>G18*AP18</f>
        <v>0</v>
      </c>
      <c r="BJ18" s="19">
        <f>G18*H18</f>
        <v>0</v>
      </c>
      <c r="BK18" s="19"/>
      <c r="BL18" s="19">
        <v>722</v>
      </c>
      <c r="BW18" s="19" t="str">
        <f>I18</f>
        <v>12</v>
      </c>
      <c r="BX18" s="4" t="s">
        <v>40</v>
      </c>
    </row>
    <row r="19" spans="1:76" x14ac:dyDescent="0.25">
      <c r="A19" s="89"/>
      <c r="C19" s="90" t="s">
        <v>437</v>
      </c>
      <c r="D19" s="187" t="s">
        <v>438</v>
      </c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9"/>
      <c r="BX19" s="91" t="s">
        <v>438</v>
      </c>
    </row>
    <row r="20" spans="1:76" x14ac:dyDescent="0.25">
      <c r="A20" s="1" t="s">
        <v>439</v>
      </c>
      <c r="B20" s="2" t="s">
        <v>24</v>
      </c>
      <c r="C20" s="2" t="s">
        <v>41</v>
      </c>
      <c r="D20" s="108" t="s">
        <v>42</v>
      </c>
      <c r="E20" s="102"/>
      <c r="F20" s="2" t="s">
        <v>31</v>
      </c>
      <c r="G20" s="19">
        <f>'Rozpočet - vybrané sloupce'!J18</f>
        <v>3</v>
      </c>
      <c r="H20" s="19">
        <f>'Rozpočet - vybrané sloupce'!K18</f>
        <v>0</v>
      </c>
      <c r="I20" s="87" t="s">
        <v>427</v>
      </c>
      <c r="J20" s="19">
        <f>G20*AO20</f>
        <v>0</v>
      </c>
      <c r="K20" s="19">
        <f>G20*AP20</f>
        <v>0</v>
      </c>
      <c r="L20" s="19">
        <f>G20*H20</f>
        <v>0</v>
      </c>
      <c r="M20" s="19">
        <f>L20*(1+BW20/100)</f>
        <v>0</v>
      </c>
      <c r="N20" s="19">
        <v>6.9999999999999994E-5</v>
      </c>
      <c r="O20" s="19">
        <f>G20*N20</f>
        <v>2.0999999999999998E-4</v>
      </c>
      <c r="P20" s="88" t="s">
        <v>428</v>
      </c>
      <c r="Z20" s="19">
        <f>IF(AQ20="5",BJ20,0)</f>
        <v>0</v>
      </c>
      <c r="AB20" s="19">
        <f>IF(AQ20="1",BH20,0)</f>
        <v>0</v>
      </c>
      <c r="AC20" s="19">
        <f>IF(AQ20="1",BI20,0)</f>
        <v>0</v>
      </c>
      <c r="AD20" s="19">
        <f>IF(AQ20="7",BH20,0)</f>
        <v>0</v>
      </c>
      <c r="AE20" s="19">
        <f>IF(AQ20="7",BI20,0)</f>
        <v>0</v>
      </c>
      <c r="AF20" s="19">
        <f>IF(AQ20="2",BH20,0)</f>
        <v>0</v>
      </c>
      <c r="AG20" s="19">
        <f>IF(AQ20="2",BI20,0)</f>
        <v>0</v>
      </c>
      <c r="AH20" s="19">
        <f>IF(AQ20="0",BJ20,0)</f>
        <v>0</v>
      </c>
      <c r="AI20" s="16" t="s">
        <v>24</v>
      </c>
      <c r="AJ20" s="19">
        <f>IF(AN20=0,L20,0)</f>
        <v>0</v>
      </c>
      <c r="AK20" s="19">
        <f>IF(AN20=12,L20,0)</f>
        <v>0</v>
      </c>
      <c r="AL20" s="19">
        <f>IF(AN20=21,L20,0)</f>
        <v>0</v>
      </c>
      <c r="AN20" s="19">
        <v>12</v>
      </c>
      <c r="AO20" s="19">
        <f>H20*0.523433468</f>
        <v>0</v>
      </c>
      <c r="AP20" s="19">
        <f>H20*(1-0.523433468)</f>
        <v>0</v>
      </c>
      <c r="AQ20" s="87" t="s">
        <v>429</v>
      </c>
      <c r="AV20" s="19">
        <f>AW20+AX20</f>
        <v>0</v>
      </c>
      <c r="AW20" s="19">
        <f>G20*AO20</f>
        <v>0</v>
      </c>
      <c r="AX20" s="19">
        <f>G20*AP20</f>
        <v>0</v>
      </c>
      <c r="AY20" s="87" t="s">
        <v>430</v>
      </c>
      <c r="AZ20" s="87" t="s">
        <v>431</v>
      </c>
      <c r="BA20" s="16" t="s">
        <v>432</v>
      </c>
      <c r="BC20" s="19">
        <f>AW20+AX20</f>
        <v>0</v>
      </c>
      <c r="BD20" s="19">
        <f>H20/(100-BE20)*100</f>
        <v>0</v>
      </c>
      <c r="BE20" s="19">
        <v>0</v>
      </c>
      <c r="BF20" s="19">
        <f>O20</f>
        <v>2.0999999999999998E-4</v>
      </c>
      <c r="BH20" s="19">
        <f>G20*AO20</f>
        <v>0</v>
      </c>
      <c r="BI20" s="19">
        <f>G20*AP20</f>
        <v>0</v>
      </c>
      <c r="BJ20" s="19">
        <f>G20*H20</f>
        <v>0</v>
      </c>
      <c r="BK20" s="19"/>
      <c r="BL20" s="19">
        <v>722</v>
      </c>
      <c r="BW20" s="19" t="str">
        <f>I20</f>
        <v>12</v>
      </c>
      <c r="BX20" s="4" t="s">
        <v>42</v>
      </c>
    </row>
    <row r="21" spans="1:76" x14ac:dyDescent="0.25">
      <c r="A21" s="89"/>
      <c r="C21" s="90" t="s">
        <v>437</v>
      </c>
      <c r="D21" s="187" t="s">
        <v>438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9"/>
      <c r="BX21" s="91" t="s">
        <v>438</v>
      </c>
    </row>
    <row r="22" spans="1:76" x14ac:dyDescent="0.25">
      <c r="A22" s="1" t="s">
        <v>429</v>
      </c>
      <c r="B22" s="2" t="s">
        <v>24</v>
      </c>
      <c r="C22" s="2" t="s">
        <v>43</v>
      </c>
      <c r="D22" s="108" t="s">
        <v>44</v>
      </c>
      <c r="E22" s="102"/>
      <c r="F22" s="2" t="s">
        <v>31</v>
      </c>
      <c r="G22" s="19">
        <f>'Rozpočet - vybrané sloupce'!J19</f>
        <v>3</v>
      </c>
      <c r="H22" s="19">
        <f>'Rozpočet - vybrané sloupce'!K19</f>
        <v>0</v>
      </c>
      <c r="I22" s="87" t="s">
        <v>427</v>
      </c>
      <c r="J22" s="19">
        <f>G22*AO22</f>
        <v>0</v>
      </c>
      <c r="K22" s="19">
        <f>G22*AP22</f>
        <v>0</v>
      </c>
      <c r="L22" s="19">
        <f>G22*H22</f>
        <v>0</v>
      </c>
      <c r="M22" s="19">
        <f>L22*(1+BW22/100)</f>
        <v>0</v>
      </c>
      <c r="N22" s="19">
        <v>1.2999999999999999E-4</v>
      </c>
      <c r="O22" s="19">
        <f>G22*N22</f>
        <v>3.8999999999999994E-4</v>
      </c>
      <c r="P22" s="88" t="s">
        <v>428</v>
      </c>
      <c r="Z22" s="19">
        <f>IF(AQ22="5",BJ22,0)</f>
        <v>0</v>
      </c>
      <c r="AB22" s="19">
        <f>IF(AQ22="1",BH22,0)</f>
        <v>0</v>
      </c>
      <c r="AC22" s="19">
        <f>IF(AQ22="1",BI22,0)</f>
        <v>0</v>
      </c>
      <c r="AD22" s="19">
        <f>IF(AQ22="7",BH22,0)</f>
        <v>0</v>
      </c>
      <c r="AE22" s="19">
        <f>IF(AQ22="7",BI22,0)</f>
        <v>0</v>
      </c>
      <c r="AF22" s="19">
        <f>IF(AQ22="2",BH22,0)</f>
        <v>0</v>
      </c>
      <c r="AG22" s="19">
        <f>IF(AQ22="2",BI22,0)</f>
        <v>0</v>
      </c>
      <c r="AH22" s="19">
        <f>IF(AQ22="0",BJ22,0)</f>
        <v>0</v>
      </c>
      <c r="AI22" s="16" t="s">
        <v>24</v>
      </c>
      <c r="AJ22" s="19">
        <f>IF(AN22=0,L22,0)</f>
        <v>0</v>
      </c>
      <c r="AK22" s="19">
        <f>IF(AN22=12,L22,0)</f>
        <v>0</v>
      </c>
      <c r="AL22" s="19">
        <f>IF(AN22=21,L22,0)</f>
        <v>0</v>
      </c>
      <c r="AN22" s="19">
        <v>12</v>
      </c>
      <c r="AO22" s="19">
        <f>H22*0.526485197</f>
        <v>0</v>
      </c>
      <c r="AP22" s="19">
        <f>H22*(1-0.526485197)</f>
        <v>0</v>
      </c>
      <c r="AQ22" s="87" t="s">
        <v>429</v>
      </c>
      <c r="AV22" s="19">
        <f>AW22+AX22</f>
        <v>0</v>
      </c>
      <c r="AW22" s="19">
        <f>G22*AO22</f>
        <v>0</v>
      </c>
      <c r="AX22" s="19">
        <f>G22*AP22</f>
        <v>0</v>
      </c>
      <c r="AY22" s="87" t="s">
        <v>430</v>
      </c>
      <c r="AZ22" s="87" t="s">
        <v>431</v>
      </c>
      <c r="BA22" s="16" t="s">
        <v>432</v>
      </c>
      <c r="BC22" s="19">
        <f>AW22+AX22</f>
        <v>0</v>
      </c>
      <c r="BD22" s="19">
        <f>H22/(100-BE22)*100</f>
        <v>0</v>
      </c>
      <c r="BE22" s="19">
        <v>0</v>
      </c>
      <c r="BF22" s="19">
        <f>O22</f>
        <v>3.8999999999999994E-4</v>
      </c>
      <c r="BH22" s="19">
        <f>G22*AO22</f>
        <v>0</v>
      </c>
      <c r="BI22" s="19">
        <f>G22*AP22</f>
        <v>0</v>
      </c>
      <c r="BJ22" s="19">
        <f>G22*H22</f>
        <v>0</v>
      </c>
      <c r="BK22" s="19"/>
      <c r="BL22" s="19">
        <v>722</v>
      </c>
      <c r="BW22" s="19" t="str">
        <f>I22</f>
        <v>12</v>
      </c>
      <c r="BX22" s="4" t="s">
        <v>44</v>
      </c>
    </row>
    <row r="23" spans="1:76" x14ac:dyDescent="0.25">
      <c r="A23" s="89"/>
      <c r="C23" s="90" t="s">
        <v>437</v>
      </c>
      <c r="D23" s="187" t="s">
        <v>438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9"/>
      <c r="BX23" s="91" t="s">
        <v>438</v>
      </c>
    </row>
    <row r="24" spans="1:76" x14ac:dyDescent="0.25">
      <c r="A24" s="1" t="s">
        <v>440</v>
      </c>
      <c r="B24" s="2" t="s">
        <v>24</v>
      </c>
      <c r="C24" s="2" t="s">
        <v>45</v>
      </c>
      <c r="D24" s="108" t="s">
        <v>46</v>
      </c>
      <c r="E24" s="102"/>
      <c r="F24" s="2" t="s">
        <v>31</v>
      </c>
      <c r="G24" s="19">
        <f>'Rozpočet - vybrané sloupce'!J20</f>
        <v>3</v>
      </c>
      <c r="H24" s="19">
        <f>'Rozpočet - vybrané sloupce'!K20</f>
        <v>0</v>
      </c>
      <c r="I24" s="87" t="s">
        <v>427</v>
      </c>
      <c r="J24" s="19">
        <f>G24*AO24</f>
        <v>0</v>
      </c>
      <c r="K24" s="19">
        <f>G24*AP24</f>
        <v>0</v>
      </c>
      <c r="L24" s="19">
        <f>G24*H24</f>
        <v>0</v>
      </c>
      <c r="M24" s="19">
        <f>L24*(1+BW24/100)</f>
        <v>0</v>
      </c>
      <c r="N24" s="19">
        <v>0</v>
      </c>
      <c r="O24" s="19">
        <f>G24*N24</f>
        <v>0</v>
      </c>
      <c r="P24" s="88" t="s">
        <v>428</v>
      </c>
      <c r="Z24" s="19">
        <f>IF(AQ24="5",BJ24,0)</f>
        <v>0</v>
      </c>
      <c r="AB24" s="19">
        <f>IF(AQ24="1",BH24,0)</f>
        <v>0</v>
      </c>
      <c r="AC24" s="19">
        <f>IF(AQ24="1",BI24,0)</f>
        <v>0</v>
      </c>
      <c r="AD24" s="19">
        <f>IF(AQ24="7",BH24,0)</f>
        <v>0</v>
      </c>
      <c r="AE24" s="19">
        <f>IF(AQ24="7",BI24,0)</f>
        <v>0</v>
      </c>
      <c r="AF24" s="19">
        <f>IF(AQ24="2",BH24,0)</f>
        <v>0</v>
      </c>
      <c r="AG24" s="19">
        <f>IF(AQ24="2",BI24,0)</f>
        <v>0</v>
      </c>
      <c r="AH24" s="19">
        <f>IF(AQ24="0",BJ24,0)</f>
        <v>0</v>
      </c>
      <c r="AI24" s="16" t="s">
        <v>24</v>
      </c>
      <c r="AJ24" s="19">
        <f>IF(AN24=0,L24,0)</f>
        <v>0</v>
      </c>
      <c r="AK24" s="19">
        <f>IF(AN24=12,L24,0)</f>
        <v>0</v>
      </c>
      <c r="AL24" s="19">
        <f>IF(AN24=21,L24,0)</f>
        <v>0</v>
      </c>
      <c r="AN24" s="19">
        <v>12</v>
      </c>
      <c r="AO24" s="19">
        <f>H24*0.014949153</f>
        <v>0</v>
      </c>
      <c r="AP24" s="19">
        <f>H24*(1-0.014949153)</f>
        <v>0</v>
      </c>
      <c r="AQ24" s="87" t="s">
        <v>429</v>
      </c>
      <c r="AV24" s="19">
        <f>AW24+AX24</f>
        <v>0</v>
      </c>
      <c r="AW24" s="19">
        <f>G24*AO24</f>
        <v>0</v>
      </c>
      <c r="AX24" s="19">
        <f>G24*AP24</f>
        <v>0</v>
      </c>
      <c r="AY24" s="87" t="s">
        <v>430</v>
      </c>
      <c r="AZ24" s="87" t="s">
        <v>431</v>
      </c>
      <c r="BA24" s="16" t="s">
        <v>432</v>
      </c>
      <c r="BC24" s="19">
        <f>AW24+AX24</f>
        <v>0</v>
      </c>
      <c r="BD24" s="19">
        <f>H24/(100-BE24)*100</f>
        <v>0</v>
      </c>
      <c r="BE24" s="19">
        <v>0</v>
      </c>
      <c r="BF24" s="19">
        <f>O24</f>
        <v>0</v>
      </c>
      <c r="BH24" s="19">
        <f>G24*AO24</f>
        <v>0</v>
      </c>
      <c r="BI24" s="19">
        <f>G24*AP24</f>
        <v>0</v>
      </c>
      <c r="BJ24" s="19">
        <f>G24*H24</f>
        <v>0</v>
      </c>
      <c r="BK24" s="19"/>
      <c r="BL24" s="19">
        <v>722</v>
      </c>
      <c r="BW24" s="19" t="str">
        <f>I24</f>
        <v>12</v>
      </c>
      <c r="BX24" s="4" t="s">
        <v>46</v>
      </c>
    </row>
    <row r="25" spans="1:76" x14ac:dyDescent="0.25">
      <c r="A25" s="1" t="s">
        <v>441</v>
      </c>
      <c r="B25" s="2" t="s">
        <v>24</v>
      </c>
      <c r="C25" s="2" t="s">
        <v>47</v>
      </c>
      <c r="D25" s="108" t="s">
        <v>48</v>
      </c>
      <c r="E25" s="102"/>
      <c r="F25" s="2" t="s">
        <v>31</v>
      </c>
      <c r="G25" s="19">
        <f>'Rozpočet - vybrané sloupce'!J21</f>
        <v>6</v>
      </c>
      <c r="H25" s="19">
        <f>'Rozpočet - vybrané sloupce'!K21</f>
        <v>0</v>
      </c>
      <c r="I25" s="87" t="s">
        <v>427</v>
      </c>
      <c r="J25" s="19">
        <f>G25*AO25</f>
        <v>0</v>
      </c>
      <c r="K25" s="19">
        <f>G25*AP25</f>
        <v>0</v>
      </c>
      <c r="L25" s="19">
        <f>G25*H25</f>
        <v>0</v>
      </c>
      <c r="M25" s="19">
        <f>L25*(1+BW25/100)</f>
        <v>0</v>
      </c>
      <c r="N25" s="19">
        <v>0</v>
      </c>
      <c r="O25" s="19">
        <f>G25*N25</f>
        <v>0</v>
      </c>
      <c r="P25" s="88" t="s">
        <v>428</v>
      </c>
      <c r="Z25" s="19">
        <f>IF(AQ25="5",BJ25,0)</f>
        <v>0</v>
      </c>
      <c r="AB25" s="19">
        <f>IF(AQ25="1",BH25,0)</f>
        <v>0</v>
      </c>
      <c r="AC25" s="19">
        <f>IF(AQ25="1",BI25,0)</f>
        <v>0</v>
      </c>
      <c r="AD25" s="19">
        <f>IF(AQ25="7",BH25,0)</f>
        <v>0</v>
      </c>
      <c r="AE25" s="19">
        <f>IF(AQ25="7",BI25,0)</f>
        <v>0</v>
      </c>
      <c r="AF25" s="19">
        <f>IF(AQ25="2",BH25,0)</f>
        <v>0</v>
      </c>
      <c r="AG25" s="19">
        <f>IF(AQ25="2",BI25,0)</f>
        <v>0</v>
      </c>
      <c r="AH25" s="19">
        <f>IF(AQ25="0",BJ25,0)</f>
        <v>0</v>
      </c>
      <c r="AI25" s="16" t="s">
        <v>24</v>
      </c>
      <c r="AJ25" s="19">
        <f>IF(AN25=0,L25,0)</f>
        <v>0</v>
      </c>
      <c r="AK25" s="19">
        <f>IF(AN25=12,L25,0)</f>
        <v>0</v>
      </c>
      <c r="AL25" s="19">
        <f>IF(AN25=21,L25,0)</f>
        <v>0</v>
      </c>
      <c r="AN25" s="19">
        <v>12</v>
      </c>
      <c r="AO25" s="19">
        <f>H25*0.016866142</f>
        <v>0</v>
      </c>
      <c r="AP25" s="19">
        <f>H25*(1-0.016866142)</f>
        <v>0</v>
      </c>
      <c r="AQ25" s="87" t="s">
        <v>429</v>
      </c>
      <c r="AV25" s="19">
        <f>AW25+AX25</f>
        <v>0</v>
      </c>
      <c r="AW25" s="19">
        <f>G25*AO25</f>
        <v>0</v>
      </c>
      <c r="AX25" s="19">
        <f>G25*AP25</f>
        <v>0</v>
      </c>
      <c r="AY25" s="87" t="s">
        <v>430</v>
      </c>
      <c r="AZ25" s="87" t="s">
        <v>431</v>
      </c>
      <c r="BA25" s="16" t="s">
        <v>432</v>
      </c>
      <c r="BC25" s="19">
        <f>AW25+AX25</f>
        <v>0</v>
      </c>
      <c r="BD25" s="19">
        <f>H25/(100-BE25)*100</f>
        <v>0</v>
      </c>
      <c r="BE25" s="19">
        <v>0</v>
      </c>
      <c r="BF25" s="19">
        <f>O25</f>
        <v>0</v>
      </c>
      <c r="BH25" s="19">
        <f>G25*AO25</f>
        <v>0</v>
      </c>
      <c r="BI25" s="19">
        <f>G25*AP25</f>
        <v>0</v>
      </c>
      <c r="BJ25" s="19">
        <f>G25*H25</f>
        <v>0</v>
      </c>
      <c r="BK25" s="19"/>
      <c r="BL25" s="19">
        <v>722</v>
      </c>
      <c r="BW25" s="19" t="str">
        <f>I25</f>
        <v>12</v>
      </c>
      <c r="BX25" s="4" t="s">
        <v>48</v>
      </c>
    </row>
    <row r="26" spans="1:76" x14ac:dyDescent="0.25">
      <c r="A26" s="1" t="s">
        <v>442</v>
      </c>
      <c r="B26" s="2" t="s">
        <v>24</v>
      </c>
      <c r="C26" s="2" t="s">
        <v>49</v>
      </c>
      <c r="D26" s="108" t="s">
        <v>50</v>
      </c>
      <c r="E26" s="102"/>
      <c r="F26" s="2" t="s">
        <v>51</v>
      </c>
      <c r="G26" s="19">
        <f>'Rozpočet - vybrané sloupce'!J22</f>
        <v>78</v>
      </c>
      <c r="H26" s="19">
        <f>'Rozpočet - vybrané sloupce'!K22</f>
        <v>0</v>
      </c>
      <c r="I26" s="87" t="s">
        <v>427</v>
      </c>
      <c r="J26" s="19">
        <f>G26*AO26</f>
        <v>0</v>
      </c>
      <c r="K26" s="19">
        <f>G26*AP26</f>
        <v>0</v>
      </c>
      <c r="L26" s="19">
        <f>G26*H26</f>
        <v>0</v>
      </c>
      <c r="M26" s="19">
        <f>L26*(1+BW26/100)</f>
        <v>0</v>
      </c>
      <c r="N26" s="19">
        <v>0</v>
      </c>
      <c r="O26" s="19">
        <f>G26*N26</f>
        <v>0</v>
      </c>
      <c r="P26" s="88" t="s">
        <v>428</v>
      </c>
      <c r="Z26" s="19">
        <f>IF(AQ26="5",BJ26,0)</f>
        <v>0</v>
      </c>
      <c r="AB26" s="19">
        <f>IF(AQ26="1",BH26,0)</f>
        <v>0</v>
      </c>
      <c r="AC26" s="19">
        <f>IF(AQ26="1",BI26,0)</f>
        <v>0</v>
      </c>
      <c r="AD26" s="19">
        <f>IF(AQ26="7",BH26,0)</f>
        <v>0</v>
      </c>
      <c r="AE26" s="19">
        <f>IF(AQ26="7",BI26,0)</f>
        <v>0</v>
      </c>
      <c r="AF26" s="19">
        <f>IF(AQ26="2",BH26,0)</f>
        <v>0</v>
      </c>
      <c r="AG26" s="19">
        <f>IF(AQ26="2",BI26,0)</f>
        <v>0</v>
      </c>
      <c r="AH26" s="19">
        <f>IF(AQ26="0",BJ26,0)</f>
        <v>0</v>
      </c>
      <c r="AI26" s="16" t="s">
        <v>24</v>
      </c>
      <c r="AJ26" s="19">
        <f>IF(AN26=0,L26,0)</f>
        <v>0</v>
      </c>
      <c r="AK26" s="19">
        <f>IF(AN26=12,L26,0)</f>
        <v>0</v>
      </c>
      <c r="AL26" s="19">
        <f>IF(AN26=21,L26,0)</f>
        <v>0</v>
      </c>
      <c r="AN26" s="19">
        <v>12</v>
      </c>
      <c r="AO26" s="19">
        <f>H26*0</f>
        <v>0</v>
      </c>
      <c r="AP26" s="19">
        <f>H26*(1-0)</f>
        <v>0</v>
      </c>
      <c r="AQ26" s="87" t="s">
        <v>436</v>
      </c>
      <c r="AV26" s="19">
        <f>AW26+AX26</f>
        <v>0</v>
      </c>
      <c r="AW26" s="19">
        <f>G26*AO26</f>
        <v>0</v>
      </c>
      <c r="AX26" s="19">
        <f>G26*AP26</f>
        <v>0</v>
      </c>
      <c r="AY26" s="87" t="s">
        <v>430</v>
      </c>
      <c r="AZ26" s="87" t="s">
        <v>431</v>
      </c>
      <c r="BA26" s="16" t="s">
        <v>432</v>
      </c>
      <c r="BC26" s="19">
        <f>AW26+AX26</f>
        <v>0</v>
      </c>
      <c r="BD26" s="19">
        <f>H26/(100-BE26)*100</f>
        <v>0</v>
      </c>
      <c r="BE26" s="19">
        <v>0</v>
      </c>
      <c r="BF26" s="19">
        <f>O26</f>
        <v>0</v>
      </c>
      <c r="BH26" s="19">
        <f>G26*AO26</f>
        <v>0</v>
      </c>
      <c r="BI26" s="19">
        <f>G26*AP26</f>
        <v>0</v>
      </c>
      <c r="BJ26" s="19">
        <f>G26*H26</f>
        <v>0</v>
      </c>
      <c r="BK26" s="19"/>
      <c r="BL26" s="19">
        <v>722</v>
      </c>
      <c r="BW26" s="19" t="str">
        <f>I26</f>
        <v>12</v>
      </c>
      <c r="BX26" s="4" t="s">
        <v>50</v>
      </c>
    </row>
    <row r="27" spans="1:76" x14ac:dyDescent="0.25">
      <c r="A27" s="84" t="s">
        <v>25</v>
      </c>
      <c r="B27" s="15" t="s">
        <v>52</v>
      </c>
      <c r="C27" s="15" t="s">
        <v>25</v>
      </c>
      <c r="D27" s="115" t="s">
        <v>53</v>
      </c>
      <c r="E27" s="116"/>
      <c r="F27" s="85" t="s">
        <v>23</v>
      </c>
      <c r="G27" s="85" t="s">
        <v>23</v>
      </c>
      <c r="H27" s="85" t="s">
        <v>23</v>
      </c>
      <c r="I27" s="85" t="s">
        <v>23</v>
      </c>
      <c r="J27" s="60">
        <f>J28</f>
        <v>0</v>
      </c>
      <c r="K27" s="60">
        <f>K28</f>
        <v>0</v>
      </c>
      <c r="L27" s="60">
        <f>L28</f>
        <v>0</v>
      </c>
      <c r="M27" s="60">
        <f>M28</f>
        <v>0</v>
      </c>
      <c r="N27" s="16" t="s">
        <v>25</v>
      </c>
      <c r="O27" s="60">
        <f>O28</f>
        <v>1.116E-2</v>
      </c>
      <c r="P27" s="86" t="s">
        <v>25</v>
      </c>
    </row>
    <row r="28" spans="1:76" x14ac:dyDescent="0.25">
      <c r="A28" s="84" t="s">
        <v>25</v>
      </c>
      <c r="B28" s="15" t="s">
        <v>52</v>
      </c>
      <c r="C28" s="15" t="s">
        <v>27</v>
      </c>
      <c r="D28" s="115" t="s">
        <v>28</v>
      </c>
      <c r="E28" s="116"/>
      <c r="F28" s="85" t="s">
        <v>23</v>
      </c>
      <c r="G28" s="85" t="s">
        <v>23</v>
      </c>
      <c r="H28" s="85" t="s">
        <v>23</v>
      </c>
      <c r="I28" s="85" t="s">
        <v>23</v>
      </c>
      <c r="J28" s="60">
        <f>SUM(J29:J38)</f>
        <v>0</v>
      </c>
      <c r="K28" s="60">
        <f>SUM(K29:K38)</f>
        <v>0</v>
      </c>
      <c r="L28" s="60">
        <f>SUM(L29:L38)</f>
        <v>0</v>
      </c>
      <c r="M28" s="60">
        <f>SUM(M29:M38)</f>
        <v>0</v>
      </c>
      <c r="N28" s="16" t="s">
        <v>25</v>
      </c>
      <c r="O28" s="60">
        <f>SUM(O29:O38)</f>
        <v>1.116E-2</v>
      </c>
      <c r="P28" s="86" t="s">
        <v>25</v>
      </c>
      <c r="AI28" s="16" t="s">
        <v>52</v>
      </c>
      <c r="AS28" s="60">
        <f>SUM(AJ29:AJ38)</f>
        <v>0</v>
      </c>
      <c r="AT28" s="60">
        <f>SUM(AK29:AK38)</f>
        <v>0</v>
      </c>
      <c r="AU28" s="60">
        <f>SUM(AL29:AL38)</f>
        <v>0</v>
      </c>
    </row>
    <row r="29" spans="1:76" x14ac:dyDescent="0.25">
      <c r="A29" s="1" t="s">
        <v>443</v>
      </c>
      <c r="B29" s="2" t="s">
        <v>52</v>
      </c>
      <c r="C29" s="2" t="s">
        <v>29</v>
      </c>
      <c r="D29" s="108" t="s">
        <v>30</v>
      </c>
      <c r="E29" s="102"/>
      <c r="F29" s="2" t="s">
        <v>31</v>
      </c>
      <c r="G29" s="19">
        <f>'Rozpočet - vybrané sloupce'!J25</f>
        <v>3</v>
      </c>
      <c r="H29" s="19">
        <f>'Rozpočet - vybrané sloupce'!K25</f>
        <v>0</v>
      </c>
      <c r="I29" s="87" t="s">
        <v>427</v>
      </c>
      <c r="J29" s="19">
        <f t="shared" ref="J29:J38" si="0">G29*AO29</f>
        <v>0</v>
      </c>
      <c r="K29" s="19">
        <f t="shared" ref="K29:K38" si="1">G29*AP29</f>
        <v>0</v>
      </c>
      <c r="L29" s="19">
        <f t="shared" ref="L29:L38" si="2">G29*H29</f>
        <v>0</v>
      </c>
      <c r="M29" s="19">
        <f t="shared" ref="M29:M38" si="3">L29*(1+BW29/100)</f>
        <v>0</v>
      </c>
      <c r="N29" s="19">
        <v>2.7999999999999998E-4</v>
      </c>
      <c r="O29" s="19">
        <f t="shared" ref="O29:O38" si="4">G29*N29</f>
        <v>8.3999999999999993E-4</v>
      </c>
      <c r="P29" s="88" t="s">
        <v>428</v>
      </c>
      <c r="Z29" s="19">
        <f t="shared" ref="Z29:Z38" si="5">IF(AQ29="5",BJ29,0)</f>
        <v>0</v>
      </c>
      <c r="AB29" s="19">
        <f t="shared" ref="AB29:AB38" si="6">IF(AQ29="1",BH29,0)</f>
        <v>0</v>
      </c>
      <c r="AC29" s="19">
        <f t="shared" ref="AC29:AC38" si="7">IF(AQ29="1",BI29,0)</f>
        <v>0</v>
      </c>
      <c r="AD29" s="19">
        <f t="shared" ref="AD29:AD38" si="8">IF(AQ29="7",BH29,0)</f>
        <v>0</v>
      </c>
      <c r="AE29" s="19">
        <f t="shared" ref="AE29:AE38" si="9">IF(AQ29="7",BI29,0)</f>
        <v>0</v>
      </c>
      <c r="AF29" s="19">
        <f t="shared" ref="AF29:AF38" si="10">IF(AQ29="2",BH29,0)</f>
        <v>0</v>
      </c>
      <c r="AG29" s="19">
        <f t="shared" ref="AG29:AG38" si="11">IF(AQ29="2",BI29,0)</f>
        <v>0</v>
      </c>
      <c r="AH29" s="19">
        <f t="shared" ref="AH29:AH38" si="12">IF(AQ29="0",BJ29,0)</f>
        <v>0</v>
      </c>
      <c r="AI29" s="16" t="s">
        <v>52</v>
      </c>
      <c r="AJ29" s="19">
        <f t="shared" ref="AJ29:AJ38" si="13">IF(AN29=0,L29,0)</f>
        <v>0</v>
      </c>
      <c r="AK29" s="19">
        <f t="shared" ref="AK29:AK38" si="14">IF(AN29=12,L29,0)</f>
        <v>0</v>
      </c>
      <c r="AL29" s="19">
        <f t="shared" ref="AL29:AL38" si="15">IF(AN29=21,L29,0)</f>
        <v>0</v>
      </c>
      <c r="AN29" s="19">
        <v>12</v>
      </c>
      <c r="AO29" s="19">
        <f>H29*0</f>
        <v>0</v>
      </c>
      <c r="AP29" s="19">
        <f>H29*(1-0)</f>
        <v>0</v>
      </c>
      <c r="AQ29" s="87" t="s">
        <v>429</v>
      </c>
      <c r="AV29" s="19">
        <f t="shared" ref="AV29:AV38" si="16">AW29+AX29</f>
        <v>0</v>
      </c>
      <c r="AW29" s="19">
        <f t="shared" ref="AW29:AW38" si="17">G29*AO29</f>
        <v>0</v>
      </c>
      <c r="AX29" s="19">
        <f t="shared" ref="AX29:AX38" si="18">G29*AP29</f>
        <v>0</v>
      </c>
      <c r="AY29" s="87" t="s">
        <v>430</v>
      </c>
      <c r="AZ29" s="87" t="s">
        <v>444</v>
      </c>
      <c r="BA29" s="16" t="s">
        <v>445</v>
      </c>
      <c r="BC29" s="19">
        <f t="shared" ref="BC29:BC38" si="19">AW29+AX29</f>
        <v>0</v>
      </c>
      <c r="BD29" s="19">
        <f t="shared" ref="BD29:BD38" si="20">H29/(100-BE29)*100</f>
        <v>0</v>
      </c>
      <c r="BE29" s="19">
        <v>0</v>
      </c>
      <c r="BF29" s="19">
        <f t="shared" ref="BF29:BF38" si="21">O29</f>
        <v>8.3999999999999993E-4</v>
      </c>
      <c r="BH29" s="19">
        <f t="shared" ref="BH29:BH38" si="22">G29*AO29</f>
        <v>0</v>
      </c>
      <c r="BI29" s="19">
        <f t="shared" ref="BI29:BI38" si="23">G29*AP29</f>
        <v>0</v>
      </c>
      <c r="BJ29" s="19">
        <f t="shared" ref="BJ29:BJ38" si="24">G29*H29</f>
        <v>0</v>
      </c>
      <c r="BK29" s="19"/>
      <c r="BL29" s="19">
        <v>722</v>
      </c>
      <c r="BW29" s="19" t="str">
        <f t="shared" ref="BW29:BW38" si="25">I29</f>
        <v>12</v>
      </c>
      <c r="BX29" s="4" t="s">
        <v>30</v>
      </c>
    </row>
    <row r="30" spans="1:76" x14ac:dyDescent="0.25">
      <c r="A30" s="1" t="s">
        <v>427</v>
      </c>
      <c r="B30" s="2" t="s">
        <v>52</v>
      </c>
      <c r="C30" s="2" t="s">
        <v>33</v>
      </c>
      <c r="D30" s="108" t="s">
        <v>34</v>
      </c>
      <c r="E30" s="102"/>
      <c r="F30" s="2" t="s">
        <v>31</v>
      </c>
      <c r="G30" s="19">
        <f>'Rozpočet - vybrané sloupce'!J26</f>
        <v>6</v>
      </c>
      <c r="H30" s="19">
        <f>'Rozpočet - vybrané sloupce'!K26</f>
        <v>0</v>
      </c>
      <c r="I30" s="87" t="s">
        <v>427</v>
      </c>
      <c r="J30" s="19">
        <f t="shared" si="0"/>
        <v>0</v>
      </c>
      <c r="K30" s="19">
        <f t="shared" si="1"/>
        <v>0</v>
      </c>
      <c r="L30" s="19">
        <f t="shared" si="2"/>
        <v>0</v>
      </c>
      <c r="M30" s="19">
        <f t="shared" si="3"/>
        <v>0</v>
      </c>
      <c r="N30" s="19">
        <v>2.9E-4</v>
      </c>
      <c r="O30" s="19">
        <f t="shared" si="4"/>
        <v>1.74E-3</v>
      </c>
      <c r="P30" s="88" t="s">
        <v>428</v>
      </c>
      <c r="Z30" s="19">
        <f t="shared" si="5"/>
        <v>0</v>
      </c>
      <c r="AB30" s="19">
        <f t="shared" si="6"/>
        <v>0</v>
      </c>
      <c r="AC30" s="19">
        <f t="shared" si="7"/>
        <v>0</v>
      </c>
      <c r="AD30" s="19">
        <f t="shared" si="8"/>
        <v>0</v>
      </c>
      <c r="AE30" s="19">
        <f t="shared" si="9"/>
        <v>0</v>
      </c>
      <c r="AF30" s="19">
        <f t="shared" si="10"/>
        <v>0</v>
      </c>
      <c r="AG30" s="19">
        <f t="shared" si="11"/>
        <v>0</v>
      </c>
      <c r="AH30" s="19">
        <f t="shared" si="12"/>
        <v>0</v>
      </c>
      <c r="AI30" s="16" t="s">
        <v>52</v>
      </c>
      <c r="AJ30" s="19">
        <f t="shared" si="13"/>
        <v>0</v>
      </c>
      <c r="AK30" s="19">
        <f t="shared" si="14"/>
        <v>0</v>
      </c>
      <c r="AL30" s="19">
        <f t="shared" si="15"/>
        <v>0</v>
      </c>
      <c r="AN30" s="19">
        <v>12</v>
      </c>
      <c r="AO30" s="19">
        <f>H30*0</f>
        <v>0</v>
      </c>
      <c r="AP30" s="19">
        <f>H30*(1-0)</f>
        <v>0</v>
      </c>
      <c r="AQ30" s="87" t="s">
        <v>429</v>
      </c>
      <c r="AV30" s="19">
        <f t="shared" si="16"/>
        <v>0</v>
      </c>
      <c r="AW30" s="19">
        <f t="shared" si="17"/>
        <v>0</v>
      </c>
      <c r="AX30" s="19">
        <f t="shared" si="18"/>
        <v>0</v>
      </c>
      <c r="AY30" s="87" t="s">
        <v>430</v>
      </c>
      <c r="AZ30" s="87" t="s">
        <v>444</v>
      </c>
      <c r="BA30" s="16" t="s">
        <v>445</v>
      </c>
      <c r="BC30" s="19">
        <f t="shared" si="19"/>
        <v>0</v>
      </c>
      <c r="BD30" s="19">
        <f t="shared" si="20"/>
        <v>0</v>
      </c>
      <c r="BE30" s="19">
        <v>0</v>
      </c>
      <c r="BF30" s="19">
        <f t="shared" si="21"/>
        <v>1.74E-3</v>
      </c>
      <c r="BH30" s="19">
        <f t="shared" si="22"/>
        <v>0</v>
      </c>
      <c r="BI30" s="19">
        <f t="shared" si="23"/>
        <v>0</v>
      </c>
      <c r="BJ30" s="19">
        <f t="shared" si="24"/>
        <v>0</v>
      </c>
      <c r="BK30" s="19"/>
      <c r="BL30" s="19">
        <v>722</v>
      </c>
      <c r="BW30" s="19" t="str">
        <f t="shared" si="25"/>
        <v>12</v>
      </c>
      <c r="BX30" s="4" t="s">
        <v>34</v>
      </c>
    </row>
    <row r="31" spans="1:76" x14ac:dyDescent="0.25">
      <c r="A31" s="1" t="s">
        <v>446</v>
      </c>
      <c r="B31" s="2" t="s">
        <v>52</v>
      </c>
      <c r="C31" s="2" t="s">
        <v>35</v>
      </c>
      <c r="D31" s="108" t="s">
        <v>36</v>
      </c>
      <c r="E31" s="102"/>
      <c r="F31" s="2" t="s">
        <v>31</v>
      </c>
      <c r="G31" s="19">
        <f>'Rozpočet - vybrané sloupce'!J27</f>
        <v>3</v>
      </c>
      <c r="H31" s="19">
        <f>'Rozpočet - vybrané sloupce'!K27</f>
        <v>0</v>
      </c>
      <c r="I31" s="87" t="s">
        <v>427</v>
      </c>
      <c r="J31" s="19">
        <f t="shared" si="0"/>
        <v>0</v>
      </c>
      <c r="K31" s="19">
        <f t="shared" si="1"/>
        <v>0</v>
      </c>
      <c r="L31" s="19">
        <f t="shared" si="2"/>
        <v>0</v>
      </c>
      <c r="M31" s="19">
        <f t="shared" si="3"/>
        <v>0</v>
      </c>
      <c r="N31" s="19">
        <v>5.2999999999999998E-4</v>
      </c>
      <c r="O31" s="19">
        <f t="shared" si="4"/>
        <v>1.5899999999999998E-3</v>
      </c>
      <c r="P31" s="88" t="s">
        <v>428</v>
      </c>
      <c r="Z31" s="19">
        <f t="shared" si="5"/>
        <v>0</v>
      </c>
      <c r="AB31" s="19">
        <f t="shared" si="6"/>
        <v>0</v>
      </c>
      <c r="AC31" s="19">
        <f t="shared" si="7"/>
        <v>0</v>
      </c>
      <c r="AD31" s="19">
        <f t="shared" si="8"/>
        <v>0</v>
      </c>
      <c r="AE31" s="19">
        <f t="shared" si="9"/>
        <v>0</v>
      </c>
      <c r="AF31" s="19">
        <f t="shared" si="10"/>
        <v>0</v>
      </c>
      <c r="AG31" s="19">
        <f t="shared" si="11"/>
        <v>0</v>
      </c>
      <c r="AH31" s="19">
        <f t="shared" si="12"/>
        <v>0</v>
      </c>
      <c r="AI31" s="16" t="s">
        <v>52</v>
      </c>
      <c r="AJ31" s="19">
        <f t="shared" si="13"/>
        <v>0</v>
      </c>
      <c r="AK31" s="19">
        <f t="shared" si="14"/>
        <v>0</v>
      </c>
      <c r="AL31" s="19">
        <f t="shared" si="15"/>
        <v>0</v>
      </c>
      <c r="AN31" s="19">
        <v>12</v>
      </c>
      <c r="AO31" s="19">
        <f>H31*0.499013323</f>
        <v>0</v>
      </c>
      <c r="AP31" s="19">
        <f>H31*(1-0.499013323)</f>
        <v>0</v>
      </c>
      <c r="AQ31" s="87" t="s">
        <v>429</v>
      </c>
      <c r="AV31" s="19">
        <f t="shared" si="16"/>
        <v>0</v>
      </c>
      <c r="AW31" s="19">
        <f t="shared" si="17"/>
        <v>0</v>
      </c>
      <c r="AX31" s="19">
        <f t="shared" si="18"/>
        <v>0</v>
      </c>
      <c r="AY31" s="87" t="s">
        <v>430</v>
      </c>
      <c r="AZ31" s="87" t="s">
        <v>444</v>
      </c>
      <c r="BA31" s="16" t="s">
        <v>445</v>
      </c>
      <c r="BC31" s="19">
        <f t="shared" si="19"/>
        <v>0</v>
      </c>
      <c r="BD31" s="19">
        <f t="shared" si="20"/>
        <v>0</v>
      </c>
      <c r="BE31" s="19">
        <v>0</v>
      </c>
      <c r="BF31" s="19">
        <f t="shared" si="21"/>
        <v>1.5899999999999998E-3</v>
      </c>
      <c r="BH31" s="19">
        <f t="shared" si="22"/>
        <v>0</v>
      </c>
      <c r="BI31" s="19">
        <f t="shared" si="23"/>
        <v>0</v>
      </c>
      <c r="BJ31" s="19">
        <f t="shared" si="24"/>
        <v>0</v>
      </c>
      <c r="BK31" s="19"/>
      <c r="BL31" s="19">
        <v>722</v>
      </c>
      <c r="BW31" s="19" t="str">
        <f t="shared" si="25"/>
        <v>12</v>
      </c>
      <c r="BX31" s="4" t="s">
        <v>36</v>
      </c>
    </row>
    <row r="32" spans="1:76" x14ac:dyDescent="0.25">
      <c r="A32" s="1" t="s">
        <v>447</v>
      </c>
      <c r="B32" s="2" t="s">
        <v>52</v>
      </c>
      <c r="C32" s="2" t="s">
        <v>37</v>
      </c>
      <c r="D32" s="108" t="s">
        <v>38</v>
      </c>
      <c r="E32" s="102"/>
      <c r="F32" s="2" t="s">
        <v>31</v>
      </c>
      <c r="G32" s="19">
        <f>'Rozpočet - vybrané sloupce'!J28</f>
        <v>6</v>
      </c>
      <c r="H32" s="19">
        <f>'Rozpočet - vybrané sloupce'!K28</f>
        <v>0</v>
      </c>
      <c r="I32" s="87" t="s">
        <v>427</v>
      </c>
      <c r="J32" s="19">
        <f t="shared" si="0"/>
        <v>0</v>
      </c>
      <c r="K32" s="19">
        <f t="shared" si="1"/>
        <v>0</v>
      </c>
      <c r="L32" s="19">
        <f t="shared" si="2"/>
        <v>0</v>
      </c>
      <c r="M32" s="19">
        <f t="shared" si="3"/>
        <v>0</v>
      </c>
      <c r="N32" s="19">
        <v>1.0200000000000001E-3</v>
      </c>
      <c r="O32" s="19">
        <f t="shared" si="4"/>
        <v>6.1200000000000004E-3</v>
      </c>
      <c r="P32" s="88" t="s">
        <v>428</v>
      </c>
      <c r="Z32" s="19">
        <f t="shared" si="5"/>
        <v>0</v>
      </c>
      <c r="AB32" s="19">
        <f t="shared" si="6"/>
        <v>0</v>
      </c>
      <c r="AC32" s="19">
        <f t="shared" si="7"/>
        <v>0</v>
      </c>
      <c r="AD32" s="19">
        <f t="shared" si="8"/>
        <v>0</v>
      </c>
      <c r="AE32" s="19">
        <f t="shared" si="9"/>
        <v>0</v>
      </c>
      <c r="AF32" s="19">
        <f t="shared" si="10"/>
        <v>0</v>
      </c>
      <c r="AG32" s="19">
        <f t="shared" si="11"/>
        <v>0</v>
      </c>
      <c r="AH32" s="19">
        <f t="shared" si="12"/>
        <v>0</v>
      </c>
      <c r="AI32" s="16" t="s">
        <v>52</v>
      </c>
      <c r="AJ32" s="19">
        <f t="shared" si="13"/>
        <v>0</v>
      </c>
      <c r="AK32" s="19">
        <f t="shared" si="14"/>
        <v>0</v>
      </c>
      <c r="AL32" s="19">
        <f t="shared" si="15"/>
        <v>0</v>
      </c>
      <c r="AN32" s="19">
        <v>12</v>
      </c>
      <c r="AO32" s="19">
        <f>H32*0.679747138</f>
        <v>0</v>
      </c>
      <c r="AP32" s="19">
        <f>H32*(1-0.679747138)</f>
        <v>0</v>
      </c>
      <c r="AQ32" s="87" t="s">
        <v>429</v>
      </c>
      <c r="AV32" s="19">
        <f t="shared" si="16"/>
        <v>0</v>
      </c>
      <c r="AW32" s="19">
        <f t="shared" si="17"/>
        <v>0</v>
      </c>
      <c r="AX32" s="19">
        <f t="shared" si="18"/>
        <v>0</v>
      </c>
      <c r="AY32" s="87" t="s">
        <v>430</v>
      </c>
      <c r="AZ32" s="87" t="s">
        <v>444</v>
      </c>
      <c r="BA32" s="16" t="s">
        <v>445</v>
      </c>
      <c r="BC32" s="19">
        <f t="shared" si="19"/>
        <v>0</v>
      </c>
      <c r="BD32" s="19">
        <f t="shared" si="20"/>
        <v>0</v>
      </c>
      <c r="BE32" s="19">
        <v>0</v>
      </c>
      <c r="BF32" s="19">
        <f t="shared" si="21"/>
        <v>6.1200000000000004E-3</v>
      </c>
      <c r="BH32" s="19">
        <f t="shared" si="22"/>
        <v>0</v>
      </c>
      <c r="BI32" s="19">
        <f t="shared" si="23"/>
        <v>0</v>
      </c>
      <c r="BJ32" s="19">
        <f t="shared" si="24"/>
        <v>0</v>
      </c>
      <c r="BK32" s="19"/>
      <c r="BL32" s="19">
        <v>722</v>
      </c>
      <c r="BW32" s="19" t="str">
        <f t="shared" si="25"/>
        <v>12</v>
      </c>
      <c r="BX32" s="4" t="s">
        <v>38</v>
      </c>
    </row>
    <row r="33" spans="1:76" x14ac:dyDescent="0.25">
      <c r="A33" s="1" t="s">
        <v>448</v>
      </c>
      <c r="B33" s="2" t="s">
        <v>52</v>
      </c>
      <c r="C33" s="2" t="s">
        <v>39</v>
      </c>
      <c r="D33" s="108" t="s">
        <v>40</v>
      </c>
      <c r="E33" s="102"/>
      <c r="F33" s="2" t="s">
        <v>31</v>
      </c>
      <c r="G33" s="19">
        <f>'Rozpočet - vybrané sloupce'!J29</f>
        <v>3</v>
      </c>
      <c r="H33" s="19">
        <f>'Rozpočet - vybrané sloupce'!K29</f>
        <v>0</v>
      </c>
      <c r="I33" s="87" t="s">
        <v>427</v>
      </c>
      <c r="J33" s="19">
        <f t="shared" si="0"/>
        <v>0</v>
      </c>
      <c r="K33" s="19">
        <f t="shared" si="1"/>
        <v>0</v>
      </c>
      <c r="L33" s="19">
        <f t="shared" si="2"/>
        <v>0</v>
      </c>
      <c r="M33" s="19">
        <f t="shared" si="3"/>
        <v>0</v>
      </c>
      <c r="N33" s="19">
        <v>9.0000000000000006E-5</v>
      </c>
      <c r="O33" s="19">
        <f t="shared" si="4"/>
        <v>2.7E-4</v>
      </c>
      <c r="P33" s="88" t="s">
        <v>428</v>
      </c>
      <c r="Z33" s="19">
        <f t="shared" si="5"/>
        <v>0</v>
      </c>
      <c r="AB33" s="19">
        <f t="shared" si="6"/>
        <v>0</v>
      </c>
      <c r="AC33" s="19">
        <f t="shared" si="7"/>
        <v>0</v>
      </c>
      <c r="AD33" s="19">
        <f t="shared" si="8"/>
        <v>0</v>
      </c>
      <c r="AE33" s="19">
        <f t="shared" si="9"/>
        <v>0</v>
      </c>
      <c r="AF33" s="19">
        <f t="shared" si="10"/>
        <v>0</v>
      </c>
      <c r="AG33" s="19">
        <f t="shared" si="11"/>
        <v>0</v>
      </c>
      <c r="AH33" s="19">
        <f t="shared" si="12"/>
        <v>0</v>
      </c>
      <c r="AI33" s="16" t="s">
        <v>52</v>
      </c>
      <c r="AJ33" s="19">
        <f t="shared" si="13"/>
        <v>0</v>
      </c>
      <c r="AK33" s="19">
        <f t="shared" si="14"/>
        <v>0</v>
      </c>
      <c r="AL33" s="19">
        <f t="shared" si="15"/>
        <v>0</v>
      </c>
      <c r="AN33" s="19">
        <v>12</v>
      </c>
      <c r="AO33" s="19">
        <f>H33*0.255581395</f>
        <v>0</v>
      </c>
      <c r="AP33" s="19">
        <f>H33*(1-0.255581395)</f>
        <v>0</v>
      </c>
      <c r="AQ33" s="87" t="s">
        <v>429</v>
      </c>
      <c r="AV33" s="19">
        <f t="shared" si="16"/>
        <v>0</v>
      </c>
      <c r="AW33" s="19">
        <f t="shared" si="17"/>
        <v>0</v>
      </c>
      <c r="AX33" s="19">
        <f t="shared" si="18"/>
        <v>0</v>
      </c>
      <c r="AY33" s="87" t="s">
        <v>430</v>
      </c>
      <c r="AZ33" s="87" t="s">
        <v>444</v>
      </c>
      <c r="BA33" s="16" t="s">
        <v>445</v>
      </c>
      <c r="BC33" s="19">
        <f t="shared" si="19"/>
        <v>0</v>
      </c>
      <c r="BD33" s="19">
        <f t="shared" si="20"/>
        <v>0</v>
      </c>
      <c r="BE33" s="19">
        <v>0</v>
      </c>
      <c r="BF33" s="19">
        <f t="shared" si="21"/>
        <v>2.7E-4</v>
      </c>
      <c r="BH33" s="19">
        <f t="shared" si="22"/>
        <v>0</v>
      </c>
      <c r="BI33" s="19">
        <f t="shared" si="23"/>
        <v>0</v>
      </c>
      <c r="BJ33" s="19">
        <f t="shared" si="24"/>
        <v>0</v>
      </c>
      <c r="BK33" s="19"/>
      <c r="BL33" s="19">
        <v>722</v>
      </c>
      <c r="BW33" s="19" t="str">
        <f t="shared" si="25"/>
        <v>12</v>
      </c>
      <c r="BX33" s="4" t="s">
        <v>40</v>
      </c>
    </row>
    <row r="34" spans="1:76" x14ac:dyDescent="0.25">
      <c r="A34" s="1" t="s">
        <v>449</v>
      </c>
      <c r="B34" s="2" t="s">
        <v>52</v>
      </c>
      <c r="C34" s="2" t="s">
        <v>41</v>
      </c>
      <c r="D34" s="108" t="s">
        <v>42</v>
      </c>
      <c r="E34" s="102"/>
      <c r="F34" s="2" t="s">
        <v>31</v>
      </c>
      <c r="G34" s="19">
        <f>'Rozpočet - vybrané sloupce'!J30</f>
        <v>3</v>
      </c>
      <c r="H34" s="19">
        <f>'Rozpočet - vybrané sloupce'!K30</f>
        <v>0</v>
      </c>
      <c r="I34" s="87" t="s">
        <v>427</v>
      </c>
      <c r="J34" s="19">
        <f t="shared" si="0"/>
        <v>0</v>
      </c>
      <c r="K34" s="19">
        <f t="shared" si="1"/>
        <v>0</v>
      </c>
      <c r="L34" s="19">
        <f t="shared" si="2"/>
        <v>0</v>
      </c>
      <c r="M34" s="19">
        <f t="shared" si="3"/>
        <v>0</v>
      </c>
      <c r="N34" s="19">
        <v>6.9999999999999994E-5</v>
      </c>
      <c r="O34" s="19">
        <f t="shared" si="4"/>
        <v>2.0999999999999998E-4</v>
      </c>
      <c r="P34" s="88" t="s">
        <v>428</v>
      </c>
      <c r="Z34" s="19">
        <f t="shared" si="5"/>
        <v>0</v>
      </c>
      <c r="AB34" s="19">
        <f t="shared" si="6"/>
        <v>0</v>
      </c>
      <c r="AC34" s="19">
        <f t="shared" si="7"/>
        <v>0</v>
      </c>
      <c r="AD34" s="19">
        <f t="shared" si="8"/>
        <v>0</v>
      </c>
      <c r="AE34" s="19">
        <f t="shared" si="9"/>
        <v>0</v>
      </c>
      <c r="AF34" s="19">
        <f t="shared" si="10"/>
        <v>0</v>
      </c>
      <c r="AG34" s="19">
        <f t="shared" si="11"/>
        <v>0</v>
      </c>
      <c r="AH34" s="19">
        <f t="shared" si="12"/>
        <v>0</v>
      </c>
      <c r="AI34" s="16" t="s">
        <v>52</v>
      </c>
      <c r="AJ34" s="19">
        <f t="shared" si="13"/>
        <v>0</v>
      </c>
      <c r="AK34" s="19">
        <f t="shared" si="14"/>
        <v>0</v>
      </c>
      <c r="AL34" s="19">
        <f t="shared" si="15"/>
        <v>0</v>
      </c>
      <c r="AN34" s="19">
        <v>12</v>
      </c>
      <c r="AO34" s="19">
        <f>H34*0.523433468</f>
        <v>0</v>
      </c>
      <c r="AP34" s="19">
        <f>H34*(1-0.523433468)</f>
        <v>0</v>
      </c>
      <c r="AQ34" s="87" t="s">
        <v>429</v>
      </c>
      <c r="AV34" s="19">
        <f t="shared" si="16"/>
        <v>0</v>
      </c>
      <c r="AW34" s="19">
        <f t="shared" si="17"/>
        <v>0</v>
      </c>
      <c r="AX34" s="19">
        <f t="shared" si="18"/>
        <v>0</v>
      </c>
      <c r="AY34" s="87" t="s">
        <v>430</v>
      </c>
      <c r="AZ34" s="87" t="s">
        <v>444</v>
      </c>
      <c r="BA34" s="16" t="s">
        <v>445</v>
      </c>
      <c r="BC34" s="19">
        <f t="shared" si="19"/>
        <v>0</v>
      </c>
      <c r="BD34" s="19">
        <f t="shared" si="20"/>
        <v>0</v>
      </c>
      <c r="BE34" s="19">
        <v>0</v>
      </c>
      <c r="BF34" s="19">
        <f t="shared" si="21"/>
        <v>2.0999999999999998E-4</v>
      </c>
      <c r="BH34" s="19">
        <f t="shared" si="22"/>
        <v>0</v>
      </c>
      <c r="BI34" s="19">
        <f t="shared" si="23"/>
        <v>0</v>
      </c>
      <c r="BJ34" s="19">
        <f t="shared" si="24"/>
        <v>0</v>
      </c>
      <c r="BK34" s="19"/>
      <c r="BL34" s="19">
        <v>722</v>
      </c>
      <c r="BW34" s="19" t="str">
        <f t="shared" si="25"/>
        <v>12</v>
      </c>
      <c r="BX34" s="4" t="s">
        <v>42</v>
      </c>
    </row>
    <row r="35" spans="1:76" x14ac:dyDescent="0.25">
      <c r="A35" s="1" t="s">
        <v>450</v>
      </c>
      <c r="B35" s="2" t="s">
        <v>52</v>
      </c>
      <c r="C35" s="2" t="s">
        <v>43</v>
      </c>
      <c r="D35" s="108" t="s">
        <v>44</v>
      </c>
      <c r="E35" s="102"/>
      <c r="F35" s="2" t="s">
        <v>31</v>
      </c>
      <c r="G35" s="19">
        <f>'Rozpočet - vybrané sloupce'!J31</f>
        <v>3</v>
      </c>
      <c r="H35" s="19">
        <f>'Rozpočet - vybrané sloupce'!K31</f>
        <v>0</v>
      </c>
      <c r="I35" s="87" t="s">
        <v>427</v>
      </c>
      <c r="J35" s="19">
        <f t="shared" si="0"/>
        <v>0</v>
      </c>
      <c r="K35" s="19">
        <f t="shared" si="1"/>
        <v>0</v>
      </c>
      <c r="L35" s="19">
        <f t="shared" si="2"/>
        <v>0</v>
      </c>
      <c r="M35" s="19">
        <f t="shared" si="3"/>
        <v>0</v>
      </c>
      <c r="N35" s="19">
        <v>1.2999999999999999E-4</v>
      </c>
      <c r="O35" s="19">
        <f t="shared" si="4"/>
        <v>3.8999999999999994E-4</v>
      </c>
      <c r="P35" s="88" t="s">
        <v>428</v>
      </c>
      <c r="Z35" s="19">
        <f t="shared" si="5"/>
        <v>0</v>
      </c>
      <c r="AB35" s="19">
        <f t="shared" si="6"/>
        <v>0</v>
      </c>
      <c r="AC35" s="19">
        <f t="shared" si="7"/>
        <v>0</v>
      </c>
      <c r="AD35" s="19">
        <f t="shared" si="8"/>
        <v>0</v>
      </c>
      <c r="AE35" s="19">
        <f t="shared" si="9"/>
        <v>0</v>
      </c>
      <c r="AF35" s="19">
        <f t="shared" si="10"/>
        <v>0</v>
      </c>
      <c r="AG35" s="19">
        <f t="shared" si="11"/>
        <v>0</v>
      </c>
      <c r="AH35" s="19">
        <f t="shared" si="12"/>
        <v>0</v>
      </c>
      <c r="AI35" s="16" t="s">
        <v>52</v>
      </c>
      <c r="AJ35" s="19">
        <f t="shared" si="13"/>
        <v>0</v>
      </c>
      <c r="AK35" s="19">
        <f t="shared" si="14"/>
        <v>0</v>
      </c>
      <c r="AL35" s="19">
        <f t="shared" si="15"/>
        <v>0</v>
      </c>
      <c r="AN35" s="19">
        <v>12</v>
      </c>
      <c r="AO35" s="19">
        <f>H35*0.526485197</f>
        <v>0</v>
      </c>
      <c r="AP35" s="19">
        <f>H35*(1-0.526485197)</f>
        <v>0</v>
      </c>
      <c r="AQ35" s="87" t="s">
        <v>429</v>
      </c>
      <c r="AV35" s="19">
        <f t="shared" si="16"/>
        <v>0</v>
      </c>
      <c r="AW35" s="19">
        <f t="shared" si="17"/>
        <v>0</v>
      </c>
      <c r="AX35" s="19">
        <f t="shared" si="18"/>
        <v>0</v>
      </c>
      <c r="AY35" s="87" t="s">
        <v>430</v>
      </c>
      <c r="AZ35" s="87" t="s">
        <v>444</v>
      </c>
      <c r="BA35" s="16" t="s">
        <v>445</v>
      </c>
      <c r="BC35" s="19">
        <f t="shared" si="19"/>
        <v>0</v>
      </c>
      <c r="BD35" s="19">
        <f t="shared" si="20"/>
        <v>0</v>
      </c>
      <c r="BE35" s="19">
        <v>0</v>
      </c>
      <c r="BF35" s="19">
        <f t="shared" si="21"/>
        <v>3.8999999999999994E-4</v>
      </c>
      <c r="BH35" s="19">
        <f t="shared" si="22"/>
        <v>0</v>
      </c>
      <c r="BI35" s="19">
        <f t="shared" si="23"/>
        <v>0</v>
      </c>
      <c r="BJ35" s="19">
        <f t="shared" si="24"/>
        <v>0</v>
      </c>
      <c r="BK35" s="19"/>
      <c r="BL35" s="19">
        <v>722</v>
      </c>
      <c r="BW35" s="19" t="str">
        <f t="shared" si="25"/>
        <v>12</v>
      </c>
      <c r="BX35" s="4" t="s">
        <v>44</v>
      </c>
    </row>
    <row r="36" spans="1:76" x14ac:dyDescent="0.25">
      <c r="A36" s="1" t="s">
        <v>451</v>
      </c>
      <c r="B36" s="2" t="s">
        <v>52</v>
      </c>
      <c r="C36" s="2" t="s">
        <v>45</v>
      </c>
      <c r="D36" s="108" t="s">
        <v>46</v>
      </c>
      <c r="E36" s="102"/>
      <c r="F36" s="2" t="s">
        <v>31</v>
      </c>
      <c r="G36" s="19">
        <f>'Rozpočet - vybrané sloupce'!J32</f>
        <v>3</v>
      </c>
      <c r="H36" s="19">
        <f>'Rozpočet - vybrané sloupce'!K32</f>
        <v>0</v>
      </c>
      <c r="I36" s="87" t="s">
        <v>427</v>
      </c>
      <c r="J36" s="19">
        <f t="shared" si="0"/>
        <v>0</v>
      </c>
      <c r="K36" s="19">
        <f t="shared" si="1"/>
        <v>0</v>
      </c>
      <c r="L36" s="19">
        <f t="shared" si="2"/>
        <v>0</v>
      </c>
      <c r="M36" s="19">
        <f t="shared" si="3"/>
        <v>0</v>
      </c>
      <c r="N36" s="19">
        <v>0</v>
      </c>
      <c r="O36" s="19">
        <f t="shared" si="4"/>
        <v>0</v>
      </c>
      <c r="P36" s="88" t="s">
        <v>428</v>
      </c>
      <c r="Z36" s="19">
        <f t="shared" si="5"/>
        <v>0</v>
      </c>
      <c r="AB36" s="19">
        <f t="shared" si="6"/>
        <v>0</v>
      </c>
      <c r="AC36" s="19">
        <f t="shared" si="7"/>
        <v>0</v>
      </c>
      <c r="AD36" s="19">
        <f t="shared" si="8"/>
        <v>0</v>
      </c>
      <c r="AE36" s="19">
        <f t="shared" si="9"/>
        <v>0</v>
      </c>
      <c r="AF36" s="19">
        <f t="shared" si="10"/>
        <v>0</v>
      </c>
      <c r="AG36" s="19">
        <f t="shared" si="11"/>
        <v>0</v>
      </c>
      <c r="AH36" s="19">
        <f t="shared" si="12"/>
        <v>0</v>
      </c>
      <c r="AI36" s="16" t="s">
        <v>52</v>
      </c>
      <c r="AJ36" s="19">
        <f t="shared" si="13"/>
        <v>0</v>
      </c>
      <c r="AK36" s="19">
        <f t="shared" si="14"/>
        <v>0</v>
      </c>
      <c r="AL36" s="19">
        <f t="shared" si="15"/>
        <v>0</v>
      </c>
      <c r="AN36" s="19">
        <v>12</v>
      </c>
      <c r="AO36" s="19">
        <f>H36*0.014949153</f>
        <v>0</v>
      </c>
      <c r="AP36" s="19">
        <f>H36*(1-0.014949153)</f>
        <v>0</v>
      </c>
      <c r="AQ36" s="87" t="s">
        <v>429</v>
      </c>
      <c r="AV36" s="19">
        <f t="shared" si="16"/>
        <v>0</v>
      </c>
      <c r="AW36" s="19">
        <f t="shared" si="17"/>
        <v>0</v>
      </c>
      <c r="AX36" s="19">
        <f t="shared" si="18"/>
        <v>0</v>
      </c>
      <c r="AY36" s="87" t="s">
        <v>430</v>
      </c>
      <c r="AZ36" s="87" t="s">
        <v>444</v>
      </c>
      <c r="BA36" s="16" t="s">
        <v>445</v>
      </c>
      <c r="BC36" s="19">
        <f t="shared" si="19"/>
        <v>0</v>
      </c>
      <c r="BD36" s="19">
        <f t="shared" si="20"/>
        <v>0</v>
      </c>
      <c r="BE36" s="19">
        <v>0</v>
      </c>
      <c r="BF36" s="19">
        <f t="shared" si="21"/>
        <v>0</v>
      </c>
      <c r="BH36" s="19">
        <f t="shared" si="22"/>
        <v>0</v>
      </c>
      <c r="BI36" s="19">
        <f t="shared" si="23"/>
        <v>0</v>
      </c>
      <c r="BJ36" s="19">
        <f t="shared" si="24"/>
        <v>0</v>
      </c>
      <c r="BK36" s="19"/>
      <c r="BL36" s="19">
        <v>722</v>
      </c>
      <c r="BW36" s="19" t="str">
        <f t="shared" si="25"/>
        <v>12</v>
      </c>
      <c r="BX36" s="4" t="s">
        <v>46</v>
      </c>
    </row>
    <row r="37" spans="1:76" x14ac:dyDescent="0.25">
      <c r="A37" s="1" t="s">
        <v>452</v>
      </c>
      <c r="B37" s="2" t="s">
        <v>52</v>
      </c>
      <c r="C37" s="2" t="s">
        <v>47</v>
      </c>
      <c r="D37" s="108" t="s">
        <v>48</v>
      </c>
      <c r="E37" s="102"/>
      <c r="F37" s="2" t="s">
        <v>31</v>
      </c>
      <c r="G37" s="19">
        <f>'Rozpočet - vybrané sloupce'!J33</f>
        <v>6</v>
      </c>
      <c r="H37" s="19">
        <f>'Rozpočet - vybrané sloupce'!K33</f>
        <v>0</v>
      </c>
      <c r="I37" s="87" t="s">
        <v>427</v>
      </c>
      <c r="J37" s="19">
        <f t="shared" si="0"/>
        <v>0</v>
      </c>
      <c r="K37" s="19">
        <f t="shared" si="1"/>
        <v>0</v>
      </c>
      <c r="L37" s="19">
        <f t="shared" si="2"/>
        <v>0</v>
      </c>
      <c r="M37" s="19">
        <f t="shared" si="3"/>
        <v>0</v>
      </c>
      <c r="N37" s="19">
        <v>0</v>
      </c>
      <c r="O37" s="19">
        <f t="shared" si="4"/>
        <v>0</v>
      </c>
      <c r="P37" s="88" t="s">
        <v>428</v>
      </c>
      <c r="Z37" s="19">
        <f t="shared" si="5"/>
        <v>0</v>
      </c>
      <c r="AB37" s="19">
        <f t="shared" si="6"/>
        <v>0</v>
      </c>
      <c r="AC37" s="19">
        <f t="shared" si="7"/>
        <v>0</v>
      </c>
      <c r="AD37" s="19">
        <f t="shared" si="8"/>
        <v>0</v>
      </c>
      <c r="AE37" s="19">
        <f t="shared" si="9"/>
        <v>0</v>
      </c>
      <c r="AF37" s="19">
        <f t="shared" si="10"/>
        <v>0</v>
      </c>
      <c r="AG37" s="19">
        <f t="shared" si="11"/>
        <v>0</v>
      </c>
      <c r="AH37" s="19">
        <f t="shared" si="12"/>
        <v>0</v>
      </c>
      <c r="AI37" s="16" t="s">
        <v>52</v>
      </c>
      <c r="AJ37" s="19">
        <f t="shared" si="13"/>
        <v>0</v>
      </c>
      <c r="AK37" s="19">
        <f t="shared" si="14"/>
        <v>0</v>
      </c>
      <c r="AL37" s="19">
        <f t="shared" si="15"/>
        <v>0</v>
      </c>
      <c r="AN37" s="19">
        <v>12</v>
      </c>
      <c r="AO37" s="19">
        <f>H37*0.016866142</f>
        <v>0</v>
      </c>
      <c r="AP37" s="19">
        <f>H37*(1-0.016866142)</f>
        <v>0</v>
      </c>
      <c r="AQ37" s="87" t="s">
        <v>429</v>
      </c>
      <c r="AV37" s="19">
        <f t="shared" si="16"/>
        <v>0</v>
      </c>
      <c r="AW37" s="19">
        <f t="shared" si="17"/>
        <v>0</v>
      </c>
      <c r="AX37" s="19">
        <f t="shared" si="18"/>
        <v>0</v>
      </c>
      <c r="AY37" s="87" t="s">
        <v>430</v>
      </c>
      <c r="AZ37" s="87" t="s">
        <v>444</v>
      </c>
      <c r="BA37" s="16" t="s">
        <v>445</v>
      </c>
      <c r="BC37" s="19">
        <f t="shared" si="19"/>
        <v>0</v>
      </c>
      <c r="BD37" s="19">
        <f t="shared" si="20"/>
        <v>0</v>
      </c>
      <c r="BE37" s="19">
        <v>0</v>
      </c>
      <c r="BF37" s="19">
        <f t="shared" si="21"/>
        <v>0</v>
      </c>
      <c r="BH37" s="19">
        <f t="shared" si="22"/>
        <v>0</v>
      </c>
      <c r="BI37" s="19">
        <f t="shared" si="23"/>
        <v>0</v>
      </c>
      <c r="BJ37" s="19">
        <f t="shared" si="24"/>
        <v>0</v>
      </c>
      <c r="BK37" s="19"/>
      <c r="BL37" s="19">
        <v>722</v>
      </c>
      <c r="BW37" s="19" t="str">
        <f t="shared" si="25"/>
        <v>12</v>
      </c>
      <c r="BX37" s="4" t="s">
        <v>48</v>
      </c>
    </row>
    <row r="38" spans="1:76" x14ac:dyDescent="0.25">
      <c r="A38" s="1" t="s">
        <v>453</v>
      </c>
      <c r="B38" s="2" t="s">
        <v>52</v>
      </c>
      <c r="C38" s="2" t="s">
        <v>49</v>
      </c>
      <c r="D38" s="108" t="s">
        <v>50</v>
      </c>
      <c r="E38" s="102"/>
      <c r="F38" s="2" t="s">
        <v>51</v>
      </c>
      <c r="G38" s="19">
        <f>'Rozpočet - vybrané sloupce'!J34</f>
        <v>78</v>
      </c>
      <c r="H38" s="19">
        <f>'Rozpočet - vybrané sloupce'!K34</f>
        <v>0</v>
      </c>
      <c r="I38" s="87" t="s">
        <v>427</v>
      </c>
      <c r="J38" s="19">
        <f t="shared" si="0"/>
        <v>0</v>
      </c>
      <c r="K38" s="19">
        <f t="shared" si="1"/>
        <v>0</v>
      </c>
      <c r="L38" s="19">
        <f t="shared" si="2"/>
        <v>0</v>
      </c>
      <c r="M38" s="19">
        <f t="shared" si="3"/>
        <v>0</v>
      </c>
      <c r="N38" s="19">
        <v>0</v>
      </c>
      <c r="O38" s="19">
        <f t="shared" si="4"/>
        <v>0</v>
      </c>
      <c r="P38" s="88" t="s">
        <v>428</v>
      </c>
      <c r="Z38" s="19">
        <f t="shared" si="5"/>
        <v>0</v>
      </c>
      <c r="AB38" s="19">
        <f t="shared" si="6"/>
        <v>0</v>
      </c>
      <c r="AC38" s="19">
        <f t="shared" si="7"/>
        <v>0</v>
      </c>
      <c r="AD38" s="19">
        <f t="shared" si="8"/>
        <v>0</v>
      </c>
      <c r="AE38" s="19">
        <f t="shared" si="9"/>
        <v>0</v>
      </c>
      <c r="AF38" s="19">
        <f t="shared" si="10"/>
        <v>0</v>
      </c>
      <c r="AG38" s="19">
        <f t="shared" si="11"/>
        <v>0</v>
      </c>
      <c r="AH38" s="19">
        <f t="shared" si="12"/>
        <v>0</v>
      </c>
      <c r="AI38" s="16" t="s">
        <v>52</v>
      </c>
      <c r="AJ38" s="19">
        <f t="shared" si="13"/>
        <v>0</v>
      </c>
      <c r="AK38" s="19">
        <f t="shared" si="14"/>
        <v>0</v>
      </c>
      <c r="AL38" s="19">
        <f t="shared" si="15"/>
        <v>0</v>
      </c>
      <c r="AN38" s="19">
        <v>12</v>
      </c>
      <c r="AO38" s="19">
        <f>H38*0</f>
        <v>0</v>
      </c>
      <c r="AP38" s="19">
        <f>H38*(1-0)</f>
        <v>0</v>
      </c>
      <c r="AQ38" s="87" t="s">
        <v>436</v>
      </c>
      <c r="AV38" s="19">
        <f t="shared" si="16"/>
        <v>0</v>
      </c>
      <c r="AW38" s="19">
        <f t="shared" si="17"/>
        <v>0</v>
      </c>
      <c r="AX38" s="19">
        <f t="shared" si="18"/>
        <v>0</v>
      </c>
      <c r="AY38" s="87" t="s">
        <v>430</v>
      </c>
      <c r="AZ38" s="87" t="s">
        <v>444</v>
      </c>
      <c r="BA38" s="16" t="s">
        <v>445</v>
      </c>
      <c r="BC38" s="19">
        <f t="shared" si="19"/>
        <v>0</v>
      </c>
      <c r="BD38" s="19">
        <f t="shared" si="20"/>
        <v>0</v>
      </c>
      <c r="BE38" s="19">
        <v>0</v>
      </c>
      <c r="BF38" s="19">
        <f t="shared" si="21"/>
        <v>0</v>
      </c>
      <c r="BH38" s="19">
        <f t="shared" si="22"/>
        <v>0</v>
      </c>
      <c r="BI38" s="19">
        <f t="shared" si="23"/>
        <v>0</v>
      </c>
      <c r="BJ38" s="19">
        <f t="shared" si="24"/>
        <v>0</v>
      </c>
      <c r="BK38" s="19"/>
      <c r="BL38" s="19">
        <v>722</v>
      </c>
      <c r="BW38" s="19" t="str">
        <f t="shared" si="25"/>
        <v>12</v>
      </c>
      <c r="BX38" s="4" t="s">
        <v>50</v>
      </c>
    </row>
    <row r="39" spans="1:76" x14ac:dyDescent="0.25">
      <c r="A39" s="84" t="s">
        <v>25</v>
      </c>
      <c r="B39" s="15" t="s">
        <v>54</v>
      </c>
      <c r="C39" s="15" t="s">
        <v>25</v>
      </c>
      <c r="D39" s="115" t="s">
        <v>55</v>
      </c>
      <c r="E39" s="116"/>
      <c r="F39" s="85" t="s">
        <v>23</v>
      </c>
      <c r="G39" s="85" t="s">
        <v>23</v>
      </c>
      <c r="H39" s="85" t="s">
        <v>23</v>
      </c>
      <c r="I39" s="85" t="s">
        <v>23</v>
      </c>
      <c r="J39" s="60">
        <f>J40</f>
        <v>0</v>
      </c>
      <c r="K39" s="60">
        <f>K40</f>
        <v>0</v>
      </c>
      <c r="L39" s="60">
        <f>L40</f>
        <v>0</v>
      </c>
      <c r="M39" s="60">
        <f>M40</f>
        <v>0</v>
      </c>
      <c r="N39" s="16" t="s">
        <v>25</v>
      </c>
      <c r="O39" s="60">
        <f>O40</f>
        <v>1.116E-2</v>
      </c>
      <c r="P39" s="86" t="s">
        <v>25</v>
      </c>
    </row>
    <row r="40" spans="1:76" x14ac:dyDescent="0.25">
      <c r="A40" s="84" t="s">
        <v>25</v>
      </c>
      <c r="B40" s="15" t="s">
        <v>54</v>
      </c>
      <c r="C40" s="15" t="s">
        <v>27</v>
      </c>
      <c r="D40" s="115" t="s">
        <v>28</v>
      </c>
      <c r="E40" s="116"/>
      <c r="F40" s="85" t="s">
        <v>23</v>
      </c>
      <c r="G40" s="85" t="s">
        <v>23</v>
      </c>
      <c r="H40" s="85" t="s">
        <v>23</v>
      </c>
      <c r="I40" s="85" t="s">
        <v>23</v>
      </c>
      <c r="J40" s="60">
        <f>SUM(J41:J50)</f>
        <v>0</v>
      </c>
      <c r="K40" s="60">
        <f>SUM(K41:K50)</f>
        <v>0</v>
      </c>
      <c r="L40" s="60">
        <f>SUM(L41:L50)</f>
        <v>0</v>
      </c>
      <c r="M40" s="60">
        <f>SUM(M41:M50)</f>
        <v>0</v>
      </c>
      <c r="N40" s="16" t="s">
        <v>25</v>
      </c>
      <c r="O40" s="60">
        <f>SUM(O41:O50)</f>
        <v>1.116E-2</v>
      </c>
      <c r="P40" s="86" t="s">
        <v>25</v>
      </c>
      <c r="AI40" s="16" t="s">
        <v>54</v>
      </c>
      <c r="AS40" s="60">
        <f>SUM(AJ41:AJ50)</f>
        <v>0</v>
      </c>
      <c r="AT40" s="60">
        <f>SUM(AK41:AK50)</f>
        <v>0</v>
      </c>
      <c r="AU40" s="60">
        <f>SUM(AL41:AL50)</f>
        <v>0</v>
      </c>
    </row>
    <row r="41" spans="1:76" x14ac:dyDescent="0.25">
      <c r="A41" s="1" t="s">
        <v>454</v>
      </c>
      <c r="B41" s="2" t="s">
        <v>54</v>
      </c>
      <c r="C41" s="2" t="s">
        <v>29</v>
      </c>
      <c r="D41" s="108" t="s">
        <v>30</v>
      </c>
      <c r="E41" s="102"/>
      <c r="F41" s="2" t="s">
        <v>31</v>
      </c>
      <c r="G41" s="19">
        <f>'Rozpočet - vybrané sloupce'!J37</f>
        <v>3</v>
      </c>
      <c r="H41" s="19">
        <f>'Rozpočet - vybrané sloupce'!K37</f>
        <v>0</v>
      </c>
      <c r="I41" s="87" t="s">
        <v>427</v>
      </c>
      <c r="J41" s="19">
        <f t="shared" ref="J41:J50" si="26">G41*AO41</f>
        <v>0</v>
      </c>
      <c r="K41" s="19">
        <f t="shared" ref="K41:K50" si="27">G41*AP41</f>
        <v>0</v>
      </c>
      <c r="L41" s="19">
        <f t="shared" ref="L41:L50" si="28">G41*H41</f>
        <v>0</v>
      </c>
      <c r="M41" s="19">
        <f t="shared" ref="M41:M50" si="29">L41*(1+BW41/100)</f>
        <v>0</v>
      </c>
      <c r="N41" s="19">
        <v>2.7999999999999998E-4</v>
      </c>
      <c r="O41" s="19">
        <f t="shared" ref="O41:O50" si="30">G41*N41</f>
        <v>8.3999999999999993E-4</v>
      </c>
      <c r="P41" s="88" t="s">
        <v>428</v>
      </c>
      <c r="Z41" s="19">
        <f t="shared" ref="Z41:Z50" si="31">IF(AQ41="5",BJ41,0)</f>
        <v>0</v>
      </c>
      <c r="AB41" s="19">
        <f t="shared" ref="AB41:AB50" si="32">IF(AQ41="1",BH41,0)</f>
        <v>0</v>
      </c>
      <c r="AC41" s="19">
        <f t="shared" ref="AC41:AC50" si="33">IF(AQ41="1",BI41,0)</f>
        <v>0</v>
      </c>
      <c r="AD41" s="19">
        <f t="shared" ref="AD41:AD50" si="34">IF(AQ41="7",BH41,0)</f>
        <v>0</v>
      </c>
      <c r="AE41" s="19">
        <f t="shared" ref="AE41:AE50" si="35">IF(AQ41="7",BI41,0)</f>
        <v>0</v>
      </c>
      <c r="AF41" s="19">
        <f t="shared" ref="AF41:AF50" si="36">IF(AQ41="2",BH41,0)</f>
        <v>0</v>
      </c>
      <c r="AG41" s="19">
        <f t="shared" ref="AG41:AG50" si="37">IF(AQ41="2",BI41,0)</f>
        <v>0</v>
      </c>
      <c r="AH41" s="19">
        <f t="shared" ref="AH41:AH50" si="38">IF(AQ41="0",BJ41,0)</f>
        <v>0</v>
      </c>
      <c r="AI41" s="16" t="s">
        <v>54</v>
      </c>
      <c r="AJ41" s="19">
        <f t="shared" ref="AJ41:AJ50" si="39">IF(AN41=0,L41,0)</f>
        <v>0</v>
      </c>
      <c r="AK41" s="19">
        <f t="shared" ref="AK41:AK50" si="40">IF(AN41=12,L41,0)</f>
        <v>0</v>
      </c>
      <c r="AL41" s="19">
        <f t="shared" ref="AL41:AL50" si="41">IF(AN41=21,L41,0)</f>
        <v>0</v>
      </c>
      <c r="AN41" s="19">
        <v>12</v>
      </c>
      <c r="AO41" s="19">
        <f>H41*0</f>
        <v>0</v>
      </c>
      <c r="AP41" s="19">
        <f>H41*(1-0)</f>
        <v>0</v>
      </c>
      <c r="AQ41" s="87" t="s">
        <v>429</v>
      </c>
      <c r="AV41" s="19">
        <f t="shared" ref="AV41:AV50" si="42">AW41+AX41</f>
        <v>0</v>
      </c>
      <c r="AW41" s="19">
        <f t="shared" ref="AW41:AW50" si="43">G41*AO41</f>
        <v>0</v>
      </c>
      <c r="AX41" s="19">
        <f t="shared" ref="AX41:AX50" si="44">G41*AP41</f>
        <v>0</v>
      </c>
      <c r="AY41" s="87" t="s">
        <v>430</v>
      </c>
      <c r="AZ41" s="87" t="s">
        <v>455</v>
      </c>
      <c r="BA41" s="16" t="s">
        <v>456</v>
      </c>
      <c r="BC41" s="19">
        <f t="shared" ref="BC41:BC50" si="45">AW41+AX41</f>
        <v>0</v>
      </c>
      <c r="BD41" s="19">
        <f t="shared" ref="BD41:BD50" si="46">H41/(100-BE41)*100</f>
        <v>0</v>
      </c>
      <c r="BE41" s="19">
        <v>0</v>
      </c>
      <c r="BF41" s="19">
        <f t="shared" ref="BF41:BF50" si="47">O41</f>
        <v>8.3999999999999993E-4</v>
      </c>
      <c r="BH41" s="19">
        <f t="shared" ref="BH41:BH50" si="48">G41*AO41</f>
        <v>0</v>
      </c>
      <c r="BI41" s="19">
        <f t="shared" ref="BI41:BI50" si="49">G41*AP41</f>
        <v>0</v>
      </c>
      <c r="BJ41" s="19">
        <f t="shared" ref="BJ41:BJ50" si="50">G41*H41</f>
        <v>0</v>
      </c>
      <c r="BK41" s="19"/>
      <c r="BL41" s="19">
        <v>722</v>
      </c>
      <c r="BW41" s="19" t="str">
        <f t="shared" ref="BW41:BW50" si="51">I41</f>
        <v>12</v>
      </c>
      <c r="BX41" s="4" t="s">
        <v>30</v>
      </c>
    </row>
    <row r="42" spans="1:76" x14ac:dyDescent="0.25">
      <c r="A42" s="1" t="s">
        <v>457</v>
      </c>
      <c r="B42" s="2" t="s">
        <v>54</v>
      </c>
      <c r="C42" s="2" t="s">
        <v>33</v>
      </c>
      <c r="D42" s="108" t="s">
        <v>34</v>
      </c>
      <c r="E42" s="102"/>
      <c r="F42" s="2" t="s">
        <v>31</v>
      </c>
      <c r="G42" s="19">
        <f>'Rozpočet - vybrané sloupce'!J38</f>
        <v>6</v>
      </c>
      <c r="H42" s="19">
        <f>'Rozpočet - vybrané sloupce'!K38</f>
        <v>0</v>
      </c>
      <c r="I42" s="87" t="s">
        <v>427</v>
      </c>
      <c r="J42" s="19">
        <f t="shared" si="26"/>
        <v>0</v>
      </c>
      <c r="K42" s="19">
        <f t="shared" si="27"/>
        <v>0</v>
      </c>
      <c r="L42" s="19">
        <f t="shared" si="28"/>
        <v>0</v>
      </c>
      <c r="M42" s="19">
        <f t="shared" si="29"/>
        <v>0</v>
      </c>
      <c r="N42" s="19">
        <v>2.9E-4</v>
      </c>
      <c r="O42" s="19">
        <f t="shared" si="30"/>
        <v>1.74E-3</v>
      </c>
      <c r="P42" s="88" t="s">
        <v>428</v>
      </c>
      <c r="Z42" s="19">
        <f t="shared" si="31"/>
        <v>0</v>
      </c>
      <c r="AB42" s="19">
        <f t="shared" si="32"/>
        <v>0</v>
      </c>
      <c r="AC42" s="19">
        <f t="shared" si="33"/>
        <v>0</v>
      </c>
      <c r="AD42" s="19">
        <f t="shared" si="34"/>
        <v>0</v>
      </c>
      <c r="AE42" s="19">
        <f t="shared" si="35"/>
        <v>0</v>
      </c>
      <c r="AF42" s="19">
        <f t="shared" si="36"/>
        <v>0</v>
      </c>
      <c r="AG42" s="19">
        <f t="shared" si="37"/>
        <v>0</v>
      </c>
      <c r="AH42" s="19">
        <f t="shared" si="38"/>
        <v>0</v>
      </c>
      <c r="AI42" s="16" t="s">
        <v>54</v>
      </c>
      <c r="AJ42" s="19">
        <f t="shared" si="39"/>
        <v>0</v>
      </c>
      <c r="AK42" s="19">
        <f t="shared" si="40"/>
        <v>0</v>
      </c>
      <c r="AL42" s="19">
        <f t="shared" si="41"/>
        <v>0</v>
      </c>
      <c r="AN42" s="19">
        <v>12</v>
      </c>
      <c r="AO42" s="19">
        <f>H42*0</f>
        <v>0</v>
      </c>
      <c r="AP42" s="19">
        <f>H42*(1-0)</f>
        <v>0</v>
      </c>
      <c r="AQ42" s="87" t="s">
        <v>429</v>
      </c>
      <c r="AV42" s="19">
        <f t="shared" si="42"/>
        <v>0</v>
      </c>
      <c r="AW42" s="19">
        <f t="shared" si="43"/>
        <v>0</v>
      </c>
      <c r="AX42" s="19">
        <f t="shared" si="44"/>
        <v>0</v>
      </c>
      <c r="AY42" s="87" t="s">
        <v>430</v>
      </c>
      <c r="AZ42" s="87" t="s">
        <v>455</v>
      </c>
      <c r="BA42" s="16" t="s">
        <v>456</v>
      </c>
      <c r="BC42" s="19">
        <f t="shared" si="45"/>
        <v>0</v>
      </c>
      <c r="BD42" s="19">
        <f t="shared" si="46"/>
        <v>0</v>
      </c>
      <c r="BE42" s="19">
        <v>0</v>
      </c>
      <c r="BF42" s="19">
        <f t="shared" si="47"/>
        <v>1.74E-3</v>
      </c>
      <c r="BH42" s="19">
        <f t="shared" si="48"/>
        <v>0</v>
      </c>
      <c r="BI42" s="19">
        <f t="shared" si="49"/>
        <v>0</v>
      </c>
      <c r="BJ42" s="19">
        <f t="shared" si="50"/>
        <v>0</v>
      </c>
      <c r="BK42" s="19"/>
      <c r="BL42" s="19">
        <v>722</v>
      </c>
      <c r="BW42" s="19" t="str">
        <f t="shared" si="51"/>
        <v>12</v>
      </c>
      <c r="BX42" s="4" t="s">
        <v>34</v>
      </c>
    </row>
    <row r="43" spans="1:76" x14ac:dyDescent="0.25">
      <c r="A43" s="1" t="s">
        <v>458</v>
      </c>
      <c r="B43" s="2" t="s">
        <v>54</v>
      </c>
      <c r="C43" s="2" t="s">
        <v>35</v>
      </c>
      <c r="D43" s="108" t="s">
        <v>36</v>
      </c>
      <c r="E43" s="102"/>
      <c r="F43" s="2" t="s">
        <v>31</v>
      </c>
      <c r="G43" s="19">
        <f>'Rozpočet - vybrané sloupce'!J39</f>
        <v>3</v>
      </c>
      <c r="H43" s="19">
        <f>'Rozpočet - vybrané sloupce'!K39</f>
        <v>0</v>
      </c>
      <c r="I43" s="87" t="s">
        <v>427</v>
      </c>
      <c r="J43" s="19">
        <f t="shared" si="26"/>
        <v>0</v>
      </c>
      <c r="K43" s="19">
        <f t="shared" si="27"/>
        <v>0</v>
      </c>
      <c r="L43" s="19">
        <f t="shared" si="28"/>
        <v>0</v>
      </c>
      <c r="M43" s="19">
        <f t="shared" si="29"/>
        <v>0</v>
      </c>
      <c r="N43" s="19">
        <v>5.2999999999999998E-4</v>
      </c>
      <c r="O43" s="19">
        <f t="shared" si="30"/>
        <v>1.5899999999999998E-3</v>
      </c>
      <c r="P43" s="88" t="s">
        <v>428</v>
      </c>
      <c r="Z43" s="19">
        <f t="shared" si="31"/>
        <v>0</v>
      </c>
      <c r="AB43" s="19">
        <f t="shared" si="32"/>
        <v>0</v>
      </c>
      <c r="AC43" s="19">
        <f t="shared" si="33"/>
        <v>0</v>
      </c>
      <c r="AD43" s="19">
        <f t="shared" si="34"/>
        <v>0</v>
      </c>
      <c r="AE43" s="19">
        <f t="shared" si="35"/>
        <v>0</v>
      </c>
      <c r="AF43" s="19">
        <f t="shared" si="36"/>
        <v>0</v>
      </c>
      <c r="AG43" s="19">
        <f t="shared" si="37"/>
        <v>0</v>
      </c>
      <c r="AH43" s="19">
        <f t="shared" si="38"/>
        <v>0</v>
      </c>
      <c r="AI43" s="16" t="s">
        <v>54</v>
      </c>
      <c r="AJ43" s="19">
        <f t="shared" si="39"/>
        <v>0</v>
      </c>
      <c r="AK43" s="19">
        <f t="shared" si="40"/>
        <v>0</v>
      </c>
      <c r="AL43" s="19">
        <f t="shared" si="41"/>
        <v>0</v>
      </c>
      <c r="AN43" s="19">
        <v>12</v>
      </c>
      <c r="AO43" s="19">
        <f>H43*0.499013323</f>
        <v>0</v>
      </c>
      <c r="AP43" s="19">
        <f>H43*(1-0.499013323)</f>
        <v>0</v>
      </c>
      <c r="AQ43" s="87" t="s">
        <v>429</v>
      </c>
      <c r="AV43" s="19">
        <f t="shared" si="42"/>
        <v>0</v>
      </c>
      <c r="AW43" s="19">
        <f t="shared" si="43"/>
        <v>0</v>
      </c>
      <c r="AX43" s="19">
        <f t="shared" si="44"/>
        <v>0</v>
      </c>
      <c r="AY43" s="87" t="s">
        <v>430</v>
      </c>
      <c r="AZ43" s="87" t="s">
        <v>455</v>
      </c>
      <c r="BA43" s="16" t="s">
        <v>456</v>
      </c>
      <c r="BC43" s="19">
        <f t="shared" si="45"/>
        <v>0</v>
      </c>
      <c r="BD43" s="19">
        <f t="shared" si="46"/>
        <v>0</v>
      </c>
      <c r="BE43" s="19">
        <v>0</v>
      </c>
      <c r="BF43" s="19">
        <f t="shared" si="47"/>
        <v>1.5899999999999998E-3</v>
      </c>
      <c r="BH43" s="19">
        <f t="shared" si="48"/>
        <v>0</v>
      </c>
      <c r="BI43" s="19">
        <f t="shared" si="49"/>
        <v>0</v>
      </c>
      <c r="BJ43" s="19">
        <f t="shared" si="50"/>
        <v>0</v>
      </c>
      <c r="BK43" s="19"/>
      <c r="BL43" s="19">
        <v>722</v>
      </c>
      <c r="BW43" s="19" t="str">
        <f t="shared" si="51"/>
        <v>12</v>
      </c>
      <c r="BX43" s="4" t="s">
        <v>36</v>
      </c>
    </row>
    <row r="44" spans="1:76" x14ac:dyDescent="0.25">
      <c r="A44" s="1" t="s">
        <v>459</v>
      </c>
      <c r="B44" s="2" t="s">
        <v>54</v>
      </c>
      <c r="C44" s="2" t="s">
        <v>37</v>
      </c>
      <c r="D44" s="108" t="s">
        <v>38</v>
      </c>
      <c r="E44" s="102"/>
      <c r="F44" s="2" t="s">
        <v>31</v>
      </c>
      <c r="G44" s="19">
        <f>'Rozpočet - vybrané sloupce'!J40</f>
        <v>6</v>
      </c>
      <c r="H44" s="19">
        <f>'Rozpočet - vybrané sloupce'!K40</f>
        <v>0</v>
      </c>
      <c r="I44" s="87" t="s">
        <v>427</v>
      </c>
      <c r="J44" s="19">
        <f t="shared" si="26"/>
        <v>0</v>
      </c>
      <c r="K44" s="19">
        <f t="shared" si="27"/>
        <v>0</v>
      </c>
      <c r="L44" s="19">
        <f t="shared" si="28"/>
        <v>0</v>
      </c>
      <c r="M44" s="19">
        <f t="shared" si="29"/>
        <v>0</v>
      </c>
      <c r="N44" s="19">
        <v>1.0200000000000001E-3</v>
      </c>
      <c r="O44" s="19">
        <f t="shared" si="30"/>
        <v>6.1200000000000004E-3</v>
      </c>
      <c r="P44" s="88" t="s">
        <v>428</v>
      </c>
      <c r="Z44" s="19">
        <f t="shared" si="31"/>
        <v>0</v>
      </c>
      <c r="AB44" s="19">
        <f t="shared" si="32"/>
        <v>0</v>
      </c>
      <c r="AC44" s="19">
        <f t="shared" si="33"/>
        <v>0</v>
      </c>
      <c r="AD44" s="19">
        <f t="shared" si="34"/>
        <v>0</v>
      </c>
      <c r="AE44" s="19">
        <f t="shared" si="35"/>
        <v>0</v>
      </c>
      <c r="AF44" s="19">
        <f t="shared" si="36"/>
        <v>0</v>
      </c>
      <c r="AG44" s="19">
        <f t="shared" si="37"/>
        <v>0</v>
      </c>
      <c r="AH44" s="19">
        <f t="shared" si="38"/>
        <v>0</v>
      </c>
      <c r="AI44" s="16" t="s">
        <v>54</v>
      </c>
      <c r="AJ44" s="19">
        <f t="shared" si="39"/>
        <v>0</v>
      </c>
      <c r="AK44" s="19">
        <f t="shared" si="40"/>
        <v>0</v>
      </c>
      <c r="AL44" s="19">
        <f t="shared" si="41"/>
        <v>0</v>
      </c>
      <c r="AN44" s="19">
        <v>12</v>
      </c>
      <c r="AO44" s="19">
        <f>H44*0.679747138</f>
        <v>0</v>
      </c>
      <c r="AP44" s="19">
        <f>H44*(1-0.679747138)</f>
        <v>0</v>
      </c>
      <c r="AQ44" s="87" t="s">
        <v>429</v>
      </c>
      <c r="AV44" s="19">
        <f t="shared" si="42"/>
        <v>0</v>
      </c>
      <c r="AW44" s="19">
        <f t="shared" si="43"/>
        <v>0</v>
      </c>
      <c r="AX44" s="19">
        <f t="shared" si="44"/>
        <v>0</v>
      </c>
      <c r="AY44" s="87" t="s">
        <v>430</v>
      </c>
      <c r="AZ44" s="87" t="s">
        <v>455</v>
      </c>
      <c r="BA44" s="16" t="s">
        <v>456</v>
      </c>
      <c r="BC44" s="19">
        <f t="shared" si="45"/>
        <v>0</v>
      </c>
      <c r="BD44" s="19">
        <f t="shared" si="46"/>
        <v>0</v>
      </c>
      <c r="BE44" s="19">
        <v>0</v>
      </c>
      <c r="BF44" s="19">
        <f t="shared" si="47"/>
        <v>6.1200000000000004E-3</v>
      </c>
      <c r="BH44" s="19">
        <f t="shared" si="48"/>
        <v>0</v>
      </c>
      <c r="BI44" s="19">
        <f t="shared" si="49"/>
        <v>0</v>
      </c>
      <c r="BJ44" s="19">
        <f t="shared" si="50"/>
        <v>0</v>
      </c>
      <c r="BK44" s="19"/>
      <c r="BL44" s="19">
        <v>722</v>
      </c>
      <c r="BW44" s="19" t="str">
        <f t="shared" si="51"/>
        <v>12</v>
      </c>
      <c r="BX44" s="4" t="s">
        <v>38</v>
      </c>
    </row>
    <row r="45" spans="1:76" x14ac:dyDescent="0.25">
      <c r="A45" s="1" t="s">
        <v>460</v>
      </c>
      <c r="B45" s="2" t="s">
        <v>54</v>
      </c>
      <c r="C45" s="2" t="s">
        <v>39</v>
      </c>
      <c r="D45" s="108" t="s">
        <v>40</v>
      </c>
      <c r="E45" s="102"/>
      <c r="F45" s="2" t="s">
        <v>31</v>
      </c>
      <c r="G45" s="19">
        <f>'Rozpočet - vybrané sloupce'!J41</f>
        <v>3</v>
      </c>
      <c r="H45" s="19">
        <f>'Rozpočet - vybrané sloupce'!K41</f>
        <v>0</v>
      </c>
      <c r="I45" s="87" t="s">
        <v>427</v>
      </c>
      <c r="J45" s="19">
        <f t="shared" si="26"/>
        <v>0</v>
      </c>
      <c r="K45" s="19">
        <f t="shared" si="27"/>
        <v>0</v>
      </c>
      <c r="L45" s="19">
        <f t="shared" si="28"/>
        <v>0</v>
      </c>
      <c r="M45" s="19">
        <f t="shared" si="29"/>
        <v>0</v>
      </c>
      <c r="N45" s="19">
        <v>9.0000000000000006E-5</v>
      </c>
      <c r="O45" s="19">
        <f t="shared" si="30"/>
        <v>2.7E-4</v>
      </c>
      <c r="P45" s="88" t="s">
        <v>428</v>
      </c>
      <c r="Z45" s="19">
        <f t="shared" si="31"/>
        <v>0</v>
      </c>
      <c r="AB45" s="19">
        <f t="shared" si="32"/>
        <v>0</v>
      </c>
      <c r="AC45" s="19">
        <f t="shared" si="33"/>
        <v>0</v>
      </c>
      <c r="AD45" s="19">
        <f t="shared" si="34"/>
        <v>0</v>
      </c>
      <c r="AE45" s="19">
        <f t="shared" si="35"/>
        <v>0</v>
      </c>
      <c r="AF45" s="19">
        <f t="shared" si="36"/>
        <v>0</v>
      </c>
      <c r="AG45" s="19">
        <f t="shared" si="37"/>
        <v>0</v>
      </c>
      <c r="AH45" s="19">
        <f t="shared" si="38"/>
        <v>0</v>
      </c>
      <c r="AI45" s="16" t="s">
        <v>54</v>
      </c>
      <c r="AJ45" s="19">
        <f t="shared" si="39"/>
        <v>0</v>
      </c>
      <c r="AK45" s="19">
        <f t="shared" si="40"/>
        <v>0</v>
      </c>
      <c r="AL45" s="19">
        <f t="shared" si="41"/>
        <v>0</v>
      </c>
      <c r="AN45" s="19">
        <v>12</v>
      </c>
      <c r="AO45" s="19">
        <f>H45*0.255581395</f>
        <v>0</v>
      </c>
      <c r="AP45" s="19">
        <f>H45*(1-0.255581395)</f>
        <v>0</v>
      </c>
      <c r="AQ45" s="87" t="s">
        <v>429</v>
      </c>
      <c r="AV45" s="19">
        <f t="shared" si="42"/>
        <v>0</v>
      </c>
      <c r="AW45" s="19">
        <f t="shared" si="43"/>
        <v>0</v>
      </c>
      <c r="AX45" s="19">
        <f t="shared" si="44"/>
        <v>0</v>
      </c>
      <c r="AY45" s="87" t="s">
        <v>430</v>
      </c>
      <c r="AZ45" s="87" t="s">
        <v>455</v>
      </c>
      <c r="BA45" s="16" t="s">
        <v>456</v>
      </c>
      <c r="BC45" s="19">
        <f t="shared" si="45"/>
        <v>0</v>
      </c>
      <c r="BD45" s="19">
        <f t="shared" si="46"/>
        <v>0</v>
      </c>
      <c r="BE45" s="19">
        <v>0</v>
      </c>
      <c r="BF45" s="19">
        <f t="shared" si="47"/>
        <v>2.7E-4</v>
      </c>
      <c r="BH45" s="19">
        <f t="shared" si="48"/>
        <v>0</v>
      </c>
      <c r="BI45" s="19">
        <f t="shared" si="49"/>
        <v>0</v>
      </c>
      <c r="BJ45" s="19">
        <f t="shared" si="50"/>
        <v>0</v>
      </c>
      <c r="BK45" s="19"/>
      <c r="BL45" s="19">
        <v>722</v>
      </c>
      <c r="BW45" s="19" t="str">
        <f t="shared" si="51"/>
        <v>12</v>
      </c>
      <c r="BX45" s="4" t="s">
        <v>40</v>
      </c>
    </row>
    <row r="46" spans="1:76" x14ac:dyDescent="0.25">
      <c r="A46" s="1" t="s">
        <v>461</v>
      </c>
      <c r="B46" s="2" t="s">
        <v>54</v>
      </c>
      <c r="C46" s="2" t="s">
        <v>41</v>
      </c>
      <c r="D46" s="108" t="s">
        <v>42</v>
      </c>
      <c r="E46" s="102"/>
      <c r="F46" s="2" t="s">
        <v>31</v>
      </c>
      <c r="G46" s="19">
        <f>'Rozpočet - vybrané sloupce'!J42</f>
        <v>3</v>
      </c>
      <c r="H46" s="19">
        <f>'Rozpočet - vybrané sloupce'!K42</f>
        <v>0</v>
      </c>
      <c r="I46" s="87" t="s">
        <v>427</v>
      </c>
      <c r="J46" s="19">
        <f t="shared" si="26"/>
        <v>0</v>
      </c>
      <c r="K46" s="19">
        <f t="shared" si="27"/>
        <v>0</v>
      </c>
      <c r="L46" s="19">
        <f t="shared" si="28"/>
        <v>0</v>
      </c>
      <c r="M46" s="19">
        <f t="shared" si="29"/>
        <v>0</v>
      </c>
      <c r="N46" s="19">
        <v>6.9999999999999994E-5</v>
      </c>
      <c r="O46" s="19">
        <f t="shared" si="30"/>
        <v>2.0999999999999998E-4</v>
      </c>
      <c r="P46" s="88" t="s">
        <v>428</v>
      </c>
      <c r="Z46" s="19">
        <f t="shared" si="31"/>
        <v>0</v>
      </c>
      <c r="AB46" s="19">
        <f t="shared" si="32"/>
        <v>0</v>
      </c>
      <c r="AC46" s="19">
        <f t="shared" si="33"/>
        <v>0</v>
      </c>
      <c r="AD46" s="19">
        <f t="shared" si="34"/>
        <v>0</v>
      </c>
      <c r="AE46" s="19">
        <f t="shared" si="35"/>
        <v>0</v>
      </c>
      <c r="AF46" s="19">
        <f t="shared" si="36"/>
        <v>0</v>
      </c>
      <c r="AG46" s="19">
        <f t="shared" si="37"/>
        <v>0</v>
      </c>
      <c r="AH46" s="19">
        <f t="shared" si="38"/>
        <v>0</v>
      </c>
      <c r="AI46" s="16" t="s">
        <v>54</v>
      </c>
      <c r="AJ46" s="19">
        <f t="shared" si="39"/>
        <v>0</v>
      </c>
      <c r="AK46" s="19">
        <f t="shared" si="40"/>
        <v>0</v>
      </c>
      <c r="AL46" s="19">
        <f t="shared" si="41"/>
        <v>0</v>
      </c>
      <c r="AN46" s="19">
        <v>12</v>
      </c>
      <c r="AO46" s="19">
        <f>H46*0.523433468</f>
        <v>0</v>
      </c>
      <c r="AP46" s="19">
        <f>H46*(1-0.523433468)</f>
        <v>0</v>
      </c>
      <c r="AQ46" s="87" t="s">
        <v>429</v>
      </c>
      <c r="AV46" s="19">
        <f t="shared" si="42"/>
        <v>0</v>
      </c>
      <c r="AW46" s="19">
        <f t="shared" si="43"/>
        <v>0</v>
      </c>
      <c r="AX46" s="19">
        <f t="shared" si="44"/>
        <v>0</v>
      </c>
      <c r="AY46" s="87" t="s">
        <v>430</v>
      </c>
      <c r="AZ46" s="87" t="s">
        <v>455</v>
      </c>
      <c r="BA46" s="16" t="s">
        <v>456</v>
      </c>
      <c r="BC46" s="19">
        <f t="shared" si="45"/>
        <v>0</v>
      </c>
      <c r="BD46" s="19">
        <f t="shared" si="46"/>
        <v>0</v>
      </c>
      <c r="BE46" s="19">
        <v>0</v>
      </c>
      <c r="BF46" s="19">
        <f t="shared" si="47"/>
        <v>2.0999999999999998E-4</v>
      </c>
      <c r="BH46" s="19">
        <f t="shared" si="48"/>
        <v>0</v>
      </c>
      <c r="BI46" s="19">
        <f t="shared" si="49"/>
        <v>0</v>
      </c>
      <c r="BJ46" s="19">
        <f t="shared" si="50"/>
        <v>0</v>
      </c>
      <c r="BK46" s="19"/>
      <c r="BL46" s="19">
        <v>722</v>
      </c>
      <c r="BW46" s="19" t="str">
        <f t="shared" si="51"/>
        <v>12</v>
      </c>
      <c r="BX46" s="4" t="s">
        <v>42</v>
      </c>
    </row>
    <row r="47" spans="1:76" x14ac:dyDescent="0.25">
      <c r="A47" s="1" t="s">
        <v>462</v>
      </c>
      <c r="B47" s="2" t="s">
        <v>54</v>
      </c>
      <c r="C47" s="2" t="s">
        <v>43</v>
      </c>
      <c r="D47" s="108" t="s">
        <v>44</v>
      </c>
      <c r="E47" s="102"/>
      <c r="F47" s="2" t="s">
        <v>31</v>
      </c>
      <c r="G47" s="19">
        <f>'Rozpočet - vybrané sloupce'!J43</f>
        <v>3</v>
      </c>
      <c r="H47" s="19">
        <f>'Rozpočet - vybrané sloupce'!K43</f>
        <v>0</v>
      </c>
      <c r="I47" s="87" t="s">
        <v>427</v>
      </c>
      <c r="J47" s="19">
        <f t="shared" si="26"/>
        <v>0</v>
      </c>
      <c r="K47" s="19">
        <f t="shared" si="27"/>
        <v>0</v>
      </c>
      <c r="L47" s="19">
        <f t="shared" si="28"/>
        <v>0</v>
      </c>
      <c r="M47" s="19">
        <f t="shared" si="29"/>
        <v>0</v>
      </c>
      <c r="N47" s="19">
        <v>1.2999999999999999E-4</v>
      </c>
      <c r="O47" s="19">
        <f t="shared" si="30"/>
        <v>3.8999999999999994E-4</v>
      </c>
      <c r="P47" s="88" t="s">
        <v>428</v>
      </c>
      <c r="Z47" s="19">
        <f t="shared" si="31"/>
        <v>0</v>
      </c>
      <c r="AB47" s="19">
        <f t="shared" si="32"/>
        <v>0</v>
      </c>
      <c r="AC47" s="19">
        <f t="shared" si="33"/>
        <v>0</v>
      </c>
      <c r="AD47" s="19">
        <f t="shared" si="34"/>
        <v>0</v>
      </c>
      <c r="AE47" s="19">
        <f t="shared" si="35"/>
        <v>0</v>
      </c>
      <c r="AF47" s="19">
        <f t="shared" si="36"/>
        <v>0</v>
      </c>
      <c r="AG47" s="19">
        <f t="shared" si="37"/>
        <v>0</v>
      </c>
      <c r="AH47" s="19">
        <f t="shared" si="38"/>
        <v>0</v>
      </c>
      <c r="AI47" s="16" t="s">
        <v>54</v>
      </c>
      <c r="AJ47" s="19">
        <f t="shared" si="39"/>
        <v>0</v>
      </c>
      <c r="AK47" s="19">
        <f t="shared" si="40"/>
        <v>0</v>
      </c>
      <c r="AL47" s="19">
        <f t="shared" si="41"/>
        <v>0</v>
      </c>
      <c r="AN47" s="19">
        <v>12</v>
      </c>
      <c r="AO47" s="19">
        <f>H47*0.526485197</f>
        <v>0</v>
      </c>
      <c r="AP47" s="19">
        <f>H47*(1-0.526485197)</f>
        <v>0</v>
      </c>
      <c r="AQ47" s="87" t="s">
        <v>429</v>
      </c>
      <c r="AV47" s="19">
        <f t="shared" si="42"/>
        <v>0</v>
      </c>
      <c r="AW47" s="19">
        <f t="shared" si="43"/>
        <v>0</v>
      </c>
      <c r="AX47" s="19">
        <f t="shared" si="44"/>
        <v>0</v>
      </c>
      <c r="AY47" s="87" t="s">
        <v>430</v>
      </c>
      <c r="AZ47" s="87" t="s">
        <v>455</v>
      </c>
      <c r="BA47" s="16" t="s">
        <v>456</v>
      </c>
      <c r="BC47" s="19">
        <f t="shared" si="45"/>
        <v>0</v>
      </c>
      <c r="BD47" s="19">
        <f t="shared" si="46"/>
        <v>0</v>
      </c>
      <c r="BE47" s="19">
        <v>0</v>
      </c>
      <c r="BF47" s="19">
        <f t="shared" si="47"/>
        <v>3.8999999999999994E-4</v>
      </c>
      <c r="BH47" s="19">
        <f t="shared" si="48"/>
        <v>0</v>
      </c>
      <c r="BI47" s="19">
        <f t="shared" si="49"/>
        <v>0</v>
      </c>
      <c r="BJ47" s="19">
        <f t="shared" si="50"/>
        <v>0</v>
      </c>
      <c r="BK47" s="19"/>
      <c r="BL47" s="19">
        <v>722</v>
      </c>
      <c r="BW47" s="19" t="str">
        <f t="shared" si="51"/>
        <v>12</v>
      </c>
      <c r="BX47" s="4" t="s">
        <v>44</v>
      </c>
    </row>
    <row r="48" spans="1:76" x14ac:dyDescent="0.25">
      <c r="A48" s="1" t="s">
        <v>463</v>
      </c>
      <c r="B48" s="2" t="s">
        <v>54</v>
      </c>
      <c r="C48" s="2" t="s">
        <v>45</v>
      </c>
      <c r="D48" s="108" t="s">
        <v>46</v>
      </c>
      <c r="E48" s="102"/>
      <c r="F48" s="2" t="s">
        <v>31</v>
      </c>
      <c r="G48" s="19">
        <f>'Rozpočet - vybrané sloupce'!J44</f>
        <v>3</v>
      </c>
      <c r="H48" s="19">
        <f>'Rozpočet - vybrané sloupce'!K44</f>
        <v>0</v>
      </c>
      <c r="I48" s="87" t="s">
        <v>427</v>
      </c>
      <c r="J48" s="19">
        <f t="shared" si="26"/>
        <v>0</v>
      </c>
      <c r="K48" s="19">
        <f t="shared" si="27"/>
        <v>0</v>
      </c>
      <c r="L48" s="19">
        <f t="shared" si="28"/>
        <v>0</v>
      </c>
      <c r="M48" s="19">
        <f t="shared" si="29"/>
        <v>0</v>
      </c>
      <c r="N48" s="19">
        <v>0</v>
      </c>
      <c r="O48" s="19">
        <f t="shared" si="30"/>
        <v>0</v>
      </c>
      <c r="P48" s="88" t="s">
        <v>428</v>
      </c>
      <c r="Z48" s="19">
        <f t="shared" si="31"/>
        <v>0</v>
      </c>
      <c r="AB48" s="19">
        <f t="shared" si="32"/>
        <v>0</v>
      </c>
      <c r="AC48" s="19">
        <f t="shared" si="33"/>
        <v>0</v>
      </c>
      <c r="AD48" s="19">
        <f t="shared" si="34"/>
        <v>0</v>
      </c>
      <c r="AE48" s="19">
        <f t="shared" si="35"/>
        <v>0</v>
      </c>
      <c r="AF48" s="19">
        <f t="shared" si="36"/>
        <v>0</v>
      </c>
      <c r="AG48" s="19">
        <f t="shared" si="37"/>
        <v>0</v>
      </c>
      <c r="AH48" s="19">
        <f t="shared" si="38"/>
        <v>0</v>
      </c>
      <c r="AI48" s="16" t="s">
        <v>54</v>
      </c>
      <c r="AJ48" s="19">
        <f t="shared" si="39"/>
        <v>0</v>
      </c>
      <c r="AK48" s="19">
        <f t="shared" si="40"/>
        <v>0</v>
      </c>
      <c r="AL48" s="19">
        <f t="shared" si="41"/>
        <v>0</v>
      </c>
      <c r="AN48" s="19">
        <v>12</v>
      </c>
      <c r="AO48" s="19">
        <f>H48*0.014949153</f>
        <v>0</v>
      </c>
      <c r="AP48" s="19">
        <f>H48*(1-0.014949153)</f>
        <v>0</v>
      </c>
      <c r="AQ48" s="87" t="s">
        <v>429</v>
      </c>
      <c r="AV48" s="19">
        <f t="shared" si="42"/>
        <v>0</v>
      </c>
      <c r="AW48" s="19">
        <f t="shared" si="43"/>
        <v>0</v>
      </c>
      <c r="AX48" s="19">
        <f t="shared" si="44"/>
        <v>0</v>
      </c>
      <c r="AY48" s="87" t="s">
        <v>430</v>
      </c>
      <c r="AZ48" s="87" t="s">
        <v>455</v>
      </c>
      <c r="BA48" s="16" t="s">
        <v>456</v>
      </c>
      <c r="BC48" s="19">
        <f t="shared" si="45"/>
        <v>0</v>
      </c>
      <c r="BD48" s="19">
        <f t="shared" si="46"/>
        <v>0</v>
      </c>
      <c r="BE48" s="19">
        <v>0</v>
      </c>
      <c r="BF48" s="19">
        <f t="shared" si="47"/>
        <v>0</v>
      </c>
      <c r="BH48" s="19">
        <f t="shared" si="48"/>
        <v>0</v>
      </c>
      <c r="BI48" s="19">
        <f t="shared" si="49"/>
        <v>0</v>
      </c>
      <c r="BJ48" s="19">
        <f t="shared" si="50"/>
        <v>0</v>
      </c>
      <c r="BK48" s="19"/>
      <c r="BL48" s="19">
        <v>722</v>
      </c>
      <c r="BW48" s="19" t="str">
        <f t="shared" si="51"/>
        <v>12</v>
      </c>
      <c r="BX48" s="4" t="s">
        <v>46</v>
      </c>
    </row>
    <row r="49" spans="1:76" x14ac:dyDescent="0.25">
      <c r="A49" s="1" t="s">
        <v>464</v>
      </c>
      <c r="B49" s="2" t="s">
        <v>54</v>
      </c>
      <c r="C49" s="2" t="s">
        <v>47</v>
      </c>
      <c r="D49" s="108" t="s">
        <v>48</v>
      </c>
      <c r="E49" s="102"/>
      <c r="F49" s="2" t="s">
        <v>31</v>
      </c>
      <c r="G49" s="19">
        <f>'Rozpočet - vybrané sloupce'!J45</f>
        <v>6</v>
      </c>
      <c r="H49" s="19">
        <f>'Rozpočet - vybrané sloupce'!K45</f>
        <v>0</v>
      </c>
      <c r="I49" s="87" t="s">
        <v>427</v>
      </c>
      <c r="J49" s="19">
        <f t="shared" si="26"/>
        <v>0</v>
      </c>
      <c r="K49" s="19">
        <f t="shared" si="27"/>
        <v>0</v>
      </c>
      <c r="L49" s="19">
        <f t="shared" si="28"/>
        <v>0</v>
      </c>
      <c r="M49" s="19">
        <f t="shared" si="29"/>
        <v>0</v>
      </c>
      <c r="N49" s="19">
        <v>0</v>
      </c>
      <c r="O49" s="19">
        <f t="shared" si="30"/>
        <v>0</v>
      </c>
      <c r="P49" s="88" t="s">
        <v>428</v>
      </c>
      <c r="Z49" s="19">
        <f t="shared" si="31"/>
        <v>0</v>
      </c>
      <c r="AB49" s="19">
        <f t="shared" si="32"/>
        <v>0</v>
      </c>
      <c r="AC49" s="19">
        <f t="shared" si="33"/>
        <v>0</v>
      </c>
      <c r="AD49" s="19">
        <f t="shared" si="34"/>
        <v>0</v>
      </c>
      <c r="AE49" s="19">
        <f t="shared" si="35"/>
        <v>0</v>
      </c>
      <c r="AF49" s="19">
        <f t="shared" si="36"/>
        <v>0</v>
      </c>
      <c r="AG49" s="19">
        <f t="shared" si="37"/>
        <v>0</v>
      </c>
      <c r="AH49" s="19">
        <f t="shared" si="38"/>
        <v>0</v>
      </c>
      <c r="AI49" s="16" t="s">
        <v>54</v>
      </c>
      <c r="AJ49" s="19">
        <f t="shared" si="39"/>
        <v>0</v>
      </c>
      <c r="AK49" s="19">
        <f t="shared" si="40"/>
        <v>0</v>
      </c>
      <c r="AL49" s="19">
        <f t="shared" si="41"/>
        <v>0</v>
      </c>
      <c r="AN49" s="19">
        <v>12</v>
      </c>
      <c r="AO49" s="19">
        <f>H49*0.016866142</f>
        <v>0</v>
      </c>
      <c r="AP49" s="19">
        <f>H49*(1-0.016866142)</f>
        <v>0</v>
      </c>
      <c r="AQ49" s="87" t="s">
        <v>429</v>
      </c>
      <c r="AV49" s="19">
        <f t="shared" si="42"/>
        <v>0</v>
      </c>
      <c r="AW49" s="19">
        <f t="shared" si="43"/>
        <v>0</v>
      </c>
      <c r="AX49" s="19">
        <f t="shared" si="44"/>
        <v>0</v>
      </c>
      <c r="AY49" s="87" t="s">
        <v>430</v>
      </c>
      <c r="AZ49" s="87" t="s">
        <v>455</v>
      </c>
      <c r="BA49" s="16" t="s">
        <v>456</v>
      </c>
      <c r="BC49" s="19">
        <f t="shared" si="45"/>
        <v>0</v>
      </c>
      <c r="BD49" s="19">
        <f t="shared" si="46"/>
        <v>0</v>
      </c>
      <c r="BE49" s="19">
        <v>0</v>
      </c>
      <c r="BF49" s="19">
        <f t="shared" si="47"/>
        <v>0</v>
      </c>
      <c r="BH49" s="19">
        <f t="shared" si="48"/>
        <v>0</v>
      </c>
      <c r="BI49" s="19">
        <f t="shared" si="49"/>
        <v>0</v>
      </c>
      <c r="BJ49" s="19">
        <f t="shared" si="50"/>
        <v>0</v>
      </c>
      <c r="BK49" s="19"/>
      <c r="BL49" s="19">
        <v>722</v>
      </c>
      <c r="BW49" s="19" t="str">
        <f t="shared" si="51"/>
        <v>12</v>
      </c>
      <c r="BX49" s="4" t="s">
        <v>48</v>
      </c>
    </row>
    <row r="50" spans="1:76" x14ac:dyDescent="0.25">
      <c r="A50" s="1" t="s">
        <v>465</v>
      </c>
      <c r="B50" s="2" t="s">
        <v>54</v>
      </c>
      <c r="C50" s="2" t="s">
        <v>49</v>
      </c>
      <c r="D50" s="108" t="s">
        <v>50</v>
      </c>
      <c r="E50" s="102"/>
      <c r="F50" s="2" t="s">
        <v>51</v>
      </c>
      <c r="G50" s="19">
        <f>'Rozpočet - vybrané sloupce'!J46</f>
        <v>78</v>
      </c>
      <c r="H50" s="19">
        <f>'Rozpočet - vybrané sloupce'!K46</f>
        <v>0</v>
      </c>
      <c r="I50" s="87" t="s">
        <v>427</v>
      </c>
      <c r="J50" s="19">
        <f t="shared" si="26"/>
        <v>0</v>
      </c>
      <c r="K50" s="19">
        <f t="shared" si="27"/>
        <v>0</v>
      </c>
      <c r="L50" s="19">
        <f t="shared" si="28"/>
        <v>0</v>
      </c>
      <c r="M50" s="19">
        <f t="shared" si="29"/>
        <v>0</v>
      </c>
      <c r="N50" s="19">
        <v>0</v>
      </c>
      <c r="O50" s="19">
        <f t="shared" si="30"/>
        <v>0</v>
      </c>
      <c r="P50" s="88" t="s">
        <v>428</v>
      </c>
      <c r="Z50" s="19">
        <f t="shared" si="31"/>
        <v>0</v>
      </c>
      <c r="AB50" s="19">
        <f t="shared" si="32"/>
        <v>0</v>
      </c>
      <c r="AC50" s="19">
        <f t="shared" si="33"/>
        <v>0</v>
      </c>
      <c r="AD50" s="19">
        <f t="shared" si="34"/>
        <v>0</v>
      </c>
      <c r="AE50" s="19">
        <f t="shared" si="35"/>
        <v>0</v>
      </c>
      <c r="AF50" s="19">
        <f t="shared" si="36"/>
        <v>0</v>
      </c>
      <c r="AG50" s="19">
        <f t="shared" si="37"/>
        <v>0</v>
      </c>
      <c r="AH50" s="19">
        <f t="shared" si="38"/>
        <v>0</v>
      </c>
      <c r="AI50" s="16" t="s">
        <v>54</v>
      </c>
      <c r="AJ50" s="19">
        <f t="shared" si="39"/>
        <v>0</v>
      </c>
      <c r="AK50" s="19">
        <f t="shared" si="40"/>
        <v>0</v>
      </c>
      <c r="AL50" s="19">
        <f t="shared" si="41"/>
        <v>0</v>
      </c>
      <c r="AN50" s="19">
        <v>12</v>
      </c>
      <c r="AO50" s="19">
        <f>H50*0</f>
        <v>0</v>
      </c>
      <c r="AP50" s="19">
        <f>H50*(1-0)</f>
        <v>0</v>
      </c>
      <c r="AQ50" s="87" t="s">
        <v>436</v>
      </c>
      <c r="AV50" s="19">
        <f t="shared" si="42"/>
        <v>0</v>
      </c>
      <c r="AW50" s="19">
        <f t="shared" si="43"/>
        <v>0</v>
      </c>
      <c r="AX50" s="19">
        <f t="shared" si="44"/>
        <v>0</v>
      </c>
      <c r="AY50" s="87" t="s">
        <v>430</v>
      </c>
      <c r="AZ50" s="87" t="s">
        <v>455</v>
      </c>
      <c r="BA50" s="16" t="s">
        <v>456</v>
      </c>
      <c r="BC50" s="19">
        <f t="shared" si="45"/>
        <v>0</v>
      </c>
      <c r="BD50" s="19">
        <f t="shared" si="46"/>
        <v>0</v>
      </c>
      <c r="BE50" s="19">
        <v>0</v>
      </c>
      <c r="BF50" s="19">
        <f t="shared" si="47"/>
        <v>0</v>
      </c>
      <c r="BH50" s="19">
        <f t="shared" si="48"/>
        <v>0</v>
      </c>
      <c r="BI50" s="19">
        <f t="shared" si="49"/>
        <v>0</v>
      </c>
      <c r="BJ50" s="19">
        <f t="shared" si="50"/>
        <v>0</v>
      </c>
      <c r="BK50" s="19"/>
      <c r="BL50" s="19">
        <v>722</v>
      </c>
      <c r="BW50" s="19" t="str">
        <f t="shared" si="51"/>
        <v>12</v>
      </c>
      <c r="BX50" s="4" t="s">
        <v>50</v>
      </c>
    </row>
    <row r="51" spans="1:76" x14ac:dyDescent="0.25">
      <c r="A51" s="84" t="s">
        <v>25</v>
      </c>
      <c r="B51" s="15" t="s">
        <v>56</v>
      </c>
      <c r="C51" s="15" t="s">
        <v>25</v>
      </c>
      <c r="D51" s="115" t="s">
        <v>57</v>
      </c>
      <c r="E51" s="116"/>
      <c r="F51" s="85" t="s">
        <v>23</v>
      </c>
      <c r="G51" s="85" t="s">
        <v>23</v>
      </c>
      <c r="H51" s="85" t="s">
        <v>23</v>
      </c>
      <c r="I51" s="85" t="s">
        <v>23</v>
      </c>
      <c r="J51" s="60">
        <f>J52+J89</f>
        <v>0</v>
      </c>
      <c r="K51" s="60">
        <f>K52+K89</f>
        <v>0</v>
      </c>
      <c r="L51" s="60">
        <f>L52+L89</f>
        <v>0</v>
      </c>
      <c r="M51" s="60">
        <f>M52+M89</f>
        <v>0</v>
      </c>
      <c r="N51" s="16" t="s">
        <v>25</v>
      </c>
      <c r="O51" s="60">
        <f>O52+O89</f>
        <v>1.10314</v>
      </c>
      <c r="P51" s="86" t="s">
        <v>25</v>
      </c>
    </row>
    <row r="52" spans="1:76" x14ac:dyDescent="0.25">
      <c r="A52" s="84" t="s">
        <v>25</v>
      </c>
      <c r="B52" s="15" t="s">
        <v>56</v>
      </c>
      <c r="C52" s="15" t="s">
        <v>27</v>
      </c>
      <c r="D52" s="115" t="s">
        <v>28</v>
      </c>
      <c r="E52" s="116"/>
      <c r="F52" s="85" t="s">
        <v>23</v>
      </c>
      <c r="G52" s="85" t="s">
        <v>23</v>
      </c>
      <c r="H52" s="85" t="s">
        <v>23</v>
      </c>
      <c r="I52" s="85" t="s">
        <v>23</v>
      </c>
      <c r="J52" s="60">
        <f>SUM(J53:J88)</f>
        <v>0</v>
      </c>
      <c r="K52" s="60">
        <f>SUM(K53:K88)</f>
        <v>0</v>
      </c>
      <c r="L52" s="60">
        <f>SUM(L53:L88)</f>
        <v>0</v>
      </c>
      <c r="M52" s="60">
        <f>SUM(M53:M88)</f>
        <v>0</v>
      </c>
      <c r="N52" s="16" t="s">
        <v>25</v>
      </c>
      <c r="O52" s="60">
        <f>SUM(O53:O88)</f>
        <v>0.59458</v>
      </c>
      <c r="P52" s="86" t="s">
        <v>25</v>
      </c>
      <c r="AI52" s="16" t="s">
        <v>56</v>
      </c>
      <c r="AS52" s="60">
        <f>SUM(AJ53:AJ88)</f>
        <v>0</v>
      </c>
      <c r="AT52" s="60">
        <f>SUM(AK53:AK88)</f>
        <v>0</v>
      </c>
      <c r="AU52" s="60">
        <f>SUM(AL53:AL88)</f>
        <v>0</v>
      </c>
    </row>
    <row r="53" spans="1:76" x14ac:dyDescent="0.25">
      <c r="A53" s="1" t="s">
        <v>466</v>
      </c>
      <c r="B53" s="2" t="s">
        <v>56</v>
      </c>
      <c r="C53" s="2" t="s">
        <v>29</v>
      </c>
      <c r="D53" s="108" t="s">
        <v>58</v>
      </c>
      <c r="E53" s="102"/>
      <c r="F53" s="2" t="s">
        <v>31</v>
      </c>
      <c r="G53" s="19">
        <f>'Rozpočet - vybrané sloupce'!J49</f>
        <v>92</v>
      </c>
      <c r="H53" s="19">
        <f>'Rozpočet - vybrané sloupce'!K49</f>
        <v>0</v>
      </c>
      <c r="I53" s="87" t="s">
        <v>427</v>
      </c>
      <c r="J53" s="19">
        <f>G53*AO53</f>
        <v>0</v>
      </c>
      <c r="K53" s="19">
        <f>G53*AP53</f>
        <v>0</v>
      </c>
      <c r="L53" s="19">
        <f>G53*H53</f>
        <v>0</v>
      </c>
      <c r="M53" s="19">
        <f>L53*(1+BW53/100)</f>
        <v>0</v>
      </c>
      <c r="N53" s="19">
        <v>2.7999999999999998E-4</v>
      </c>
      <c r="O53" s="19">
        <f>G53*N53</f>
        <v>2.5759999999999998E-2</v>
      </c>
      <c r="P53" s="88" t="s">
        <v>428</v>
      </c>
      <c r="Z53" s="19">
        <f>IF(AQ53="5",BJ53,0)</f>
        <v>0</v>
      </c>
      <c r="AB53" s="19">
        <f>IF(AQ53="1",BH53,0)</f>
        <v>0</v>
      </c>
      <c r="AC53" s="19">
        <f>IF(AQ53="1",BI53,0)</f>
        <v>0</v>
      </c>
      <c r="AD53" s="19">
        <f>IF(AQ53="7",BH53,0)</f>
        <v>0</v>
      </c>
      <c r="AE53" s="19">
        <f>IF(AQ53="7",BI53,0)</f>
        <v>0</v>
      </c>
      <c r="AF53" s="19">
        <f>IF(AQ53="2",BH53,0)</f>
        <v>0</v>
      </c>
      <c r="AG53" s="19">
        <f>IF(AQ53="2",BI53,0)</f>
        <v>0</v>
      </c>
      <c r="AH53" s="19">
        <f>IF(AQ53="0",BJ53,0)</f>
        <v>0</v>
      </c>
      <c r="AI53" s="16" t="s">
        <v>56</v>
      </c>
      <c r="AJ53" s="19">
        <f>IF(AN53=0,L53,0)</f>
        <v>0</v>
      </c>
      <c r="AK53" s="19">
        <f>IF(AN53=12,L53,0)</f>
        <v>0</v>
      </c>
      <c r="AL53" s="19">
        <f>IF(AN53=21,L53,0)</f>
        <v>0</v>
      </c>
      <c r="AN53" s="19">
        <v>12</v>
      </c>
      <c r="AO53" s="19">
        <f>H53*0</f>
        <v>0</v>
      </c>
      <c r="AP53" s="19">
        <f>H53*(1-0)</f>
        <v>0</v>
      </c>
      <c r="AQ53" s="87" t="s">
        <v>429</v>
      </c>
      <c r="AV53" s="19">
        <f>AW53+AX53</f>
        <v>0</v>
      </c>
      <c r="AW53" s="19">
        <f>G53*AO53</f>
        <v>0</v>
      </c>
      <c r="AX53" s="19">
        <f>G53*AP53</f>
        <v>0</v>
      </c>
      <c r="AY53" s="87" t="s">
        <v>430</v>
      </c>
      <c r="AZ53" s="87" t="s">
        <v>467</v>
      </c>
      <c r="BA53" s="16" t="s">
        <v>468</v>
      </c>
      <c r="BC53" s="19">
        <f>AW53+AX53</f>
        <v>0</v>
      </c>
      <c r="BD53" s="19">
        <f>H53/(100-BE53)*100</f>
        <v>0</v>
      </c>
      <c r="BE53" s="19">
        <v>0</v>
      </c>
      <c r="BF53" s="19">
        <f>O53</f>
        <v>2.5759999999999998E-2</v>
      </c>
      <c r="BH53" s="19">
        <f>G53*AO53</f>
        <v>0</v>
      </c>
      <c r="BI53" s="19">
        <f>G53*AP53</f>
        <v>0</v>
      </c>
      <c r="BJ53" s="19">
        <f>G53*H53</f>
        <v>0</v>
      </c>
      <c r="BK53" s="19"/>
      <c r="BL53" s="19">
        <v>722</v>
      </c>
      <c r="BW53" s="19" t="str">
        <f>I53</f>
        <v>12</v>
      </c>
      <c r="BX53" s="4" t="s">
        <v>58</v>
      </c>
    </row>
    <row r="54" spans="1:76" x14ac:dyDescent="0.25">
      <c r="A54" s="1" t="s">
        <v>469</v>
      </c>
      <c r="B54" s="2" t="s">
        <v>56</v>
      </c>
      <c r="C54" s="2" t="s">
        <v>33</v>
      </c>
      <c r="D54" s="108" t="s">
        <v>59</v>
      </c>
      <c r="E54" s="102"/>
      <c r="F54" s="2" t="s">
        <v>31</v>
      </c>
      <c r="G54" s="19">
        <f>'Rozpočet - vybrané sloupce'!J50</f>
        <v>132</v>
      </c>
      <c r="H54" s="19">
        <f>'Rozpočet - vybrané sloupce'!K50</f>
        <v>0</v>
      </c>
      <c r="I54" s="87" t="s">
        <v>427</v>
      </c>
      <c r="J54" s="19">
        <f>G54*AO54</f>
        <v>0</v>
      </c>
      <c r="K54" s="19">
        <f>G54*AP54</f>
        <v>0</v>
      </c>
      <c r="L54" s="19">
        <f>G54*H54</f>
        <v>0</v>
      </c>
      <c r="M54" s="19">
        <f>L54*(1+BW54/100)</f>
        <v>0</v>
      </c>
      <c r="N54" s="19">
        <v>2.9E-4</v>
      </c>
      <c r="O54" s="19">
        <f>G54*N54</f>
        <v>3.8280000000000002E-2</v>
      </c>
      <c r="P54" s="88" t="s">
        <v>428</v>
      </c>
      <c r="Z54" s="19">
        <f>IF(AQ54="5",BJ54,0)</f>
        <v>0</v>
      </c>
      <c r="AB54" s="19">
        <f>IF(AQ54="1",BH54,0)</f>
        <v>0</v>
      </c>
      <c r="AC54" s="19">
        <f>IF(AQ54="1",BI54,0)</f>
        <v>0</v>
      </c>
      <c r="AD54" s="19">
        <f>IF(AQ54="7",BH54,0)</f>
        <v>0</v>
      </c>
      <c r="AE54" s="19">
        <f>IF(AQ54="7",BI54,0)</f>
        <v>0</v>
      </c>
      <c r="AF54" s="19">
        <f>IF(AQ54="2",BH54,0)</f>
        <v>0</v>
      </c>
      <c r="AG54" s="19">
        <f>IF(AQ54="2",BI54,0)</f>
        <v>0</v>
      </c>
      <c r="AH54" s="19">
        <f>IF(AQ54="0",BJ54,0)</f>
        <v>0</v>
      </c>
      <c r="AI54" s="16" t="s">
        <v>56</v>
      </c>
      <c r="AJ54" s="19">
        <f>IF(AN54=0,L54,0)</f>
        <v>0</v>
      </c>
      <c r="AK54" s="19">
        <f>IF(AN54=12,L54,0)</f>
        <v>0</v>
      </c>
      <c r="AL54" s="19">
        <f>IF(AN54=21,L54,0)</f>
        <v>0</v>
      </c>
      <c r="AN54" s="19">
        <v>12</v>
      </c>
      <c r="AO54" s="19">
        <f>H54*0</f>
        <v>0</v>
      </c>
      <c r="AP54" s="19">
        <f>H54*(1-0)</f>
        <v>0</v>
      </c>
      <c r="AQ54" s="87" t="s">
        <v>429</v>
      </c>
      <c r="AV54" s="19">
        <f>AW54+AX54</f>
        <v>0</v>
      </c>
      <c r="AW54" s="19">
        <f>G54*AO54</f>
        <v>0</v>
      </c>
      <c r="AX54" s="19">
        <f>G54*AP54</f>
        <v>0</v>
      </c>
      <c r="AY54" s="87" t="s">
        <v>430</v>
      </c>
      <c r="AZ54" s="87" t="s">
        <v>467</v>
      </c>
      <c r="BA54" s="16" t="s">
        <v>468</v>
      </c>
      <c r="BC54" s="19">
        <f>AW54+AX54</f>
        <v>0</v>
      </c>
      <c r="BD54" s="19">
        <f>H54/(100-BE54)*100</f>
        <v>0</v>
      </c>
      <c r="BE54" s="19">
        <v>0</v>
      </c>
      <c r="BF54" s="19">
        <f>O54</f>
        <v>3.8280000000000002E-2</v>
      </c>
      <c r="BH54" s="19">
        <f>G54*AO54</f>
        <v>0</v>
      </c>
      <c r="BI54" s="19">
        <f>G54*AP54</f>
        <v>0</v>
      </c>
      <c r="BJ54" s="19">
        <f>G54*H54</f>
        <v>0</v>
      </c>
      <c r="BK54" s="19"/>
      <c r="BL54" s="19">
        <v>722</v>
      </c>
      <c r="BW54" s="19" t="str">
        <f>I54</f>
        <v>12</v>
      </c>
      <c r="BX54" s="4" t="s">
        <v>59</v>
      </c>
    </row>
    <row r="55" spans="1:76" x14ac:dyDescent="0.25">
      <c r="A55" s="1" t="s">
        <v>470</v>
      </c>
      <c r="B55" s="2" t="s">
        <v>56</v>
      </c>
      <c r="C55" s="2" t="s">
        <v>60</v>
      </c>
      <c r="D55" s="108" t="s">
        <v>61</v>
      </c>
      <c r="E55" s="102"/>
      <c r="F55" s="2" t="s">
        <v>62</v>
      </c>
      <c r="G55" s="19">
        <f>'Rozpočet - vybrané sloupce'!J51</f>
        <v>48</v>
      </c>
      <c r="H55" s="19">
        <f>'Rozpočet - vybrané sloupce'!K51</f>
        <v>0</v>
      </c>
      <c r="I55" s="87" t="s">
        <v>427</v>
      </c>
      <c r="J55" s="19">
        <f>G55*AO55</f>
        <v>0</v>
      </c>
      <c r="K55" s="19">
        <f>G55*AP55</f>
        <v>0</v>
      </c>
      <c r="L55" s="19">
        <f>G55*H55</f>
        <v>0</v>
      </c>
      <c r="M55" s="19">
        <f>L55*(1+BW55/100)</f>
        <v>0</v>
      </c>
      <c r="N55" s="19">
        <v>6.9999999999999999E-4</v>
      </c>
      <c r="O55" s="19">
        <f>G55*N55</f>
        <v>3.3599999999999998E-2</v>
      </c>
      <c r="P55" s="88" t="s">
        <v>428</v>
      </c>
      <c r="Z55" s="19">
        <f>IF(AQ55="5",BJ55,0)</f>
        <v>0</v>
      </c>
      <c r="AB55" s="19">
        <f>IF(AQ55="1",BH55,0)</f>
        <v>0</v>
      </c>
      <c r="AC55" s="19">
        <f>IF(AQ55="1",BI55,0)</f>
        <v>0</v>
      </c>
      <c r="AD55" s="19">
        <f>IF(AQ55="7",BH55,0)</f>
        <v>0</v>
      </c>
      <c r="AE55" s="19">
        <f>IF(AQ55="7",BI55,0)</f>
        <v>0</v>
      </c>
      <c r="AF55" s="19">
        <f>IF(AQ55="2",BH55,0)</f>
        <v>0</v>
      </c>
      <c r="AG55" s="19">
        <f>IF(AQ55="2",BI55,0)</f>
        <v>0</v>
      </c>
      <c r="AH55" s="19">
        <f>IF(AQ55="0",BJ55,0)</f>
        <v>0</v>
      </c>
      <c r="AI55" s="16" t="s">
        <v>56</v>
      </c>
      <c r="AJ55" s="19">
        <f>IF(AN55=0,L55,0)</f>
        <v>0</v>
      </c>
      <c r="AK55" s="19">
        <f>IF(AN55=12,L55,0)</f>
        <v>0</v>
      </c>
      <c r="AL55" s="19">
        <f>IF(AN55=21,L55,0)</f>
        <v>0</v>
      </c>
      <c r="AN55" s="19">
        <v>12</v>
      </c>
      <c r="AO55" s="19">
        <f>H55*0.274014951</f>
        <v>0</v>
      </c>
      <c r="AP55" s="19">
        <f>H55*(1-0.274014951)</f>
        <v>0</v>
      </c>
      <c r="AQ55" s="87" t="s">
        <v>429</v>
      </c>
      <c r="AV55" s="19">
        <f>AW55+AX55</f>
        <v>0</v>
      </c>
      <c r="AW55" s="19">
        <f>G55*AO55</f>
        <v>0</v>
      </c>
      <c r="AX55" s="19">
        <f>G55*AP55</f>
        <v>0</v>
      </c>
      <c r="AY55" s="87" t="s">
        <v>430</v>
      </c>
      <c r="AZ55" s="87" t="s">
        <v>467</v>
      </c>
      <c r="BA55" s="16" t="s">
        <v>468</v>
      </c>
      <c r="BC55" s="19">
        <f>AW55+AX55</f>
        <v>0</v>
      </c>
      <c r="BD55" s="19">
        <f>H55/(100-BE55)*100</f>
        <v>0</v>
      </c>
      <c r="BE55" s="19">
        <v>0</v>
      </c>
      <c r="BF55" s="19">
        <f>O55</f>
        <v>3.3599999999999998E-2</v>
      </c>
      <c r="BH55" s="19">
        <f>G55*AO55</f>
        <v>0</v>
      </c>
      <c r="BI55" s="19">
        <f>G55*AP55</f>
        <v>0</v>
      </c>
      <c r="BJ55" s="19">
        <f>G55*H55</f>
        <v>0</v>
      </c>
      <c r="BK55" s="19"/>
      <c r="BL55" s="19">
        <v>722</v>
      </c>
      <c r="BW55" s="19" t="str">
        <f>I55</f>
        <v>12</v>
      </c>
      <c r="BX55" s="4" t="s">
        <v>61</v>
      </c>
    </row>
    <row r="56" spans="1:76" x14ac:dyDescent="0.25">
      <c r="A56" s="1" t="s">
        <v>203</v>
      </c>
      <c r="B56" s="2" t="s">
        <v>56</v>
      </c>
      <c r="C56" s="2" t="s">
        <v>63</v>
      </c>
      <c r="D56" s="108" t="s">
        <v>64</v>
      </c>
      <c r="E56" s="102"/>
      <c r="F56" s="2" t="s">
        <v>31</v>
      </c>
      <c r="G56" s="19">
        <f>'Rozpočet - vybrané sloupce'!J52</f>
        <v>48</v>
      </c>
      <c r="H56" s="19">
        <f>'Rozpočet - vybrané sloupce'!K52</f>
        <v>0</v>
      </c>
      <c r="I56" s="87" t="s">
        <v>427</v>
      </c>
      <c r="J56" s="19">
        <f>G56*AO56</f>
        <v>0</v>
      </c>
      <c r="K56" s="19">
        <f>G56*AP56</f>
        <v>0</v>
      </c>
      <c r="L56" s="19">
        <f>G56*H56</f>
        <v>0</v>
      </c>
      <c r="M56" s="19">
        <f>L56*(1+BW56/100)</f>
        <v>0</v>
      </c>
      <c r="N56" s="19">
        <v>4.2999999999999999E-4</v>
      </c>
      <c r="O56" s="19">
        <f>G56*N56</f>
        <v>2.0639999999999999E-2</v>
      </c>
      <c r="P56" s="88" t="s">
        <v>428</v>
      </c>
      <c r="Z56" s="19">
        <f>IF(AQ56="5",BJ56,0)</f>
        <v>0</v>
      </c>
      <c r="AB56" s="19">
        <f>IF(AQ56="1",BH56,0)</f>
        <v>0</v>
      </c>
      <c r="AC56" s="19">
        <f>IF(AQ56="1",BI56,0)</f>
        <v>0</v>
      </c>
      <c r="AD56" s="19">
        <f>IF(AQ56="7",BH56,0)</f>
        <v>0</v>
      </c>
      <c r="AE56" s="19">
        <f>IF(AQ56="7",BI56,0)</f>
        <v>0</v>
      </c>
      <c r="AF56" s="19">
        <f>IF(AQ56="2",BH56,0)</f>
        <v>0</v>
      </c>
      <c r="AG56" s="19">
        <f>IF(AQ56="2",BI56,0)</f>
        <v>0</v>
      </c>
      <c r="AH56" s="19">
        <f>IF(AQ56="0",BJ56,0)</f>
        <v>0</v>
      </c>
      <c r="AI56" s="16" t="s">
        <v>56</v>
      </c>
      <c r="AJ56" s="19">
        <f>IF(AN56=0,L56,0)</f>
        <v>0</v>
      </c>
      <c r="AK56" s="19">
        <f>IF(AN56=12,L56,0)</f>
        <v>0</v>
      </c>
      <c r="AL56" s="19">
        <f>IF(AN56=21,L56,0)</f>
        <v>0</v>
      </c>
      <c r="AN56" s="19">
        <v>12</v>
      </c>
      <c r="AO56" s="19">
        <f>H56*0.433819771</f>
        <v>0</v>
      </c>
      <c r="AP56" s="19">
        <f>H56*(1-0.433819771)</f>
        <v>0</v>
      </c>
      <c r="AQ56" s="87" t="s">
        <v>429</v>
      </c>
      <c r="AV56" s="19">
        <f>AW56+AX56</f>
        <v>0</v>
      </c>
      <c r="AW56" s="19">
        <f>G56*AO56</f>
        <v>0</v>
      </c>
      <c r="AX56" s="19">
        <f>G56*AP56</f>
        <v>0</v>
      </c>
      <c r="AY56" s="87" t="s">
        <v>430</v>
      </c>
      <c r="AZ56" s="87" t="s">
        <v>467</v>
      </c>
      <c r="BA56" s="16" t="s">
        <v>468</v>
      </c>
      <c r="BC56" s="19">
        <f>AW56+AX56</f>
        <v>0</v>
      </c>
      <c r="BD56" s="19">
        <f>H56/(100-BE56)*100</f>
        <v>0</v>
      </c>
      <c r="BE56" s="19">
        <v>0</v>
      </c>
      <c r="BF56" s="19">
        <f>O56</f>
        <v>2.0639999999999999E-2</v>
      </c>
      <c r="BH56" s="19">
        <f>G56*AO56</f>
        <v>0</v>
      </c>
      <c r="BI56" s="19">
        <f>G56*AP56</f>
        <v>0</v>
      </c>
      <c r="BJ56" s="19">
        <f>G56*H56</f>
        <v>0</v>
      </c>
      <c r="BK56" s="19"/>
      <c r="BL56" s="19">
        <v>722</v>
      </c>
      <c r="BW56" s="19" t="str">
        <f>I56</f>
        <v>12</v>
      </c>
      <c r="BX56" s="4" t="s">
        <v>64</v>
      </c>
    </row>
    <row r="57" spans="1:76" ht="25.5" x14ac:dyDescent="0.25">
      <c r="A57" s="89"/>
      <c r="C57" s="90" t="s">
        <v>437</v>
      </c>
      <c r="D57" s="187" t="s">
        <v>471</v>
      </c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9"/>
      <c r="BX57" s="91" t="s">
        <v>471</v>
      </c>
    </row>
    <row r="58" spans="1:76" x14ac:dyDescent="0.25">
      <c r="A58" s="1" t="s">
        <v>472</v>
      </c>
      <c r="B58" s="2" t="s">
        <v>56</v>
      </c>
      <c r="C58" s="2" t="s">
        <v>35</v>
      </c>
      <c r="D58" s="108" t="s">
        <v>36</v>
      </c>
      <c r="E58" s="102"/>
      <c r="F58" s="2" t="s">
        <v>31</v>
      </c>
      <c r="G58" s="19">
        <f>'Rozpočet - vybrané sloupce'!J53</f>
        <v>90</v>
      </c>
      <c r="H58" s="19">
        <f>'Rozpočet - vybrané sloupce'!K53</f>
        <v>0</v>
      </c>
      <c r="I58" s="87" t="s">
        <v>427</v>
      </c>
      <c r="J58" s="19">
        <f t="shared" ref="J58:J64" si="52">G58*AO58</f>
        <v>0</v>
      </c>
      <c r="K58" s="19">
        <f t="shared" ref="K58:K64" si="53">G58*AP58</f>
        <v>0</v>
      </c>
      <c r="L58" s="19">
        <f t="shared" ref="L58:L64" si="54">G58*H58</f>
        <v>0</v>
      </c>
      <c r="M58" s="19">
        <f t="shared" ref="M58:M64" si="55">L58*(1+BW58/100)</f>
        <v>0</v>
      </c>
      <c r="N58" s="19">
        <v>5.2999999999999998E-4</v>
      </c>
      <c r="O58" s="19">
        <f t="shared" ref="O58:O64" si="56">G58*N58</f>
        <v>4.7699999999999999E-2</v>
      </c>
      <c r="P58" s="88" t="s">
        <v>428</v>
      </c>
      <c r="Z58" s="19">
        <f t="shared" ref="Z58:Z64" si="57">IF(AQ58="5",BJ58,0)</f>
        <v>0</v>
      </c>
      <c r="AB58" s="19">
        <f t="shared" ref="AB58:AB64" si="58">IF(AQ58="1",BH58,0)</f>
        <v>0</v>
      </c>
      <c r="AC58" s="19">
        <f t="shared" ref="AC58:AC64" si="59">IF(AQ58="1",BI58,0)</f>
        <v>0</v>
      </c>
      <c r="AD58" s="19">
        <f t="shared" ref="AD58:AD64" si="60">IF(AQ58="7",BH58,0)</f>
        <v>0</v>
      </c>
      <c r="AE58" s="19">
        <f t="shared" ref="AE58:AE64" si="61">IF(AQ58="7",BI58,0)</f>
        <v>0</v>
      </c>
      <c r="AF58" s="19">
        <f t="shared" ref="AF58:AF64" si="62">IF(AQ58="2",BH58,0)</f>
        <v>0</v>
      </c>
      <c r="AG58" s="19">
        <f t="shared" ref="AG58:AG64" si="63">IF(AQ58="2",BI58,0)</f>
        <v>0</v>
      </c>
      <c r="AH58" s="19">
        <f t="shared" ref="AH58:AH64" si="64">IF(AQ58="0",BJ58,0)</f>
        <v>0</v>
      </c>
      <c r="AI58" s="16" t="s">
        <v>56</v>
      </c>
      <c r="AJ58" s="19">
        <f t="shared" ref="AJ58:AJ64" si="65">IF(AN58=0,L58,0)</f>
        <v>0</v>
      </c>
      <c r="AK58" s="19">
        <f t="shared" ref="AK58:AK64" si="66">IF(AN58=12,L58,0)</f>
        <v>0</v>
      </c>
      <c r="AL58" s="19">
        <f t="shared" ref="AL58:AL64" si="67">IF(AN58=21,L58,0)</f>
        <v>0</v>
      </c>
      <c r="AN58" s="19">
        <v>12</v>
      </c>
      <c r="AO58" s="19">
        <f>H58*0.499104591</f>
        <v>0</v>
      </c>
      <c r="AP58" s="19">
        <f>H58*(1-0.499104591)</f>
        <v>0</v>
      </c>
      <c r="AQ58" s="87" t="s">
        <v>429</v>
      </c>
      <c r="AV58" s="19">
        <f t="shared" ref="AV58:AV64" si="68">AW58+AX58</f>
        <v>0</v>
      </c>
      <c r="AW58" s="19">
        <f t="shared" ref="AW58:AW64" si="69">G58*AO58</f>
        <v>0</v>
      </c>
      <c r="AX58" s="19">
        <f t="shared" ref="AX58:AX64" si="70">G58*AP58</f>
        <v>0</v>
      </c>
      <c r="AY58" s="87" t="s">
        <v>430</v>
      </c>
      <c r="AZ58" s="87" t="s">
        <v>467</v>
      </c>
      <c r="BA58" s="16" t="s">
        <v>468</v>
      </c>
      <c r="BC58" s="19">
        <f t="shared" ref="BC58:BC64" si="71">AW58+AX58</f>
        <v>0</v>
      </c>
      <c r="BD58" s="19">
        <f t="shared" ref="BD58:BD64" si="72">H58/(100-BE58)*100</f>
        <v>0</v>
      </c>
      <c r="BE58" s="19">
        <v>0</v>
      </c>
      <c r="BF58" s="19">
        <f t="shared" ref="BF58:BF64" si="73">O58</f>
        <v>4.7699999999999999E-2</v>
      </c>
      <c r="BH58" s="19">
        <f t="shared" ref="BH58:BH64" si="74">G58*AO58</f>
        <v>0</v>
      </c>
      <c r="BI58" s="19">
        <f t="shared" ref="BI58:BI64" si="75">G58*AP58</f>
        <v>0</v>
      </c>
      <c r="BJ58" s="19">
        <f t="shared" ref="BJ58:BJ64" si="76">G58*H58</f>
        <v>0</v>
      </c>
      <c r="BK58" s="19"/>
      <c r="BL58" s="19">
        <v>722</v>
      </c>
      <c r="BW58" s="19" t="str">
        <f t="shared" ref="BW58:BW64" si="77">I58</f>
        <v>12</v>
      </c>
      <c r="BX58" s="4" t="s">
        <v>36</v>
      </c>
    </row>
    <row r="59" spans="1:76" x14ac:dyDescent="0.25">
      <c r="A59" s="1" t="s">
        <v>473</v>
      </c>
      <c r="B59" s="2" t="s">
        <v>56</v>
      </c>
      <c r="C59" s="2" t="s">
        <v>65</v>
      </c>
      <c r="D59" s="108" t="s">
        <v>66</v>
      </c>
      <c r="E59" s="102"/>
      <c r="F59" s="2" t="s">
        <v>31</v>
      </c>
      <c r="G59" s="19">
        <f>'Rozpočet - vybrané sloupce'!J54</f>
        <v>56</v>
      </c>
      <c r="H59" s="19">
        <f>'Rozpočet - vybrané sloupce'!K54</f>
        <v>0</v>
      </c>
      <c r="I59" s="87" t="s">
        <v>427</v>
      </c>
      <c r="J59" s="19">
        <f t="shared" si="52"/>
        <v>0</v>
      </c>
      <c r="K59" s="19">
        <f t="shared" si="53"/>
        <v>0</v>
      </c>
      <c r="L59" s="19">
        <f t="shared" si="54"/>
        <v>0</v>
      </c>
      <c r="M59" s="19">
        <f t="shared" si="55"/>
        <v>0</v>
      </c>
      <c r="N59" s="19">
        <v>7.2999999999999996E-4</v>
      </c>
      <c r="O59" s="19">
        <f t="shared" si="56"/>
        <v>4.088E-2</v>
      </c>
      <c r="P59" s="88" t="s">
        <v>428</v>
      </c>
      <c r="Z59" s="19">
        <f t="shared" si="57"/>
        <v>0</v>
      </c>
      <c r="AB59" s="19">
        <f t="shared" si="58"/>
        <v>0</v>
      </c>
      <c r="AC59" s="19">
        <f t="shared" si="59"/>
        <v>0</v>
      </c>
      <c r="AD59" s="19">
        <f t="shared" si="60"/>
        <v>0</v>
      </c>
      <c r="AE59" s="19">
        <f t="shared" si="61"/>
        <v>0</v>
      </c>
      <c r="AF59" s="19">
        <f t="shared" si="62"/>
        <v>0</v>
      </c>
      <c r="AG59" s="19">
        <f t="shared" si="63"/>
        <v>0</v>
      </c>
      <c r="AH59" s="19">
        <f t="shared" si="64"/>
        <v>0</v>
      </c>
      <c r="AI59" s="16" t="s">
        <v>56</v>
      </c>
      <c r="AJ59" s="19">
        <f t="shared" si="65"/>
        <v>0</v>
      </c>
      <c r="AK59" s="19">
        <f t="shared" si="66"/>
        <v>0</v>
      </c>
      <c r="AL59" s="19">
        <f t="shared" si="67"/>
        <v>0</v>
      </c>
      <c r="AN59" s="19">
        <v>12</v>
      </c>
      <c r="AO59" s="19">
        <f>H59*0.578540157</f>
        <v>0</v>
      </c>
      <c r="AP59" s="19">
        <f>H59*(1-0.578540157)</f>
        <v>0</v>
      </c>
      <c r="AQ59" s="87" t="s">
        <v>429</v>
      </c>
      <c r="AV59" s="19">
        <f t="shared" si="68"/>
        <v>0</v>
      </c>
      <c r="AW59" s="19">
        <f t="shared" si="69"/>
        <v>0</v>
      </c>
      <c r="AX59" s="19">
        <f t="shared" si="70"/>
        <v>0</v>
      </c>
      <c r="AY59" s="87" t="s">
        <v>430</v>
      </c>
      <c r="AZ59" s="87" t="s">
        <v>467</v>
      </c>
      <c r="BA59" s="16" t="s">
        <v>468</v>
      </c>
      <c r="BC59" s="19">
        <f t="shared" si="71"/>
        <v>0</v>
      </c>
      <c r="BD59" s="19">
        <f t="shared" si="72"/>
        <v>0</v>
      </c>
      <c r="BE59" s="19">
        <v>0</v>
      </c>
      <c r="BF59" s="19">
        <f t="shared" si="73"/>
        <v>4.088E-2</v>
      </c>
      <c r="BH59" s="19">
        <f t="shared" si="74"/>
        <v>0</v>
      </c>
      <c r="BI59" s="19">
        <f t="shared" si="75"/>
        <v>0</v>
      </c>
      <c r="BJ59" s="19">
        <f t="shared" si="76"/>
        <v>0</v>
      </c>
      <c r="BK59" s="19"/>
      <c r="BL59" s="19">
        <v>722</v>
      </c>
      <c r="BW59" s="19" t="str">
        <f t="shared" si="77"/>
        <v>12</v>
      </c>
      <c r="BX59" s="4" t="s">
        <v>66</v>
      </c>
    </row>
    <row r="60" spans="1:76" x14ac:dyDescent="0.25">
      <c r="A60" s="1" t="s">
        <v>474</v>
      </c>
      <c r="B60" s="2" t="s">
        <v>56</v>
      </c>
      <c r="C60" s="2" t="s">
        <v>37</v>
      </c>
      <c r="D60" s="108" t="s">
        <v>38</v>
      </c>
      <c r="E60" s="102"/>
      <c r="F60" s="2" t="s">
        <v>31</v>
      </c>
      <c r="G60" s="19">
        <f>'Rozpočet - vybrané sloupce'!J55</f>
        <v>72</v>
      </c>
      <c r="H60" s="19">
        <f>'Rozpočet - vybrané sloupce'!K55</f>
        <v>0</v>
      </c>
      <c r="I60" s="87" t="s">
        <v>427</v>
      </c>
      <c r="J60" s="19">
        <f t="shared" si="52"/>
        <v>0</v>
      </c>
      <c r="K60" s="19">
        <f t="shared" si="53"/>
        <v>0</v>
      </c>
      <c r="L60" s="19">
        <f t="shared" si="54"/>
        <v>0</v>
      </c>
      <c r="M60" s="19">
        <f t="shared" si="55"/>
        <v>0</v>
      </c>
      <c r="N60" s="19">
        <v>1.0200000000000001E-3</v>
      </c>
      <c r="O60" s="19">
        <f t="shared" si="56"/>
        <v>7.3440000000000005E-2</v>
      </c>
      <c r="P60" s="88" t="s">
        <v>428</v>
      </c>
      <c r="Z60" s="19">
        <f t="shared" si="57"/>
        <v>0</v>
      </c>
      <c r="AB60" s="19">
        <f t="shared" si="58"/>
        <v>0</v>
      </c>
      <c r="AC60" s="19">
        <f t="shared" si="59"/>
        <v>0</v>
      </c>
      <c r="AD60" s="19">
        <f t="shared" si="60"/>
        <v>0</v>
      </c>
      <c r="AE60" s="19">
        <f t="shared" si="61"/>
        <v>0</v>
      </c>
      <c r="AF60" s="19">
        <f t="shared" si="62"/>
        <v>0</v>
      </c>
      <c r="AG60" s="19">
        <f t="shared" si="63"/>
        <v>0</v>
      </c>
      <c r="AH60" s="19">
        <f t="shared" si="64"/>
        <v>0</v>
      </c>
      <c r="AI60" s="16" t="s">
        <v>56</v>
      </c>
      <c r="AJ60" s="19">
        <f t="shared" si="65"/>
        <v>0</v>
      </c>
      <c r="AK60" s="19">
        <f t="shared" si="66"/>
        <v>0</v>
      </c>
      <c r="AL60" s="19">
        <f t="shared" si="67"/>
        <v>0</v>
      </c>
      <c r="AN60" s="19">
        <v>12</v>
      </c>
      <c r="AO60" s="19">
        <f>H60*0.679692178</f>
        <v>0</v>
      </c>
      <c r="AP60" s="19">
        <f>H60*(1-0.679692178)</f>
        <v>0</v>
      </c>
      <c r="AQ60" s="87" t="s">
        <v>429</v>
      </c>
      <c r="AV60" s="19">
        <f t="shared" si="68"/>
        <v>0</v>
      </c>
      <c r="AW60" s="19">
        <f t="shared" si="69"/>
        <v>0</v>
      </c>
      <c r="AX60" s="19">
        <f t="shared" si="70"/>
        <v>0</v>
      </c>
      <c r="AY60" s="87" t="s">
        <v>430</v>
      </c>
      <c r="AZ60" s="87" t="s">
        <v>467</v>
      </c>
      <c r="BA60" s="16" t="s">
        <v>468</v>
      </c>
      <c r="BC60" s="19">
        <f t="shared" si="71"/>
        <v>0</v>
      </c>
      <c r="BD60" s="19">
        <f t="shared" si="72"/>
        <v>0</v>
      </c>
      <c r="BE60" s="19">
        <v>0</v>
      </c>
      <c r="BF60" s="19">
        <f t="shared" si="73"/>
        <v>7.3440000000000005E-2</v>
      </c>
      <c r="BH60" s="19">
        <f t="shared" si="74"/>
        <v>0</v>
      </c>
      <c r="BI60" s="19">
        <f t="shared" si="75"/>
        <v>0</v>
      </c>
      <c r="BJ60" s="19">
        <f t="shared" si="76"/>
        <v>0</v>
      </c>
      <c r="BK60" s="19"/>
      <c r="BL60" s="19">
        <v>722</v>
      </c>
      <c r="BW60" s="19" t="str">
        <f t="shared" si="77"/>
        <v>12</v>
      </c>
      <c r="BX60" s="4" t="s">
        <v>38</v>
      </c>
    </row>
    <row r="61" spans="1:76" x14ac:dyDescent="0.25">
      <c r="A61" s="1" t="s">
        <v>475</v>
      </c>
      <c r="B61" s="2" t="s">
        <v>56</v>
      </c>
      <c r="C61" s="2" t="s">
        <v>67</v>
      </c>
      <c r="D61" s="108" t="s">
        <v>68</v>
      </c>
      <c r="E61" s="102"/>
      <c r="F61" s="2" t="s">
        <v>62</v>
      </c>
      <c r="G61" s="19">
        <f>'Rozpočet - vybrané sloupce'!J56</f>
        <v>6</v>
      </c>
      <c r="H61" s="19">
        <f>'Rozpočet - vybrané sloupce'!K56</f>
        <v>0</v>
      </c>
      <c r="I61" s="87" t="s">
        <v>427</v>
      </c>
      <c r="J61" s="19">
        <f t="shared" si="52"/>
        <v>0</v>
      </c>
      <c r="K61" s="19">
        <f t="shared" si="53"/>
        <v>0</v>
      </c>
      <c r="L61" s="19">
        <f t="shared" si="54"/>
        <v>0</v>
      </c>
      <c r="M61" s="19">
        <f t="shared" si="55"/>
        <v>0</v>
      </c>
      <c r="N61" s="19">
        <v>5.1999999999999995E-4</v>
      </c>
      <c r="O61" s="19">
        <f t="shared" si="56"/>
        <v>3.1199999999999995E-3</v>
      </c>
      <c r="P61" s="88" t="s">
        <v>428</v>
      </c>
      <c r="Z61" s="19">
        <f t="shared" si="57"/>
        <v>0</v>
      </c>
      <c r="AB61" s="19">
        <f t="shared" si="58"/>
        <v>0</v>
      </c>
      <c r="AC61" s="19">
        <f t="shared" si="59"/>
        <v>0</v>
      </c>
      <c r="AD61" s="19">
        <f t="shared" si="60"/>
        <v>0</v>
      </c>
      <c r="AE61" s="19">
        <f t="shared" si="61"/>
        <v>0</v>
      </c>
      <c r="AF61" s="19">
        <f t="shared" si="62"/>
        <v>0</v>
      </c>
      <c r="AG61" s="19">
        <f t="shared" si="63"/>
        <v>0</v>
      </c>
      <c r="AH61" s="19">
        <f t="shared" si="64"/>
        <v>0</v>
      </c>
      <c r="AI61" s="16" t="s">
        <v>56</v>
      </c>
      <c r="AJ61" s="19">
        <f t="shared" si="65"/>
        <v>0</v>
      </c>
      <c r="AK61" s="19">
        <f t="shared" si="66"/>
        <v>0</v>
      </c>
      <c r="AL61" s="19">
        <f t="shared" si="67"/>
        <v>0</v>
      </c>
      <c r="AN61" s="19">
        <v>12</v>
      </c>
      <c r="AO61" s="19">
        <f>H61*0.362875871</f>
        <v>0</v>
      </c>
      <c r="AP61" s="19">
        <f>H61*(1-0.362875871)</f>
        <v>0</v>
      </c>
      <c r="AQ61" s="87" t="s">
        <v>429</v>
      </c>
      <c r="AV61" s="19">
        <f t="shared" si="68"/>
        <v>0</v>
      </c>
      <c r="AW61" s="19">
        <f t="shared" si="69"/>
        <v>0</v>
      </c>
      <c r="AX61" s="19">
        <f t="shared" si="70"/>
        <v>0</v>
      </c>
      <c r="AY61" s="87" t="s">
        <v>430</v>
      </c>
      <c r="AZ61" s="87" t="s">
        <v>467</v>
      </c>
      <c r="BA61" s="16" t="s">
        <v>468</v>
      </c>
      <c r="BC61" s="19">
        <f t="shared" si="71"/>
        <v>0</v>
      </c>
      <c r="BD61" s="19">
        <f t="shared" si="72"/>
        <v>0</v>
      </c>
      <c r="BE61" s="19">
        <v>0</v>
      </c>
      <c r="BF61" s="19">
        <f t="shared" si="73"/>
        <v>3.1199999999999995E-3</v>
      </c>
      <c r="BH61" s="19">
        <f t="shared" si="74"/>
        <v>0</v>
      </c>
      <c r="BI61" s="19">
        <f t="shared" si="75"/>
        <v>0</v>
      </c>
      <c r="BJ61" s="19">
        <f t="shared" si="76"/>
        <v>0</v>
      </c>
      <c r="BK61" s="19"/>
      <c r="BL61" s="19">
        <v>722</v>
      </c>
      <c r="BW61" s="19" t="str">
        <f t="shared" si="77"/>
        <v>12</v>
      </c>
      <c r="BX61" s="4" t="s">
        <v>68</v>
      </c>
    </row>
    <row r="62" spans="1:76" x14ac:dyDescent="0.25">
      <c r="A62" s="1" t="s">
        <v>476</v>
      </c>
      <c r="B62" s="2" t="s">
        <v>56</v>
      </c>
      <c r="C62" s="2" t="s">
        <v>69</v>
      </c>
      <c r="D62" s="108" t="s">
        <v>70</v>
      </c>
      <c r="E62" s="102"/>
      <c r="F62" s="2" t="s">
        <v>62</v>
      </c>
      <c r="G62" s="19">
        <f>'Rozpočet - vybrané sloupce'!J57</f>
        <v>6</v>
      </c>
      <c r="H62" s="19">
        <f>'Rozpočet - vybrané sloupce'!K57</f>
        <v>0</v>
      </c>
      <c r="I62" s="87" t="s">
        <v>427</v>
      </c>
      <c r="J62" s="19">
        <f t="shared" si="52"/>
        <v>0</v>
      </c>
      <c r="K62" s="19">
        <f t="shared" si="53"/>
        <v>0</v>
      </c>
      <c r="L62" s="19">
        <f t="shared" si="54"/>
        <v>0</v>
      </c>
      <c r="M62" s="19">
        <f t="shared" si="55"/>
        <v>0</v>
      </c>
      <c r="N62" s="19">
        <v>7.6000000000000004E-4</v>
      </c>
      <c r="O62" s="19">
        <f t="shared" si="56"/>
        <v>4.5599999999999998E-3</v>
      </c>
      <c r="P62" s="88" t="s">
        <v>428</v>
      </c>
      <c r="Z62" s="19">
        <f t="shared" si="57"/>
        <v>0</v>
      </c>
      <c r="AB62" s="19">
        <f t="shared" si="58"/>
        <v>0</v>
      </c>
      <c r="AC62" s="19">
        <f t="shared" si="59"/>
        <v>0</v>
      </c>
      <c r="AD62" s="19">
        <f t="shared" si="60"/>
        <v>0</v>
      </c>
      <c r="AE62" s="19">
        <f t="shared" si="61"/>
        <v>0</v>
      </c>
      <c r="AF62" s="19">
        <f t="shared" si="62"/>
        <v>0</v>
      </c>
      <c r="AG62" s="19">
        <f t="shared" si="63"/>
        <v>0</v>
      </c>
      <c r="AH62" s="19">
        <f t="shared" si="64"/>
        <v>0</v>
      </c>
      <c r="AI62" s="16" t="s">
        <v>56</v>
      </c>
      <c r="AJ62" s="19">
        <f t="shared" si="65"/>
        <v>0</v>
      </c>
      <c r="AK62" s="19">
        <f t="shared" si="66"/>
        <v>0</v>
      </c>
      <c r="AL62" s="19">
        <f t="shared" si="67"/>
        <v>0</v>
      </c>
      <c r="AN62" s="19">
        <v>12</v>
      </c>
      <c r="AO62" s="19">
        <f>H62*0.421426807</f>
        <v>0</v>
      </c>
      <c r="AP62" s="19">
        <f>H62*(1-0.421426807)</f>
        <v>0</v>
      </c>
      <c r="AQ62" s="87" t="s">
        <v>429</v>
      </c>
      <c r="AV62" s="19">
        <f t="shared" si="68"/>
        <v>0</v>
      </c>
      <c r="AW62" s="19">
        <f t="shared" si="69"/>
        <v>0</v>
      </c>
      <c r="AX62" s="19">
        <f t="shared" si="70"/>
        <v>0</v>
      </c>
      <c r="AY62" s="87" t="s">
        <v>430</v>
      </c>
      <c r="AZ62" s="87" t="s">
        <v>467</v>
      </c>
      <c r="BA62" s="16" t="s">
        <v>468</v>
      </c>
      <c r="BC62" s="19">
        <f t="shared" si="71"/>
        <v>0</v>
      </c>
      <c r="BD62" s="19">
        <f t="shared" si="72"/>
        <v>0</v>
      </c>
      <c r="BE62" s="19">
        <v>0</v>
      </c>
      <c r="BF62" s="19">
        <f t="shared" si="73"/>
        <v>4.5599999999999998E-3</v>
      </c>
      <c r="BH62" s="19">
        <f t="shared" si="74"/>
        <v>0</v>
      </c>
      <c r="BI62" s="19">
        <f t="shared" si="75"/>
        <v>0</v>
      </c>
      <c r="BJ62" s="19">
        <f t="shared" si="76"/>
        <v>0</v>
      </c>
      <c r="BK62" s="19"/>
      <c r="BL62" s="19">
        <v>722</v>
      </c>
      <c r="BW62" s="19" t="str">
        <f t="shared" si="77"/>
        <v>12</v>
      </c>
      <c r="BX62" s="4" t="s">
        <v>70</v>
      </c>
    </row>
    <row r="63" spans="1:76" x14ac:dyDescent="0.25">
      <c r="A63" s="1" t="s">
        <v>477</v>
      </c>
      <c r="B63" s="2" t="s">
        <v>56</v>
      </c>
      <c r="C63" s="2" t="s">
        <v>71</v>
      </c>
      <c r="D63" s="108" t="s">
        <v>72</v>
      </c>
      <c r="E63" s="102"/>
      <c r="F63" s="2" t="s">
        <v>62</v>
      </c>
      <c r="G63" s="19">
        <f>'Rozpočet - vybrané sloupce'!J58</f>
        <v>6</v>
      </c>
      <c r="H63" s="19">
        <f>'Rozpočet - vybrané sloupce'!K58</f>
        <v>0</v>
      </c>
      <c r="I63" s="87" t="s">
        <v>427</v>
      </c>
      <c r="J63" s="19">
        <f t="shared" si="52"/>
        <v>0</v>
      </c>
      <c r="K63" s="19">
        <f t="shared" si="53"/>
        <v>0</v>
      </c>
      <c r="L63" s="19">
        <f t="shared" si="54"/>
        <v>0</v>
      </c>
      <c r="M63" s="19">
        <f t="shared" si="55"/>
        <v>0</v>
      </c>
      <c r="N63" s="19">
        <v>1.0200000000000001E-3</v>
      </c>
      <c r="O63" s="19">
        <f t="shared" si="56"/>
        <v>6.1200000000000004E-3</v>
      </c>
      <c r="P63" s="88" t="s">
        <v>428</v>
      </c>
      <c r="Z63" s="19">
        <f t="shared" si="57"/>
        <v>0</v>
      </c>
      <c r="AB63" s="19">
        <f t="shared" si="58"/>
        <v>0</v>
      </c>
      <c r="AC63" s="19">
        <f t="shared" si="59"/>
        <v>0</v>
      </c>
      <c r="AD63" s="19">
        <f t="shared" si="60"/>
        <v>0</v>
      </c>
      <c r="AE63" s="19">
        <f t="shared" si="61"/>
        <v>0</v>
      </c>
      <c r="AF63" s="19">
        <f t="shared" si="62"/>
        <v>0</v>
      </c>
      <c r="AG63" s="19">
        <f t="shared" si="63"/>
        <v>0</v>
      </c>
      <c r="AH63" s="19">
        <f t="shared" si="64"/>
        <v>0</v>
      </c>
      <c r="AI63" s="16" t="s">
        <v>56</v>
      </c>
      <c r="AJ63" s="19">
        <f t="shared" si="65"/>
        <v>0</v>
      </c>
      <c r="AK63" s="19">
        <f t="shared" si="66"/>
        <v>0</v>
      </c>
      <c r="AL63" s="19">
        <f t="shared" si="67"/>
        <v>0</v>
      </c>
      <c r="AN63" s="19">
        <v>12</v>
      </c>
      <c r="AO63" s="19">
        <f>H63*0.490618173</f>
        <v>0</v>
      </c>
      <c r="AP63" s="19">
        <f>H63*(1-0.490618173)</f>
        <v>0</v>
      </c>
      <c r="AQ63" s="87" t="s">
        <v>429</v>
      </c>
      <c r="AV63" s="19">
        <f t="shared" si="68"/>
        <v>0</v>
      </c>
      <c r="AW63" s="19">
        <f t="shared" si="69"/>
        <v>0</v>
      </c>
      <c r="AX63" s="19">
        <f t="shared" si="70"/>
        <v>0</v>
      </c>
      <c r="AY63" s="87" t="s">
        <v>430</v>
      </c>
      <c r="AZ63" s="87" t="s">
        <v>467</v>
      </c>
      <c r="BA63" s="16" t="s">
        <v>468</v>
      </c>
      <c r="BC63" s="19">
        <f t="shared" si="71"/>
        <v>0</v>
      </c>
      <c r="BD63" s="19">
        <f t="shared" si="72"/>
        <v>0</v>
      </c>
      <c r="BE63" s="19">
        <v>0</v>
      </c>
      <c r="BF63" s="19">
        <f t="shared" si="73"/>
        <v>6.1200000000000004E-3</v>
      </c>
      <c r="BH63" s="19">
        <f t="shared" si="74"/>
        <v>0</v>
      </c>
      <c r="BI63" s="19">
        <f t="shared" si="75"/>
        <v>0</v>
      </c>
      <c r="BJ63" s="19">
        <f t="shared" si="76"/>
        <v>0</v>
      </c>
      <c r="BK63" s="19"/>
      <c r="BL63" s="19">
        <v>722</v>
      </c>
      <c r="BW63" s="19" t="str">
        <f t="shared" si="77"/>
        <v>12</v>
      </c>
      <c r="BX63" s="4" t="s">
        <v>72</v>
      </c>
    </row>
    <row r="64" spans="1:76" x14ac:dyDescent="0.25">
      <c r="A64" s="1" t="s">
        <v>478</v>
      </c>
      <c r="B64" s="2" t="s">
        <v>56</v>
      </c>
      <c r="C64" s="2" t="s">
        <v>73</v>
      </c>
      <c r="D64" s="108" t="s">
        <v>74</v>
      </c>
      <c r="E64" s="102"/>
      <c r="F64" s="2" t="s">
        <v>31</v>
      </c>
      <c r="G64" s="19">
        <f>'Rozpočet - vybrané sloupce'!J59</f>
        <v>48</v>
      </c>
      <c r="H64" s="19">
        <f>'Rozpočet - vybrané sloupce'!K59</f>
        <v>0</v>
      </c>
      <c r="I64" s="87" t="s">
        <v>427</v>
      </c>
      <c r="J64" s="19">
        <f t="shared" si="52"/>
        <v>0</v>
      </c>
      <c r="K64" s="19">
        <f t="shared" si="53"/>
        <v>0</v>
      </c>
      <c r="L64" s="19">
        <f t="shared" si="54"/>
        <v>0</v>
      </c>
      <c r="M64" s="19">
        <f t="shared" si="55"/>
        <v>0</v>
      </c>
      <c r="N64" s="19">
        <v>3.0000000000000001E-5</v>
      </c>
      <c r="O64" s="19">
        <f t="shared" si="56"/>
        <v>1.4400000000000001E-3</v>
      </c>
      <c r="P64" s="88" t="s">
        <v>428</v>
      </c>
      <c r="Z64" s="19">
        <f t="shared" si="57"/>
        <v>0</v>
      </c>
      <c r="AB64" s="19">
        <f t="shared" si="58"/>
        <v>0</v>
      </c>
      <c r="AC64" s="19">
        <f t="shared" si="59"/>
        <v>0</v>
      </c>
      <c r="AD64" s="19">
        <f t="shared" si="60"/>
        <v>0</v>
      </c>
      <c r="AE64" s="19">
        <f t="shared" si="61"/>
        <v>0</v>
      </c>
      <c r="AF64" s="19">
        <f t="shared" si="62"/>
        <v>0</v>
      </c>
      <c r="AG64" s="19">
        <f t="shared" si="63"/>
        <v>0</v>
      </c>
      <c r="AH64" s="19">
        <f t="shared" si="64"/>
        <v>0</v>
      </c>
      <c r="AI64" s="16" t="s">
        <v>56</v>
      </c>
      <c r="AJ64" s="19">
        <f t="shared" si="65"/>
        <v>0</v>
      </c>
      <c r="AK64" s="19">
        <f t="shared" si="66"/>
        <v>0</v>
      </c>
      <c r="AL64" s="19">
        <f t="shared" si="67"/>
        <v>0</v>
      </c>
      <c r="AN64" s="19">
        <v>12</v>
      </c>
      <c r="AO64" s="19">
        <f>H64*0.230663147</f>
        <v>0</v>
      </c>
      <c r="AP64" s="19">
        <f>H64*(1-0.230663147)</f>
        <v>0</v>
      </c>
      <c r="AQ64" s="87" t="s">
        <v>429</v>
      </c>
      <c r="AV64" s="19">
        <f t="shared" si="68"/>
        <v>0</v>
      </c>
      <c r="AW64" s="19">
        <f t="shared" si="69"/>
        <v>0</v>
      </c>
      <c r="AX64" s="19">
        <f t="shared" si="70"/>
        <v>0</v>
      </c>
      <c r="AY64" s="87" t="s">
        <v>430</v>
      </c>
      <c r="AZ64" s="87" t="s">
        <v>467</v>
      </c>
      <c r="BA64" s="16" t="s">
        <v>468</v>
      </c>
      <c r="BC64" s="19">
        <f t="shared" si="71"/>
        <v>0</v>
      </c>
      <c r="BD64" s="19">
        <f t="shared" si="72"/>
        <v>0</v>
      </c>
      <c r="BE64" s="19">
        <v>0</v>
      </c>
      <c r="BF64" s="19">
        <f t="shared" si="73"/>
        <v>1.4400000000000001E-3</v>
      </c>
      <c r="BH64" s="19">
        <f t="shared" si="74"/>
        <v>0</v>
      </c>
      <c r="BI64" s="19">
        <f t="shared" si="75"/>
        <v>0</v>
      </c>
      <c r="BJ64" s="19">
        <f t="shared" si="76"/>
        <v>0</v>
      </c>
      <c r="BK64" s="19"/>
      <c r="BL64" s="19">
        <v>722</v>
      </c>
      <c r="BW64" s="19" t="str">
        <f t="shared" si="77"/>
        <v>12</v>
      </c>
      <c r="BX64" s="4" t="s">
        <v>74</v>
      </c>
    </row>
    <row r="65" spans="1:76" x14ac:dyDescent="0.25">
      <c r="A65" s="89"/>
      <c r="C65" s="90" t="s">
        <v>437</v>
      </c>
      <c r="D65" s="187" t="s">
        <v>438</v>
      </c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9"/>
      <c r="BX65" s="91" t="s">
        <v>438</v>
      </c>
    </row>
    <row r="66" spans="1:76" x14ac:dyDescent="0.25">
      <c r="A66" s="1" t="s">
        <v>479</v>
      </c>
      <c r="B66" s="2" t="s">
        <v>56</v>
      </c>
      <c r="C66" s="2" t="s">
        <v>75</v>
      </c>
      <c r="D66" s="108" t="s">
        <v>76</v>
      </c>
      <c r="E66" s="102"/>
      <c r="F66" s="2" t="s">
        <v>31</v>
      </c>
      <c r="G66" s="19">
        <f>'Rozpočet - vybrané sloupce'!J60</f>
        <v>10</v>
      </c>
      <c r="H66" s="19">
        <f>'Rozpočet - vybrané sloupce'!K60</f>
        <v>0</v>
      </c>
      <c r="I66" s="87" t="s">
        <v>427</v>
      </c>
      <c r="J66" s="19">
        <f>G66*AO66</f>
        <v>0</v>
      </c>
      <c r="K66" s="19">
        <f>G66*AP66</f>
        <v>0</v>
      </c>
      <c r="L66" s="19">
        <f>G66*H66</f>
        <v>0</v>
      </c>
      <c r="M66" s="19">
        <f>L66*(1+BW66/100)</f>
        <v>0</v>
      </c>
      <c r="N66" s="19">
        <v>6.0000000000000002E-5</v>
      </c>
      <c r="O66" s="19">
        <f>G66*N66</f>
        <v>6.0000000000000006E-4</v>
      </c>
      <c r="P66" s="88" t="s">
        <v>428</v>
      </c>
      <c r="Z66" s="19">
        <f>IF(AQ66="5",BJ66,0)</f>
        <v>0</v>
      </c>
      <c r="AB66" s="19">
        <f>IF(AQ66="1",BH66,0)</f>
        <v>0</v>
      </c>
      <c r="AC66" s="19">
        <f>IF(AQ66="1",BI66,0)</f>
        <v>0</v>
      </c>
      <c r="AD66" s="19">
        <f>IF(AQ66="7",BH66,0)</f>
        <v>0</v>
      </c>
      <c r="AE66" s="19">
        <f>IF(AQ66="7",BI66,0)</f>
        <v>0</v>
      </c>
      <c r="AF66" s="19">
        <f>IF(AQ66="2",BH66,0)</f>
        <v>0</v>
      </c>
      <c r="AG66" s="19">
        <f>IF(AQ66="2",BI66,0)</f>
        <v>0</v>
      </c>
      <c r="AH66" s="19">
        <f>IF(AQ66="0",BJ66,0)</f>
        <v>0</v>
      </c>
      <c r="AI66" s="16" t="s">
        <v>56</v>
      </c>
      <c r="AJ66" s="19">
        <f>IF(AN66=0,L66,0)</f>
        <v>0</v>
      </c>
      <c r="AK66" s="19">
        <f>IF(AN66=12,L66,0)</f>
        <v>0</v>
      </c>
      <c r="AL66" s="19">
        <f>IF(AN66=21,L66,0)</f>
        <v>0</v>
      </c>
      <c r="AN66" s="19">
        <v>12</v>
      </c>
      <c r="AO66" s="19">
        <f>H66*0.243994253</f>
        <v>0</v>
      </c>
      <c r="AP66" s="19">
        <f>H66*(1-0.243994253)</f>
        <v>0</v>
      </c>
      <c r="AQ66" s="87" t="s">
        <v>429</v>
      </c>
      <c r="AV66" s="19">
        <f>AW66+AX66</f>
        <v>0</v>
      </c>
      <c r="AW66" s="19">
        <f>G66*AO66</f>
        <v>0</v>
      </c>
      <c r="AX66" s="19">
        <f>G66*AP66</f>
        <v>0</v>
      </c>
      <c r="AY66" s="87" t="s">
        <v>430</v>
      </c>
      <c r="AZ66" s="87" t="s">
        <v>467</v>
      </c>
      <c r="BA66" s="16" t="s">
        <v>468</v>
      </c>
      <c r="BC66" s="19">
        <f>AW66+AX66</f>
        <v>0</v>
      </c>
      <c r="BD66" s="19">
        <f>H66/(100-BE66)*100</f>
        <v>0</v>
      </c>
      <c r="BE66" s="19">
        <v>0</v>
      </c>
      <c r="BF66" s="19">
        <f>O66</f>
        <v>6.0000000000000006E-4</v>
      </c>
      <c r="BH66" s="19">
        <f>G66*AO66</f>
        <v>0</v>
      </c>
      <c r="BI66" s="19">
        <f>G66*AP66</f>
        <v>0</v>
      </c>
      <c r="BJ66" s="19">
        <f>G66*H66</f>
        <v>0</v>
      </c>
      <c r="BK66" s="19"/>
      <c r="BL66" s="19">
        <v>722</v>
      </c>
      <c r="BW66" s="19" t="str">
        <f>I66</f>
        <v>12</v>
      </c>
      <c r="BX66" s="4" t="s">
        <v>76</v>
      </c>
    </row>
    <row r="67" spans="1:76" x14ac:dyDescent="0.25">
      <c r="A67" s="89"/>
      <c r="C67" s="90" t="s">
        <v>437</v>
      </c>
      <c r="D67" s="187" t="s">
        <v>438</v>
      </c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9"/>
      <c r="BX67" s="91" t="s">
        <v>438</v>
      </c>
    </row>
    <row r="68" spans="1:76" x14ac:dyDescent="0.25">
      <c r="A68" s="1" t="s">
        <v>480</v>
      </c>
      <c r="B68" s="2" t="s">
        <v>56</v>
      </c>
      <c r="C68" s="2" t="s">
        <v>77</v>
      </c>
      <c r="D68" s="108" t="s">
        <v>78</v>
      </c>
      <c r="E68" s="102"/>
      <c r="F68" s="2" t="s">
        <v>31</v>
      </c>
      <c r="G68" s="19">
        <f>'Rozpočet - vybrané sloupce'!J61</f>
        <v>28</v>
      </c>
      <c r="H68" s="19">
        <f>'Rozpočet - vybrané sloupce'!K61</f>
        <v>0</v>
      </c>
      <c r="I68" s="87" t="s">
        <v>427</v>
      </c>
      <c r="J68" s="19">
        <f>G68*AO68</f>
        <v>0</v>
      </c>
      <c r="K68" s="19">
        <f>G68*AP68</f>
        <v>0</v>
      </c>
      <c r="L68" s="19">
        <f>G68*H68</f>
        <v>0</v>
      </c>
      <c r="M68" s="19">
        <f>L68*(1+BW68/100)</f>
        <v>0</v>
      </c>
      <c r="N68" s="19">
        <v>5.0000000000000002E-5</v>
      </c>
      <c r="O68" s="19">
        <f>G68*N68</f>
        <v>1.4E-3</v>
      </c>
      <c r="P68" s="88" t="s">
        <v>428</v>
      </c>
      <c r="Z68" s="19">
        <f>IF(AQ68="5",BJ68,0)</f>
        <v>0</v>
      </c>
      <c r="AB68" s="19">
        <f>IF(AQ68="1",BH68,0)</f>
        <v>0</v>
      </c>
      <c r="AC68" s="19">
        <f>IF(AQ68="1",BI68,0)</f>
        <v>0</v>
      </c>
      <c r="AD68" s="19">
        <f>IF(AQ68="7",BH68,0)</f>
        <v>0</v>
      </c>
      <c r="AE68" s="19">
        <f>IF(AQ68="7",BI68,0)</f>
        <v>0</v>
      </c>
      <c r="AF68" s="19">
        <f>IF(AQ68="2",BH68,0)</f>
        <v>0</v>
      </c>
      <c r="AG68" s="19">
        <f>IF(AQ68="2",BI68,0)</f>
        <v>0</v>
      </c>
      <c r="AH68" s="19">
        <f>IF(AQ68="0",BJ68,0)</f>
        <v>0</v>
      </c>
      <c r="AI68" s="16" t="s">
        <v>56</v>
      </c>
      <c r="AJ68" s="19">
        <f>IF(AN68=0,L68,0)</f>
        <v>0</v>
      </c>
      <c r="AK68" s="19">
        <f>IF(AN68=12,L68,0)</f>
        <v>0</v>
      </c>
      <c r="AL68" s="19">
        <f>IF(AN68=21,L68,0)</f>
        <v>0</v>
      </c>
      <c r="AN68" s="19">
        <v>12</v>
      </c>
      <c r="AO68" s="19">
        <f>H68*0.242397018</f>
        <v>0</v>
      </c>
      <c r="AP68" s="19">
        <f>H68*(1-0.242397018)</f>
        <v>0</v>
      </c>
      <c r="AQ68" s="87" t="s">
        <v>429</v>
      </c>
      <c r="AV68" s="19">
        <f>AW68+AX68</f>
        <v>0</v>
      </c>
      <c r="AW68" s="19">
        <f>G68*AO68</f>
        <v>0</v>
      </c>
      <c r="AX68" s="19">
        <f>G68*AP68</f>
        <v>0</v>
      </c>
      <c r="AY68" s="87" t="s">
        <v>430</v>
      </c>
      <c r="AZ68" s="87" t="s">
        <v>467</v>
      </c>
      <c r="BA68" s="16" t="s">
        <v>468</v>
      </c>
      <c r="BC68" s="19">
        <f>AW68+AX68</f>
        <v>0</v>
      </c>
      <c r="BD68" s="19">
        <f>H68/(100-BE68)*100</f>
        <v>0</v>
      </c>
      <c r="BE68" s="19">
        <v>0</v>
      </c>
      <c r="BF68" s="19">
        <f>O68</f>
        <v>1.4E-3</v>
      </c>
      <c r="BH68" s="19">
        <f>G68*AO68</f>
        <v>0</v>
      </c>
      <c r="BI68" s="19">
        <f>G68*AP68</f>
        <v>0</v>
      </c>
      <c r="BJ68" s="19">
        <f>G68*H68</f>
        <v>0</v>
      </c>
      <c r="BK68" s="19"/>
      <c r="BL68" s="19">
        <v>722</v>
      </c>
      <c r="BW68" s="19" t="str">
        <f>I68</f>
        <v>12</v>
      </c>
      <c r="BX68" s="4" t="s">
        <v>78</v>
      </c>
    </row>
    <row r="69" spans="1:76" x14ac:dyDescent="0.25">
      <c r="A69" s="89"/>
      <c r="C69" s="90" t="s">
        <v>437</v>
      </c>
      <c r="D69" s="187" t="s">
        <v>438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9"/>
      <c r="BX69" s="91" t="s">
        <v>438</v>
      </c>
    </row>
    <row r="70" spans="1:76" x14ac:dyDescent="0.25">
      <c r="A70" s="1" t="s">
        <v>481</v>
      </c>
      <c r="B70" s="2" t="s">
        <v>56</v>
      </c>
      <c r="C70" s="2" t="s">
        <v>39</v>
      </c>
      <c r="D70" s="108" t="s">
        <v>40</v>
      </c>
      <c r="E70" s="102"/>
      <c r="F70" s="2" t="s">
        <v>31</v>
      </c>
      <c r="G70" s="19">
        <f>'Rozpočet - vybrané sloupce'!J62</f>
        <v>36</v>
      </c>
      <c r="H70" s="19">
        <f>'Rozpočet - vybrané sloupce'!K62</f>
        <v>0</v>
      </c>
      <c r="I70" s="87" t="s">
        <v>427</v>
      </c>
      <c r="J70" s="19">
        <f>G70*AO70</f>
        <v>0</v>
      </c>
      <c r="K70" s="19">
        <f>G70*AP70</f>
        <v>0</v>
      </c>
      <c r="L70" s="19">
        <f>G70*H70</f>
        <v>0</v>
      </c>
      <c r="M70" s="19">
        <f>L70*(1+BW70/100)</f>
        <v>0</v>
      </c>
      <c r="N70" s="19">
        <v>9.0000000000000006E-5</v>
      </c>
      <c r="O70" s="19">
        <f>G70*N70</f>
        <v>3.2400000000000003E-3</v>
      </c>
      <c r="P70" s="88" t="s">
        <v>428</v>
      </c>
      <c r="Z70" s="19">
        <f>IF(AQ70="5",BJ70,0)</f>
        <v>0</v>
      </c>
      <c r="AB70" s="19">
        <f>IF(AQ70="1",BH70,0)</f>
        <v>0</v>
      </c>
      <c r="AC70" s="19">
        <f>IF(AQ70="1",BI70,0)</f>
        <v>0</v>
      </c>
      <c r="AD70" s="19">
        <f>IF(AQ70="7",BH70,0)</f>
        <v>0</v>
      </c>
      <c r="AE70" s="19">
        <f>IF(AQ70="7",BI70,0)</f>
        <v>0</v>
      </c>
      <c r="AF70" s="19">
        <f>IF(AQ70="2",BH70,0)</f>
        <v>0</v>
      </c>
      <c r="AG70" s="19">
        <f>IF(AQ70="2",BI70,0)</f>
        <v>0</v>
      </c>
      <c r="AH70" s="19">
        <f>IF(AQ70="0",BJ70,0)</f>
        <v>0</v>
      </c>
      <c r="AI70" s="16" t="s">
        <v>56</v>
      </c>
      <c r="AJ70" s="19">
        <f>IF(AN70=0,L70,0)</f>
        <v>0</v>
      </c>
      <c r="AK70" s="19">
        <f>IF(AN70=12,L70,0)</f>
        <v>0</v>
      </c>
      <c r="AL70" s="19">
        <f>IF(AN70=21,L70,0)</f>
        <v>0</v>
      </c>
      <c r="AN70" s="19">
        <v>12</v>
      </c>
      <c r="AO70" s="19">
        <f>H70*0.255251613</f>
        <v>0</v>
      </c>
      <c r="AP70" s="19">
        <f>H70*(1-0.255251613)</f>
        <v>0</v>
      </c>
      <c r="AQ70" s="87" t="s">
        <v>429</v>
      </c>
      <c r="AV70" s="19">
        <f>AW70+AX70</f>
        <v>0</v>
      </c>
      <c r="AW70" s="19">
        <f>G70*AO70</f>
        <v>0</v>
      </c>
      <c r="AX70" s="19">
        <f>G70*AP70</f>
        <v>0</v>
      </c>
      <c r="AY70" s="87" t="s">
        <v>430</v>
      </c>
      <c r="AZ70" s="87" t="s">
        <v>467</v>
      </c>
      <c r="BA70" s="16" t="s">
        <v>468</v>
      </c>
      <c r="BC70" s="19">
        <f>AW70+AX70</f>
        <v>0</v>
      </c>
      <c r="BD70" s="19">
        <f>H70/(100-BE70)*100</f>
        <v>0</v>
      </c>
      <c r="BE70" s="19">
        <v>0</v>
      </c>
      <c r="BF70" s="19">
        <f>O70</f>
        <v>3.2400000000000003E-3</v>
      </c>
      <c r="BH70" s="19">
        <f>G70*AO70</f>
        <v>0</v>
      </c>
      <c r="BI70" s="19">
        <f>G70*AP70</f>
        <v>0</v>
      </c>
      <c r="BJ70" s="19">
        <f>G70*H70</f>
        <v>0</v>
      </c>
      <c r="BK70" s="19"/>
      <c r="BL70" s="19">
        <v>722</v>
      </c>
      <c r="BW70" s="19" t="str">
        <f>I70</f>
        <v>12</v>
      </c>
      <c r="BX70" s="4" t="s">
        <v>40</v>
      </c>
    </row>
    <row r="71" spans="1:76" x14ac:dyDescent="0.25">
      <c r="A71" s="89"/>
      <c r="C71" s="90" t="s">
        <v>437</v>
      </c>
      <c r="D71" s="187" t="s">
        <v>438</v>
      </c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9"/>
      <c r="BX71" s="91" t="s">
        <v>438</v>
      </c>
    </row>
    <row r="72" spans="1:76" x14ac:dyDescent="0.25">
      <c r="A72" s="1" t="s">
        <v>482</v>
      </c>
      <c r="B72" s="2" t="s">
        <v>56</v>
      </c>
      <c r="C72" s="2" t="s">
        <v>41</v>
      </c>
      <c r="D72" s="108" t="s">
        <v>42</v>
      </c>
      <c r="E72" s="102"/>
      <c r="F72" s="2" t="s">
        <v>31</v>
      </c>
      <c r="G72" s="19">
        <f>'Rozpočet - vybrané sloupce'!J63</f>
        <v>80</v>
      </c>
      <c r="H72" s="19">
        <f>'Rozpočet - vybrané sloupce'!K63</f>
        <v>0</v>
      </c>
      <c r="I72" s="87" t="s">
        <v>427</v>
      </c>
      <c r="J72" s="19">
        <f>G72*AO72</f>
        <v>0</v>
      </c>
      <c r="K72" s="19">
        <f>G72*AP72</f>
        <v>0</v>
      </c>
      <c r="L72" s="19">
        <f>G72*H72</f>
        <v>0</v>
      </c>
      <c r="M72" s="19">
        <f>L72*(1+BW72/100)</f>
        <v>0</v>
      </c>
      <c r="N72" s="19">
        <v>6.9999999999999994E-5</v>
      </c>
      <c r="O72" s="19">
        <f>G72*N72</f>
        <v>5.5999999999999991E-3</v>
      </c>
      <c r="P72" s="88" t="s">
        <v>428</v>
      </c>
      <c r="Z72" s="19">
        <f>IF(AQ72="5",BJ72,0)</f>
        <v>0</v>
      </c>
      <c r="AB72" s="19">
        <f>IF(AQ72="1",BH72,0)</f>
        <v>0</v>
      </c>
      <c r="AC72" s="19">
        <f>IF(AQ72="1",BI72,0)</f>
        <v>0</v>
      </c>
      <c r="AD72" s="19">
        <f>IF(AQ72="7",BH72,0)</f>
        <v>0</v>
      </c>
      <c r="AE72" s="19">
        <f>IF(AQ72="7",BI72,0)</f>
        <v>0</v>
      </c>
      <c r="AF72" s="19">
        <f>IF(AQ72="2",BH72,0)</f>
        <v>0</v>
      </c>
      <c r="AG72" s="19">
        <f>IF(AQ72="2",BI72,0)</f>
        <v>0</v>
      </c>
      <c r="AH72" s="19">
        <f>IF(AQ72="0",BJ72,0)</f>
        <v>0</v>
      </c>
      <c r="AI72" s="16" t="s">
        <v>56</v>
      </c>
      <c r="AJ72" s="19">
        <f>IF(AN72=0,L72,0)</f>
        <v>0</v>
      </c>
      <c r="AK72" s="19">
        <f>IF(AN72=12,L72,0)</f>
        <v>0</v>
      </c>
      <c r="AL72" s="19">
        <f>IF(AN72=21,L72,0)</f>
        <v>0</v>
      </c>
      <c r="AN72" s="19">
        <v>12</v>
      </c>
      <c r="AO72" s="19">
        <f>H72*0.523262036</f>
        <v>0</v>
      </c>
      <c r="AP72" s="19">
        <f>H72*(1-0.523262036)</f>
        <v>0</v>
      </c>
      <c r="AQ72" s="87" t="s">
        <v>429</v>
      </c>
      <c r="AV72" s="19">
        <f>AW72+AX72</f>
        <v>0</v>
      </c>
      <c r="AW72" s="19">
        <f>G72*AO72</f>
        <v>0</v>
      </c>
      <c r="AX72" s="19">
        <f>G72*AP72</f>
        <v>0</v>
      </c>
      <c r="AY72" s="87" t="s">
        <v>430</v>
      </c>
      <c r="AZ72" s="87" t="s">
        <v>467</v>
      </c>
      <c r="BA72" s="16" t="s">
        <v>468</v>
      </c>
      <c r="BC72" s="19">
        <f>AW72+AX72</f>
        <v>0</v>
      </c>
      <c r="BD72" s="19">
        <f>H72/(100-BE72)*100</f>
        <v>0</v>
      </c>
      <c r="BE72" s="19">
        <v>0</v>
      </c>
      <c r="BF72" s="19">
        <f>O72</f>
        <v>5.5999999999999991E-3</v>
      </c>
      <c r="BH72" s="19">
        <f>G72*AO72</f>
        <v>0</v>
      </c>
      <c r="BI72" s="19">
        <f>G72*AP72</f>
        <v>0</v>
      </c>
      <c r="BJ72" s="19">
        <f>G72*H72</f>
        <v>0</v>
      </c>
      <c r="BK72" s="19"/>
      <c r="BL72" s="19">
        <v>722</v>
      </c>
      <c r="BW72" s="19" t="str">
        <f>I72</f>
        <v>12</v>
      </c>
      <c r="BX72" s="4" t="s">
        <v>42</v>
      </c>
    </row>
    <row r="73" spans="1:76" x14ac:dyDescent="0.25">
      <c r="A73" s="89"/>
      <c r="C73" s="90" t="s">
        <v>437</v>
      </c>
      <c r="D73" s="187" t="s">
        <v>438</v>
      </c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9"/>
      <c r="BX73" s="91" t="s">
        <v>438</v>
      </c>
    </row>
    <row r="74" spans="1:76" x14ac:dyDescent="0.25">
      <c r="A74" s="1" t="s">
        <v>483</v>
      </c>
      <c r="B74" s="2" t="s">
        <v>56</v>
      </c>
      <c r="C74" s="2" t="s">
        <v>79</v>
      </c>
      <c r="D74" s="108" t="s">
        <v>80</v>
      </c>
      <c r="E74" s="102"/>
      <c r="F74" s="2" t="s">
        <v>31</v>
      </c>
      <c r="G74" s="19">
        <f>'Rozpočet - vybrané sloupce'!J64</f>
        <v>28</v>
      </c>
      <c r="H74" s="19">
        <f>'Rozpočet - vybrané sloupce'!K64</f>
        <v>0</v>
      </c>
      <c r="I74" s="87" t="s">
        <v>427</v>
      </c>
      <c r="J74" s="19">
        <f>G74*AO74</f>
        <v>0</v>
      </c>
      <c r="K74" s="19">
        <f>G74*AP74</f>
        <v>0</v>
      </c>
      <c r="L74" s="19">
        <f>G74*H74</f>
        <v>0</v>
      </c>
      <c r="M74" s="19">
        <f>L74*(1+BW74/100)</f>
        <v>0</v>
      </c>
      <c r="N74" s="19">
        <v>8.0000000000000007E-5</v>
      </c>
      <c r="O74" s="19">
        <f>G74*N74</f>
        <v>2.2400000000000002E-3</v>
      </c>
      <c r="P74" s="88" t="s">
        <v>428</v>
      </c>
      <c r="Z74" s="19">
        <f>IF(AQ74="5",BJ74,0)</f>
        <v>0</v>
      </c>
      <c r="AB74" s="19">
        <f>IF(AQ74="1",BH74,0)</f>
        <v>0</v>
      </c>
      <c r="AC74" s="19">
        <f>IF(AQ74="1",BI74,0)</f>
        <v>0</v>
      </c>
      <c r="AD74" s="19">
        <f>IF(AQ74="7",BH74,0)</f>
        <v>0</v>
      </c>
      <c r="AE74" s="19">
        <f>IF(AQ74="7",BI74,0)</f>
        <v>0</v>
      </c>
      <c r="AF74" s="19">
        <f>IF(AQ74="2",BH74,0)</f>
        <v>0</v>
      </c>
      <c r="AG74" s="19">
        <f>IF(AQ74="2",BI74,0)</f>
        <v>0</v>
      </c>
      <c r="AH74" s="19">
        <f>IF(AQ74="0",BJ74,0)</f>
        <v>0</v>
      </c>
      <c r="AI74" s="16" t="s">
        <v>56</v>
      </c>
      <c r="AJ74" s="19">
        <f>IF(AN74=0,L74,0)</f>
        <v>0</v>
      </c>
      <c r="AK74" s="19">
        <f>IF(AN74=12,L74,0)</f>
        <v>0</v>
      </c>
      <c r="AL74" s="19">
        <f>IF(AN74=21,L74,0)</f>
        <v>0</v>
      </c>
      <c r="AN74" s="19">
        <v>12</v>
      </c>
      <c r="AO74" s="19">
        <f>H74*0.527714286</f>
        <v>0</v>
      </c>
      <c r="AP74" s="19">
        <f>H74*(1-0.527714286)</f>
        <v>0</v>
      </c>
      <c r="AQ74" s="87" t="s">
        <v>429</v>
      </c>
      <c r="AV74" s="19">
        <f>AW74+AX74</f>
        <v>0</v>
      </c>
      <c r="AW74" s="19">
        <f>G74*AO74</f>
        <v>0</v>
      </c>
      <c r="AX74" s="19">
        <f>G74*AP74</f>
        <v>0</v>
      </c>
      <c r="AY74" s="87" t="s">
        <v>430</v>
      </c>
      <c r="AZ74" s="87" t="s">
        <v>467</v>
      </c>
      <c r="BA74" s="16" t="s">
        <v>468</v>
      </c>
      <c r="BC74" s="19">
        <f>AW74+AX74</f>
        <v>0</v>
      </c>
      <c r="BD74" s="19">
        <f>H74/(100-BE74)*100</f>
        <v>0</v>
      </c>
      <c r="BE74" s="19">
        <v>0</v>
      </c>
      <c r="BF74" s="19">
        <f>O74</f>
        <v>2.2400000000000002E-3</v>
      </c>
      <c r="BH74" s="19">
        <f>G74*AO74</f>
        <v>0</v>
      </c>
      <c r="BI74" s="19">
        <f>G74*AP74</f>
        <v>0</v>
      </c>
      <c r="BJ74" s="19">
        <f>G74*H74</f>
        <v>0</v>
      </c>
      <c r="BK74" s="19"/>
      <c r="BL74" s="19">
        <v>722</v>
      </c>
      <c r="BW74" s="19" t="str">
        <f>I74</f>
        <v>12</v>
      </c>
      <c r="BX74" s="4" t="s">
        <v>80</v>
      </c>
    </row>
    <row r="75" spans="1:76" x14ac:dyDescent="0.25">
      <c r="A75" s="89"/>
      <c r="C75" s="90" t="s">
        <v>437</v>
      </c>
      <c r="D75" s="187" t="s">
        <v>438</v>
      </c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9"/>
      <c r="BX75" s="91" t="s">
        <v>438</v>
      </c>
    </row>
    <row r="76" spans="1:76" x14ac:dyDescent="0.25">
      <c r="A76" s="1" t="s">
        <v>484</v>
      </c>
      <c r="B76" s="2" t="s">
        <v>56</v>
      </c>
      <c r="C76" s="2" t="s">
        <v>43</v>
      </c>
      <c r="D76" s="108" t="s">
        <v>44</v>
      </c>
      <c r="E76" s="102"/>
      <c r="F76" s="2" t="s">
        <v>31</v>
      </c>
      <c r="G76" s="19">
        <f>'Rozpočet - vybrané sloupce'!J65</f>
        <v>36</v>
      </c>
      <c r="H76" s="19">
        <f>'Rozpočet - vybrané sloupce'!K65</f>
        <v>0</v>
      </c>
      <c r="I76" s="87" t="s">
        <v>427</v>
      </c>
      <c r="J76" s="19">
        <f>G76*AO76</f>
        <v>0</v>
      </c>
      <c r="K76" s="19">
        <f>G76*AP76</f>
        <v>0</v>
      </c>
      <c r="L76" s="19">
        <f>G76*H76</f>
        <v>0</v>
      </c>
      <c r="M76" s="19">
        <f>L76*(1+BW76/100)</f>
        <v>0</v>
      </c>
      <c r="N76" s="19">
        <v>1.2999999999999999E-4</v>
      </c>
      <c r="O76" s="19">
        <f>G76*N76</f>
        <v>4.6799999999999993E-3</v>
      </c>
      <c r="P76" s="88" t="s">
        <v>428</v>
      </c>
      <c r="Z76" s="19">
        <f>IF(AQ76="5",BJ76,0)</f>
        <v>0</v>
      </c>
      <c r="AB76" s="19">
        <f>IF(AQ76="1",BH76,0)</f>
        <v>0</v>
      </c>
      <c r="AC76" s="19">
        <f>IF(AQ76="1",BI76,0)</f>
        <v>0</v>
      </c>
      <c r="AD76" s="19">
        <f>IF(AQ76="7",BH76,0)</f>
        <v>0</v>
      </c>
      <c r="AE76" s="19">
        <f>IF(AQ76="7",BI76,0)</f>
        <v>0</v>
      </c>
      <c r="AF76" s="19">
        <f>IF(AQ76="2",BH76,0)</f>
        <v>0</v>
      </c>
      <c r="AG76" s="19">
        <f>IF(AQ76="2",BI76,0)</f>
        <v>0</v>
      </c>
      <c r="AH76" s="19">
        <f>IF(AQ76="0",BJ76,0)</f>
        <v>0</v>
      </c>
      <c r="AI76" s="16" t="s">
        <v>56</v>
      </c>
      <c r="AJ76" s="19">
        <f>IF(AN76=0,L76,0)</f>
        <v>0</v>
      </c>
      <c r="AK76" s="19">
        <f>IF(AN76=12,L76,0)</f>
        <v>0</v>
      </c>
      <c r="AL76" s="19">
        <f>IF(AN76=21,L76,0)</f>
        <v>0</v>
      </c>
      <c r="AN76" s="19">
        <v>12</v>
      </c>
      <c r="AO76" s="19">
        <f>H76*0.526485197</f>
        <v>0</v>
      </c>
      <c r="AP76" s="19">
        <f>H76*(1-0.526485197)</f>
        <v>0</v>
      </c>
      <c r="AQ76" s="87" t="s">
        <v>429</v>
      </c>
      <c r="AV76" s="19">
        <f>AW76+AX76</f>
        <v>0</v>
      </c>
      <c r="AW76" s="19">
        <f>G76*AO76</f>
        <v>0</v>
      </c>
      <c r="AX76" s="19">
        <f>G76*AP76</f>
        <v>0</v>
      </c>
      <c r="AY76" s="87" t="s">
        <v>430</v>
      </c>
      <c r="AZ76" s="87" t="s">
        <v>467</v>
      </c>
      <c r="BA76" s="16" t="s">
        <v>468</v>
      </c>
      <c r="BC76" s="19">
        <f>AW76+AX76</f>
        <v>0</v>
      </c>
      <c r="BD76" s="19">
        <f>H76/(100-BE76)*100</f>
        <v>0</v>
      </c>
      <c r="BE76" s="19">
        <v>0</v>
      </c>
      <c r="BF76" s="19">
        <f>O76</f>
        <v>4.6799999999999993E-3</v>
      </c>
      <c r="BH76" s="19">
        <f>G76*AO76</f>
        <v>0</v>
      </c>
      <c r="BI76" s="19">
        <f>G76*AP76</f>
        <v>0</v>
      </c>
      <c r="BJ76" s="19">
        <f>G76*H76</f>
        <v>0</v>
      </c>
      <c r="BK76" s="19"/>
      <c r="BL76" s="19">
        <v>722</v>
      </c>
      <c r="BW76" s="19" t="str">
        <f>I76</f>
        <v>12</v>
      </c>
      <c r="BX76" s="4" t="s">
        <v>44</v>
      </c>
    </row>
    <row r="77" spans="1:76" x14ac:dyDescent="0.25">
      <c r="A77" s="89"/>
      <c r="C77" s="90" t="s">
        <v>437</v>
      </c>
      <c r="D77" s="187" t="s">
        <v>438</v>
      </c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9"/>
      <c r="BX77" s="91" t="s">
        <v>438</v>
      </c>
    </row>
    <row r="78" spans="1:76" x14ac:dyDescent="0.25">
      <c r="A78" s="1" t="s">
        <v>485</v>
      </c>
      <c r="B78" s="2" t="s">
        <v>56</v>
      </c>
      <c r="C78" s="2" t="s">
        <v>81</v>
      </c>
      <c r="D78" s="108" t="s">
        <v>82</v>
      </c>
      <c r="E78" s="102"/>
      <c r="F78" s="2" t="s">
        <v>62</v>
      </c>
      <c r="G78" s="19">
        <f>'Rozpočet - vybrané sloupce'!J66</f>
        <v>96</v>
      </c>
      <c r="H78" s="19">
        <f>'Rozpočet - vybrané sloupce'!K66</f>
        <v>0</v>
      </c>
      <c r="I78" s="87" t="s">
        <v>427</v>
      </c>
      <c r="J78" s="19">
        <f t="shared" ref="J78:J86" si="78">G78*AO78</f>
        <v>0</v>
      </c>
      <c r="K78" s="19">
        <f t="shared" ref="K78:K86" si="79">G78*AP78</f>
        <v>0</v>
      </c>
      <c r="L78" s="19">
        <f t="shared" ref="L78:L86" si="80">G78*H78</f>
        <v>0</v>
      </c>
      <c r="M78" s="19">
        <f t="shared" ref="M78:M86" si="81">L78*(1+BW78/100)</f>
        <v>0</v>
      </c>
      <c r="N78" s="19">
        <v>0</v>
      </c>
      <c r="O78" s="19">
        <f t="shared" ref="O78:O86" si="82">G78*N78</f>
        <v>0</v>
      </c>
      <c r="P78" s="88" t="s">
        <v>428</v>
      </c>
      <c r="Z78" s="19">
        <f t="shared" ref="Z78:Z86" si="83">IF(AQ78="5",BJ78,0)</f>
        <v>0</v>
      </c>
      <c r="AB78" s="19">
        <f t="shared" ref="AB78:AB86" si="84">IF(AQ78="1",BH78,0)</f>
        <v>0</v>
      </c>
      <c r="AC78" s="19">
        <f t="shared" ref="AC78:AC86" si="85">IF(AQ78="1",BI78,0)</f>
        <v>0</v>
      </c>
      <c r="AD78" s="19">
        <f t="shared" ref="AD78:AD86" si="86">IF(AQ78="7",BH78,0)</f>
        <v>0</v>
      </c>
      <c r="AE78" s="19">
        <f t="shared" ref="AE78:AE86" si="87">IF(AQ78="7",BI78,0)</f>
        <v>0</v>
      </c>
      <c r="AF78" s="19">
        <f t="shared" ref="AF78:AF86" si="88">IF(AQ78="2",BH78,0)</f>
        <v>0</v>
      </c>
      <c r="AG78" s="19">
        <f t="shared" ref="AG78:AG86" si="89">IF(AQ78="2",BI78,0)</f>
        <v>0</v>
      </c>
      <c r="AH78" s="19">
        <f t="shared" ref="AH78:AH86" si="90">IF(AQ78="0",BJ78,0)</f>
        <v>0</v>
      </c>
      <c r="AI78" s="16" t="s">
        <v>56</v>
      </c>
      <c r="AJ78" s="19">
        <f t="shared" ref="AJ78:AJ86" si="91">IF(AN78=0,L78,0)</f>
        <v>0</v>
      </c>
      <c r="AK78" s="19">
        <f t="shared" ref="AK78:AK86" si="92">IF(AN78=12,L78,0)</f>
        <v>0</v>
      </c>
      <c r="AL78" s="19">
        <f t="shared" ref="AL78:AL86" si="93">IF(AN78=21,L78,0)</f>
        <v>0</v>
      </c>
      <c r="AN78" s="19">
        <v>12</v>
      </c>
      <c r="AO78" s="19">
        <f>H78*1.000045096</f>
        <v>0</v>
      </c>
      <c r="AP78" s="19">
        <f>H78*(1-1.000045096)</f>
        <v>0</v>
      </c>
      <c r="AQ78" s="87" t="s">
        <v>429</v>
      </c>
      <c r="AV78" s="19">
        <f t="shared" ref="AV78:AV86" si="94">AW78+AX78</f>
        <v>0</v>
      </c>
      <c r="AW78" s="19">
        <f t="shared" ref="AW78:AW86" si="95">G78*AO78</f>
        <v>0</v>
      </c>
      <c r="AX78" s="19">
        <f t="shared" ref="AX78:AX86" si="96">G78*AP78</f>
        <v>0</v>
      </c>
      <c r="AY78" s="87" t="s">
        <v>430</v>
      </c>
      <c r="AZ78" s="87" t="s">
        <v>467</v>
      </c>
      <c r="BA78" s="16" t="s">
        <v>468</v>
      </c>
      <c r="BC78" s="19">
        <f t="shared" ref="BC78:BC86" si="97">AW78+AX78</f>
        <v>0</v>
      </c>
      <c r="BD78" s="19">
        <f t="shared" ref="BD78:BD86" si="98">H78/(100-BE78)*100</f>
        <v>0</v>
      </c>
      <c r="BE78" s="19">
        <v>0</v>
      </c>
      <c r="BF78" s="19">
        <f t="shared" ref="BF78:BF86" si="99">O78</f>
        <v>0</v>
      </c>
      <c r="BH78" s="19">
        <f t="shared" ref="BH78:BH86" si="100">G78*AO78</f>
        <v>0</v>
      </c>
      <c r="BI78" s="19">
        <f t="shared" ref="BI78:BI86" si="101">G78*AP78</f>
        <v>0</v>
      </c>
      <c r="BJ78" s="19">
        <f t="shared" ref="BJ78:BJ86" si="102">G78*H78</f>
        <v>0</v>
      </c>
      <c r="BK78" s="19"/>
      <c r="BL78" s="19">
        <v>722</v>
      </c>
      <c r="BW78" s="19" t="str">
        <f t="shared" ref="BW78:BW86" si="103">I78</f>
        <v>12</v>
      </c>
      <c r="BX78" s="4" t="s">
        <v>82</v>
      </c>
    </row>
    <row r="79" spans="1:76" x14ac:dyDescent="0.25">
      <c r="A79" s="1" t="s">
        <v>486</v>
      </c>
      <c r="B79" s="2" t="s">
        <v>56</v>
      </c>
      <c r="C79" s="2" t="s">
        <v>83</v>
      </c>
      <c r="D79" s="108" t="s">
        <v>84</v>
      </c>
      <c r="E79" s="102"/>
      <c r="F79" s="2" t="s">
        <v>62</v>
      </c>
      <c r="G79" s="19">
        <f>'Rozpočet - vybrané sloupce'!J67</f>
        <v>48</v>
      </c>
      <c r="H79" s="19">
        <f>'Rozpočet - vybrané sloupce'!K67</f>
        <v>0</v>
      </c>
      <c r="I79" s="87" t="s">
        <v>427</v>
      </c>
      <c r="J79" s="19">
        <f t="shared" si="78"/>
        <v>0</v>
      </c>
      <c r="K79" s="19">
        <f t="shared" si="79"/>
        <v>0</v>
      </c>
      <c r="L79" s="19">
        <f t="shared" si="80"/>
        <v>0</v>
      </c>
      <c r="M79" s="19">
        <f t="shared" si="81"/>
        <v>0</v>
      </c>
      <c r="N79" s="19">
        <v>2.4000000000000001E-4</v>
      </c>
      <c r="O79" s="19">
        <f t="shared" si="82"/>
        <v>1.1520000000000001E-2</v>
      </c>
      <c r="P79" s="88" t="s">
        <v>428</v>
      </c>
      <c r="Z79" s="19">
        <f t="shared" si="83"/>
        <v>0</v>
      </c>
      <c r="AB79" s="19">
        <f t="shared" si="84"/>
        <v>0</v>
      </c>
      <c r="AC79" s="19">
        <f t="shared" si="85"/>
        <v>0</v>
      </c>
      <c r="AD79" s="19">
        <f t="shared" si="86"/>
        <v>0</v>
      </c>
      <c r="AE79" s="19">
        <f t="shared" si="87"/>
        <v>0</v>
      </c>
      <c r="AF79" s="19">
        <f t="shared" si="88"/>
        <v>0</v>
      </c>
      <c r="AG79" s="19">
        <f t="shared" si="89"/>
        <v>0</v>
      </c>
      <c r="AH79" s="19">
        <f t="shared" si="90"/>
        <v>0</v>
      </c>
      <c r="AI79" s="16" t="s">
        <v>56</v>
      </c>
      <c r="AJ79" s="19">
        <f t="shared" si="91"/>
        <v>0</v>
      </c>
      <c r="AK79" s="19">
        <f t="shared" si="92"/>
        <v>0</v>
      </c>
      <c r="AL79" s="19">
        <f t="shared" si="93"/>
        <v>0</v>
      </c>
      <c r="AN79" s="19">
        <v>12</v>
      </c>
      <c r="AO79" s="19">
        <f>H79*0.728215883</f>
        <v>0</v>
      </c>
      <c r="AP79" s="19">
        <f>H79*(1-0.728215883)</f>
        <v>0</v>
      </c>
      <c r="AQ79" s="87" t="s">
        <v>429</v>
      </c>
      <c r="AV79" s="19">
        <f t="shared" si="94"/>
        <v>0</v>
      </c>
      <c r="AW79" s="19">
        <f t="shared" si="95"/>
        <v>0</v>
      </c>
      <c r="AX79" s="19">
        <f t="shared" si="96"/>
        <v>0</v>
      </c>
      <c r="AY79" s="87" t="s">
        <v>430</v>
      </c>
      <c r="AZ79" s="87" t="s">
        <v>467</v>
      </c>
      <c r="BA79" s="16" t="s">
        <v>468</v>
      </c>
      <c r="BC79" s="19">
        <f t="shared" si="97"/>
        <v>0</v>
      </c>
      <c r="BD79" s="19">
        <f t="shared" si="98"/>
        <v>0</v>
      </c>
      <c r="BE79" s="19">
        <v>0</v>
      </c>
      <c r="BF79" s="19">
        <f t="shared" si="99"/>
        <v>1.1520000000000001E-2</v>
      </c>
      <c r="BH79" s="19">
        <f t="shared" si="100"/>
        <v>0</v>
      </c>
      <c r="BI79" s="19">
        <f t="shared" si="101"/>
        <v>0</v>
      </c>
      <c r="BJ79" s="19">
        <f t="shared" si="102"/>
        <v>0</v>
      </c>
      <c r="BK79" s="19"/>
      <c r="BL79" s="19">
        <v>722</v>
      </c>
      <c r="BW79" s="19" t="str">
        <f t="shared" si="103"/>
        <v>12</v>
      </c>
      <c r="BX79" s="4" t="s">
        <v>84</v>
      </c>
    </row>
    <row r="80" spans="1:76" x14ac:dyDescent="0.25">
      <c r="A80" s="1" t="s">
        <v>487</v>
      </c>
      <c r="B80" s="2" t="s">
        <v>56</v>
      </c>
      <c r="C80" s="2" t="s">
        <v>85</v>
      </c>
      <c r="D80" s="108" t="s">
        <v>86</v>
      </c>
      <c r="E80" s="102"/>
      <c r="F80" s="2" t="s">
        <v>62</v>
      </c>
      <c r="G80" s="19">
        <f>'Rozpočet - vybrané sloupce'!J68</f>
        <v>48</v>
      </c>
      <c r="H80" s="19">
        <f>'Rozpočet - vybrané sloupce'!K68</f>
        <v>0</v>
      </c>
      <c r="I80" s="87" t="s">
        <v>427</v>
      </c>
      <c r="J80" s="19">
        <f t="shared" si="78"/>
        <v>0</v>
      </c>
      <c r="K80" s="19">
        <f t="shared" si="79"/>
        <v>0</v>
      </c>
      <c r="L80" s="19">
        <f t="shared" si="80"/>
        <v>0</v>
      </c>
      <c r="M80" s="19">
        <f t="shared" si="81"/>
        <v>0</v>
      </c>
      <c r="N80" s="19">
        <v>1.1E-4</v>
      </c>
      <c r="O80" s="19">
        <f t="shared" si="82"/>
        <v>5.28E-3</v>
      </c>
      <c r="P80" s="88" t="s">
        <v>428</v>
      </c>
      <c r="Z80" s="19">
        <f t="shared" si="83"/>
        <v>0</v>
      </c>
      <c r="AB80" s="19">
        <f t="shared" si="84"/>
        <v>0</v>
      </c>
      <c r="AC80" s="19">
        <f t="shared" si="85"/>
        <v>0</v>
      </c>
      <c r="AD80" s="19">
        <f t="shared" si="86"/>
        <v>0</v>
      </c>
      <c r="AE80" s="19">
        <f t="shared" si="87"/>
        <v>0</v>
      </c>
      <c r="AF80" s="19">
        <f t="shared" si="88"/>
        <v>0</v>
      </c>
      <c r="AG80" s="19">
        <f t="shared" si="89"/>
        <v>0</v>
      </c>
      <c r="AH80" s="19">
        <f t="shared" si="90"/>
        <v>0</v>
      </c>
      <c r="AI80" s="16" t="s">
        <v>56</v>
      </c>
      <c r="AJ80" s="19">
        <f t="shared" si="91"/>
        <v>0</v>
      </c>
      <c r="AK80" s="19">
        <f t="shared" si="92"/>
        <v>0</v>
      </c>
      <c r="AL80" s="19">
        <f t="shared" si="93"/>
        <v>0</v>
      </c>
      <c r="AN80" s="19">
        <v>12</v>
      </c>
      <c r="AO80" s="19">
        <f>H80*0.699411029</f>
        <v>0</v>
      </c>
      <c r="AP80" s="19">
        <f>H80*(1-0.699411029)</f>
        <v>0</v>
      </c>
      <c r="AQ80" s="87" t="s">
        <v>429</v>
      </c>
      <c r="AV80" s="19">
        <f t="shared" si="94"/>
        <v>0</v>
      </c>
      <c r="AW80" s="19">
        <f t="shared" si="95"/>
        <v>0</v>
      </c>
      <c r="AX80" s="19">
        <f t="shared" si="96"/>
        <v>0</v>
      </c>
      <c r="AY80" s="87" t="s">
        <v>430</v>
      </c>
      <c r="AZ80" s="87" t="s">
        <v>467</v>
      </c>
      <c r="BA80" s="16" t="s">
        <v>468</v>
      </c>
      <c r="BC80" s="19">
        <f t="shared" si="97"/>
        <v>0</v>
      </c>
      <c r="BD80" s="19">
        <f t="shared" si="98"/>
        <v>0</v>
      </c>
      <c r="BE80" s="19">
        <v>0</v>
      </c>
      <c r="BF80" s="19">
        <f t="shared" si="99"/>
        <v>5.28E-3</v>
      </c>
      <c r="BH80" s="19">
        <f t="shared" si="100"/>
        <v>0</v>
      </c>
      <c r="BI80" s="19">
        <f t="shared" si="101"/>
        <v>0</v>
      </c>
      <c r="BJ80" s="19">
        <f t="shared" si="102"/>
        <v>0</v>
      </c>
      <c r="BK80" s="19"/>
      <c r="BL80" s="19">
        <v>722</v>
      </c>
      <c r="BW80" s="19" t="str">
        <f t="shared" si="103"/>
        <v>12</v>
      </c>
      <c r="BX80" s="4" t="s">
        <v>86</v>
      </c>
    </row>
    <row r="81" spans="1:76" x14ac:dyDescent="0.25">
      <c r="A81" s="1" t="s">
        <v>488</v>
      </c>
      <c r="B81" s="2" t="s">
        <v>56</v>
      </c>
      <c r="C81" s="2" t="s">
        <v>87</v>
      </c>
      <c r="D81" s="108" t="s">
        <v>88</v>
      </c>
      <c r="E81" s="102"/>
      <c r="F81" s="2" t="s">
        <v>62</v>
      </c>
      <c r="G81" s="19">
        <f>'Rozpočet - vybrané sloupce'!J69</f>
        <v>48</v>
      </c>
      <c r="H81" s="19">
        <f>'Rozpočet - vybrané sloupce'!K69</f>
        <v>0</v>
      </c>
      <c r="I81" s="87" t="s">
        <v>427</v>
      </c>
      <c r="J81" s="19">
        <f t="shared" si="78"/>
        <v>0</v>
      </c>
      <c r="K81" s="19">
        <f t="shared" si="79"/>
        <v>0</v>
      </c>
      <c r="L81" s="19">
        <f t="shared" si="80"/>
        <v>0</v>
      </c>
      <c r="M81" s="19">
        <f t="shared" si="81"/>
        <v>0</v>
      </c>
      <c r="N81" s="19">
        <v>5.4900000000000001E-3</v>
      </c>
      <c r="O81" s="19">
        <f t="shared" si="82"/>
        <v>0.26351999999999998</v>
      </c>
      <c r="P81" s="88" t="s">
        <v>428</v>
      </c>
      <c r="Z81" s="19">
        <f t="shared" si="83"/>
        <v>0</v>
      </c>
      <c r="AB81" s="19">
        <f t="shared" si="84"/>
        <v>0</v>
      </c>
      <c r="AC81" s="19">
        <f t="shared" si="85"/>
        <v>0</v>
      </c>
      <c r="AD81" s="19">
        <f t="shared" si="86"/>
        <v>0</v>
      </c>
      <c r="AE81" s="19">
        <f t="shared" si="87"/>
        <v>0</v>
      </c>
      <c r="AF81" s="19">
        <f t="shared" si="88"/>
        <v>0</v>
      </c>
      <c r="AG81" s="19">
        <f t="shared" si="89"/>
        <v>0</v>
      </c>
      <c r="AH81" s="19">
        <f t="shared" si="90"/>
        <v>0</v>
      </c>
      <c r="AI81" s="16" t="s">
        <v>56</v>
      </c>
      <c r="AJ81" s="19">
        <f t="shared" si="91"/>
        <v>0</v>
      </c>
      <c r="AK81" s="19">
        <f t="shared" si="92"/>
        <v>0</v>
      </c>
      <c r="AL81" s="19">
        <f t="shared" si="93"/>
        <v>0</v>
      </c>
      <c r="AN81" s="19">
        <v>12</v>
      </c>
      <c r="AO81" s="19">
        <f>H81*0</f>
        <v>0</v>
      </c>
      <c r="AP81" s="19">
        <f>H81*(1-0)</f>
        <v>0</v>
      </c>
      <c r="AQ81" s="87" t="s">
        <v>429</v>
      </c>
      <c r="AV81" s="19">
        <f t="shared" si="94"/>
        <v>0</v>
      </c>
      <c r="AW81" s="19">
        <f t="shared" si="95"/>
        <v>0</v>
      </c>
      <c r="AX81" s="19">
        <f t="shared" si="96"/>
        <v>0</v>
      </c>
      <c r="AY81" s="87" t="s">
        <v>430</v>
      </c>
      <c r="AZ81" s="87" t="s">
        <v>467</v>
      </c>
      <c r="BA81" s="16" t="s">
        <v>468</v>
      </c>
      <c r="BC81" s="19">
        <f t="shared" si="97"/>
        <v>0</v>
      </c>
      <c r="BD81" s="19">
        <f t="shared" si="98"/>
        <v>0</v>
      </c>
      <c r="BE81" s="19">
        <v>0</v>
      </c>
      <c r="BF81" s="19">
        <f t="shared" si="99"/>
        <v>0.26351999999999998</v>
      </c>
      <c r="BH81" s="19">
        <f t="shared" si="100"/>
        <v>0</v>
      </c>
      <c r="BI81" s="19">
        <f t="shared" si="101"/>
        <v>0</v>
      </c>
      <c r="BJ81" s="19">
        <f t="shared" si="102"/>
        <v>0</v>
      </c>
      <c r="BK81" s="19"/>
      <c r="BL81" s="19">
        <v>722</v>
      </c>
      <c r="BW81" s="19" t="str">
        <f t="shared" si="103"/>
        <v>12</v>
      </c>
      <c r="BX81" s="4" t="s">
        <v>88</v>
      </c>
    </row>
    <row r="82" spans="1:76" x14ac:dyDescent="0.25">
      <c r="A82" s="1" t="s">
        <v>489</v>
      </c>
      <c r="B82" s="2" t="s">
        <v>56</v>
      </c>
      <c r="C82" s="2" t="s">
        <v>89</v>
      </c>
      <c r="D82" s="108" t="s">
        <v>90</v>
      </c>
      <c r="E82" s="102"/>
      <c r="F82" s="2" t="s">
        <v>62</v>
      </c>
      <c r="G82" s="19">
        <f>'Rozpočet - vybrané sloupce'!J70</f>
        <v>48</v>
      </c>
      <c r="H82" s="19">
        <f>'Rozpočet - vybrané sloupce'!K70</f>
        <v>0</v>
      </c>
      <c r="I82" s="87" t="s">
        <v>427</v>
      </c>
      <c r="J82" s="19">
        <f t="shared" si="78"/>
        <v>0</v>
      </c>
      <c r="K82" s="19">
        <f t="shared" si="79"/>
        <v>0</v>
      </c>
      <c r="L82" s="19">
        <f t="shared" si="80"/>
        <v>0</v>
      </c>
      <c r="M82" s="19">
        <f t="shared" si="81"/>
        <v>0</v>
      </c>
      <c r="N82" s="19">
        <v>2.0000000000000002E-5</v>
      </c>
      <c r="O82" s="19">
        <f t="shared" si="82"/>
        <v>9.6000000000000013E-4</v>
      </c>
      <c r="P82" s="88" t="s">
        <v>428</v>
      </c>
      <c r="Z82" s="19">
        <f t="shared" si="83"/>
        <v>0</v>
      </c>
      <c r="AB82" s="19">
        <f t="shared" si="84"/>
        <v>0</v>
      </c>
      <c r="AC82" s="19">
        <f t="shared" si="85"/>
        <v>0</v>
      </c>
      <c r="AD82" s="19">
        <f t="shared" si="86"/>
        <v>0</v>
      </c>
      <c r="AE82" s="19">
        <f t="shared" si="87"/>
        <v>0</v>
      </c>
      <c r="AF82" s="19">
        <f t="shared" si="88"/>
        <v>0</v>
      </c>
      <c r="AG82" s="19">
        <f t="shared" si="89"/>
        <v>0</v>
      </c>
      <c r="AH82" s="19">
        <f t="shared" si="90"/>
        <v>0</v>
      </c>
      <c r="AI82" s="16" t="s">
        <v>56</v>
      </c>
      <c r="AJ82" s="19">
        <f t="shared" si="91"/>
        <v>0</v>
      </c>
      <c r="AK82" s="19">
        <f t="shared" si="92"/>
        <v>0</v>
      </c>
      <c r="AL82" s="19">
        <f t="shared" si="93"/>
        <v>0</v>
      </c>
      <c r="AN82" s="19">
        <v>12</v>
      </c>
      <c r="AO82" s="19">
        <f>H82*0.034755206</f>
        <v>0</v>
      </c>
      <c r="AP82" s="19">
        <f>H82*(1-0.034755206)</f>
        <v>0</v>
      </c>
      <c r="AQ82" s="87" t="s">
        <v>429</v>
      </c>
      <c r="AV82" s="19">
        <f t="shared" si="94"/>
        <v>0</v>
      </c>
      <c r="AW82" s="19">
        <f t="shared" si="95"/>
        <v>0</v>
      </c>
      <c r="AX82" s="19">
        <f t="shared" si="96"/>
        <v>0</v>
      </c>
      <c r="AY82" s="87" t="s">
        <v>430</v>
      </c>
      <c r="AZ82" s="87" t="s">
        <v>467</v>
      </c>
      <c r="BA82" s="16" t="s">
        <v>468</v>
      </c>
      <c r="BC82" s="19">
        <f t="shared" si="97"/>
        <v>0</v>
      </c>
      <c r="BD82" s="19">
        <f t="shared" si="98"/>
        <v>0</v>
      </c>
      <c r="BE82" s="19">
        <v>0</v>
      </c>
      <c r="BF82" s="19">
        <f t="shared" si="99"/>
        <v>9.6000000000000013E-4</v>
      </c>
      <c r="BH82" s="19">
        <f t="shared" si="100"/>
        <v>0</v>
      </c>
      <c r="BI82" s="19">
        <f t="shared" si="101"/>
        <v>0</v>
      </c>
      <c r="BJ82" s="19">
        <f t="shared" si="102"/>
        <v>0</v>
      </c>
      <c r="BK82" s="19"/>
      <c r="BL82" s="19">
        <v>722</v>
      </c>
      <c r="BW82" s="19" t="str">
        <f t="shared" si="103"/>
        <v>12</v>
      </c>
      <c r="BX82" s="4" t="s">
        <v>90</v>
      </c>
    </row>
    <row r="83" spans="1:76" x14ac:dyDescent="0.25">
      <c r="A83" s="1" t="s">
        <v>490</v>
      </c>
      <c r="B83" s="2" t="s">
        <v>56</v>
      </c>
      <c r="C83" s="2" t="s">
        <v>91</v>
      </c>
      <c r="D83" s="108" t="s">
        <v>92</v>
      </c>
      <c r="E83" s="102"/>
      <c r="F83" s="2" t="s">
        <v>62</v>
      </c>
      <c r="G83" s="19">
        <f>'Rozpočet - vybrané sloupce'!J71</f>
        <v>48</v>
      </c>
      <c r="H83" s="19">
        <f>'Rozpočet - vybrané sloupce'!K71</f>
        <v>0</v>
      </c>
      <c r="I83" s="87" t="s">
        <v>427</v>
      </c>
      <c r="J83" s="19">
        <f t="shared" si="78"/>
        <v>0</v>
      </c>
      <c r="K83" s="19">
        <f t="shared" si="79"/>
        <v>0</v>
      </c>
      <c r="L83" s="19">
        <f t="shared" si="80"/>
        <v>0</v>
      </c>
      <c r="M83" s="19">
        <f t="shared" si="81"/>
        <v>0</v>
      </c>
      <c r="N83" s="19">
        <v>0</v>
      </c>
      <c r="O83" s="19">
        <f t="shared" si="82"/>
        <v>0</v>
      </c>
      <c r="P83" s="88" t="s">
        <v>428</v>
      </c>
      <c r="Z83" s="19">
        <f t="shared" si="83"/>
        <v>0</v>
      </c>
      <c r="AB83" s="19">
        <f t="shared" si="84"/>
        <v>0</v>
      </c>
      <c r="AC83" s="19">
        <f t="shared" si="85"/>
        <v>0</v>
      </c>
      <c r="AD83" s="19">
        <f t="shared" si="86"/>
        <v>0</v>
      </c>
      <c r="AE83" s="19">
        <f t="shared" si="87"/>
        <v>0</v>
      </c>
      <c r="AF83" s="19">
        <f t="shared" si="88"/>
        <v>0</v>
      </c>
      <c r="AG83" s="19">
        <f t="shared" si="89"/>
        <v>0</v>
      </c>
      <c r="AH83" s="19">
        <f t="shared" si="90"/>
        <v>0</v>
      </c>
      <c r="AI83" s="16" t="s">
        <v>56</v>
      </c>
      <c r="AJ83" s="19">
        <f t="shared" si="91"/>
        <v>0</v>
      </c>
      <c r="AK83" s="19">
        <f t="shared" si="92"/>
        <v>0</v>
      </c>
      <c r="AL83" s="19">
        <f t="shared" si="93"/>
        <v>0</v>
      </c>
      <c r="AN83" s="19">
        <v>12</v>
      </c>
      <c r="AO83" s="19">
        <f>H83*0.166666667</f>
        <v>0</v>
      </c>
      <c r="AP83" s="19">
        <f>H83*(1-0.166666667)</f>
        <v>0</v>
      </c>
      <c r="AQ83" s="87" t="s">
        <v>429</v>
      </c>
      <c r="AV83" s="19">
        <f t="shared" si="94"/>
        <v>0</v>
      </c>
      <c r="AW83" s="19">
        <f t="shared" si="95"/>
        <v>0</v>
      </c>
      <c r="AX83" s="19">
        <f t="shared" si="96"/>
        <v>0</v>
      </c>
      <c r="AY83" s="87" t="s">
        <v>430</v>
      </c>
      <c r="AZ83" s="87" t="s">
        <v>467</v>
      </c>
      <c r="BA83" s="16" t="s">
        <v>468</v>
      </c>
      <c r="BC83" s="19">
        <f t="shared" si="97"/>
        <v>0</v>
      </c>
      <c r="BD83" s="19">
        <f t="shared" si="98"/>
        <v>0</v>
      </c>
      <c r="BE83" s="19">
        <v>0</v>
      </c>
      <c r="BF83" s="19">
        <f t="shared" si="99"/>
        <v>0</v>
      </c>
      <c r="BH83" s="19">
        <f t="shared" si="100"/>
        <v>0</v>
      </c>
      <c r="BI83" s="19">
        <f t="shared" si="101"/>
        <v>0</v>
      </c>
      <c r="BJ83" s="19">
        <f t="shared" si="102"/>
        <v>0</v>
      </c>
      <c r="BK83" s="19"/>
      <c r="BL83" s="19">
        <v>722</v>
      </c>
      <c r="BW83" s="19" t="str">
        <f t="shared" si="103"/>
        <v>12</v>
      </c>
      <c r="BX83" s="4" t="s">
        <v>92</v>
      </c>
    </row>
    <row r="84" spans="1:76" x14ac:dyDescent="0.25">
      <c r="A84" s="1" t="s">
        <v>491</v>
      </c>
      <c r="B84" s="2" t="s">
        <v>56</v>
      </c>
      <c r="C84" s="2" t="s">
        <v>45</v>
      </c>
      <c r="D84" s="108" t="s">
        <v>46</v>
      </c>
      <c r="E84" s="102"/>
      <c r="F84" s="2" t="s">
        <v>31</v>
      </c>
      <c r="G84" s="19">
        <f>'Rozpočet - vybrané sloupce'!J72</f>
        <v>194</v>
      </c>
      <c r="H84" s="19">
        <f>'Rozpočet - vybrané sloupce'!K72</f>
        <v>0</v>
      </c>
      <c r="I84" s="87" t="s">
        <v>427</v>
      </c>
      <c r="J84" s="19">
        <f t="shared" si="78"/>
        <v>0</v>
      </c>
      <c r="K84" s="19">
        <f t="shared" si="79"/>
        <v>0</v>
      </c>
      <c r="L84" s="19">
        <f t="shared" si="80"/>
        <v>0</v>
      </c>
      <c r="M84" s="19">
        <f t="shared" si="81"/>
        <v>0</v>
      </c>
      <c r="N84" s="19">
        <v>0</v>
      </c>
      <c r="O84" s="19">
        <f t="shared" si="82"/>
        <v>0</v>
      </c>
      <c r="P84" s="88" t="s">
        <v>428</v>
      </c>
      <c r="Z84" s="19">
        <f t="shared" si="83"/>
        <v>0</v>
      </c>
      <c r="AB84" s="19">
        <f t="shared" si="84"/>
        <v>0</v>
      </c>
      <c r="AC84" s="19">
        <f t="shared" si="85"/>
        <v>0</v>
      </c>
      <c r="AD84" s="19">
        <f t="shared" si="86"/>
        <v>0</v>
      </c>
      <c r="AE84" s="19">
        <f t="shared" si="87"/>
        <v>0</v>
      </c>
      <c r="AF84" s="19">
        <f t="shared" si="88"/>
        <v>0</v>
      </c>
      <c r="AG84" s="19">
        <f t="shared" si="89"/>
        <v>0</v>
      </c>
      <c r="AH84" s="19">
        <f t="shared" si="90"/>
        <v>0</v>
      </c>
      <c r="AI84" s="16" t="s">
        <v>56</v>
      </c>
      <c r="AJ84" s="19">
        <f t="shared" si="91"/>
        <v>0</v>
      </c>
      <c r="AK84" s="19">
        <f t="shared" si="92"/>
        <v>0</v>
      </c>
      <c r="AL84" s="19">
        <f t="shared" si="93"/>
        <v>0</v>
      </c>
      <c r="AN84" s="19">
        <v>12</v>
      </c>
      <c r="AO84" s="19">
        <f>H84*0.014891906</f>
        <v>0</v>
      </c>
      <c r="AP84" s="19">
        <f>H84*(1-0.014891906)</f>
        <v>0</v>
      </c>
      <c r="AQ84" s="87" t="s">
        <v>429</v>
      </c>
      <c r="AV84" s="19">
        <f t="shared" si="94"/>
        <v>0</v>
      </c>
      <c r="AW84" s="19">
        <f t="shared" si="95"/>
        <v>0</v>
      </c>
      <c r="AX84" s="19">
        <f t="shared" si="96"/>
        <v>0</v>
      </c>
      <c r="AY84" s="87" t="s">
        <v>430</v>
      </c>
      <c r="AZ84" s="87" t="s">
        <v>467</v>
      </c>
      <c r="BA84" s="16" t="s">
        <v>468</v>
      </c>
      <c r="BC84" s="19">
        <f t="shared" si="97"/>
        <v>0</v>
      </c>
      <c r="BD84" s="19">
        <f t="shared" si="98"/>
        <v>0</v>
      </c>
      <c r="BE84" s="19">
        <v>0</v>
      </c>
      <c r="BF84" s="19">
        <f t="shared" si="99"/>
        <v>0</v>
      </c>
      <c r="BH84" s="19">
        <f t="shared" si="100"/>
        <v>0</v>
      </c>
      <c r="BI84" s="19">
        <f t="shared" si="101"/>
        <v>0</v>
      </c>
      <c r="BJ84" s="19">
        <f t="shared" si="102"/>
        <v>0</v>
      </c>
      <c r="BK84" s="19"/>
      <c r="BL84" s="19">
        <v>722</v>
      </c>
      <c r="BW84" s="19" t="str">
        <f t="shared" si="103"/>
        <v>12</v>
      </c>
      <c r="BX84" s="4" t="s">
        <v>46</v>
      </c>
    </row>
    <row r="85" spans="1:76" x14ac:dyDescent="0.25">
      <c r="A85" s="1" t="s">
        <v>492</v>
      </c>
      <c r="B85" s="2" t="s">
        <v>56</v>
      </c>
      <c r="C85" s="2" t="s">
        <v>47</v>
      </c>
      <c r="D85" s="108" t="s">
        <v>48</v>
      </c>
      <c r="E85" s="102"/>
      <c r="F85" s="2" t="s">
        <v>31</v>
      </c>
      <c r="G85" s="19">
        <f>'Rozpočet - vybrané sloupce'!J73</f>
        <v>72</v>
      </c>
      <c r="H85" s="19">
        <f>'Rozpočet - vybrané sloupce'!K73</f>
        <v>0</v>
      </c>
      <c r="I85" s="87" t="s">
        <v>427</v>
      </c>
      <c r="J85" s="19">
        <f t="shared" si="78"/>
        <v>0</v>
      </c>
      <c r="K85" s="19">
        <f t="shared" si="79"/>
        <v>0</v>
      </c>
      <c r="L85" s="19">
        <f t="shared" si="80"/>
        <v>0</v>
      </c>
      <c r="M85" s="19">
        <f t="shared" si="81"/>
        <v>0</v>
      </c>
      <c r="N85" s="19">
        <v>0</v>
      </c>
      <c r="O85" s="19">
        <f t="shared" si="82"/>
        <v>0</v>
      </c>
      <c r="P85" s="88" t="s">
        <v>428</v>
      </c>
      <c r="Z85" s="19">
        <f t="shared" si="83"/>
        <v>0</v>
      </c>
      <c r="AB85" s="19">
        <f t="shared" si="84"/>
        <v>0</v>
      </c>
      <c r="AC85" s="19">
        <f t="shared" si="85"/>
        <v>0</v>
      </c>
      <c r="AD85" s="19">
        <f t="shared" si="86"/>
        <v>0</v>
      </c>
      <c r="AE85" s="19">
        <f t="shared" si="87"/>
        <v>0</v>
      </c>
      <c r="AF85" s="19">
        <f t="shared" si="88"/>
        <v>0</v>
      </c>
      <c r="AG85" s="19">
        <f t="shared" si="89"/>
        <v>0</v>
      </c>
      <c r="AH85" s="19">
        <f t="shared" si="90"/>
        <v>0</v>
      </c>
      <c r="AI85" s="16" t="s">
        <v>56</v>
      </c>
      <c r="AJ85" s="19">
        <f t="shared" si="91"/>
        <v>0</v>
      </c>
      <c r="AK85" s="19">
        <f t="shared" si="92"/>
        <v>0</v>
      </c>
      <c r="AL85" s="19">
        <f t="shared" si="93"/>
        <v>0</v>
      </c>
      <c r="AN85" s="19">
        <v>12</v>
      </c>
      <c r="AO85" s="19">
        <f>H85*0.016921659</f>
        <v>0</v>
      </c>
      <c r="AP85" s="19">
        <f>H85*(1-0.016921659)</f>
        <v>0</v>
      </c>
      <c r="AQ85" s="87" t="s">
        <v>429</v>
      </c>
      <c r="AV85" s="19">
        <f t="shared" si="94"/>
        <v>0</v>
      </c>
      <c r="AW85" s="19">
        <f t="shared" si="95"/>
        <v>0</v>
      </c>
      <c r="AX85" s="19">
        <f t="shared" si="96"/>
        <v>0</v>
      </c>
      <c r="AY85" s="87" t="s">
        <v>430</v>
      </c>
      <c r="AZ85" s="87" t="s">
        <v>467</v>
      </c>
      <c r="BA85" s="16" t="s">
        <v>468</v>
      </c>
      <c r="BC85" s="19">
        <f t="shared" si="97"/>
        <v>0</v>
      </c>
      <c r="BD85" s="19">
        <f t="shared" si="98"/>
        <v>0</v>
      </c>
      <c r="BE85" s="19">
        <v>0</v>
      </c>
      <c r="BF85" s="19">
        <f t="shared" si="99"/>
        <v>0</v>
      </c>
      <c r="BH85" s="19">
        <f t="shared" si="100"/>
        <v>0</v>
      </c>
      <c r="BI85" s="19">
        <f t="shared" si="101"/>
        <v>0</v>
      </c>
      <c r="BJ85" s="19">
        <f t="shared" si="102"/>
        <v>0</v>
      </c>
      <c r="BK85" s="19"/>
      <c r="BL85" s="19">
        <v>722</v>
      </c>
      <c r="BW85" s="19" t="str">
        <f t="shared" si="103"/>
        <v>12</v>
      </c>
      <c r="BX85" s="4" t="s">
        <v>48</v>
      </c>
    </row>
    <row r="86" spans="1:76" x14ac:dyDescent="0.25">
      <c r="A86" s="1" t="s">
        <v>493</v>
      </c>
      <c r="B86" s="2" t="s">
        <v>56</v>
      </c>
      <c r="C86" s="2" t="s">
        <v>93</v>
      </c>
      <c r="D86" s="108" t="s">
        <v>94</v>
      </c>
      <c r="E86" s="102"/>
      <c r="F86" s="2" t="s">
        <v>95</v>
      </c>
      <c r="G86" s="19">
        <f>'Rozpočet - vybrané sloupce'!J74</f>
        <v>0.2</v>
      </c>
      <c r="H86" s="19">
        <f>'Rozpočet - vybrané sloupce'!K74</f>
        <v>0</v>
      </c>
      <c r="I86" s="87" t="s">
        <v>427</v>
      </c>
      <c r="J86" s="19">
        <f t="shared" si="78"/>
        <v>0</v>
      </c>
      <c r="K86" s="19">
        <f t="shared" si="79"/>
        <v>0</v>
      </c>
      <c r="L86" s="19">
        <f t="shared" si="80"/>
        <v>0</v>
      </c>
      <c r="M86" s="19">
        <f t="shared" si="81"/>
        <v>0</v>
      </c>
      <c r="N86" s="19">
        <v>0</v>
      </c>
      <c r="O86" s="19">
        <f t="shared" si="82"/>
        <v>0</v>
      </c>
      <c r="P86" s="88" t="s">
        <v>428</v>
      </c>
      <c r="Z86" s="19">
        <f t="shared" si="83"/>
        <v>0</v>
      </c>
      <c r="AB86" s="19">
        <f t="shared" si="84"/>
        <v>0</v>
      </c>
      <c r="AC86" s="19">
        <f t="shared" si="85"/>
        <v>0</v>
      </c>
      <c r="AD86" s="19">
        <f t="shared" si="86"/>
        <v>0</v>
      </c>
      <c r="AE86" s="19">
        <f t="shared" si="87"/>
        <v>0</v>
      </c>
      <c r="AF86" s="19">
        <f t="shared" si="88"/>
        <v>0</v>
      </c>
      <c r="AG86" s="19">
        <f t="shared" si="89"/>
        <v>0</v>
      </c>
      <c r="AH86" s="19">
        <f t="shared" si="90"/>
        <v>0</v>
      </c>
      <c r="AI86" s="16" t="s">
        <v>56</v>
      </c>
      <c r="AJ86" s="19">
        <f t="shared" si="91"/>
        <v>0</v>
      </c>
      <c r="AK86" s="19">
        <f t="shared" si="92"/>
        <v>0</v>
      </c>
      <c r="AL86" s="19">
        <f t="shared" si="93"/>
        <v>0</v>
      </c>
      <c r="AN86" s="19">
        <v>12</v>
      </c>
      <c r="AO86" s="19">
        <f>H86*0</f>
        <v>0</v>
      </c>
      <c r="AP86" s="19">
        <f>H86*(1-0)</f>
        <v>0</v>
      </c>
      <c r="AQ86" s="87" t="s">
        <v>429</v>
      </c>
      <c r="AV86" s="19">
        <f t="shared" si="94"/>
        <v>0</v>
      </c>
      <c r="AW86" s="19">
        <f t="shared" si="95"/>
        <v>0</v>
      </c>
      <c r="AX86" s="19">
        <f t="shared" si="96"/>
        <v>0</v>
      </c>
      <c r="AY86" s="87" t="s">
        <v>430</v>
      </c>
      <c r="AZ86" s="87" t="s">
        <v>467</v>
      </c>
      <c r="BA86" s="16" t="s">
        <v>468</v>
      </c>
      <c r="BC86" s="19">
        <f t="shared" si="97"/>
        <v>0</v>
      </c>
      <c r="BD86" s="19">
        <f t="shared" si="98"/>
        <v>0</v>
      </c>
      <c r="BE86" s="19">
        <v>0</v>
      </c>
      <c r="BF86" s="19">
        <f t="shared" si="99"/>
        <v>0</v>
      </c>
      <c r="BH86" s="19">
        <f t="shared" si="100"/>
        <v>0</v>
      </c>
      <c r="BI86" s="19">
        <f t="shared" si="101"/>
        <v>0</v>
      </c>
      <c r="BJ86" s="19">
        <f t="shared" si="102"/>
        <v>0</v>
      </c>
      <c r="BK86" s="19"/>
      <c r="BL86" s="19">
        <v>722</v>
      </c>
      <c r="BW86" s="19" t="str">
        <f t="shared" si="103"/>
        <v>12</v>
      </c>
      <c r="BX86" s="4" t="s">
        <v>94</v>
      </c>
    </row>
    <row r="87" spans="1:76" x14ac:dyDescent="0.25">
      <c r="A87" s="89"/>
      <c r="C87" s="90" t="s">
        <v>437</v>
      </c>
      <c r="D87" s="187" t="s">
        <v>494</v>
      </c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9"/>
      <c r="BX87" s="91" t="s">
        <v>494</v>
      </c>
    </row>
    <row r="88" spans="1:76" x14ac:dyDescent="0.25">
      <c r="A88" s="1" t="s">
        <v>495</v>
      </c>
      <c r="B88" s="2" t="s">
        <v>56</v>
      </c>
      <c r="C88" s="2" t="s">
        <v>49</v>
      </c>
      <c r="D88" s="108" t="s">
        <v>50</v>
      </c>
      <c r="E88" s="102"/>
      <c r="F88" s="2" t="s">
        <v>51</v>
      </c>
      <c r="G88" s="19">
        <f>'Rozpočet - vybrané sloupce'!J75</f>
        <v>2715</v>
      </c>
      <c r="H88" s="19">
        <f>'Rozpočet - vybrané sloupce'!K75</f>
        <v>0</v>
      </c>
      <c r="I88" s="87" t="s">
        <v>427</v>
      </c>
      <c r="J88" s="19">
        <f>G88*AO88</f>
        <v>0</v>
      </c>
      <c r="K88" s="19">
        <f>G88*AP88</f>
        <v>0</v>
      </c>
      <c r="L88" s="19">
        <f>G88*H88</f>
        <v>0</v>
      </c>
      <c r="M88" s="19">
        <f>L88*(1+BW88/100)</f>
        <v>0</v>
      </c>
      <c r="N88" s="19">
        <v>0</v>
      </c>
      <c r="O88" s="19">
        <f>G88*N88</f>
        <v>0</v>
      </c>
      <c r="P88" s="88" t="s">
        <v>428</v>
      </c>
      <c r="Z88" s="19">
        <f>IF(AQ88="5",BJ88,0)</f>
        <v>0</v>
      </c>
      <c r="AB88" s="19">
        <f>IF(AQ88="1",BH88,0)</f>
        <v>0</v>
      </c>
      <c r="AC88" s="19">
        <f>IF(AQ88="1",BI88,0)</f>
        <v>0</v>
      </c>
      <c r="AD88" s="19">
        <f>IF(AQ88="7",BH88,0)</f>
        <v>0</v>
      </c>
      <c r="AE88" s="19">
        <f>IF(AQ88="7",BI88,0)</f>
        <v>0</v>
      </c>
      <c r="AF88" s="19">
        <f>IF(AQ88="2",BH88,0)</f>
        <v>0</v>
      </c>
      <c r="AG88" s="19">
        <f>IF(AQ88="2",BI88,0)</f>
        <v>0</v>
      </c>
      <c r="AH88" s="19">
        <f>IF(AQ88="0",BJ88,0)</f>
        <v>0</v>
      </c>
      <c r="AI88" s="16" t="s">
        <v>56</v>
      </c>
      <c r="AJ88" s="19">
        <f>IF(AN88=0,L88,0)</f>
        <v>0</v>
      </c>
      <c r="AK88" s="19">
        <f>IF(AN88=12,L88,0)</f>
        <v>0</v>
      </c>
      <c r="AL88" s="19">
        <f>IF(AN88=21,L88,0)</f>
        <v>0</v>
      </c>
      <c r="AN88" s="19">
        <v>12</v>
      </c>
      <c r="AO88" s="19">
        <f>H88*0</f>
        <v>0</v>
      </c>
      <c r="AP88" s="19">
        <f>H88*(1-0)</f>
        <v>0</v>
      </c>
      <c r="AQ88" s="87" t="s">
        <v>436</v>
      </c>
      <c r="AV88" s="19">
        <f>AW88+AX88</f>
        <v>0</v>
      </c>
      <c r="AW88" s="19">
        <f>G88*AO88</f>
        <v>0</v>
      </c>
      <c r="AX88" s="19">
        <f>G88*AP88</f>
        <v>0</v>
      </c>
      <c r="AY88" s="87" t="s">
        <v>430</v>
      </c>
      <c r="AZ88" s="87" t="s">
        <v>467</v>
      </c>
      <c r="BA88" s="16" t="s">
        <v>468</v>
      </c>
      <c r="BC88" s="19">
        <f>AW88+AX88</f>
        <v>0</v>
      </c>
      <c r="BD88" s="19">
        <f>H88/(100-BE88)*100</f>
        <v>0</v>
      </c>
      <c r="BE88" s="19">
        <v>0</v>
      </c>
      <c r="BF88" s="19">
        <f>O88</f>
        <v>0</v>
      </c>
      <c r="BH88" s="19">
        <f>G88*AO88</f>
        <v>0</v>
      </c>
      <c r="BI88" s="19">
        <f>G88*AP88</f>
        <v>0</v>
      </c>
      <c r="BJ88" s="19">
        <f>G88*H88</f>
        <v>0</v>
      </c>
      <c r="BK88" s="19"/>
      <c r="BL88" s="19">
        <v>722</v>
      </c>
      <c r="BW88" s="19" t="str">
        <f>I88</f>
        <v>12</v>
      </c>
      <c r="BX88" s="4" t="s">
        <v>50</v>
      </c>
    </row>
    <row r="89" spans="1:76" x14ac:dyDescent="0.25">
      <c r="A89" s="84" t="s">
        <v>25</v>
      </c>
      <c r="B89" s="15" t="s">
        <v>56</v>
      </c>
      <c r="C89" s="15" t="s">
        <v>96</v>
      </c>
      <c r="D89" s="115" t="s">
        <v>97</v>
      </c>
      <c r="E89" s="116"/>
      <c r="F89" s="85" t="s">
        <v>23</v>
      </c>
      <c r="G89" s="85" t="s">
        <v>23</v>
      </c>
      <c r="H89" s="85" t="s">
        <v>23</v>
      </c>
      <c r="I89" s="85" t="s">
        <v>23</v>
      </c>
      <c r="J89" s="60">
        <f>SUM(J90:J92)</f>
        <v>0</v>
      </c>
      <c r="K89" s="60">
        <f>SUM(K90:K92)</f>
        <v>0</v>
      </c>
      <c r="L89" s="60">
        <f>SUM(L90:L92)</f>
        <v>0</v>
      </c>
      <c r="M89" s="60">
        <f>SUM(M90:M92)</f>
        <v>0</v>
      </c>
      <c r="N89" s="16" t="s">
        <v>25</v>
      </c>
      <c r="O89" s="60">
        <f>SUM(O90:O92)</f>
        <v>0.50856000000000001</v>
      </c>
      <c r="P89" s="86" t="s">
        <v>25</v>
      </c>
      <c r="AI89" s="16" t="s">
        <v>56</v>
      </c>
      <c r="AS89" s="60">
        <f>SUM(AJ90:AJ92)</f>
        <v>0</v>
      </c>
      <c r="AT89" s="60">
        <f>SUM(AK90:AK92)</f>
        <v>0</v>
      </c>
      <c r="AU89" s="60">
        <f>SUM(AL90:AL92)</f>
        <v>0</v>
      </c>
    </row>
    <row r="90" spans="1:76" x14ac:dyDescent="0.25">
      <c r="A90" s="1" t="s">
        <v>496</v>
      </c>
      <c r="B90" s="2" t="s">
        <v>56</v>
      </c>
      <c r="C90" s="2" t="s">
        <v>98</v>
      </c>
      <c r="D90" s="108" t="s">
        <v>99</v>
      </c>
      <c r="E90" s="102"/>
      <c r="F90" s="2" t="s">
        <v>100</v>
      </c>
      <c r="G90" s="19">
        <f>'Rozpočet - vybrané sloupce'!J77</f>
        <v>24</v>
      </c>
      <c r="H90" s="19">
        <f>'Rozpočet - vybrané sloupce'!K77</f>
        <v>0</v>
      </c>
      <c r="I90" s="87" t="s">
        <v>427</v>
      </c>
      <c r="J90" s="19">
        <f>G90*AO90</f>
        <v>0</v>
      </c>
      <c r="K90" s="19">
        <f>G90*AP90</f>
        <v>0</v>
      </c>
      <c r="L90" s="19">
        <f>G90*H90</f>
        <v>0</v>
      </c>
      <c r="M90" s="19">
        <f>L90*(1+BW90/100)</f>
        <v>0</v>
      </c>
      <c r="N90" s="19">
        <v>1.933E-2</v>
      </c>
      <c r="O90" s="19">
        <f>G90*N90</f>
        <v>0.46392</v>
      </c>
      <c r="P90" s="88" t="s">
        <v>428</v>
      </c>
      <c r="Z90" s="19">
        <f>IF(AQ90="5",BJ90,0)</f>
        <v>0</v>
      </c>
      <c r="AB90" s="19">
        <f>IF(AQ90="1",BH90,0)</f>
        <v>0</v>
      </c>
      <c r="AC90" s="19">
        <f>IF(AQ90="1",BI90,0)</f>
        <v>0</v>
      </c>
      <c r="AD90" s="19">
        <f>IF(AQ90="7",BH90,0)</f>
        <v>0</v>
      </c>
      <c r="AE90" s="19">
        <f>IF(AQ90="7",BI90,0)</f>
        <v>0</v>
      </c>
      <c r="AF90" s="19">
        <f>IF(AQ90="2",BH90,0)</f>
        <v>0</v>
      </c>
      <c r="AG90" s="19">
        <f>IF(AQ90="2",BI90,0)</f>
        <v>0</v>
      </c>
      <c r="AH90" s="19">
        <f>IF(AQ90="0",BJ90,0)</f>
        <v>0</v>
      </c>
      <c r="AI90" s="16" t="s">
        <v>56</v>
      </c>
      <c r="AJ90" s="19">
        <f>IF(AN90=0,L90,0)</f>
        <v>0</v>
      </c>
      <c r="AK90" s="19">
        <f>IF(AN90=12,L90,0)</f>
        <v>0</v>
      </c>
      <c r="AL90" s="19">
        <f>IF(AN90=21,L90,0)</f>
        <v>0</v>
      </c>
      <c r="AN90" s="19">
        <v>12</v>
      </c>
      <c r="AO90" s="19">
        <f>H90*0</f>
        <v>0</v>
      </c>
      <c r="AP90" s="19">
        <f>H90*(1-0)</f>
        <v>0</v>
      </c>
      <c r="AQ90" s="87" t="s">
        <v>429</v>
      </c>
      <c r="AV90" s="19">
        <f>AW90+AX90</f>
        <v>0</v>
      </c>
      <c r="AW90" s="19">
        <f>G90*AO90</f>
        <v>0</v>
      </c>
      <c r="AX90" s="19">
        <f>G90*AP90</f>
        <v>0</v>
      </c>
      <c r="AY90" s="87" t="s">
        <v>497</v>
      </c>
      <c r="AZ90" s="87" t="s">
        <v>467</v>
      </c>
      <c r="BA90" s="16" t="s">
        <v>468</v>
      </c>
      <c r="BC90" s="19">
        <f>AW90+AX90</f>
        <v>0</v>
      </c>
      <c r="BD90" s="19">
        <f>H90/(100-BE90)*100</f>
        <v>0</v>
      </c>
      <c r="BE90" s="19">
        <v>0</v>
      </c>
      <c r="BF90" s="19">
        <f>O90</f>
        <v>0.46392</v>
      </c>
      <c r="BH90" s="19">
        <f>G90*AO90</f>
        <v>0</v>
      </c>
      <c r="BI90" s="19">
        <f>G90*AP90</f>
        <v>0</v>
      </c>
      <c r="BJ90" s="19">
        <f>G90*H90</f>
        <v>0</v>
      </c>
      <c r="BK90" s="19"/>
      <c r="BL90" s="19">
        <v>725</v>
      </c>
      <c r="BW90" s="19" t="str">
        <f>I90</f>
        <v>12</v>
      </c>
      <c r="BX90" s="4" t="s">
        <v>99</v>
      </c>
    </row>
    <row r="91" spans="1:76" x14ac:dyDescent="0.25">
      <c r="A91" s="1" t="s">
        <v>498</v>
      </c>
      <c r="B91" s="2" t="s">
        <v>56</v>
      </c>
      <c r="C91" s="2" t="s">
        <v>101</v>
      </c>
      <c r="D91" s="108" t="s">
        <v>102</v>
      </c>
      <c r="E91" s="102"/>
      <c r="F91" s="2" t="s">
        <v>100</v>
      </c>
      <c r="G91" s="19">
        <f>'Rozpočet - vybrané sloupce'!J78</f>
        <v>24</v>
      </c>
      <c r="H91" s="19">
        <f>'Rozpočet - vybrané sloupce'!K78</f>
        <v>0</v>
      </c>
      <c r="I91" s="87" t="s">
        <v>427</v>
      </c>
      <c r="J91" s="19">
        <f>G91*AO91</f>
        <v>0</v>
      </c>
      <c r="K91" s="19">
        <f>G91*AP91</f>
        <v>0</v>
      </c>
      <c r="L91" s="19">
        <f>G91*H91</f>
        <v>0</v>
      </c>
      <c r="M91" s="19">
        <f>L91*(1+BW91/100)</f>
        <v>0</v>
      </c>
      <c r="N91" s="19">
        <v>1.8600000000000001E-3</v>
      </c>
      <c r="O91" s="19">
        <f>G91*N91</f>
        <v>4.4639999999999999E-2</v>
      </c>
      <c r="P91" s="88" t="s">
        <v>428</v>
      </c>
      <c r="Z91" s="19">
        <f>IF(AQ91="5",BJ91,0)</f>
        <v>0</v>
      </c>
      <c r="AB91" s="19">
        <f>IF(AQ91="1",BH91,0)</f>
        <v>0</v>
      </c>
      <c r="AC91" s="19">
        <f>IF(AQ91="1",BI91,0)</f>
        <v>0</v>
      </c>
      <c r="AD91" s="19">
        <f>IF(AQ91="7",BH91,0)</f>
        <v>0</v>
      </c>
      <c r="AE91" s="19">
        <f>IF(AQ91="7",BI91,0)</f>
        <v>0</v>
      </c>
      <c r="AF91" s="19">
        <f>IF(AQ91="2",BH91,0)</f>
        <v>0</v>
      </c>
      <c r="AG91" s="19">
        <f>IF(AQ91="2",BI91,0)</f>
        <v>0</v>
      </c>
      <c r="AH91" s="19">
        <f>IF(AQ91="0",BJ91,0)</f>
        <v>0</v>
      </c>
      <c r="AI91" s="16" t="s">
        <v>56</v>
      </c>
      <c r="AJ91" s="19">
        <f>IF(AN91=0,L91,0)</f>
        <v>0</v>
      </c>
      <c r="AK91" s="19">
        <f>IF(AN91=12,L91,0)</f>
        <v>0</v>
      </c>
      <c r="AL91" s="19">
        <f>IF(AN91=21,L91,0)</f>
        <v>0</v>
      </c>
      <c r="AN91" s="19">
        <v>12</v>
      </c>
      <c r="AO91" s="19">
        <f>H91*0.443488504</f>
        <v>0</v>
      </c>
      <c r="AP91" s="19">
        <f>H91*(1-0.443488504)</f>
        <v>0</v>
      </c>
      <c r="AQ91" s="87" t="s">
        <v>429</v>
      </c>
      <c r="AV91" s="19">
        <f>AW91+AX91</f>
        <v>0</v>
      </c>
      <c r="AW91" s="19">
        <f>G91*AO91</f>
        <v>0</v>
      </c>
      <c r="AX91" s="19">
        <f>G91*AP91</f>
        <v>0</v>
      </c>
      <c r="AY91" s="87" t="s">
        <v>497</v>
      </c>
      <c r="AZ91" s="87" t="s">
        <v>467</v>
      </c>
      <c r="BA91" s="16" t="s">
        <v>468</v>
      </c>
      <c r="BC91" s="19">
        <f>AW91+AX91</f>
        <v>0</v>
      </c>
      <c r="BD91" s="19">
        <f>H91/(100-BE91)*100</f>
        <v>0</v>
      </c>
      <c r="BE91" s="19">
        <v>0</v>
      </c>
      <c r="BF91" s="19">
        <f>O91</f>
        <v>4.4639999999999999E-2</v>
      </c>
      <c r="BH91" s="19">
        <f>G91*AO91</f>
        <v>0</v>
      </c>
      <c r="BI91" s="19">
        <f>G91*AP91</f>
        <v>0</v>
      </c>
      <c r="BJ91" s="19">
        <f>G91*H91</f>
        <v>0</v>
      </c>
      <c r="BK91" s="19"/>
      <c r="BL91" s="19">
        <v>725</v>
      </c>
      <c r="BW91" s="19" t="str">
        <f>I91</f>
        <v>12</v>
      </c>
      <c r="BX91" s="4" t="s">
        <v>102</v>
      </c>
    </row>
    <row r="92" spans="1:76" x14ac:dyDescent="0.25">
      <c r="A92" s="1" t="s">
        <v>499</v>
      </c>
      <c r="B92" s="2" t="s">
        <v>56</v>
      </c>
      <c r="C92" s="2" t="s">
        <v>103</v>
      </c>
      <c r="D92" s="108" t="s">
        <v>104</v>
      </c>
      <c r="E92" s="102"/>
      <c r="F92" s="2" t="s">
        <v>51</v>
      </c>
      <c r="G92" s="19">
        <f>'Rozpočet - vybrané sloupce'!J79</f>
        <v>420</v>
      </c>
      <c r="H92" s="19">
        <f>'Rozpočet - vybrané sloupce'!K79</f>
        <v>0</v>
      </c>
      <c r="I92" s="87" t="s">
        <v>427</v>
      </c>
      <c r="J92" s="19">
        <f>G92*AO92</f>
        <v>0</v>
      </c>
      <c r="K92" s="19">
        <f>G92*AP92</f>
        <v>0</v>
      </c>
      <c r="L92" s="19">
        <f>G92*H92</f>
        <v>0</v>
      </c>
      <c r="M92" s="19">
        <f>L92*(1+BW92/100)</f>
        <v>0</v>
      </c>
      <c r="N92" s="19">
        <v>0</v>
      </c>
      <c r="O92" s="19">
        <f>G92*N92</f>
        <v>0</v>
      </c>
      <c r="P92" s="88" t="s">
        <v>428</v>
      </c>
      <c r="Z92" s="19">
        <f>IF(AQ92="5",BJ92,0)</f>
        <v>0</v>
      </c>
      <c r="AB92" s="19">
        <f>IF(AQ92="1",BH92,0)</f>
        <v>0</v>
      </c>
      <c r="AC92" s="19">
        <f>IF(AQ92="1",BI92,0)</f>
        <v>0</v>
      </c>
      <c r="AD92" s="19">
        <f>IF(AQ92="7",BH92,0)</f>
        <v>0</v>
      </c>
      <c r="AE92" s="19">
        <f>IF(AQ92="7",BI92,0)</f>
        <v>0</v>
      </c>
      <c r="AF92" s="19">
        <f>IF(AQ92="2",BH92,0)</f>
        <v>0</v>
      </c>
      <c r="AG92" s="19">
        <f>IF(AQ92="2",BI92,0)</f>
        <v>0</v>
      </c>
      <c r="AH92" s="19">
        <f>IF(AQ92="0",BJ92,0)</f>
        <v>0</v>
      </c>
      <c r="AI92" s="16" t="s">
        <v>56</v>
      </c>
      <c r="AJ92" s="19">
        <f>IF(AN92=0,L92,0)</f>
        <v>0</v>
      </c>
      <c r="AK92" s="19">
        <f>IF(AN92=12,L92,0)</f>
        <v>0</v>
      </c>
      <c r="AL92" s="19">
        <f>IF(AN92=21,L92,0)</f>
        <v>0</v>
      </c>
      <c r="AN92" s="19">
        <v>12</v>
      </c>
      <c r="AO92" s="19">
        <f>H92*0</f>
        <v>0</v>
      </c>
      <c r="AP92" s="19">
        <f>H92*(1-0)</f>
        <v>0</v>
      </c>
      <c r="AQ92" s="87" t="s">
        <v>436</v>
      </c>
      <c r="AV92" s="19">
        <f>AW92+AX92</f>
        <v>0</v>
      </c>
      <c r="AW92" s="19">
        <f>G92*AO92</f>
        <v>0</v>
      </c>
      <c r="AX92" s="19">
        <f>G92*AP92</f>
        <v>0</v>
      </c>
      <c r="AY92" s="87" t="s">
        <v>497</v>
      </c>
      <c r="AZ92" s="87" t="s">
        <v>467</v>
      </c>
      <c r="BA92" s="16" t="s">
        <v>468</v>
      </c>
      <c r="BC92" s="19">
        <f>AW92+AX92</f>
        <v>0</v>
      </c>
      <c r="BD92" s="19">
        <f>H92/(100-BE92)*100</f>
        <v>0</v>
      </c>
      <c r="BE92" s="19">
        <v>0</v>
      </c>
      <c r="BF92" s="19">
        <f>O92</f>
        <v>0</v>
      </c>
      <c r="BH92" s="19">
        <f>G92*AO92</f>
        <v>0</v>
      </c>
      <c r="BI92" s="19">
        <f>G92*AP92</f>
        <v>0</v>
      </c>
      <c r="BJ92" s="19">
        <f>G92*H92</f>
        <v>0</v>
      </c>
      <c r="BK92" s="19"/>
      <c r="BL92" s="19">
        <v>725</v>
      </c>
      <c r="BW92" s="19" t="str">
        <f>I92</f>
        <v>12</v>
      </c>
      <c r="BX92" s="4" t="s">
        <v>104</v>
      </c>
    </row>
    <row r="93" spans="1:76" x14ac:dyDescent="0.25">
      <c r="A93" s="84" t="s">
        <v>25</v>
      </c>
      <c r="B93" s="15" t="s">
        <v>105</v>
      </c>
      <c r="C93" s="15" t="s">
        <v>25</v>
      </c>
      <c r="D93" s="115" t="s">
        <v>106</v>
      </c>
      <c r="E93" s="116"/>
      <c r="F93" s="85" t="s">
        <v>23</v>
      </c>
      <c r="G93" s="85" t="s">
        <v>23</v>
      </c>
      <c r="H93" s="85" t="s">
        <v>23</v>
      </c>
      <c r="I93" s="85" t="s">
        <v>23</v>
      </c>
      <c r="J93" s="60">
        <f>J94+J122</f>
        <v>0</v>
      </c>
      <c r="K93" s="60">
        <f>K94+K122</f>
        <v>0</v>
      </c>
      <c r="L93" s="60">
        <f>L94+L122</f>
        <v>0</v>
      </c>
      <c r="M93" s="60">
        <f>M94+M122</f>
        <v>0</v>
      </c>
      <c r="N93" s="16" t="s">
        <v>25</v>
      </c>
      <c r="O93" s="60">
        <f>O94+O122</f>
        <v>1.10314</v>
      </c>
      <c r="P93" s="86" t="s">
        <v>25</v>
      </c>
    </row>
    <row r="94" spans="1:76" x14ac:dyDescent="0.25">
      <c r="A94" s="84" t="s">
        <v>25</v>
      </c>
      <c r="B94" s="15" t="s">
        <v>105</v>
      </c>
      <c r="C94" s="15" t="s">
        <v>27</v>
      </c>
      <c r="D94" s="115" t="s">
        <v>28</v>
      </c>
      <c r="E94" s="116"/>
      <c r="F94" s="85" t="s">
        <v>23</v>
      </c>
      <c r="G94" s="85" t="s">
        <v>23</v>
      </c>
      <c r="H94" s="85" t="s">
        <v>23</v>
      </c>
      <c r="I94" s="85" t="s">
        <v>23</v>
      </c>
      <c r="J94" s="60">
        <f>SUM(J95:J121)</f>
        <v>0</v>
      </c>
      <c r="K94" s="60">
        <f>SUM(K95:K121)</f>
        <v>0</v>
      </c>
      <c r="L94" s="60">
        <f>SUM(L95:L121)</f>
        <v>0</v>
      </c>
      <c r="M94" s="60">
        <f>SUM(M95:M121)</f>
        <v>0</v>
      </c>
      <c r="N94" s="16" t="s">
        <v>25</v>
      </c>
      <c r="O94" s="60">
        <f>SUM(O95:O121)</f>
        <v>0.59458</v>
      </c>
      <c r="P94" s="86" t="s">
        <v>25</v>
      </c>
      <c r="AI94" s="16" t="s">
        <v>105</v>
      </c>
      <c r="AS94" s="60">
        <f>SUM(AJ95:AJ121)</f>
        <v>0</v>
      </c>
      <c r="AT94" s="60">
        <f>SUM(AK95:AK121)</f>
        <v>0</v>
      </c>
      <c r="AU94" s="60">
        <f>SUM(AL95:AL121)</f>
        <v>0</v>
      </c>
    </row>
    <row r="95" spans="1:76" x14ac:dyDescent="0.25">
      <c r="A95" s="1" t="s">
        <v>500</v>
      </c>
      <c r="B95" s="2" t="s">
        <v>105</v>
      </c>
      <c r="C95" s="2" t="s">
        <v>29</v>
      </c>
      <c r="D95" s="108" t="s">
        <v>58</v>
      </c>
      <c r="E95" s="102"/>
      <c r="F95" s="2" t="s">
        <v>31</v>
      </c>
      <c r="G95" s="19">
        <f>'Rozpočet - vybrané sloupce'!J82</f>
        <v>92</v>
      </c>
      <c r="H95" s="19">
        <f>'Rozpočet - vybrané sloupce'!K82</f>
        <v>0</v>
      </c>
      <c r="I95" s="87" t="s">
        <v>427</v>
      </c>
      <c r="J95" s="19">
        <f t="shared" ref="J95:J121" si="104">G95*AO95</f>
        <v>0</v>
      </c>
      <c r="K95" s="19">
        <f t="shared" ref="K95:K121" si="105">G95*AP95</f>
        <v>0</v>
      </c>
      <c r="L95" s="19">
        <f t="shared" ref="L95:L121" si="106">G95*H95</f>
        <v>0</v>
      </c>
      <c r="M95" s="19">
        <f t="shared" ref="M95:M121" si="107">L95*(1+BW95/100)</f>
        <v>0</v>
      </c>
      <c r="N95" s="19">
        <v>2.7999999999999998E-4</v>
      </c>
      <c r="O95" s="19">
        <f t="shared" ref="O95:O121" si="108">G95*N95</f>
        <v>2.5759999999999998E-2</v>
      </c>
      <c r="P95" s="88" t="s">
        <v>428</v>
      </c>
      <c r="Z95" s="19">
        <f t="shared" ref="Z95:Z121" si="109">IF(AQ95="5",BJ95,0)</f>
        <v>0</v>
      </c>
      <c r="AB95" s="19">
        <f t="shared" ref="AB95:AB121" si="110">IF(AQ95="1",BH95,0)</f>
        <v>0</v>
      </c>
      <c r="AC95" s="19">
        <f t="shared" ref="AC95:AC121" si="111">IF(AQ95="1",BI95,0)</f>
        <v>0</v>
      </c>
      <c r="AD95" s="19">
        <f t="shared" ref="AD95:AD121" si="112">IF(AQ95="7",BH95,0)</f>
        <v>0</v>
      </c>
      <c r="AE95" s="19">
        <f t="shared" ref="AE95:AE121" si="113">IF(AQ95="7",BI95,0)</f>
        <v>0</v>
      </c>
      <c r="AF95" s="19">
        <f t="shared" ref="AF95:AF121" si="114">IF(AQ95="2",BH95,0)</f>
        <v>0</v>
      </c>
      <c r="AG95" s="19">
        <f t="shared" ref="AG95:AG121" si="115">IF(AQ95="2",BI95,0)</f>
        <v>0</v>
      </c>
      <c r="AH95" s="19">
        <f t="shared" ref="AH95:AH121" si="116">IF(AQ95="0",BJ95,0)</f>
        <v>0</v>
      </c>
      <c r="AI95" s="16" t="s">
        <v>105</v>
      </c>
      <c r="AJ95" s="19">
        <f t="shared" ref="AJ95:AJ121" si="117">IF(AN95=0,L95,0)</f>
        <v>0</v>
      </c>
      <c r="AK95" s="19">
        <f t="shared" ref="AK95:AK121" si="118">IF(AN95=12,L95,0)</f>
        <v>0</v>
      </c>
      <c r="AL95" s="19">
        <f t="shared" ref="AL95:AL121" si="119">IF(AN95=21,L95,0)</f>
        <v>0</v>
      </c>
      <c r="AN95" s="19">
        <v>12</v>
      </c>
      <c r="AO95" s="19">
        <f>H95*0</f>
        <v>0</v>
      </c>
      <c r="AP95" s="19">
        <f>H95*(1-0)</f>
        <v>0</v>
      </c>
      <c r="AQ95" s="87" t="s">
        <v>429</v>
      </c>
      <c r="AV95" s="19">
        <f t="shared" ref="AV95:AV121" si="120">AW95+AX95</f>
        <v>0</v>
      </c>
      <c r="AW95" s="19">
        <f t="shared" ref="AW95:AW121" si="121">G95*AO95</f>
        <v>0</v>
      </c>
      <c r="AX95" s="19">
        <f t="shared" ref="AX95:AX121" si="122">G95*AP95</f>
        <v>0</v>
      </c>
      <c r="AY95" s="87" t="s">
        <v>430</v>
      </c>
      <c r="AZ95" s="87" t="s">
        <v>501</v>
      </c>
      <c r="BA95" s="16" t="s">
        <v>502</v>
      </c>
      <c r="BC95" s="19">
        <f t="shared" ref="BC95:BC121" si="123">AW95+AX95</f>
        <v>0</v>
      </c>
      <c r="BD95" s="19">
        <f t="shared" ref="BD95:BD121" si="124">H95/(100-BE95)*100</f>
        <v>0</v>
      </c>
      <c r="BE95" s="19">
        <v>0</v>
      </c>
      <c r="BF95" s="19">
        <f t="shared" ref="BF95:BF121" si="125">O95</f>
        <v>2.5759999999999998E-2</v>
      </c>
      <c r="BH95" s="19">
        <f t="shared" ref="BH95:BH121" si="126">G95*AO95</f>
        <v>0</v>
      </c>
      <c r="BI95" s="19">
        <f t="shared" ref="BI95:BI121" si="127">G95*AP95</f>
        <v>0</v>
      </c>
      <c r="BJ95" s="19">
        <f t="shared" ref="BJ95:BJ121" si="128">G95*H95</f>
        <v>0</v>
      </c>
      <c r="BK95" s="19"/>
      <c r="BL95" s="19">
        <v>722</v>
      </c>
      <c r="BW95" s="19" t="str">
        <f t="shared" ref="BW95:BW121" si="129">I95</f>
        <v>12</v>
      </c>
      <c r="BX95" s="4" t="s">
        <v>58</v>
      </c>
    </row>
    <row r="96" spans="1:76" x14ac:dyDescent="0.25">
      <c r="A96" s="1" t="s">
        <v>503</v>
      </c>
      <c r="B96" s="2" t="s">
        <v>105</v>
      </c>
      <c r="C96" s="2" t="s">
        <v>33</v>
      </c>
      <c r="D96" s="108" t="s">
        <v>59</v>
      </c>
      <c r="E96" s="102"/>
      <c r="F96" s="2" t="s">
        <v>31</v>
      </c>
      <c r="G96" s="19">
        <f>'Rozpočet - vybrané sloupce'!J83</f>
        <v>132</v>
      </c>
      <c r="H96" s="19">
        <f>'Rozpočet - vybrané sloupce'!K83</f>
        <v>0</v>
      </c>
      <c r="I96" s="87" t="s">
        <v>427</v>
      </c>
      <c r="J96" s="19">
        <f t="shared" si="104"/>
        <v>0</v>
      </c>
      <c r="K96" s="19">
        <f t="shared" si="105"/>
        <v>0</v>
      </c>
      <c r="L96" s="19">
        <f t="shared" si="106"/>
        <v>0</v>
      </c>
      <c r="M96" s="19">
        <f t="shared" si="107"/>
        <v>0</v>
      </c>
      <c r="N96" s="19">
        <v>2.9E-4</v>
      </c>
      <c r="O96" s="19">
        <f t="shared" si="108"/>
        <v>3.8280000000000002E-2</v>
      </c>
      <c r="P96" s="88" t="s">
        <v>428</v>
      </c>
      <c r="Z96" s="19">
        <f t="shared" si="109"/>
        <v>0</v>
      </c>
      <c r="AB96" s="19">
        <f t="shared" si="110"/>
        <v>0</v>
      </c>
      <c r="AC96" s="19">
        <f t="shared" si="111"/>
        <v>0</v>
      </c>
      <c r="AD96" s="19">
        <f t="shared" si="112"/>
        <v>0</v>
      </c>
      <c r="AE96" s="19">
        <f t="shared" si="113"/>
        <v>0</v>
      </c>
      <c r="AF96" s="19">
        <f t="shared" si="114"/>
        <v>0</v>
      </c>
      <c r="AG96" s="19">
        <f t="shared" si="115"/>
        <v>0</v>
      </c>
      <c r="AH96" s="19">
        <f t="shared" si="116"/>
        <v>0</v>
      </c>
      <c r="AI96" s="16" t="s">
        <v>105</v>
      </c>
      <c r="AJ96" s="19">
        <f t="shared" si="117"/>
        <v>0</v>
      </c>
      <c r="AK96" s="19">
        <f t="shared" si="118"/>
        <v>0</v>
      </c>
      <c r="AL96" s="19">
        <f t="shared" si="119"/>
        <v>0</v>
      </c>
      <c r="AN96" s="19">
        <v>12</v>
      </c>
      <c r="AO96" s="19">
        <f>H96*0</f>
        <v>0</v>
      </c>
      <c r="AP96" s="19">
        <f>H96*(1-0)</f>
        <v>0</v>
      </c>
      <c r="AQ96" s="87" t="s">
        <v>429</v>
      </c>
      <c r="AV96" s="19">
        <f t="shared" si="120"/>
        <v>0</v>
      </c>
      <c r="AW96" s="19">
        <f t="shared" si="121"/>
        <v>0</v>
      </c>
      <c r="AX96" s="19">
        <f t="shared" si="122"/>
        <v>0</v>
      </c>
      <c r="AY96" s="87" t="s">
        <v>430</v>
      </c>
      <c r="AZ96" s="87" t="s">
        <v>501</v>
      </c>
      <c r="BA96" s="16" t="s">
        <v>502</v>
      </c>
      <c r="BC96" s="19">
        <f t="shared" si="123"/>
        <v>0</v>
      </c>
      <c r="BD96" s="19">
        <f t="shared" si="124"/>
        <v>0</v>
      </c>
      <c r="BE96" s="19">
        <v>0</v>
      </c>
      <c r="BF96" s="19">
        <f t="shared" si="125"/>
        <v>3.8280000000000002E-2</v>
      </c>
      <c r="BH96" s="19">
        <f t="shared" si="126"/>
        <v>0</v>
      </c>
      <c r="BI96" s="19">
        <f t="shared" si="127"/>
        <v>0</v>
      </c>
      <c r="BJ96" s="19">
        <f t="shared" si="128"/>
        <v>0</v>
      </c>
      <c r="BK96" s="19"/>
      <c r="BL96" s="19">
        <v>722</v>
      </c>
      <c r="BW96" s="19" t="str">
        <f t="shared" si="129"/>
        <v>12</v>
      </c>
      <c r="BX96" s="4" t="s">
        <v>59</v>
      </c>
    </row>
    <row r="97" spans="1:76" x14ac:dyDescent="0.25">
      <c r="A97" s="1" t="s">
        <v>504</v>
      </c>
      <c r="B97" s="2" t="s">
        <v>105</v>
      </c>
      <c r="C97" s="2" t="s">
        <v>60</v>
      </c>
      <c r="D97" s="108" t="s">
        <v>61</v>
      </c>
      <c r="E97" s="102"/>
      <c r="F97" s="2" t="s">
        <v>62</v>
      </c>
      <c r="G97" s="19">
        <f>'Rozpočet - vybrané sloupce'!J84</f>
        <v>48</v>
      </c>
      <c r="H97" s="19">
        <f>'Rozpočet - vybrané sloupce'!K84</f>
        <v>0</v>
      </c>
      <c r="I97" s="87" t="s">
        <v>427</v>
      </c>
      <c r="J97" s="19">
        <f t="shared" si="104"/>
        <v>0</v>
      </c>
      <c r="K97" s="19">
        <f t="shared" si="105"/>
        <v>0</v>
      </c>
      <c r="L97" s="19">
        <f t="shared" si="106"/>
        <v>0</v>
      </c>
      <c r="M97" s="19">
        <f t="shared" si="107"/>
        <v>0</v>
      </c>
      <c r="N97" s="19">
        <v>6.9999999999999999E-4</v>
      </c>
      <c r="O97" s="19">
        <f t="shared" si="108"/>
        <v>3.3599999999999998E-2</v>
      </c>
      <c r="P97" s="88" t="s">
        <v>428</v>
      </c>
      <c r="Z97" s="19">
        <f t="shared" si="109"/>
        <v>0</v>
      </c>
      <c r="AB97" s="19">
        <f t="shared" si="110"/>
        <v>0</v>
      </c>
      <c r="AC97" s="19">
        <f t="shared" si="111"/>
        <v>0</v>
      </c>
      <c r="AD97" s="19">
        <f t="shared" si="112"/>
        <v>0</v>
      </c>
      <c r="AE97" s="19">
        <f t="shared" si="113"/>
        <v>0</v>
      </c>
      <c r="AF97" s="19">
        <f t="shared" si="114"/>
        <v>0</v>
      </c>
      <c r="AG97" s="19">
        <f t="shared" si="115"/>
        <v>0</v>
      </c>
      <c r="AH97" s="19">
        <f t="shared" si="116"/>
        <v>0</v>
      </c>
      <c r="AI97" s="16" t="s">
        <v>105</v>
      </c>
      <c r="AJ97" s="19">
        <f t="shared" si="117"/>
        <v>0</v>
      </c>
      <c r="AK97" s="19">
        <f t="shared" si="118"/>
        <v>0</v>
      </c>
      <c r="AL97" s="19">
        <f t="shared" si="119"/>
        <v>0</v>
      </c>
      <c r="AN97" s="19">
        <v>12</v>
      </c>
      <c r="AO97" s="19">
        <f>H97*0.274014951</f>
        <v>0</v>
      </c>
      <c r="AP97" s="19">
        <f>H97*(1-0.274014951)</f>
        <v>0</v>
      </c>
      <c r="AQ97" s="87" t="s">
        <v>429</v>
      </c>
      <c r="AV97" s="19">
        <f t="shared" si="120"/>
        <v>0</v>
      </c>
      <c r="AW97" s="19">
        <f t="shared" si="121"/>
        <v>0</v>
      </c>
      <c r="AX97" s="19">
        <f t="shared" si="122"/>
        <v>0</v>
      </c>
      <c r="AY97" s="87" t="s">
        <v>430</v>
      </c>
      <c r="AZ97" s="87" t="s">
        <v>501</v>
      </c>
      <c r="BA97" s="16" t="s">
        <v>502</v>
      </c>
      <c r="BC97" s="19">
        <f t="shared" si="123"/>
        <v>0</v>
      </c>
      <c r="BD97" s="19">
        <f t="shared" si="124"/>
        <v>0</v>
      </c>
      <c r="BE97" s="19">
        <v>0</v>
      </c>
      <c r="BF97" s="19">
        <f t="shared" si="125"/>
        <v>3.3599999999999998E-2</v>
      </c>
      <c r="BH97" s="19">
        <f t="shared" si="126"/>
        <v>0</v>
      </c>
      <c r="BI97" s="19">
        <f t="shared" si="127"/>
        <v>0</v>
      </c>
      <c r="BJ97" s="19">
        <f t="shared" si="128"/>
        <v>0</v>
      </c>
      <c r="BK97" s="19"/>
      <c r="BL97" s="19">
        <v>722</v>
      </c>
      <c r="BW97" s="19" t="str">
        <f t="shared" si="129"/>
        <v>12</v>
      </c>
      <c r="BX97" s="4" t="s">
        <v>61</v>
      </c>
    </row>
    <row r="98" spans="1:76" x14ac:dyDescent="0.25">
      <c r="A98" s="1" t="s">
        <v>505</v>
      </c>
      <c r="B98" s="2" t="s">
        <v>105</v>
      </c>
      <c r="C98" s="2" t="s">
        <v>63</v>
      </c>
      <c r="D98" s="108" t="s">
        <v>64</v>
      </c>
      <c r="E98" s="102"/>
      <c r="F98" s="2" t="s">
        <v>31</v>
      </c>
      <c r="G98" s="19">
        <f>'Rozpočet - vybrané sloupce'!J85</f>
        <v>48</v>
      </c>
      <c r="H98" s="19">
        <f>'Rozpočet - vybrané sloupce'!K85</f>
        <v>0</v>
      </c>
      <c r="I98" s="87" t="s">
        <v>427</v>
      </c>
      <c r="J98" s="19">
        <f t="shared" si="104"/>
        <v>0</v>
      </c>
      <c r="K98" s="19">
        <f t="shared" si="105"/>
        <v>0</v>
      </c>
      <c r="L98" s="19">
        <f t="shared" si="106"/>
        <v>0</v>
      </c>
      <c r="M98" s="19">
        <f t="shared" si="107"/>
        <v>0</v>
      </c>
      <c r="N98" s="19">
        <v>4.2999999999999999E-4</v>
      </c>
      <c r="O98" s="19">
        <f t="shared" si="108"/>
        <v>2.0639999999999999E-2</v>
      </c>
      <c r="P98" s="88" t="s">
        <v>428</v>
      </c>
      <c r="Z98" s="19">
        <f t="shared" si="109"/>
        <v>0</v>
      </c>
      <c r="AB98" s="19">
        <f t="shared" si="110"/>
        <v>0</v>
      </c>
      <c r="AC98" s="19">
        <f t="shared" si="111"/>
        <v>0</v>
      </c>
      <c r="AD98" s="19">
        <f t="shared" si="112"/>
        <v>0</v>
      </c>
      <c r="AE98" s="19">
        <f t="shared" si="113"/>
        <v>0</v>
      </c>
      <c r="AF98" s="19">
        <f t="shared" si="114"/>
        <v>0</v>
      </c>
      <c r="AG98" s="19">
        <f t="shared" si="115"/>
        <v>0</v>
      </c>
      <c r="AH98" s="19">
        <f t="shared" si="116"/>
        <v>0</v>
      </c>
      <c r="AI98" s="16" t="s">
        <v>105</v>
      </c>
      <c r="AJ98" s="19">
        <f t="shared" si="117"/>
        <v>0</v>
      </c>
      <c r="AK98" s="19">
        <f t="shared" si="118"/>
        <v>0</v>
      </c>
      <c r="AL98" s="19">
        <f t="shared" si="119"/>
        <v>0</v>
      </c>
      <c r="AN98" s="19">
        <v>12</v>
      </c>
      <c r="AO98" s="19">
        <f>H98*0.433819771</f>
        <v>0</v>
      </c>
      <c r="AP98" s="19">
        <f>H98*(1-0.433819771)</f>
        <v>0</v>
      </c>
      <c r="AQ98" s="87" t="s">
        <v>429</v>
      </c>
      <c r="AV98" s="19">
        <f t="shared" si="120"/>
        <v>0</v>
      </c>
      <c r="AW98" s="19">
        <f t="shared" si="121"/>
        <v>0</v>
      </c>
      <c r="AX98" s="19">
        <f t="shared" si="122"/>
        <v>0</v>
      </c>
      <c r="AY98" s="87" t="s">
        <v>430</v>
      </c>
      <c r="AZ98" s="87" t="s">
        <v>501</v>
      </c>
      <c r="BA98" s="16" t="s">
        <v>502</v>
      </c>
      <c r="BC98" s="19">
        <f t="shared" si="123"/>
        <v>0</v>
      </c>
      <c r="BD98" s="19">
        <f t="shared" si="124"/>
        <v>0</v>
      </c>
      <c r="BE98" s="19">
        <v>0</v>
      </c>
      <c r="BF98" s="19">
        <f t="shared" si="125"/>
        <v>2.0639999999999999E-2</v>
      </c>
      <c r="BH98" s="19">
        <f t="shared" si="126"/>
        <v>0</v>
      </c>
      <c r="BI98" s="19">
        <f t="shared" si="127"/>
        <v>0</v>
      </c>
      <c r="BJ98" s="19">
        <f t="shared" si="128"/>
        <v>0</v>
      </c>
      <c r="BK98" s="19"/>
      <c r="BL98" s="19">
        <v>722</v>
      </c>
      <c r="BW98" s="19" t="str">
        <f t="shared" si="129"/>
        <v>12</v>
      </c>
      <c r="BX98" s="4" t="s">
        <v>64</v>
      </c>
    </row>
    <row r="99" spans="1:76" x14ac:dyDescent="0.25">
      <c r="A99" s="1" t="s">
        <v>506</v>
      </c>
      <c r="B99" s="2" t="s">
        <v>105</v>
      </c>
      <c r="C99" s="2" t="s">
        <v>35</v>
      </c>
      <c r="D99" s="108" t="s">
        <v>36</v>
      </c>
      <c r="E99" s="102"/>
      <c r="F99" s="2" t="s">
        <v>31</v>
      </c>
      <c r="G99" s="19">
        <f>'Rozpočet - vybrané sloupce'!J86</f>
        <v>90</v>
      </c>
      <c r="H99" s="19">
        <f>'Rozpočet - vybrané sloupce'!K86</f>
        <v>0</v>
      </c>
      <c r="I99" s="87" t="s">
        <v>427</v>
      </c>
      <c r="J99" s="19">
        <f t="shared" si="104"/>
        <v>0</v>
      </c>
      <c r="K99" s="19">
        <f t="shared" si="105"/>
        <v>0</v>
      </c>
      <c r="L99" s="19">
        <f t="shared" si="106"/>
        <v>0</v>
      </c>
      <c r="M99" s="19">
        <f t="shared" si="107"/>
        <v>0</v>
      </c>
      <c r="N99" s="19">
        <v>5.2999999999999998E-4</v>
      </c>
      <c r="O99" s="19">
        <f t="shared" si="108"/>
        <v>4.7699999999999999E-2</v>
      </c>
      <c r="P99" s="88" t="s">
        <v>428</v>
      </c>
      <c r="Z99" s="19">
        <f t="shared" si="109"/>
        <v>0</v>
      </c>
      <c r="AB99" s="19">
        <f t="shared" si="110"/>
        <v>0</v>
      </c>
      <c r="AC99" s="19">
        <f t="shared" si="111"/>
        <v>0</v>
      </c>
      <c r="AD99" s="19">
        <f t="shared" si="112"/>
        <v>0</v>
      </c>
      <c r="AE99" s="19">
        <f t="shared" si="113"/>
        <v>0</v>
      </c>
      <c r="AF99" s="19">
        <f t="shared" si="114"/>
        <v>0</v>
      </c>
      <c r="AG99" s="19">
        <f t="shared" si="115"/>
        <v>0</v>
      </c>
      <c r="AH99" s="19">
        <f t="shared" si="116"/>
        <v>0</v>
      </c>
      <c r="AI99" s="16" t="s">
        <v>105</v>
      </c>
      <c r="AJ99" s="19">
        <f t="shared" si="117"/>
        <v>0</v>
      </c>
      <c r="AK99" s="19">
        <f t="shared" si="118"/>
        <v>0</v>
      </c>
      <c r="AL99" s="19">
        <f t="shared" si="119"/>
        <v>0</v>
      </c>
      <c r="AN99" s="19">
        <v>12</v>
      </c>
      <c r="AO99" s="19">
        <f>H99*0.499104591</f>
        <v>0</v>
      </c>
      <c r="AP99" s="19">
        <f>H99*(1-0.499104591)</f>
        <v>0</v>
      </c>
      <c r="AQ99" s="87" t="s">
        <v>429</v>
      </c>
      <c r="AV99" s="19">
        <f t="shared" si="120"/>
        <v>0</v>
      </c>
      <c r="AW99" s="19">
        <f t="shared" si="121"/>
        <v>0</v>
      </c>
      <c r="AX99" s="19">
        <f t="shared" si="122"/>
        <v>0</v>
      </c>
      <c r="AY99" s="87" t="s">
        <v>430</v>
      </c>
      <c r="AZ99" s="87" t="s">
        <v>501</v>
      </c>
      <c r="BA99" s="16" t="s">
        <v>502</v>
      </c>
      <c r="BC99" s="19">
        <f t="shared" si="123"/>
        <v>0</v>
      </c>
      <c r="BD99" s="19">
        <f t="shared" si="124"/>
        <v>0</v>
      </c>
      <c r="BE99" s="19">
        <v>0</v>
      </c>
      <c r="BF99" s="19">
        <f t="shared" si="125"/>
        <v>4.7699999999999999E-2</v>
      </c>
      <c r="BH99" s="19">
        <f t="shared" si="126"/>
        <v>0</v>
      </c>
      <c r="BI99" s="19">
        <f t="shared" si="127"/>
        <v>0</v>
      </c>
      <c r="BJ99" s="19">
        <f t="shared" si="128"/>
        <v>0</v>
      </c>
      <c r="BK99" s="19"/>
      <c r="BL99" s="19">
        <v>722</v>
      </c>
      <c r="BW99" s="19" t="str">
        <f t="shared" si="129"/>
        <v>12</v>
      </c>
      <c r="BX99" s="4" t="s">
        <v>36</v>
      </c>
    </row>
    <row r="100" spans="1:76" x14ac:dyDescent="0.25">
      <c r="A100" s="1" t="s">
        <v>507</v>
      </c>
      <c r="B100" s="2" t="s">
        <v>105</v>
      </c>
      <c r="C100" s="2" t="s">
        <v>65</v>
      </c>
      <c r="D100" s="108" t="s">
        <v>66</v>
      </c>
      <c r="E100" s="102"/>
      <c r="F100" s="2" t="s">
        <v>31</v>
      </c>
      <c r="G100" s="19">
        <f>'Rozpočet - vybrané sloupce'!J87</f>
        <v>56</v>
      </c>
      <c r="H100" s="19">
        <f>'Rozpočet - vybrané sloupce'!K87</f>
        <v>0</v>
      </c>
      <c r="I100" s="87" t="s">
        <v>427</v>
      </c>
      <c r="J100" s="19">
        <f t="shared" si="104"/>
        <v>0</v>
      </c>
      <c r="K100" s="19">
        <f t="shared" si="105"/>
        <v>0</v>
      </c>
      <c r="L100" s="19">
        <f t="shared" si="106"/>
        <v>0</v>
      </c>
      <c r="M100" s="19">
        <f t="shared" si="107"/>
        <v>0</v>
      </c>
      <c r="N100" s="19">
        <v>7.2999999999999996E-4</v>
      </c>
      <c r="O100" s="19">
        <f t="shared" si="108"/>
        <v>4.088E-2</v>
      </c>
      <c r="P100" s="88" t="s">
        <v>428</v>
      </c>
      <c r="Z100" s="19">
        <f t="shared" si="109"/>
        <v>0</v>
      </c>
      <c r="AB100" s="19">
        <f t="shared" si="110"/>
        <v>0</v>
      </c>
      <c r="AC100" s="19">
        <f t="shared" si="111"/>
        <v>0</v>
      </c>
      <c r="AD100" s="19">
        <f t="shared" si="112"/>
        <v>0</v>
      </c>
      <c r="AE100" s="19">
        <f t="shared" si="113"/>
        <v>0</v>
      </c>
      <c r="AF100" s="19">
        <f t="shared" si="114"/>
        <v>0</v>
      </c>
      <c r="AG100" s="19">
        <f t="shared" si="115"/>
        <v>0</v>
      </c>
      <c r="AH100" s="19">
        <f t="shared" si="116"/>
        <v>0</v>
      </c>
      <c r="AI100" s="16" t="s">
        <v>105</v>
      </c>
      <c r="AJ100" s="19">
        <f t="shared" si="117"/>
        <v>0</v>
      </c>
      <c r="AK100" s="19">
        <f t="shared" si="118"/>
        <v>0</v>
      </c>
      <c r="AL100" s="19">
        <f t="shared" si="119"/>
        <v>0</v>
      </c>
      <c r="AN100" s="19">
        <v>12</v>
      </c>
      <c r="AO100" s="19">
        <f>H100*0.578540157</f>
        <v>0</v>
      </c>
      <c r="AP100" s="19">
        <f>H100*(1-0.578540157)</f>
        <v>0</v>
      </c>
      <c r="AQ100" s="87" t="s">
        <v>429</v>
      </c>
      <c r="AV100" s="19">
        <f t="shared" si="120"/>
        <v>0</v>
      </c>
      <c r="AW100" s="19">
        <f t="shared" si="121"/>
        <v>0</v>
      </c>
      <c r="AX100" s="19">
        <f t="shared" si="122"/>
        <v>0</v>
      </c>
      <c r="AY100" s="87" t="s">
        <v>430</v>
      </c>
      <c r="AZ100" s="87" t="s">
        <v>501</v>
      </c>
      <c r="BA100" s="16" t="s">
        <v>502</v>
      </c>
      <c r="BC100" s="19">
        <f t="shared" si="123"/>
        <v>0</v>
      </c>
      <c r="BD100" s="19">
        <f t="shared" si="124"/>
        <v>0</v>
      </c>
      <c r="BE100" s="19">
        <v>0</v>
      </c>
      <c r="BF100" s="19">
        <f t="shared" si="125"/>
        <v>4.088E-2</v>
      </c>
      <c r="BH100" s="19">
        <f t="shared" si="126"/>
        <v>0</v>
      </c>
      <c r="BI100" s="19">
        <f t="shared" si="127"/>
        <v>0</v>
      </c>
      <c r="BJ100" s="19">
        <f t="shared" si="128"/>
        <v>0</v>
      </c>
      <c r="BK100" s="19"/>
      <c r="BL100" s="19">
        <v>722</v>
      </c>
      <c r="BW100" s="19" t="str">
        <f t="shared" si="129"/>
        <v>12</v>
      </c>
      <c r="BX100" s="4" t="s">
        <v>66</v>
      </c>
    </row>
    <row r="101" spans="1:76" x14ac:dyDescent="0.25">
      <c r="A101" s="1" t="s">
        <v>508</v>
      </c>
      <c r="B101" s="2" t="s">
        <v>105</v>
      </c>
      <c r="C101" s="2" t="s">
        <v>37</v>
      </c>
      <c r="D101" s="108" t="s">
        <v>38</v>
      </c>
      <c r="E101" s="102"/>
      <c r="F101" s="2" t="s">
        <v>31</v>
      </c>
      <c r="G101" s="19">
        <f>'Rozpočet - vybrané sloupce'!J88</f>
        <v>72</v>
      </c>
      <c r="H101" s="19">
        <f>'Rozpočet - vybrané sloupce'!K88</f>
        <v>0</v>
      </c>
      <c r="I101" s="87" t="s">
        <v>427</v>
      </c>
      <c r="J101" s="19">
        <f t="shared" si="104"/>
        <v>0</v>
      </c>
      <c r="K101" s="19">
        <f t="shared" si="105"/>
        <v>0</v>
      </c>
      <c r="L101" s="19">
        <f t="shared" si="106"/>
        <v>0</v>
      </c>
      <c r="M101" s="19">
        <f t="shared" si="107"/>
        <v>0</v>
      </c>
      <c r="N101" s="19">
        <v>1.0200000000000001E-3</v>
      </c>
      <c r="O101" s="19">
        <f t="shared" si="108"/>
        <v>7.3440000000000005E-2</v>
      </c>
      <c r="P101" s="88" t="s">
        <v>428</v>
      </c>
      <c r="Z101" s="19">
        <f t="shared" si="109"/>
        <v>0</v>
      </c>
      <c r="AB101" s="19">
        <f t="shared" si="110"/>
        <v>0</v>
      </c>
      <c r="AC101" s="19">
        <f t="shared" si="111"/>
        <v>0</v>
      </c>
      <c r="AD101" s="19">
        <f t="shared" si="112"/>
        <v>0</v>
      </c>
      <c r="AE101" s="19">
        <f t="shared" si="113"/>
        <v>0</v>
      </c>
      <c r="AF101" s="19">
        <f t="shared" si="114"/>
        <v>0</v>
      </c>
      <c r="AG101" s="19">
        <f t="shared" si="115"/>
        <v>0</v>
      </c>
      <c r="AH101" s="19">
        <f t="shared" si="116"/>
        <v>0</v>
      </c>
      <c r="AI101" s="16" t="s">
        <v>105</v>
      </c>
      <c r="AJ101" s="19">
        <f t="shared" si="117"/>
        <v>0</v>
      </c>
      <c r="AK101" s="19">
        <f t="shared" si="118"/>
        <v>0</v>
      </c>
      <c r="AL101" s="19">
        <f t="shared" si="119"/>
        <v>0</v>
      </c>
      <c r="AN101" s="19">
        <v>12</v>
      </c>
      <c r="AO101" s="19">
        <f>H101*0.679692178</f>
        <v>0</v>
      </c>
      <c r="AP101" s="19">
        <f>H101*(1-0.679692178)</f>
        <v>0</v>
      </c>
      <c r="AQ101" s="87" t="s">
        <v>429</v>
      </c>
      <c r="AV101" s="19">
        <f t="shared" si="120"/>
        <v>0</v>
      </c>
      <c r="AW101" s="19">
        <f t="shared" si="121"/>
        <v>0</v>
      </c>
      <c r="AX101" s="19">
        <f t="shared" si="122"/>
        <v>0</v>
      </c>
      <c r="AY101" s="87" t="s">
        <v>430</v>
      </c>
      <c r="AZ101" s="87" t="s">
        <v>501</v>
      </c>
      <c r="BA101" s="16" t="s">
        <v>502</v>
      </c>
      <c r="BC101" s="19">
        <f t="shared" si="123"/>
        <v>0</v>
      </c>
      <c r="BD101" s="19">
        <f t="shared" si="124"/>
        <v>0</v>
      </c>
      <c r="BE101" s="19">
        <v>0</v>
      </c>
      <c r="BF101" s="19">
        <f t="shared" si="125"/>
        <v>7.3440000000000005E-2</v>
      </c>
      <c r="BH101" s="19">
        <f t="shared" si="126"/>
        <v>0</v>
      </c>
      <c r="BI101" s="19">
        <f t="shared" si="127"/>
        <v>0</v>
      </c>
      <c r="BJ101" s="19">
        <f t="shared" si="128"/>
        <v>0</v>
      </c>
      <c r="BK101" s="19"/>
      <c r="BL101" s="19">
        <v>722</v>
      </c>
      <c r="BW101" s="19" t="str">
        <f t="shared" si="129"/>
        <v>12</v>
      </c>
      <c r="BX101" s="4" t="s">
        <v>38</v>
      </c>
    </row>
    <row r="102" spans="1:76" x14ac:dyDescent="0.25">
      <c r="A102" s="1" t="s">
        <v>509</v>
      </c>
      <c r="B102" s="2" t="s">
        <v>105</v>
      </c>
      <c r="C102" s="2" t="s">
        <v>67</v>
      </c>
      <c r="D102" s="108" t="s">
        <v>68</v>
      </c>
      <c r="E102" s="102"/>
      <c r="F102" s="2" t="s">
        <v>62</v>
      </c>
      <c r="G102" s="19">
        <f>'Rozpočet - vybrané sloupce'!J89</f>
        <v>6</v>
      </c>
      <c r="H102" s="19">
        <f>'Rozpočet - vybrané sloupce'!K89</f>
        <v>0</v>
      </c>
      <c r="I102" s="87" t="s">
        <v>427</v>
      </c>
      <c r="J102" s="19">
        <f t="shared" si="104"/>
        <v>0</v>
      </c>
      <c r="K102" s="19">
        <f t="shared" si="105"/>
        <v>0</v>
      </c>
      <c r="L102" s="19">
        <f t="shared" si="106"/>
        <v>0</v>
      </c>
      <c r="M102" s="19">
        <f t="shared" si="107"/>
        <v>0</v>
      </c>
      <c r="N102" s="19">
        <v>5.1999999999999995E-4</v>
      </c>
      <c r="O102" s="19">
        <f t="shared" si="108"/>
        <v>3.1199999999999995E-3</v>
      </c>
      <c r="P102" s="88" t="s">
        <v>428</v>
      </c>
      <c r="Z102" s="19">
        <f t="shared" si="109"/>
        <v>0</v>
      </c>
      <c r="AB102" s="19">
        <f t="shared" si="110"/>
        <v>0</v>
      </c>
      <c r="AC102" s="19">
        <f t="shared" si="111"/>
        <v>0</v>
      </c>
      <c r="AD102" s="19">
        <f t="shared" si="112"/>
        <v>0</v>
      </c>
      <c r="AE102" s="19">
        <f t="shared" si="113"/>
        <v>0</v>
      </c>
      <c r="AF102" s="19">
        <f t="shared" si="114"/>
        <v>0</v>
      </c>
      <c r="AG102" s="19">
        <f t="shared" si="115"/>
        <v>0</v>
      </c>
      <c r="AH102" s="19">
        <f t="shared" si="116"/>
        <v>0</v>
      </c>
      <c r="AI102" s="16" t="s">
        <v>105</v>
      </c>
      <c r="AJ102" s="19">
        <f t="shared" si="117"/>
        <v>0</v>
      </c>
      <c r="AK102" s="19">
        <f t="shared" si="118"/>
        <v>0</v>
      </c>
      <c r="AL102" s="19">
        <f t="shared" si="119"/>
        <v>0</v>
      </c>
      <c r="AN102" s="19">
        <v>12</v>
      </c>
      <c r="AO102" s="19">
        <f>H102*0.362875871</f>
        <v>0</v>
      </c>
      <c r="AP102" s="19">
        <f>H102*(1-0.362875871)</f>
        <v>0</v>
      </c>
      <c r="AQ102" s="87" t="s">
        <v>429</v>
      </c>
      <c r="AV102" s="19">
        <f t="shared" si="120"/>
        <v>0</v>
      </c>
      <c r="AW102" s="19">
        <f t="shared" si="121"/>
        <v>0</v>
      </c>
      <c r="AX102" s="19">
        <f t="shared" si="122"/>
        <v>0</v>
      </c>
      <c r="AY102" s="87" t="s">
        <v>430</v>
      </c>
      <c r="AZ102" s="87" t="s">
        <v>501</v>
      </c>
      <c r="BA102" s="16" t="s">
        <v>502</v>
      </c>
      <c r="BC102" s="19">
        <f t="shared" si="123"/>
        <v>0</v>
      </c>
      <c r="BD102" s="19">
        <f t="shared" si="124"/>
        <v>0</v>
      </c>
      <c r="BE102" s="19">
        <v>0</v>
      </c>
      <c r="BF102" s="19">
        <f t="shared" si="125"/>
        <v>3.1199999999999995E-3</v>
      </c>
      <c r="BH102" s="19">
        <f t="shared" si="126"/>
        <v>0</v>
      </c>
      <c r="BI102" s="19">
        <f t="shared" si="127"/>
        <v>0</v>
      </c>
      <c r="BJ102" s="19">
        <f t="shared" si="128"/>
        <v>0</v>
      </c>
      <c r="BK102" s="19"/>
      <c r="BL102" s="19">
        <v>722</v>
      </c>
      <c r="BW102" s="19" t="str">
        <f t="shared" si="129"/>
        <v>12</v>
      </c>
      <c r="BX102" s="4" t="s">
        <v>68</v>
      </c>
    </row>
    <row r="103" spans="1:76" x14ac:dyDescent="0.25">
      <c r="A103" s="1" t="s">
        <v>510</v>
      </c>
      <c r="B103" s="2" t="s">
        <v>105</v>
      </c>
      <c r="C103" s="2" t="s">
        <v>69</v>
      </c>
      <c r="D103" s="108" t="s">
        <v>70</v>
      </c>
      <c r="E103" s="102"/>
      <c r="F103" s="2" t="s">
        <v>62</v>
      </c>
      <c r="G103" s="19">
        <f>'Rozpočet - vybrané sloupce'!J90</f>
        <v>6</v>
      </c>
      <c r="H103" s="19">
        <f>'Rozpočet - vybrané sloupce'!K90</f>
        <v>0</v>
      </c>
      <c r="I103" s="87" t="s">
        <v>427</v>
      </c>
      <c r="J103" s="19">
        <f t="shared" si="104"/>
        <v>0</v>
      </c>
      <c r="K103" s="19">
        <f t="shared" si="105"/>
        <v>0</v>
      </c>
      <c r="L103" s="19">
        <f t="shared" si="106"/>
        <v>0</v>
      </c>
      <c r="M103" s="19">
        <f t="shared" si="107"/>
        <v>0</v>
      </c>
      <c r="N103" s="19">
        <v>7.6000000000000004E-4</v>
      </c>
      <c r="O103" s="19">
        <f t="shared" si="108"/>
        <v>4.5599999999999998E-3</v>
      </c>
      <c r="P103" s="88" t="s">
        <v>428</v>
      </c>
      <c r="Z103" s="19">
        <f t="shared" si="109"/>
        <v>0</v>
      </c>
      <c r="AB103" s="19">
        <f t="shared" si="110"/>
        <v>0</v>
      </c>
      <c r="AC103" s="19">
        <f t="shared" si="111"/>
        <v>0</v>
      </c>
      <c r="AD103" s="19">
        <f t="shared" si="112"/>
        <v>0</v>
      </c>
      <c r="AE103" s="19">
        <f t="shared" si="113"/>
        <v>0</v>
      </c>
      <c r="AF103" s="19">
        <f t="shared" si="114"/>
        <v>0</v>
      </c>
      <c r="AG103" s="19">
        <f t="shared" si="115"/>
        <v>0</v>
      </c>
      <c r="AH103" s="19">
        <f t="shared" si="116"/>
        <v>0</v>
      </c>
      <c r="AI103" s="16" t="s">
        <v>105</v>
      </c>
      <c r="AJ103" s="19">
        <f t="shared" si="117"/>
        <v>0</v>
      </c>
      <c r="AK103" s="19">
        <f t="shared" si="118"/>
        <v>0</v>
      </c>
      <c r="AL103" s="19">
        <f t="shared" si="119"/>
        <v>0</v>
      </c>
      <c r="AN103" s="19">
        <v>12</v>
      </c>
      <c r="AO103" s="19">
        <f>H103*0.421426807</f>
        <v>0</v>
      </c>
      <c r="AP103" s="19">
        <f>H103*(1-0.421426807)</f>
        <v>0</v>
      </c>
      <c r="AQ103" s="87" t="s">
        <v>429</v>
      </c>
      <c r="AV103" s="19">
        <f t="shared" si="120"/>
        <v>0</v>
      </c>
      <c r="AW103" s="19">
        <f t="shared" si="121"/>
        <v>0</v>
      </c>
      <c r="AX103" s="19">
        <f t="shared" si="122"/>
        <v>0</v>
      </c>
      <c r="AY103" s="87" t="s">
        <v>430</v>
      </c>
      <c r="AZ103" s="87" t="s">
        <v>501</v>
      </c>
      <c r="BA103" s="16" t="s">
        <v>502</v>
      </c>
      <c r="BC103" s="19">
        <f t="shared" si="123"/>
        <v>0</v>
      </c>
      <c r="BD103" s="19">
        <f t="shared" si="124"/>
        <v>0</v>
      </c>
      <c r="BE103" s="19">
        <v>0</v>
      </c>
      <c r="BF103" s="19">
        <f t="shared" si="125"/>
        <v>4.5599999999999998E-3</v>
      </c>
      <c r="BH103" s="19">
        <f t="shared" si="126"/>
        <v>0</v>
      </c>
      <c r="BI103" s="19">
        <f t="shared" si="127"/>
        <v>0</v>
      </c>
      <c r="BJ103" s="19">
        <f t="shared" si="128"/>
        <v>0</v>
      </c>
      <c r="BK103" s="19"/>
      <c r="BL103" s="19">
        <v>722</v>
      </c>
      <c r="BW103" s="19" t="str">
        <f t="shared" si="129"/>
        <v>12</v>
      </c>
      <c r="BX103" s="4" t="s">
        <v>70</v>
      </c>
    </row>
    <row r="104" spans="1:76" x14ac:dyDescent="0.25">
      <c r="A104" s="1" t="s">
        <v>511</v>
      </c>
      <c r="B104" s="2" t="s">
        <v>105</v>
      </c>
      <c r="C104" s="2" t="s">
        <v>71</v>
      </c>
      <c r="D104" s="108" t="s">
        <v>72</v>
      </c>
      <c r="E104" s="102"/>
      <c r="F104" s="2" t="s">
        <v>62</v>
      </c>
      <c r="G104" s="19">
        <f>'Rozpočet - vybrané sloupce'!J91</f>
        <v>6</v>
      </c>
      <c r="H104" s="19">
        <f>'Rozpočet - vybrané sloupce'!K91</f>
        <v>0</v>
      </c>
      <c r="I104" s="87" t="s">
        <v>427</v>
      </c>
      <c r="J104" s="19">
        <f t="shared" si="104"/>
        <v>0</v>
      </c>
      <c r="K104" s="19">
        <f t="shared" si="105"/>
        <v>0</v>
      </c>
      <c r="L104" s="19">
        <f t="shared" si="106"/>
        <v>0</v>
      </c>
      <c r="M104" s="19">
        <f t="shared" si="107"/>
        <v>0</v>
      </c>
      <c r="N104" s="19">
        <v>1.0200000000000001E-3</v>
      </c>
      <c r="O104" s="19">
        <f t="shared" si="108"/>
        <v>6.1200000000000004E-3</v>
      </c>
      <c r="P104" s="88" t="s">
        <v>428</v>
      </c>
      <c r="Z104" s="19">
        <f t="shared" si="109"/>
        <v>0</v>
      </c>
      <c r="AB104" s="19">
        <f t="shared" si="110"/>
        <v>0</v>
      </c>
      <c r="AC104" s="19">
        <f t="shared" si="111"/>
        <v>0</v>
      </c>
      <c r="AD104" s="19">
        <f t="shared" si="112"/>
        <v>0</v>
      </c>
      <c r="AE104" s="19">
        <f t="shared" si="113"/>
        <v>0</v>
      </c>
      <c r="AF104" s="19">
        <f t="shared" si="114"/>
        <v>0</v>
      </c>
      <c r="AG104" s="19">
        <f t="shared" si="115"/>
        <v>0</v>
      </c>
      <c r="AH104" s="19">
        <f t="shared" si="116"/>
        <v>0</v>
      </c>
      <c r="AI104" s="16" t="s">
        <v>105</v>
      </c>
      <c r="AJ104" s="19">
        <f t="shared" si="117"/>
        <v>0</v>
      </c>
      <c r="AK104" s="19">
        <f t="shared" si="118"/>
        <v>0</v>
      </c>
      <c r="AL104" s="19">
        <f t="shared" si="119"/>
        <v>0</v>
      </c>
      <c r="AN104" s="19">
        <v>12</v>
      </c>
      <c r="AO104" s="19">
        <f>H104*0.490618173</f>
        <v>0</v>
      </c>
      <c r="AP104" s="19">
        <f>H104*(1-0.490618173)</f>
        <v>0</v>
      </c>
      <c r="AQ104" s="87" t="s">
        <v>429</v>
      </c>
      <c r="AV104" s="19">
        <f t="shared" si="120"/>
        <v>0</v>
      </c>
      <c r="AW104" s="19">
        <f t="shared" si="121"/>
        <v>0</v>
      </c>
      <c r="AX104" s="19">
        <f t="shared" si="122"/>
        <v>0</v>
      </c>
      <c r="AY104" s="87" t="s">
        <v>430</v>
      </c>
      <c r="AZ104" s="87" t="s">
        <v>501</v>
      </c>
      <c r="BA104" s="16" t="s">
        <v>502</v>
      </c>
      <c r="BC104" s="19">
        <f t="shared" si="123"/>
        <v>0</v>
      </c>
      <c r="BD104" s="19">
        <f t="shared" si="124"/>
        <v>0</v>
      </c>
      <c r="BE104" s="19">
        <v>0</v>
      </c>
      <c r="BF104" s="19">
        <f t="shared" si="125"/>
        <v>6.1200000000000004E-3</v>
      </c>
      <c r="BH104" s="19">
        <f t="shared" si="126"/>
        <v>0</v>
      </c>
      <c r="BI104" s="19">
        <f t="shared" si="127"/>
        <v>0</v>
      </c>
      <c r="BJ104" s="19">
        <f t="shared" si="128"/>
        <v>0</v>
      </c>
      <c r="BK104" s="19"/>
      <c r="BL104" s="19">
        <v>722</v>
      </c>
      <c r="BW104" s="19" t="str">
        <f t="shared" si="129"/>
        <v>12</v>
      </c>
      <c r="BX104" s="4" t="s">
        <v>72</v>
      </c>
    </row>
    <row r="105" spans="1:76" x14ac:dyDescent="0.25">
      <c r="A105" s="1" t="s">
        <v>512</v>
      </c>
      <c r="B105" s="2" t="s">
        <v>105</v>
      </c>
      <c r="C105" s="2" t="s">
        <v>73</v>
      </c>
      <c r="D105" s="108" t="s">
        <v>74</v>
      </c>
      <c r="E105" s="102"/>
      <c r="F105" s="2" t="s">
        <v>31</v>
      </c>
      <c r="G105" s="19">
        <f>'Rozpočet - vybrané sloupce'!J92</f>
        <v>48</v>
      </c>
      <c r="H105" s="19">
        <f>'Rozpočet - vybrané sloupce'!K92</f>
        <v>0</v>
      </c>
      <c r="I105" s="87" t="s">
        <v>427</v>
      </c>
      <c r="J105" s="19">
        <f t="shared" si="104"/>
        <v>0</v>
      </c>
      <c r="K105" s="19">
        <f t="shared" si="105"/>
        <v>0</v>
      </c>
      <c r="L105" s="19">
        <f t="shared" si="106"/>
        <v>0</v>
      </c>
      <c r="M105" s="19">
        <f t="shared" si="107"/>
        <v>0</v>
      </c>
      <c r="N105" s="19">
        <v>3.0000000000000001E-5</v>
      </c>
      <c r="O105" s="19">
        <f t="shared" si="108"/>
        <v>1.4400000000000001E-3</v>
      </c>
      <c r="P105" s="88" t="s">
        <v>428</v>
      </c>
      <c r="Z105" s="19">
        <f t="shared" si="109"/>
        <v>0</v>
      </c>
      <c r="AB105" s="19">
        <f t="shared" si="110"/>
        <v>0</v>
      </c>
      <c r="AC105" s="19">
        <f t="shared" si="111"/>
        <v>0</v>
      </c>
      <c r="AD105" s="19">
        <f t="shared" si="112"/>
        <v>0</v>
      </c>
      <c r="AE105" s="19">
        <f t="shared" si="113"/>
        <v>0</v>
      </c>
      <c r="AF105" s="19">
        <f t="shared" si="114"/>
        <v>0</v>
      </c>
      <c r="AG105" s="19">
        <f t="shared" si="115"/>
        <v>0</v>
      </c>
      <c r="AH105" s="19">
        <f t="shared" si="116"/>
        <v>0</v>
      </c>
      <c r="AI105" s="16" t="s">
        <v>105</v>
      </c>
      <c r="AJ105" s="19">
        <f t="shared" si="117"/>
        <v>0</v>
      </c>
      <c r="AK105" s="19">
        <f t="shared" si="118"/>
        <v>0</v>
      </c>
      <c r="AL105" s="19">
        <f t="shared" si="119"/>
        <v>0</v>
      </c>
      <c r="AN105" s="19">
        <v>12</v>
      </c>
      <c r="AO105" s="19">
        <f>H105*0.230663147</f>
        <v>0</v>
      </c>
      <c r="AP105" s="19">
        <f>H105*(1-0.230663147)</f>
        <v>0</v>
      </c>
      <c r="AQ105" s="87" t="s">
        <v>429</v>
      </c>
      <c r="AV105" s="19">
        <f t="shared" si="120"/>
        <v>0</v>
      </c>
      <c r="AW105" s="19">
        <f t="shared" si="121"/>
        <v>0</v>
      </c>
      <c r="AX105" s="19">
        <f t="shared" si="122"/>
        <v>0</v>
      </c>
      <c r="AY105" s="87" t="s">
        <v>430</v>
      </c>
      <c r="AZ105" s="87" t="s">
        <v>501</v>
      </c>
      <c r="BA105" s="16" t="s">
        <v>502</v>
      </c>
      <c r="BC105" s="19">
        <f t="shared" si="123"/>
        <v>0</v>
      </c>
      <c r="BD105" s="19">
        <f t="shared" si="124"/>
        <v>0</v>
      </c>
      <c r="BE105" s="19">
        <v>0</v>
      </c>
      <c r="BF105" s="19">
        <f t="shared" si="125"/>
        <v>1.4400000000000001E-3</v>
      </c>
      <c r="BH105" s="19">
        <f t="shared" si="126"/>
        <v>0</v>
      </c>
      <c r="BI105" s="19">
        <f t="shared" si="127"/>
        <v>0</v>
      </c>
      <c r="BJ105" s="19">
        <f t="shared" si="128"/>
        <v>0</v>
      </c>
      <c r="BK105" s="19"/>
      <c r="BL105" s="19">
        <v>722</v>
      </c>
      <c r="BW105" s="19" t="str">
        <f t="shared" si="129"/>
        <v>12</v>
      </c>
      <c r="BX105" s="4" t="s">
        <v>74</v>
      </c>
    </row>
    <row r="106" spans="1:76" x14ac:dyDescent="0.25">
      <c r="A106" s="1" t="s">
        <v>513</v>
      </c>
      <c r="B106" s="2" t="s">
        <v>105</v>
      </c>
      <c r="C106" s="2" t="s">
        <v>75</v>
      </c>
      <c r="D106" s="108" t="s">
        <v>76</v>
      </c>
      <c r="E106" s="102"/>
      <c r="F106" s="2" t="s">
        <v>31</v>
      </c>
      <c r="G106" s="19">
        <f>'Rozpočet - vybrané sloupce'!J93</f>
        <v>10</v>
      </c>
      <c r="H106" s="19">
        <f>'Rozpočet - vybrané sloupce'!K93</f>
        <v>0</v>
      </c>
      <c r="I106" s="87" t="s">
        <v>427</v>
      </c>
      <c r="J106" s="19">
        <f t="shared" si="104"/>
        <v>0</v>
      </c>
      <c r="K106" s="19">
        <f t="shared" si="105"/>
        <v>0</v>
      </c>
      <c r="L106" s="19">
        <f t="shared" si="106"/>
        <v>0</v>
      </c>
      <c r="M106" s="19">
        <f t="shared" si="107"/>
        <v>0</v>
      </c>
      <c r="N106" s="19">
        <v>6.0000000000000002E-5</v>
      </c>
      <c r="O106" s="19">
        <f t="shared" si="108"/>
        <v>6.0000000000000006E-4</v>
      </c>
      <c r="P106" s="88" t="s">
        <v>428</v>
      </c>
      <c r="Z106" s="19">
        <f t="shared" si="109"/>
        <v>0</v>
      </c>
      <c r="AB106" s="19">
        <f t="shared" si="110"/>
        <v>0</v>
      </c>
      <c r="AC106" s="19">
        <f t="shared" si="111"/>
        <v>0</v>
      </c>
      <c r="AD106" s="19">
        <f t="shared" si="112"/>
        <v>0</v>
      </c>
      <c r="AE106" s="19">
        <f t="shared" si="113"/>
        <v>0</v>
      </c>
      <c r="AF106" s="19">
        <f t="shared" si="114"/>
        <v>0</v>
      </c>
      <c r="AG106" s="19">
        <f t="shared" si="115"/>
        <v>0</v>
      </c>
      <c r="AH106" s="19">
        <f t="shared" si="116"/>
        <v>0</v>
      </c>
      <c r="AI106" s="16" t="s">
        <v>105</v>
      </c>
      <c r="AJ106" s="19">
        <f t="shared" si="117"/>
        <v>0</v>
      </c>
      <c r="AK106" s="19">
        <f t="shared" si="118"/>
        <v>0</v>
      </c>
      <c r="AL106" s="19">
        <f t="shared" si="119"/>
        <v>0</v>
      </c>
      <c r="AN106" s="19">
        <v>12</v>
      </c>
      <c r="AO106" s="19">
        <f>H106*0.243994253</f>
        <v>0</v>
      </c>
      <c r="AP106" s="19">
        <f>H106*(1-0.243994253)</f>
        <v>0</v>
      </c>
      <c r="AQ106" s="87" t="s">
        <v>429</v>
      </c>
      <c r="AV106" s="19">
        <f t="shared" si="120"/>
        <v>0</v>
      </c>
      <c r="AW106" s="19">
        <f t="shared" si="121"/>
        <v>0</v>
      </c>
      <c r="AX106" s="19">
        <f t="shared" si="122"/>
        <v>0</v>
      </c>
      <c r="AY106" s="87" t="s">
        <v>430</v>
      </c>
      <c r="AZ106" s="87" t="s">
        <v>501</v>
      </c>
      <c r="BA106" s="16" t="s">
        <v>502</v>
      </c>
      <c r="BC106" s="19">
        <f t="shared" si="123"/>
        <v>0</v>
      </c>
      <c r="BD106" s="19">
        <f t="shared" si="124"/>
        <v>0</v>
      </c>
      <c r="BE106" s="19">
        <v>0</v>
      </c>
      <c r="BF106" s="19">
        <f t="shared" si="125"/>
        <v>6.0000000000000006E-4</v>
      </c>
      <c r="BH106" s="19">
        <f t="shared" si="126"/>
        <v>0</v>
      </c>
      <c r="BI106" s="19">
        <f t="shared" si="127"/>
        <v>0</v>
      </c>
      <c r="BJ106" s="19">
        <f t="shared" si="128"/>
        <v>0</v>
      </c>
      <c r="BK106" s="19"/>
      <c r="BL106" s="19">
        <v>722</v>
      </c>
      <c r="BW106" s="19" t="str">
        <f t="shared" si="129"/>
        <v>12</v>
      </c>
      <c r="BX106" s="4" t="s">
        <v>76</v>
      </c>
    </row>
    <row r="107" spans="1:76" x14ac:dyDescent="0.25">
      <c r="A107" s="1" t="s">
        <v>514</v>
      </c>
      <c r="B107" s="2" t="s">
        <v>105</v>
      </c>
      <c r="C107" s="2" t="s">
        <v>77</v>
      </c>
      <c r="D107" s="108" t="s">
        <v>78</v>
      </c>
      <c r="E107" s="102"/>
      <c r="F107" s="2" t="s">
        <v>31</v>
      </c>
      <c r="G107" s="19">
        <f>'Rozpočet - vybrané sloupce'!J94</f>
        <v>28</v>
      </c>
      <c r="H107" s="19">
        <f>'Rozpočet - vybrané sloupce'!K94</f>
        <v>0</v>
      </c>
      <c r="I107" s="87" t="s">
        <v>427</v>
      </c>
      <c r="J107" s="19">
        <f t="shared" si="104"/>
        <v>0</v>
      </c>
      <c r="K107" s="19">
        <f t="shared" si="105"/>
        <v>0</v>
      </c>
      <c r="L107" s="19">
        <f t="shared" si="106"/>
        <v>0</v>
      </c>
      <c r="M107" s="19">
        <f t="shared" si="107"/>
        <v>0</v>
      </c>
      <c r="N107" s="19">
        <v>5.0000000000000002E-5</v>
      </c>
      <c r="O107" s="19">
        <f t="shared" si="108"/>
        <v>1.4E-3</v>
      </c>
      <c r="P107" s="88" t="s">
        <v>428</v>
      </c>
      <c r="Z107" s="19">
        <f t="shared" si="109"/>
        <v>0</v>
      </c>
      <c r="AB107" s="19">
        <f t="shared" si="110"/>
        <v>0</v>
      </c>
      <c r="AC107" s="19">
        <f t="shared" si="111"/>
        <v>0</v>
      </c>
      <c r="AD107" s="19">
        <f t="shared" si="112"/>
        <v>0</v>
      </c>
      <c r="AE107" s="19">
        <f t="shared" si="113"/>
        <v>0</v>
      </c>
      <c r="AF107" s="19">
        <f t="shared" si="114"/>
        <v>0</v>
      </c>
      <c r="AG107" s="19">
        <f t="shared" si="115"/>
        <v>0</v>
      </c>
      <c r="AH107" s="19">
        <f t="shared" si="116"/>
        <v>0</v>
      </c>
      <c r="AI107" s="16" t="s">
        <v>105</v>
      </c>
      <c r="AJ107" s="19">
        <f t="shared" si="117"/>
        <v>0</v>
      </c>
      <c r="AK107" s="19">
        <f t="shared" si="118"/>
        <v>0</v>
      </c>
      <c r="AL107" s="19">
        <f t="shared" si="119"/>
        <v>0</v>
      </c>
      <c r="AN107" s="19">
        <v>12</v>
      </c>
      <c r="AO107" s="19">
        <f>H107*0.242397018</f>
        <v>0</v>
      </c>
      <c r="AP107" s="19">
        <f>H107*(1-0.242397018)</f>
        <v>0</v>
      </c>
      <c r="AQ107" s="87" t="s">
        <v>429</v>
      </c>
      <c r="AV107" s="19">
        <f t="shared" si="120"/>
        <v>0</v>
      </c>
      <c r="AW107" s="19">
        <f t="shared" si="121"/>
        <v>0</v>
      </c>
      <c r="AX107" s="19">
        <f t="shared" si="122"/>
        <v>0</v>
      </c>
      <c r="AY107" s="87" t="s">
        <v>430</v>
      </c>
      <c r="AZ107" s="87" t="s">
        <v>501</v>
      </c>
      <c r="BA107" s="16" t="s">
        <v>502</v>
      </c>
      <c r="BC107" s="19">
        <f t="shared" si="123"/>
        <v>0</v>
      </c>
      <c r="BD107" s="19">
        <f t="shared" si="124"/>
        <v>0</v>
      </c>
      <c r="BE107" s="19">
        <v>0</v>
      </c>
      <c r="BF107" s="19">
        <f t="shared" si="125"/>
        <v>1.4E-3</v>
      </c>
      <c r="BH107" s="19">
        <f t="shared" si="126"/>
        <v>0</v>
      </c>
      <c r="BI107" s="19">
        <f t="shared" si="127"/>
        <v>0</v>
      </c>
      <c r="BJ107" s="19">
        <f t="shared" si="128"/>
        <v>0</v>
      </c>
      <c r="BK107" s="19"/>
      <c r="BL107" s="19">
        <v>722</v>
      </c>
      <c r="BW107" s="19" t="str">
        <f t="shared" si="129"/>
        <v>12</v>
      </c>
      <c r="BX107" s="4" t="s">
        <v>78</v>
      </c>
    </row>
    <row r="108" spans="1:76" x14ac:dyDescent="0.25">
      <c r="A108" s="1" t="s">
        <v>224</v>
      </c>
      <c r="B108" s="2" t="s">
        <v>105</v>
      </c>
      <c r="C108" s="2" t="s">
        <v>39</v>
      </c>
      <c r="D108" s="108" t="s">
        <v>40</v>
      </c>
      <c r="E108" s="102"/>
      <c r="F108" s="2" t="s">
        <v>31</v>
      </c>
      <c r="G108" s="19">
        <f>'Rozpočet - vybrané sloupce'!J95</f>
        <v>36</v>
      </c>
      <c r="H108" s="19">
        <f>'Rozpočet - vybrané sloupce'!K95</f>
        <v>0</v>
      </c>
      <c r="I108" s="87" t="s">
        <v>427</v>
      </c>
      <c r="J108" s="19">
        <f t="shared" si="104"/>
        <v>0</v>
      </c>
      <c r="K108" s="19">
        <f t="shared" si="105"/>
        <v>0</v>
      </c>
      <c r="L108" s="19">
        <f t="shared" si="106"/>
        <v>0</v>
      </c>
      <c r="M108" s="19">
        <f t="shared" si="107"/>
        <v>0</v>
      </c>
      <c r="N108" s="19">
        <v>9.0000000000000006E-5</v>
      </c>
      <c r="O108" s="19">
        <f t="shared" si="108"/>
        <v>3.2400000000000003E-3</v>
      </c>
      <c r="P108" s="88" t="s">
        <v>428</v>
      </c>
      <c r="Z108" s="19">
        <f t="shared" si="109"/>
        <v>0</v>
      </c>
      <c r="AB108" s="19">
        <f t="shared" si="110"/>
        <v>0</v>
      </c>
      <c r="AC108" s="19">
        <f t="shared" si="111"/>
        <v>0</v>
      </c>
      <c r="AD108" s="19">
        <f t="shared" si="112"/>
        <v>0</v>
      </c>
      <c r="AE108" s="19">
        <f t="shared" si="113"/>
        <v>0</v>
      </c>
      <c r="AF108" s="19">
        <f t="shared" si="114"/>
        <v>0</v>
      </c>
      <c r="AG108" s="19">
        <f t="shared" si="115"/>
        <v>0</v>
      </c>
      <c r="AH108" s="19">
        <f t="shared" si="116"/>
        <v>0</v>
      </c>
      <c r="AI108" s="16" t="s">
        <v>105</v>
      </c>
      <c r="AJ108" s="19">
        <f t="shared" si="117"/>
        <v>0</v>
      </c>
      <c r="AK108" s="19">
        <f t="shared" si="118"/>
        <v>0</v>
      </c>
      <c r="AL108" s="19">
        <f t="shared" si="119"/>
        <v>0</v>
      </c>
      <c r="AN108" s="19">
        <v>12</v>
      </c>
      <c r="AO108" s="19">
        <f>H108*0.255251613</f>
        <v>0</v>
      </c>
      <c r="AP108" s="19">
        <f>H108*(1-0.255251613)</f>
        <v>0</v>
      </c>
      <c r="AQ108" s="87" t="s">
        <v>429</v>
      </c>
      <c r="AV108" s="19">
        <f t="shared" si="120"/>
        <v>0</v>
      </c>
      <c r="AW108" s="19">
        <f t="shared" si="121"/>
        <v>0</v>
      </c>
      <c r="AX108" s="19">
        <f t="shared" si="122"/>
        <v>0</v>
      </c>
      <c r="AY108" s="87" t="s">
        <v>430</v>
      </c>
      <c r="AZ108" s="87" t="s">
        <v>501</v>
      </c>
      <c r="BA108" s="16" t="s">
        <v>502</v>
      </c>
      <c r="BC108" s="19">
        <f t="shared" si="123"/>
        <v>0</v>
      </c>
      <c r="BD108" s="19">
        <f t="shared" si="124"/>
        <v>0</v>
      </c>
      <c r="BE108" s="19">
        <v>0</v>
      </c>
      <c r="BF108" s="19">
        <f t="shared" si="125"/>
        <v>3.2400000000000003E-3</v>
      </c>
      <c r="BH108" s="19">
        <f t="shared" si="126"/>
        <v>0</v>
      </c>
      <c r="BI108" s="19">
        <f t="shared" si="127"/>
        <v>0</v>
      </c>
      <c r="BJ108" s="19">
        <f t="shared" si="128"/>
        <v>0</v>
      </c>
      <c r="BK108" s="19"/>
      <c r="BL108" s="19">
        <v>722</v>
      </c>
      <c r="BW108" s="19" t="str">
        <f t="shared" si="129"/>
        <v>12</v>
      </c>
      <c r="BX108" s="4" t="s">
        <v>40</v>
      </c>
    </row>
    <row r="109" spans="1:76" x14ac:dyDescent="0.25">
      <c r="A109" s="1" t="s">
        <v>515</v>
      </c>
      <c r="B109" s="2" t="s">
        <v>105</v>
      </c>
      <c r="C109" s="2" t="s">
        <v>41</v>
      </c>
      <c r="D109" s="108" t="s">
        <v>42</v>
      </c>
      <c r="E109" s="102"/>
      <c r="F109" s="2" t="s">
        <v>31</v>
      </c>
      <c r="G109" s="19">
        <f>'Rozpočet - vybrané sloupce'!J96</f>
        <v>80</v>
      </c>
      <c r="H109" s="19">
        <f>'Rozpočet - vybrané sloupce'!K96</f>
        <v>0</v>
      </c>
      <c r="I109" s="87" t="s">
        <v>427</v>
      </c>
      <c r="J109" s="19">
        <f t="shared" si="104"/>
        <v>0</v>
      </c>
      <c r="K109" s="19">
        <f t="shared" si="105"/>
        <v>0</v>
      </c>
      <c r="L109" s="19">
        <f t="shared" si="106"/>
        <v>0</v>
      </c>
      <c r="M109" s="19">
        <f t="shared" si="107"/>
        <v>0</v>
      </c>
      <c r="N109" s="19">
        <v>6.9999999999999994E-5</v>
      </c>
      <c r="O109" s="19">
        <f t="shared" si="108"/>
        <v>5.5999999999999991E-3</v>
      </c>
      <c r="P109" s="88" t="s">
        <v>428</v>
      </c>
      <c r="Z109" s="19">
        <f t="shared" si="109"/>
        <v>0</v>
      </c>
      <c r="AB109" s="19">
        <f t="shared" si="110"/>
        <v>0</v>
      </c>
      <c r="AC109" s="19">
        <f t="shared" si="111"/>
        <v>0</v>
      </c>
      <c r="AD109" s="19">
        <f t="shared" si="112"/>
        <v>0</v>
      </c>
      <c r="AE109" s="19">
        <f t="shared" si="113"/>
        <v>0</v>
      </c>
      <c r="AF109" s="19">
        <f t="shared" si="114"/>
        <v>0</v>
      </c>
      <c r="AG109" s="19">
        <f t="shared" si="115"/>
        <v>0</v>
      </c>
      <c r="AH109" s="19">
        <f t="shared" si="116"/>
        <v>0</v>
      </c>
      <c r="AI109" s="16" t="s">
        <v>105</v>
      </c>
      <c r="AJ109" s="19">
        <f t="shared" si="117"/>
        <v>0</v>
      </c>
      <c r="AK109" s="19">
        <f t="shared" si="118"/>
        <v>0</v>
      </c>
      <c r="AL109" s="19">
        <f t="shared" si="119"/>
        <v>0</v>
      </c>
      <c r="AN109" s="19">
        <v>12</v>
      </c>
      <c r="AO109" s="19">
        <f>H109*0.523262036</f>
        <v>0</v>
      </c>
      <c r="AP109" s="19">
        <f>H109*(1-0.523262036)</f>
        <v>0</v>
      </c>
      <c r="AQ109" s="87" t="s">
        <v>429</v>
      </c>
      <c r="AV109" s="19">
        <f t="shared" si="120"/>
        <v>0</v>
      </c>
      <c r="AW109" s="19">
        <f t="shared" si="121"/>
        <v>0</v>
      </c>
      <c r="AX109" s="19">
        <f t="shared" si="122"/>
        <v>0</v>
      </c>
      <c r="AY109" s="87" t="s">
        <v>430</v>
      </c>
      <c r="AZ109" s="87" t="s">
        <v>501</v>
      </c>
      <c r="BA109" s="16" t="s">
        <v>502</v>
      </c>
      <c r="BC109" s="19">
        <f t="shared" si="123"/>
        <v>0</v>
      </c>
      <c r="BD109" s="19">
        <f t="shared" si="124"/>
        <v>0</v>
      </c>
      <c r="BE109" s="19">
        <v>0</v>
      </c>
      <c r="BF109" s="19">
        <f t="shared" si="125"/>
        <v>5.5999999999999991E-3</v>
      </c>
      <c r="BH109" s="19">
        <f t="shared" si="126"/>
        <v>0</v>
      </c>
      <c r="BI109" s="19">
        <f t="shared" si="127"/>
        <v>0</v>
      </c>
      <c r="BJ109" s="19">
        <f t="shared" si="128"/>
        <v>0</v>
      </c>
      <c r="BK109" s="19"/>
      <c r="BL109" s="19">
        <v>722</v>
      </c>
      <c r="BW109" s="19" t="str">
        <f t="shared" si="129"/>
        <v>12</v>
      </c>
      <c r="BX109" s="4" t="s">
        <v>42</v>
      </c>
    </row>
    <row r="110" spans="1:76" x14ac:dyDescent="0.25">
      <c r="A110" s="1" t="s">
        <v>516</v>
      </c>
      <c r="B110" s="2" t="s">
        <v>105</v>
      </c>
      <c r="C110" s="2" t="s">
        <v>79</v>
      </c>
      <c r="D110" s="108" t="s">
        <v>80</v>
      </c>
      <c r="E110" s="102"/>
      <c r="F110" s="2" t="s">
        <v>31</v>
      </c>
      <c r="G110" s="19">
        <f>'Rozpočet - vybrané sloupce'!J97</f>
        <v>28</v>
      </c>
      <c r="H110" s="19">
        <f>'Rozpočet - vybrané sloupce'!K97</f>
        <v>0</v>
      </c>
      <c r="I110" s="87" t="s">
        <v>427</v>
      </c>
      <c r="J110" s="19">
        <f t="shared" si="104"/>
        <v>0</v>
      </c>
      <c r="K110" s="19">
        <f t="shared" si="105"/>
        <v>0</v>
      </c>
      <c r="L110" s="19">
        <f t="shared" si="106"/>
        <v>0</v>
      </c>
      <c r="M110" s="19">
        <f t="shared" si="107"/>
        <v>0</v>
      </c>
      <c r="N110" s="19">
        <v>8.0000000000000007E-5</v>
      </c>
      <c r="O110" s="19">
        <f t="shared" si="108"/>
        <v>2.2400000000000002E-3</v>
      </c>
      <c r="P110" s="88" t="s">
        <v>428</v>
      </c>
      <c r="Z110" s="19">
        <f t="shared" si="109"/>
        <v>0</v>
      </c>
      <c r="AB110" s="19">
        <f t="shared" si="110"/>
        <v>0</v>
      </c>
      <c r="AC110" s="19">
        <f t="shared" si="111"/>
        <v>0</v>
      </c>
      <c r="AD110" s="19">
        <f t="shared" si="112"/>
        <v>0</v>
      </c>
      <c r="AE110" s="19">
        <f t="shared" si="113"/>
        <v>0</v>
      </c>
      <c r="AF110" s="19">
        <f t="shared" si="114"/>
        <v>0</v>
      </c>
      <c r="AG110" s="19">
        <f t="shared" si="115"/>
        <v>0</v>
      </c>
      <c r="AH110" s="19">
        <f t="shared" si="116"/>
        <v>0</v>
      </c>
      <c r="AI110" s="16" t="s">
        <v>105</v>
      </c>
      <c r="AJ110" s="19">
        <f t="shared" si="117"/>
        <v>0</v>
      </c>
      <c r="AK110" s="19">
        <f t="shared" si="118"/>
        <v>0</v>
      </c>
      <c r="AL110" s="19">
        <f t="shared" si="119"/>
        <v>0</v>
      </c>
      <c r="AN110" s="19">
        <v>12</v>
      </c>
      <c r="AO110" s="19">
        <f>H110*0.527714286</f>
        <v>0</v>
      </c>
      <c r="AP110" s="19">
        <f>H110*(1-0.527714286)</f>
        <v>0</v>
      </c>
      <c r="AQ110" s="87" t="s">
        <v>429</v>
      </c>
      <c r="AV110" s="19">
        <f t="shared" si="120"/>
        <v>0</v>
      </c>
      <c r="AW110" s="19">
        <f t="shared" si="121"/>
        <v>0</v>
      </c>
      <c r="AX110" s="19">
        <f t="shared" si="122"/>
        <v>0</v>
      </c>
      <c r="AY110" s="87" t="s">
        <v>430</v>
      </c>
      <c r="AZ110" s="87" t="s">
        <v>501</v>
      </c>
      <c r="BA110" s="16" t="s">
        <v>502</v>
      </c>
      <c r="BC110" s="19">
        <f t="shared" si="123"/>
        <v>0</v>
      </c>
      <c r="BD110" s="19">
        <f t="shared" si="124"/>
        <v>0</v>
      </c>
      <c r="BE110" s="19">
        <v>0</v>
      </c>
      <c r="BF110" s="19">
        <f t="shared" si="125"/>
        <v>2.2400000000000002E-3</v>
      </c>
      <c r="BH110" s="19">
        <f t="shared" si="126"/>
        <v>0</v>
      </c>
      <c r="BI110" s="19">
        <f t="shared" si="127"/>
        <v>0</v>
      </c>
      <c r="BJ110" s="19">
        <f t="shared" si="128"/>
        <v>0</v>
      </c>
      <c r="BK110" s="19"/>
      <c r="BL110" s="19">
        <v>722</v>
      </c>
      <c r="BW110" s="19" t="str">
        <f t="shared" si="129"/>
        <v>12</v>
      </c>
      <c r="BX110" s="4" t="s">
        <v>80</v>
      </c>
    </row>
    <row r="111" spans="1:76" x14ac:dyDescent="0.25">
      <c r="A111" s="1" t="s">
        <v>517</v>
      </c>
      <c r="B111" s="2" t="s">
        <v>105</v>
      </c>
      <c r="C111" s="2" t="s">
        <v>43</v>
      </c>
      <c r="D111" s="108" t="s">
        <v>44</v>
      </c>
      <c r="E111" s="102"/>
      <c r="F111" s="2" t="s">
        <v>31</v>
      </c>
      <c r="G111" s="19">
        <f>'Rozpočet - vybrané sloupce'!J98</f>
        <v>36</v>
      </c>
      <c r="H111" s="19">
        <f>'Rozpočet - vybrané sloupce'!K98</f>
        <v>0</v>
      </c>
      <c r="I111" s="87" t="s">
        <v>427</v>
      </c>
      <c r="J111" s="19">
        <f t="shared" si="104"/>
        <v>0</v>
      </c>
      <c r="K111" s="19">
        <f t="shared" si="105"/>
        <v>0</v>
      </c>
      <c r="L111" s="19">
        <f t="shared" si="106"/>
        <v>0</v>
      </c>
      <c r="M111" s="19">
        <f t="shared" si="107"/>
        <v>0</v>
      </c>
      <c r="N111" s="19">
        <v>1.2999999999999999E-4</v>
      </c>
      <c r="O111" s="19">
        <f t="shared" si="108"/>
        <v>4.6799999999999993E-3</v>
      </c>
      <c r="P111" s="88" t="s">
        <v>428</v>
      </c>
      <c r="Z111" s="19">
        <f t="shared" si="109"/>
        <v>0</v>
      </c>
      <c r="AB111" s="19">
        <f t="shared" si="110"/>
        <v>0</v>
      </c>
      <c r="AC111" s="19">
        <f t="shared" si="111"/>
        <v>0</v>
      </c>
      <c r="AD111" s="19">
        <f t="shared" si="112"/>
        <v>0</v>
      </c>
      <c r="AE111" s="19">
        <f t="shared" si="113"/>
        <v>0</v>
      </c>
      <c r="AF111" s="19">
        <f t="shared" si="114"/>
        <v>0</v>
      </c>
      <c r="AG111" s="19">
        <f t="shared" si="115"/>
        <v>0</v>
      </c>
      <c r="AH111" s="19">
        <f t="shared" si="116"/>
        <v>0</v>
      </c>
      <c r="AI111" s="16" t="s">
        <v>105</v>
      </c>
      <c r="AJ111" s="19">
        <f t="shared" si="117"/>
        <v>0</v>
      </c>
      <c r="AK111" s="19">
        <f t="shared" si="118"/>
        <v>0</v>
      </c>
      <c r="AL111" s="19">
        <f t="shared" si="119"/>
        <v>0</v>
      </c>
      <c r="AN111" s="19">
        <v>12</v>
      </c>
      <c r="AO111" s="19">
        <f>H111*0.526485197</f>
        <v>0</v>
      </c>
      <c r="AP111" s="19">
        <f>H111*(1-0.526485197)</f>
        <v>0</v>
      </c>
      <c r="AQ111" s="87" t="s">
        <v>429</v>
      </c>
      <c r="AV111" s="19">
        <f t="shared" si="120"/>
        <v>0</v>
      </c>
      <c r="AW111" s="19">
        <f t="shared" si="121"/>
        <v>0</v>
      </c>
      <c r="AX111" s="19">
        <f t="shared" si="122"/>
        <v>0</v>
      </c>
      <c r="AY111" s="87" t="s">
        <v>430</v>
      </c>
      <c r="AZ111" s="87" t="s">
        <v>501</v>
      </c>
      <c r="BA111" s="16" t="s">
        <v>502</v>
      </c>
      <c r="BC111" s="19">
        <f t="shared" si="123"/>
        <v>0</v>
      </c>
      <c r="BD111" s="19">
        <f t="shared" si="124"/>
        <v>0</v>
      </c>
      <c r="BE111" s="19">
        <v>0</v>
      </c>
      <c r="BF111" s="19">
        <f t="shared" si="125"/>
        <v>4.6799999999999993E-3</v>
      </c>
      <c r="BH111" s="19">
        <f t="shared" si="126"/>
        <v>0</v>
      </c>
      <c r="BI111" s="19">
        <f t="shared" si="127"/>
        <v>0</v>
      </c>
      <c r="BJ111" s="19">
        <f t="shared" si="128"/>
        <v>0</v>
      </c>
      <c r="BK111" s="19"/>
      <c r="BL111" s="19">
        <v>722</v>
      </c>
      <c r="BW111" s="19" t="str">
        <f t="shared" si="129"/>
        <v>12</v>
      </c>
      <c r="BX111" s="4" t="s">
        <v>44</v>
      </c>
    </row>
    <row r="112" spans="1:76" x14ac:dyDescent="0.25">
      <c r="A112" s="1" t="s">
        <v>518</v>
      </c>
      <c r="B112" s="2" t="s">
        <v>105</v>
      </c>
      <c r="C112" s="2" t="s">
        <v>81</v>
      </c>
      <c r="D112" s="108" t="s">
        <v>82</v>
      </c>
      <c r="E112" s="102"/>
      <c r="F112" s="2" t="s">
        <v>62</v>
      </c>
      <c r="G112" s="19">
        <f>'Rozpočet - vybrané sloupce'!J99</f>
        <v>96</v>
      </c>
      <c r="H112" s="19">
        <f>'Rozpočet - vybrané sloupce'!K99</f>
        <v>0</v>
      </c>
      <c r="I112" s="87" t="s">
        <v>427</v>
      </c>
      <c r="J112" s="19">
        <f t="shared" si="104"/>
        <v>0</v>
      </c>
      <c r="K112" s="19">
        <f t="shared" si="105"/>
        <v>0</v>
      </c>
      <c r="L112" s="19">
        <f t="shared" si="106"/>
        <v>0</v>
      </c>
      <c r="M112" s="19">
        <f t="shared" si="107"/>
        <v>0</v>
      </c>
      <c r="N112" s="19">
        <v>0</v>
      </c>
      <c r="O112" s="19">
        <f t="shared" si="108"/>
        <v>0</v>
      </c>
      <c r="P112" s="88" t="s">
        <v>428</v>
      </c>
      <c r="Z112" s="19">
        <f t="shared" si="109"/>
        <v>0</v>
      </c>
      <c r="AB112" s="19">
        <f t="shared" si="110"/>
        <v>0</v>
      </c>
      <c r="AC112" s="19">
        <f t="shared" si="111"/>
        <v>0</v>
      </c>
      <c r="AD112" s="19">
        <f t="shared" si="112"/>
        <v>0</v>
      </c>
      <c r="AE112" s="19">
        <f t="shared" si="113"/>
        <v>0</v>
      </c>
      <c r="AF112" s="19">
        <f t="shared" si="114"/>
        <v>0</v>
      </c>
      <c r="AG112" s="19">
        <f t="shared" si="115"/>
        <v>0</v>
      </c>
      <c r="AH112" s="19">
        <f t="shared" si="116"/>
        <v>0</v>
      </c>
      <c r="AI112" s="16" t="s">
        <v>105</v>
      </c>
      <c r="AJ112" s="19">
        <f t="shared" si="117"/>
        <v>0</v>
      </c>
      <c r="AK112" s="19">
        <f t="shared" si="118"/>
        <v>0</v>
      </c>
      <c r="AL112" s="19">
        <f t="shared" si="119"/>
        <v>0</v>
      </c>
      <c r="AN112" s="19">
        <v>12</v>
      </c>
      <c r="AO112" s="19">
        <f>H112*1.000045096</f>
        <v>0</v>
      </c>
      <c r="AP112" s="19">
        <f>H112*(1-1.000045096)</f>
        <v>0</v>
      </c>
      <c r="AQ112" s="87" t="s">
        <v>429</v>
      </c>
      <c r="AV112" s="19">
        <f t="shared" si="120"/>
        <v>0</v>
      </c>
      <c r="AW112" s="19">
        <f t="shared" si="121"/>
        <v>0</v>
      </c>
      <c r="AX112" s="19">
        <f t="shared" si="122"/>
        <v>0</v>
      </c>
      <c r="AY112" s="87" t="s">
        <v>430</v>
      </c>
      <c r="AZ112" s="87" t="s">
        <v>501</v>
      </c>
      <c r="BA112" s="16" t="s">
        <v>502</v>
      </c>
      <c r="BC112" s="19">
        <f t="shared" si="123"/>
        <v>0</v>
      </c>
      <c r="BD112" s="19">
        <f t="shared" si="124"/>
        <v>0</v>
      </c>
      <c r="BE112" s="19">
        <v>0</v>
      </c>
      <c r="BF112" s="19">
        <f t="shared" si="125"/>
        <v>0</v>
      </c>
      <c r="BH112" s="19">
        <f t="shared" si="126"/>
        <v>0</v>
      </c>
      <c r="BI112" s="19">
        <f t="shared" si="127"/>
        <v>0</v>
      </c>
      <c r="BJ112" s="19">
        <f t="shared" si="128"/>
        <v>0</v>
      </c>
      <c r="BK112" s="19"/>
      <c r="BL112" s="19">
        <v>722</v>
      </c>
      <c r="BW112" s="19" t="str">
        <f t="shared" si="129"/>
        <v>12</v>
      </c>
      <c r="BX112" s="4" t="s">
        <v>82</v>
      </c>
    </row>
    <row r="113" spans="1:76" x14ac:dyDescent="0.25">
      <c r="A113" s="1" t="s">
        <v>519</v>
      </c>
      <c r="B113" s="2" t="s">
        <v>105</v>
      </c>
      <c r="C113" s="2" t="s">
        <v>83</v>
      </c>
      <c r="D113" s="108" t="s">
        <v>84</v>
      </c>
      <c r="E113" s="102"/>
      <c r="F113" s="2" t="s">
        <v>62</v>
      </c>
      <c r="G113" s="19">
        <f>'Rozpočet - vybrané sloupce'!J100</f>
        <v>48</v>
      </c>
      <c r="H113" s="19">
        <f>'Rozpočet - vybrané sloupce'!K100</f>
        <v>0</v>
      </c>
      <c r="I113" s="87" t="s">
        <v>427</v>
      </c>
      <c r="J113" s="19">
        <f t="shared" si="104"/>
        <v>0</v>
      </c>
      <c r="K113" s="19">
        <f t="shared" si="105"/>
        <v>0</v>
      </c>
      <c r="L113" s="19">
        <f t="shared" si="106"/>
        <v>0</v>
      </c>
      <c r="M113" s="19">
        <f t="shared" si="107"/>
        <v>0</v>
      </c>
      <c r="N113" s="19">
        <v>2.4000000000000001E-4</v>
      </c>
      <c r="O113" s="19">
        <f t="shared" si="108"/>
        <v>1.1520000000000001E-2</v>
      </c>
      <c r="P113" s="88" t="s">
        <v>428</v>
      </c>
      <c r="Z113" s="19">
        <f t="shared" si="109"/>
        <v>0</v>
      </c>
      <c r="AB113" s="19">
        <f t="shared" si="110"/>
        <v>0</v>
      </c>
      <c r="AC113" s="19">
        <f t="shared" si="111"/>
        <v>0</v>
      </c>
      <c r="AD113" s="19">
        <f t="shared" si="112"/>
        <v>0</v>
      </c>
      <c r="AE113" s="19">
        <f t="shared" si="113"/>
        <v>0</v>
      </c>
      <c r="AF113" s="19">
        <f t="shared" si="114"/>
        <v>0</v>
      </c>
      <c r="AG113" s="19">
        <f t="shared" si="115"/>
        <v>0</v>
      </c>
      <c r="AH113" s="19">
        <f t="shared" si="116"/>
        <v>0</v>
      </c>
      <c r="AI113" s="16" t="s">
        <v>105</v>
      </c>
      <c r="AJ113" s="19">
        <f t="shared" si="117"/>
        <v>0</v>
      </c>
      <c r="AK113" s="19">
        <f t="shared" si="118"/>
        <v>0</v>
      </c>
      <c r="AL113" s="19">
        <f t="shared" si="119"/>
        <v>0</v>
      </c>
      <c r="AN113" s="19">
        <v>12</v>
      </c>
      <c r="AO113" s="19">
        <f>H113*0.728215883</f>
        <v>0</v>
      </c>
      <c r="AP113" s="19">
        <f>H113*(1-0.728215883)</f>
        <v>0</v>
      </c>
      <c r="AQ113" s="87" t="s">
        <v>429</v>
      </c>
      <c r="AV113" s="19">
        <f t="shared" si="120"/>
        <v>0</v>
      </c>
      <c r="AW113" s="19">
        <f t="shared" si="121"/>
        <v>0</v>
      </c>
      <c r="AX113" s="19">
        <f t="shared" si="122"/>
        <v>0</v>
      </c>
      <c r="AY113" s="87" t="s">
        <v>430</v>
      </c>
      <c r="AZ113" s="87" t="s">
        <v>501</v>
      </c>
      <c r="BA113" s="16" t="s">
        <v>502</v>
      </c>
      <c r="BC113" s="19">
        <f t="shared" si="123"/>
        <v>0</v>
      </c>
      <c r="BD113" s="19">
        <f t="shared" si="124"/>
        <v>0</v>
      </c>
      <c r="BE113" s="19">
        <v>0</v>
      </c>
      <c r="BF113" s="19">
        <f t="shared" si="125"/>
        <v>1.1520000000000001E-2</v>
      </c>
      <c r="BH113" s="19">
        <f t="shared" si="126"/>
        <v>0</v>
      </c>
      <c r="BI113" s="19">
        <f t="shared" si="127"/>
        <v>0</v>
      </c>
      <c r="BJ113" s="19">
        <f t="shared" si="128"/>
        <v>0</v>
      </c>
      <c r="BK113" s="19"/>
      <c r="BL113" s="19">
        <v>722</v>
      </c>
      <c r="BW113" s="19" t="str">
        <f t="shared" si="129"/>
        <v>12</v>
      </c>
      <c r="BX113" s="4" t="s">
        <v>84</v>
      </c>
    </row>
    <row r="114" spans="1:76" x14ac:dyDescent="0.25">
      <c r="A114" s="1" t="s">
        <v>520</v>
      </c>
      <c r="B114" s="2" t="s">
        <v>105</v>
      </c>
      <c r="C114" s="2" t="s">
        <v>85</v>
      </c>
      <c r="D114" s="108" t="s">
        <v>86</v>
      </c>
      <c r="E114" s="102"/>
      <c r="F114" s="2" t="s">
        <v>62</v>
      </c>
      <c r="G114" s="19">
        <f>'Rozpočet - vybrané sloupce'!J101</f>
        <v>48</v>
      </c>
      <c r="H114" s="19">
        <f>'Rozpočet - vybrané sloupce'!K101</f>
        <v>0</v>
      </c>
      <c r="I114" s="87" t="s">
        <v>427</v>
      </c>
      <c r="J114" s="19">
        <f t="shared" si="104"/>
        <v>0</v>
      </c>
      <c r="K114" s="19">
        <f t="shared" si="105"/>
        <v>0</v>
      </c>
      <c r="L114" s="19">
        <f t="shared" si="106"/>
        <v>0</v>
      </c>
      <c r="M114" s="19">
        <f t="shared" si="107"/>
        <v>0</v>
      </c>
      <c r="N114" s="19">
        <v>1.1E-4</v>
      </c>
      <c r="O114" s="19">
        <f t="shared" si="108"/>
        <v>5.28E-3</v>
      </c>
      <c r="P114" s="88" t="s">
        <v>428</v>
      </c>
      <c r="Z114" s="19">
        <f t="shared" si="109"/>
        <v>0</v>
      </c>
      <c r="AB114" s="19">
        <f t="shared" si="110"/>
        <v>0</v>
      </c>
      <c r="AC114" s="19">
        <f t="shared" si="111"/>
        <v>0</v>
      </c>
      <c r="AD114" s="19">
        <f t="shared" si="112"/>
        <v>0</v>
      </c>
      <c r="AE114" s="19">
        <f t="shared" si="113"/>
        <v>0</v>
      </c>
      <c r="AF114" s="19">
        <f t="shared" si="114"/>
        <v>0</v>
      </c>
      <c r="AG114" s="19">
        <f t="shared" si="115"/>
        <v>0</v>
      </c>
      <c r="AH114" s="19">
        <f t="shared" si="116"/>
        <v>0</v>
      </c>
      <c r="AI114" s="16" t="s">
        <v>105</v>
      </c>
      <c r="AJ114" s="19">
        <f t="shared" si="117"/>
        <v>0</v>
      </c>
      <c r="AK114" s="19">
        <f t="shared" si="118"/>
        <v>0</v>
      </c>
      <c r="AL114" s="19">
        <f t="shared" si="119"/>
        <v>0</v>
      </c>
      <c r="AN114" s="19">
        <v>12</v>
      </c>
      <c r="AO114" s="19">
        <f>H114*0.699411029</f>
        <v>0</v>
      </c>
      <c r="AP114" s="19">
        <f>H114*(1-0.699411029)</f>
        <v>0</v>
      </c>
      <c r="AQ114" s="87" t="s">
        <v>429</v>
      </c>
      <c r="AV114" s="19">
        <f t="shared" si="120"/>
        <v>0</v>
      </c>
      <c r="AW114" s="19">
        <f t="shared" si="121"/>
        <v>0</v>
      </c>
      <c r="AX114" s="19">
        <f t="shared" si="122"/>
        <v>0</v>
      </c>
      <c r="AY114" s="87" t="s">
        <v>430</v>
      </c>
      <c r="AZ114" s="87" t="s">
        <v>501</v>
      </c>
      <c r="BA114" s="16" t="s">
        <v>502</v>
      </c>
      <c r="BC114" s="19">
        <f t="shared" si="123"/>
        <v>0</v>
      </c>
      <c r="BD114" s="19">
        <f t="shared" si="124"/>
        <v>0</v>
      </c>
      <c r="BE114" s="19">
        <v>0</v>
      </c>
      <c r="BF114" s="19">
        <f t="shared" si="125"/>
        <v>5.28E-3</v>
      </c>
      <c r="BH114" s="19">
        <f t="shared" si="126"/>
        <v>0</v>
      </c>
      <c r="BI114" s="19">
        <f t="shared" si="127"/>
        <v>0</v>
      </c>
      <c r="BJ114" s="19">
        <f t="shared" si="128"/>
        <v>0</v>
      </c>
      <c r="BK114" s="19"/>
      <c r="BL114" s="19">
        <v>722</v>
      </c>
      <c r="BW114" s="19" t="str">
        <f t="shared" si="129"/>
        <v>12</v>
      </c>
      <c r="BX114" s="4" t="s">
        <v>86</v>
      </c>
    </row>
    <row r="115" spans="1:76" x14ac:dyDescent="0.25">
      <c r="A115" s="1" t="s">
        <v>521</v>
      </c>
      <c r="B115" s="2" t="s">
        <v>105</v>
      </c>
      <c r="C115" s="2" t="s">
        <v>87</v>
      </c>
      <c r="D115" s="108" t="s">
        <v>88</v>
      </c>
      <c r="E115" s="102"/>
      <c r="F115" s="2" t="s">
        <v>62</v>
      </c>
      <c r="G115" s="19">
        <f>'Rozpočet - vybrané sloupce'!J102</f>
        <v>48</v>
      </c>
      <c r="H115" s="19">
        <f>'Rozpočet - vybrané sloupce'!K102</f>
        <v>0</v>
      </c>
      <c r="I115" s="87" t="s">
        <v>427</v>
      </c>
      <c r="J115" s="19">
        <f t="shared" si="104"/>
        <v>0</v>
      </c>
      <c r="K115" s="19">
        <f t="shared" si="105"/>
        <v>0</v>
      </c>
      <c r="L115" s="19">
        <f t="shared" si="106"/>
        <v>0</v>
      </c>
      <c r="M115" s="19">
        <f t="shared" si="107"/>
        <v>0</v>
      </c>
      <c r="N115" s="19">
        <v>5.4900000000000001E-3</v>
      </c>
      <c r="O115" s="19">
        <f t="shared" si="108"/>
        <v>0.26351999999999998</v>
      </c>
      <c r="P115" s="88" t="s">
        <v>428</v>
      </c>
      <c r="Z115" s="19">
        <f t="shared" si="109"/>
        <v>0</v>
      </c>
      <c r="AB115" s="19">
        <f t="shared" si="110"/>
        <v>0</v>
      </c>
      <c r="AC115" s="19">
        <f t="shared" si="111"/>
        <v>0</v>
      </c>
      <c r="AD115" s="19">
        <f t="shared" si="112"/>
        <v>0</v>
      </c>
      <c r="AE115" s="19">
        <f t="shared" si="113"/>
        <v>0</v>
      </c>
      <c r="AF115" s="19">
        <f t="shared" si="114"/>
        <v>0</v>
      </c>
      <c r="AG115" s="19">
        <f t="shared" si="115"/>
        <v>0</v>
      </c>
      <c r="AH115" s="19">
        <f t="shared" si="116"/>
        <v>0</v>
      </c>
      <c r="AI115" s="16" t="s">
        <v>105</v>
      </c>
      <c r="AJ115" s="19">
        <f t="shared" si="117"/>
        <v>0</v>
      </c>
      <c r="AK115" s="19">
        <f t="shared" si="118"/>
        <v>0</v>
      </c>
      <c r="AL115" s="19">
        <f t="shared" si="119"/>
        <v>0</v>
      </c>
      <c r="AN115" s="19">
        <v>12</v>
      </c>
      <c r="AO115" s="19">
        <f>H115*0</f>
        <v>0</v>
      </c>
      <c r="AP115" s="19">
        <f>H115*(1-0)</f>
        <v>0</v>
      </c>
      <c r="AQ115" s="87" t="s">
        <v>429</v>
      </c>
      <c r="AV115" s="19">
        <f t="shared" si="120"/>
        <v>0</v>
      </c>
      <c r="AW115" s="19">
        <f t="shared" si="121"/>
        <v>0</v>
      </c>
      <c r="AX115" s="19">
        <f t="shared" si="122"/>
        <v>0</v>
      </c>
      <c r="AY115" s="87" t="s">
        <v>430</v>
      </c>
      <c r="AZ115" s="87" t="s">
        <v>501</v>
      </c>
      <c r="BA115" s="16" t="s">
        <v>502</v>
      </c>
      <c r="BC115" s="19">
        <f t="shared" si="123"/>
        <v>0</v>
      </c>
      <c r="BD115" s="19">
        <f t="shared" si="124"/>
        <v>0</v>
      </c>
      <c r="BE115" s="19">
        <v>0</v>
      </c>
      <c r="BF115" s="19">
        <f t="shared" si="125"/>
        <v>0.26351999999999998</v>
      </c>
      <c r="BH115" s="19">
        <f t="shared" si="126"/>
        <v>0</v>
      </c>
      <c r="BI115" s="19">
        <f t="shared" si="127"/>
        <v>0</v>
      </c>
      <c r="BJ115" s="19">
        <f t="shared" si="128"/>
        <v>0</v>
      </c>
      <c r="BK115" s="19"/>
      <c r="BL115" s="19">
        <v>722</v>
      </c>
      <c r="BW115" s="19" t="str">
        <f t="shared" si="129"/>
        <v>12</v>
      </c>
      <c r="BX115" s="4" t="s">
        <v>88</v>
      </c>
    </row>
    <row r="116" spans="1:76" x14ac:dyDescent="0.25">
      <c r="A116" s="1" t="s">
        <v>522</v>
      </c>
      <c r="B116" s="2" t="s">
        <v>105</v>
      </c>
      <c r="C116" s="2" t="s">
        <v>89</v>
      </c>
      <c r="D116" s="108" t="s">
        <v>90</v>
      </c>
      <c r="E116" s="102"/>
      <c r="F116" s="2" t="s">
        <v>62</v>
      </c>
      <c r="G116" s="19">
        <f>'Rozpočet - vybrané sloupce'!J103</f>
        <v>48</v>
      </c>
      <c r="H116" s="19">
        <f>'Rozpočet - vybrané sloupce'!K103</f>
        <v>0</v>
      </c>
      <c r="I116" s="87" t="s">
        <v>427</v>
      </c>
      <c r="J116" s="19">
        <f t="shared" si="104"/>
        <v>0</v>
      </c>
      <c r="K116" s="19">
        <f t="shared" si="105"/>
        <v>0</v>
      </c>
      <c r="L116" s="19">
        <f t="shared" si="106"/>
        <v>0</v>
      </c>
      <c r="M116" s="19">
        <f t="shared" si="107"/>
        <v>0</v>
      </c>
      <c r="N116" s="19">
        <v>2.0000000000000002E-5</v>
      </c>
      <c r="O116" s="19">
        <f t="shared" si="108"/>
        <v>9.6000000000000013E-4</v>
      </c>
      <c r="P116" s="88" t="s">
        <v>428</v>
      </c>
      <c r="Z116" s="19">
        <f t="shared" si="109"/>
        <v>0</v>
      </c>
      <c r="AB116" s="19">
        <f t="shared" si="110"/>
        <v>0</v>
      </c>
      <c r="AC116" s="19">
        <f t="shared" si="111"/>
        <v>0</v>
      </c>
      <c r="AD116" s="19">
        <f t="shared" si="112"/>
        <v>0</v>
      </c>
      <c r="AE116" s="19">
        <f t="shared" si="113"/>
        <v>0</v>
      </c>
      <c r="AF116" s="19">
        <f t="shared" si="114"/>
        <v>0</v>
      </c>
      <c r="AG116" s="19">
        <f t="shared" si="115"/>
        <v>0</v>
      </c>
      <c r="AH116" s="19">
        <f t="shared" si="116"/>
        <v>0</v>
      </c>
      <c r="AI116" s="16" t="s">
        <v>105</v>
      </c>
      <c r="AJ116" s="19">
        <f t="shared" si="117"/>
        <v>0</v>
      </c>
      <c r="AK116" s="19">
        <f t="shared" si="118"/>
        <v>0</v>
      </c>
      <c r="AL116" s="19">
        <f t="shared" si="119"/>
        <v>0</v>
      </c>
      <c r="AN116" s="19">
        <v>12</v>
      </c>
      <c r="AO116" s="19">
        <f>H116*0.034755206</f>
        <v>0</v>
      </c>
      <c r="AP116" s="19">
        <f>H116*(1-0.034755206)</f>
        <v>0</v>
      </c>
      <c r="AQ116" s="87" t="s">
        <v>429</v>
      </c>
      <c r="AV116" s="19">
        <f t="shared" si="120"/>
        <v>0</v>
      </c>
      <c r="AW116" s="19">
        <f t="shared" si="121"/>
        <v>0</v>
      </c>
      <c r="AX116" s="19">
        <f t="shared" si="122"/>
        <v>0</v>
      </c>
      <c r="AY116" s="87" t="s">
        <v>430</v>
      </c>
      <c r="AZ116" s="87" t="s">
        <v>501</v>
      </c>
      <c r="BA116" s="16" t="s">
        <v>502</v>
      </c>
      <c r="BC116" s="19">
        <f t="shared" si="123"/>
        <v>0</v>
      </c>
      <c r="BD116" s="19">
        <f t="shared" si="124"/>
        <v>0</v>
      </c>
      <c r="BE116" s="19">
        <v>0</v>
      </c>
      <c r="BF116" s="19">
        <f t="shared" si="125"/>
        <v>9.6000000000000013E-4</v>
      </c>
      <c r="BH116" s="19">
        <f t="shared" si="126"/>
        <v>0</v>
      </c>
      <c r="BI116" s="19">
        <f t="shared" si="127"/>
        <v>0</v>
      </c>
      <c r="BJ116" s="19">
        <f t="shared" si="128"/>
        <v>0</v>
      </c>
      <c r="BK116" s="19"/>
      <c r="BL116" s="19">
        <v>722</v>
      </c>
      <c r="BW116" s="19" t="str">
        <f t="shared" si="129"/>
        <v>12</v>
      </c>
      <c r="BX116" s="4" t="s">
        <v>90</v>
      </c>
    </row>
    <row r="117" spans="1:76" x14ac:dyDescent="0.25">
      <c r="A117" s="1" t="s">
        <v>523</v>
      </c>
      <c r="B117" s="2" t="s">
        <v>105</v>
      </c>
      <c r="C117" s="2" t="s">
        <v>91</v>
      </c>
      <c r="D117" s="108" t="s">
        <v>92</v>
      </c>
      <c r="E117" s="102"/>
      <c r="F117" s="2" t="s">
        <v>62</v>
      </c>
      <c r="G117" s="19">
        <f>'Rozpočet - vybrané sloupce'!J104</f>
        <v>48</v>
      </c>
      <c r="H117" s="19">
        <f>'Rozpočet - vybrané sloupce'!K104</f>
        <v>0</v>
      </c>
      <c r="I117" s="87" t="s">
        <v>427</v>
      </c>
      <c r="J117" s="19">
        <f t="shared" si="104"/>
        <v>0</v>
      </c>
      <c r="K117" s="19">
        <f t="shared" si="105"/>
        <v>0</v>
      </c>
      <c r="L117" s="19">
        <f t="shared" si="106"/>
        <v>0</v>
      </c>
      <c r="M117" s="19">
        <f t="shared" si="107"/>
        <v>0</v>
      </c>
      <c r="N117" s="19">
        <v>0</v>
      </c>
      <c r="O117" s="19">
        <f t="shared" si="108"/>
        <v>0</v>
      </c>
      <c r="P117" s="88" t="s">
        <v>428</v>
      </c>
      <c r="Z117" s="19">
        <f t="shared" si="109"/>
        <v>0</v>
      </c>
      <c r="AB117" s="19">
        <f t="shared" si="110"/>
        <v>0</v>
      </c>
      <c r="AC117" s="19">
        <f t="shared" si="111"/>
        <v>0</v>
      </c>
      <c r="AD117" s="19">
        <f t="shared" si="112"/>
        <v>0</v>
      </c>
      <c r="AE117" s="19">
        <f t="shared" si="113"/>
        <v>0</v>
      </c>
      <c r="AF117" s="19">
        <f t="shared" si="114"/>
        <v>0</v>
      </c>
      <c r="AG117" s="19">
        <f t="shared" si="115"/>
        <v>0</v>
      </c>
      <c r="AH117" s="19">
        <f t="shared" si="116"/>
        <v>0</v>
      </c>
      <c r="AI117" s="16" t="s">
        <v>105</v>
      </c>
      <c r="AJ117" s="19">
        <f t="shared" si="117"/>
        <v>0</v>
      </c>
      <c r="AK117" s="19">
        <f t="shared" si="118"/>
        <v>0</v>
      </c>
      <c r="AL117" s="19">
        <f t="shared" si="119"/>
        <v>0</v>
      </c>
      <c r="AN117" s="19">
        <v>12</v>
      </c>
      <c r="AO117" s="19">
        <f>H117*0.166666667</f>
        <v>0</v>
      </c>
      <c r="AP117" s="19">
        <f>H117*(1-0.166666667)</f>
        <v>0</v>
      </c>
      <c r="AQ117" s="87" t="s">
        <v>429</v>
      </c>
      <c r="AV117" s="19">
        <f t="shared" si="120"/>
        <v>0</v>
      </c>
      <c r="AW117" s="19">
        <f t="shared" si="121"/>
        <v>0</v>
      </c>
      <c r="AX117" s="19">
        <f t="shared" si="122"/>
        <v>0</v>
      </c>
      <c r="AY117" s="87" t="s">
        <v>430</v>
      </c>
      <c r="AZ117" s="87" t="s">
        <v>501</v>
      </c>
      <c r="BA117" s="16" t="s">
        <v>502</v>
      </c>
      <c r="BC117" s="19">
        <f t="shared" si="123"/>
        <v>0</v>
      </c>
      <c r="BD117" s="19">
        <f t="shared" si="124"/>
        <v>0</v>
      </c>
      <c r="BE117" s="19">
        <v>0</v>
      </c>
      <c r="BF117" s="19">
        <f t="shared" si="125"/>
        <v>0</v>
      </c>
      <c r="BH117" s="19">
        <f t="shared" si="126"/>
        <v>0</v>
      </c>
      <c r="BI117" s="19">
        <f t="shared" si="127"/>
        <v>0</v>
      </c>
      <c r="BJ117" s="19">
        <f t="shared" si="128"/>
        <v>0</v>
      </c>
      <c r="BK117" s="19"/>
      <c r="BL117" s="19">
        <v>722</v>
      </c>
      <c r="BW117" s="19" t="str">
        <f t="shared" si="129"/>
        <v>12</v>
      </c>
      <c r="BX117" s="4" t="s">
        <v>92</v>
      </c>
    </row>
    <row r="118" spans="1:76" x14ac:dyDescent="0.25">
      <c r="A118" s="1" t="s">
        <v>524</v>
      </c>
      <c r="B118" s="2" t="s">
        <v>105</v>
      </c>
      <c r="C118" s="2" t="s">
        <v>45</v>
      </c>
      <c r="D118" s="108" t="s">
        <v>46</v>
      </c>
      <c r="E118" s="102"/>
      <c r="F118" s="2" t="s">
        <v>31</v>
      </c>
      <c r="G118" s="19">
        <f>'Rozpočet - vybrané sloupce'!J105</f>
        <v>194</v>
      </c>
      <c r="H118" s="19">
        <f>'Rozpočet - vybrané sloupce'!K105</f>
        <v>0</v>
      </c>
      <c r="I118" s="87" t="s">
        <v>427</v>
      </c>
      <c r="J118" s="19">
        <f t="shared" si="104"/>
        <v>0</v>
      </c>
      <c r="K118" s="19">
        <f t="shared" si="105"/>
        <v>0</v>
      </c>
      <c r="L118" s="19">
        <f t="shared" si="106"/>
        <v>0</v>
      </c>
      <c r="M118" s="19">
        <f t="shared" si="107"/>
        <v>0</v>
      </c>
      <c r="N118" s="19">
        <v>0</v>
      </c>
      <c r="O118" s="19">
        <f t="shared" si="108"/>
        <v>0</v>
      </c>
      <c r="P118" s="88" t="s">
        <v>428</v>
      </c>
      <c r="Z118" s="19">
        <f t="shared" si="109"/>
        <v>0</v>
      </c>
      <c r="AB118" s="19">
        <f t="shared" si="110"/>
        <v>0</v>
      </c>
      <c r="AC118" s="19">
        <f t="shared" si="111"/>
        <v>0</v>
      </c>
      <c r="AD118" s="19">
        <f t="shared" si="112"/>
        <v>0</v>
      </c>
      <c r="AE118" s="19">
        <f t="shared" si="113"/>
        <v>0</v>
      </c>
      <c r="AF118" s="19">
        <f t="shared" si="114"/>
        <v>0</v>
      </c>
      <c r="AG118" s="19">
        <f t="shared" si="115"/>
        <v>0</v>
      </c>
      <c r="AH118" s="19">
        <f t="shared" si="116"/>
        <v>0</v>
      </c>
      <c r="AI118" s="16" t="s">
        <v>105</v>
      </c>
      <c r="AJ118" s="19">
        <f t="shared" si="117"/>
        <v>0</v>
      </c>
      <c r="AK118" s="19">
        <f t="shared" si="118"/>
        <v>0</v>
      </c>
      <c r="AL118" s="19">
        <f t="shared" si="119"/>
        <v>0</v>
      </c>
      <c r="AN118" s="19">
        <v>12</v>
      </c>
      <c r="AO118" s="19">
        <f>H118*0.014891906</f>
        <v>0</v>
      </c>
      <c r="AP118" s="19">
        <f>H118*(1-0.014891906)</f>
        <v>0</v>
      </c>
      <c r="AQ118" s="87" t="s">
        <v>429</v>
      </c>
      <c r="AV118" s="19">
        <f t="shared" si="120"/>
        <v>0</v>
      </c>
      <c r="AW118" s="19">
        <f t="shared" si="121"/>
        <v>0</v>
      </c>
      <c r="AX118" s="19">
        <f t="shared" si="122"/>
        <v>0</v>
      </c>
      <c r="AY118" s="87" t="s">
        <v>430</v>
      </c>
      <c r="AZ118" s="87" t="s">
        <v>501</v>
      </c>
      <c r="BA118" s="16" t="s">
        <v>502</v>
      </c>
      <c r="BC118" s="19">
        <f t="shared" si="123"/>
        <v>0</v>
      </c>
      <c r="BD118" s="19">
        <f t="shared" si="124"/>
        <v>0</v>
      </c>
      <c r="BE118" s="19">
        <v>0</v>
      </c>
      <c r="BF118" s="19">
        <f t="shared" si="125"/>
        <v>0</v>
      </c>
      <c r="BH118" s="19">
        <f t="shared" si="126"/>
        <v>0</v>
      </c>
      <c r="BI118" s="19">
        <f t="shared" si="127"/>
        <v>0</v>
      </c>
      <c r="BJ118" s="19">
        <f t="shared" si="128"/>
        <v>0</v>
      </c>
      <c r="BK118" s="19"/>
      <c r="BL118" s="19">
        <v>722</v>
      </c>
      <c r="BW118" s="19" t="str">
        <f t="shared" si="129"/>
        <v>12</v>
      </c>
      <c r="BX118" s="4" t="s">
        <v>46</v>
      </c>
    </row>
    <row r="119" spans="1:76" x14ac:dyDescent="0.25">
      <c r="A119" s="1" t="s">
        <v>525</v>
      </c>
      <c r="B119" s="2" t="s">
        <v>105</v>
      </c>
      <c r="C119" s="2" t="s">
        <v>47</v>
      </c>
      <c r="D119" s="108" t="s">
        <v>48</v>
      </c>
      <c r="E119" s="102"/>
      <c r="F119" s="2" t="s">
        <v>31</v>
      </c>
      <c r="G119" s="19">
        <f>'Rozpočet - vybrané sloupce'!J106</f>
        <v>72</v>
      </c>
      <c r="H119" s="19">
        <f>'Rozpočet - vybrané sloupce'!K106</f>
        <v>0</v>
      </c>
      <c r="I119" s="87" t="s">
        <v>427</v>
      </c>
      <c r="J119" s="19">
        <f t="shared" si="104"/>
        <v>0</v>
      </c>
      <c r="K119" s="19">
        <f t="shared" si="105"/>
        <v>0</v>
      </c>
      <c r="L119" s="19">
        <f t="shared" si="106"/>
        <v>0</v>
      </c>
      <c r="M119" s="19">
        <f t="shared" si="107"/>
        <v>0</v>
      </c>
      <c r="N119" s="19">
        <v>0</v>
      </c>
      <c r="O119" s="19">
        <f t="shared" si="108"/>
        <v>0</v>
      </c>
      <c r="P119" s="88" t="s">
        <v>428</v>
      </c>
      <c r="Z119" s="19">
        <f t="shared" si="109"/>
        <v>0</v>
      </c>
      <c r="AB119" s="19">
        <f t="shared" si="110"/>
        <v>0</v>
      </c>
      <c r="AC119" s="19">
        <f t="shared" si="111"/>
        <v>0</v>
      </c>
      <c r="AD119" s="19">
        <f t="shared" si="112"/>
        <v>0</v>
      </c>
      <c r="AE119" s="19">
        <f t="shared" si="113"/>
        <v>0</v>
      </c>
      <c r="AF119" s="19">
        <f t="shared" si="114"/>
        <v>0</v>
      </c>
      <c r="AG119" s="19">
        <f t="shared" si="115"/>
        <v>0</v>
      </c>
      <c r="AH119" s="19">
        <f t="shared" si="116"/>
        <v>0</v>
      </c>
      <c r="AI119" s="16" t="s">
        <v>105</v>
      </c>
      <c r="AJ119" s="19">
        <f t="shared" si="117"/>
        <v>0</v>
      </c>
      <c r="AK119" s="19">
        <f t="shared" si="118"/>
        <v>0</v>
      </c>
      <c r="AL119" s="19">
        <f t="shared" si="119"/>
        <v>0</v>
      </c>
      <c r="AN119" s="19">
        <v>12</v>
      </c>
      <c r="AO119" s="19">
        <f>H119*0.016921659</f>
        <v>0</v>
      </c>
      <c r="AP119" s="19">
        <f>H119*(1-0.016921659)</f>
        <v>0</v>
      </c>
      <c r="AQ119" s="87" t="s">
        <v>429</v>
      </c>
      <c r="AV119" s="19">
        <f t="shared" si="120"/>
        <v>0</v>
      </c>
      <c r="AW119" s="19">
        <f t="shared" si="121"/>
        <v>0</v>
      </c>
      <c r="AX119" s="19">
        <f t="shared" si="122"/>
        <v>0</v>
      </c>
      <c r="AY119" s="87" t="s">
        <v>430</v>
      </c>
      <c r="AZ119" s="87" t="s">
        <v>501</v>
      </c>
      <c r="BA119" s="16" t="s">
        <v>502</v>
      </c>
      <c r="BC119" s="19">
        <f t="shared" si="123"/>
        <v>0</v>
      </c>
      <c r="BD119" s="19">
        <f t="shared" si="124"/>
        <v>0</v>
      </c>
      <c r="BE119" s="19">
        <v>0</v>
      </c>
      <c r="BF119" s="19">
        <f t="shared" si="125"/>
        <v>0</v>
      </c>
      <c r="BH119" s="19">
        <f t="shared" si="126"/>
        <v>0</v>
      </c>
      <c r="BI119" s="19">
        <f t="shared" si="127"/>
        <v>0</v>
      </c>
      <c r="BJ119" s="19">
        <f t="shared" si="128"/>
        <v>0</v>
      </c>
      <c r="BK119" s="19"/>
      <c r="BL119" s="19">
        <v>722</v>
      </c>
      <c r="BW119" s="19" t="str">
        <f t="shared" si="129"/>
        <v>12</v>
      </c>
      <c r="BX119" s="4" t="s">
        <v>48</v>
      </c>
    </row>
    <row r="120" spans="1:76" x14ac:dyDescent="0.25">
      <c r="A120" s="1" t="s">
        <v>526</v>
      </c>
      <c r="B120" s="2" t="s">
        <v>105</v>
      </c>
      <c r="C120" s="2" t="s">
        <v>93</v>
      </c>
      <c r="D120" s="108" t="s">
        <v>94</v>
      </c>
      <c r="E120" s="102"/>
      <c r="F120" s="2" t="s">
        <v>95</v>
      </c>
      <c r="G120" s="19">
        <f>'Rozpočet - vybrané sloupce'!J107</f>
        <v>0.2</v>
      </c>
      <c r="H120" s="19">
        <f>'Rozpočet - vybrané sloupce'!K107</f>
        <v>0</v>
      </c>
      <c r="I120" s="87" t="s">
        <v>427</v>
      </c>
      <c r="J120" s="19">
        <f t="shared" si="104"/>
        <v>0</v>
      </c>
      <c r="K120" s="19">
        <f t="shared" si="105"/>
        <v>0</v>
      </c>
      <c r="L120" s="19">
        <f t="shared" si="106"/>
        <v>0</v>
      </c>
      <c r="M120" s="19">
        <f t="shared" si="107"/>
        <v>0</v>
      </c>
      <c r="N120" s="19">
        <v>0</v>
      </c>
      <c r="O120" s="19">
        <f t="shared" si="108"/>
        <v>0</v>
      </c>
      <c r="P120" s="88" t="s">
        <v>428</v>
      </c>
      <c r="Z120" s="19">
        <f t="shared" si="109"/>
        <v>0</v>
      </c>
      <c r="AB120" s="19">
        <f t="shared" si="110"/>
        <v>0</v>
      </c>
      <c r="AC120" s="19">
        <f t="shared" si="111"/>
        <v>0</v>
      </c>
      <c r="AD120" s="19">
        <f t="shared" si="112"/>
        <v>0</v>
      </c>
      <c r="AE120" s="19">
        <f t="shared" si="113"/>
        <v>0</v>
      </c>
      <c r="AF120" s="19">
        <f t="shared" si="114"/>
        <v>0</v>
      </c>
      <c r="AG120" s="19">
        <f t="shared" si="115"/>
        <v>0</v>
      </c>
      <c r="AH120" s="19">
        <f t="shared" si="116"/>
        <v>0</v>
      </c>
      <c r="AI120" s="16" t="s">
        <v>105</v>
      </c>
      <c r="AJ120" s="19">
        <f t="shared" si="117"/>
        <v>0</v>
      </c>
      <c r="AK120" s="19">
        <f t="shared" si="118"/>
        <v>0</v>
      </c>
      <c r="AL120" s="19">
        <f t="shared" si="119"/>
        <v>0</v>
      </c>
      <c r="AN120" s="19">
        <v>12</v>
      </c>
      <c r="AO120" s="19">
        <f>H120*0</f>
        <v>0</v>
      </c>
      <c r="AP120" s="19">
        <f>H120*(1-0)</f>
        <v>0</v>
      </c>
      <c r="AQ120" s="87" t="s">
        <v>429</v>
      </c>
      <c r="AV120" s="19">
        <f t="shared" si="120"/>
        <v>0</v>
      </c>
      <c r="AW120" s="19">
        <f t="shared" si="121"/>
        <v>0</v>
      </c>
      <c r="AX120" s="19">
        <f t="shared" si="122"/>
        <v>0</v>
      </c>
      <c r="AY120" s="87" t="s">
        <v>430</v>
      </c>
      <c r="AZ120" s="87" t="s">
        <v>501</v>
      </c>
      <c r="BA120" s="16" t="s">
        <v>502</v>
      </c>
      <c r="BC120" s="19">
        <f t="shared" si="123"/>
        <v>0</v>
      </c>
      <c r="BD120" s="19">
        <f t="shared" si="124"/>
        <v>0</v>
      </c>
      <c r="BE120" s="19">
        <v>0</v>
      </c>
      <c r="BF120" s="19">
        <f t="shared" si="125"/>
        <v>0</v>
      </c>
      <c r="BH120" s="19">
        <f t="shared" si="126"/>
        <v>0</v>
      </c>
      <c r="BI120" s="19">
        <f t="shared" si="127"/>
        <v>0</v>
      </c>
      <c r="BJ120" s="19">
        <f t="shared" si="128"/>
        <v>0</v>
      </c>
      <c r="BK120" s="19"/>
      <c r="BL120" s="19">
        <v>722</v>
      </c>
      <c r="BW120" s="19" t="str">
        <f t="shared" si="129"/>
        <v>12</v>
      </c>
      <c r="BX120" s="4" t="s">
        <v>94</v>
      </c>
    </row>
    <row r="121" spans="1:76" x14ac:dyDescent="0.25">
      <c r="A121" s="1" t="s">
        <v>527</v>
      </c>
      <c r="B121" s="2" t="s">
        <v>105</v>
      </c>
      <c r="C121" s="2" t="s">
        <v>49</v>
      </c>
      <c r="D121" s="108" t="s">
        <v>50</v>
      </c>
      <c r="E121" s="102"/>
      <c r="F121" s="2" t="s">
        <v>51</v>
      </c>
      <c r="G121" s="19">
        <f>'Rozpočet - vybrané sloupce'!J108</f>
        <v>2715</v>
      </c>
      <c r="H121" s="19">
        <f>'Rozpočet - vybrané sloupce'!K108</f>
        <v>0</v>
      </c>
      <c r="I121" s="87" t="s">
        <v>427</v>
      </c>
      <c r="J121" s="19">
        <f t="shared" si="104"/>
        <v>0</v>
      </c>
      <c r="K121" s="19">
        <f t="shared" si="105"/>
        <v>0</v>
      </c>
      <c r="L121" s="19">
        <f t="shared" si="106"/>
        <v>0</v>
      </c>
      <c r="M121" s="19">
        <f t="shared" si="107"/>
        <v>0</v>
      </c>
      <c r="N121" s="19">
        <v>0</v>
      </c>
      <c r="O121" s="19">
        <f t="shared" si="108"/>
        <v>0</v>
      </c>
      <c r="P121" s="88" t="s">
        <v>428</v>
      </c>
      <c r="Z121" s="19">
        <f t="shared" si="109"/>
        <v>0</v>
      </c>
      <c r="AB121" s="19">
        <f t="shared" si="110"/>
        <v>0</v>
      </c>
      <c r="AC121" s="19">
        <f t="shared" si="111"/>
        <v>0</v>
      </c>
      <c r="AD121" s="19">
        <f t="shared" si="112"/>
        <v>0</v>
      </c>
      <c r="AE121" s="19">
        <f t="shared" si="113"/>
        <v>0</v>
      </c>
      <c r="AF121" s="19">
        <f t="shared" si="114"/>
        <v>0</v>
      </c>
      <c r="AG121" s="19">
        <f t="shared" si="115"/>
        <v>0</v>
      </c>
      <c r="AH121" s="19">
        <f t="shared" si="116"/>
        <v>0</v>
      </c>
      <c r="AI121" s="16" t="s">
        <v>105</v>
      </c>
      <c r="AJ121" s="19">
        <f t="shared" si="117"/>
        <v>0</v>
      </c>
      <c r="AK121" s="19">
        <f t="shared" si="118"/>
        <v>0</v>
      </c>
      <c r="AL121" s="19">
        <f t="shared" si="119"/>
        <v>0</v>
      </c>
      <c r="AN121" s="19">
        <v>12</v>
      </c>
      <c r="AO121" s="19">
        <f>H121*0</f>
        <v>0</v>
      </c>
      <c r="AP121" s="19">
        <f>H121*(1-0)</f>
        <v>0</v>
      </c>
      <c r="AQ121" s="87" t="s">
        <v>436</v>
      </c>
      <c r="AV121" s="19">
        <f t="shared" si="120"/>
        <v>0</v>
      </c>
      <c r="AW121" s="19">
        <f t="shared" si="121"/>
        <v>0</v>
      </c>
      <c r="AX121" s="19">
        <f t="shared" si="122"/>
        <v>0</v>
      </c>
      <c r="AY121" s="87" t="s">
        <v>430</v>
      </c>
      <c r="AZ121" s="87" t="s">
        <v>501</v>
      </c>
      <c r="BA121" s="16" t="s">
        <v>502</v>
      </c>
      <c r="BC121" s="19">
        <f t="shared" si="123"/>
        <v>0</v>
      </c>
      <c r="BD121" s="19">
        <f t="shared" si="124"/>
        <v>0</v>
      </c>
      <c r="BE121" s="19">
        <v>0</v>
      </c>
      <c r="BF121" s="19">
        <f t="shared" si="125"/>
        <v>0</v>
      </c>
      <c r="BH121" s="19">
        <f t="shared" si="126"/>
        <v>0</v>
      </c>
      <c r="BI121" s="19">
        <f t="shared" si="127"/>
        <v>0</v>
      </c>
      <c r="BJ121" s="19">
        <f t="shared" si="128"/>
        <v>0</v>
      </c>
      <c r="BK121" s="19"/>
      <c r="BL121" s="19">
        <v>722</v>
      </c>
      <c r="BW121" s="19" t="str">
        <f t="shared" si="129"/>
        <v>12</v>
      </c>
      <c r="BX121" s="4" t="s">
        <v>50</v>
      </c>
    </row>
    <row r="122" spans="1:76" x14ac:dyDescent="0.25">
      <c r="A122" s="84" t="s">
        <v>25</v>
      </c>
      <c r="B122" s="15" t="s">
        <v>105</v>
      </c>
      <c r="C122" s="15" t="s">
        <v>96</v>
      </c>
      <c r="D122" s="115" t="s">
        <v>97</v>
      </c>
      <c r="E122" s="116"/>
      <c r="F122" s="85" t="s">
        <v>23</v>
      </c>
      <c r="G122" s="85" t="s">
        <v>23</v>
      </c>
      <c r="H122" s="85" t="s">
        <v>23</v>
      </c>
      <c r="I122" s="85" t="s">
        <v>23</v>
      </c>
      <c r="J122" s="60">
        <f>SUM(J123:J125)</f>
        <v>0</v>
      </c>
      <c r="K122" s="60">
        <f>SUM(K123:K125)</f>
        <v>0</v>
      </c>
      <c r="L122" s="60">
        <f>SUM(L123:L125)</f>
        <v>0</v>
      </c>
      <c r="M122" s="60">
        <f>SUM(M123:M125)</f>
        <v>0</v>
      </c>
      <c r="N122" s="16" t="s">
        <v>25</v>
      </c>
      <c r="O122" s="60">
        <f>SUM(O123:O125)</f>
        <v>0.50856000000000001</v>
      </c>
      <c r="P122" s="86" t="s">
        <v>25</v>
      </c>
      <c r="AI122" s="16" t="s">
        <v>105</v>
      </c>
      <c r="AS122" s="60">
        <f>SUM(AJ123:AJ125)</f>
        <v>0</v>
      </c>
      <c r="AT122" s="60">
        <f>SUM(AK123:AK125)</f>
        <v>0</v>
      </c>
      <c r="AU122" s="60">
        <f>SUM(AL123:AL125)</f>
        <v>0</v>
      </c>
    </row>
    <row r="123" spans="1:76" x14ac:dyDescent="0.25">
      <c r="A123" s="1" t="s">
        <v>528</v>
      </c>
      <c r="B123" s="2" t="s">
        <v>105</v>
      </c>
      <c r="C123" s="2" t="s">
        <v>98</v>
      </c>
      <c r="D123" s="108" t="s">
        <v>99</v>
      </c>
      <c r="E123" s="102"/>
      <c r="F123" s="2" t="s">
        <v>100</v>
      </c>
      <c r="G123" s="19">
        <f>'Rozpočet - vybrané sloupce'!J110</f>
        <v>24</v>
      </c>
      <c r="H123" s="19">
        <f>'Rozpočet - vybrané sloupce'!K110</f>
        <v>0</v>
      </c>
      <c r="I123" s="87" t="s">
        <v>427</v>
      </c>
      <c r="J123" s="19">
        <f>G123*AO123</f>
        <v>0</v>
      </c>
      <c r="K123" s="19">
        <f>G123*AP123</f>
        <v>0</v>
      </c>
      <c r="L123" s="19">
        <f>G123*H123</f>
        <v>0</v>
      </c>
      <c r="M123" s="19">
        <f>L123*(1+BW123/100)</f>
        <v>0</v>
      </c>
      <c r="N123" s="19">
        <v>1.933E-2</v>
      </c>
      <c r="O123" s="19">
        <f>G123*N123</f>
        <v>0.46392</v>
      </c>
      <c r="P123" s="88" t="s">
        <v>428</v>
      </c>
      <c r="Z123" s="19">
        <f>IF(AQ123="5",BJ123,0)</f>
        <v>0</v>
      </c>
      <c r="AB123" s="19">
        <f>IF(AQ123="1",BH123,0)</f>
        <v>0</v>
      </c>
      <c r="AC123" s="19">
        <f>IF(AQ123="1",BI123,0)</f>
        <v>0</v>
      </c>
      <c r="AD123" s="19">
        <f>IF(AQ123="7",BH123,0)</f>
        <v>0</v>
      </c>
      <c r="AE123" s="19">
        <f>IF(AQ123="7",BI123,0)</f>
        <v>0</v>
      </c>
      <c r="AF123" s="19">
        <f>IF(AQ123="2",BH123,0)</f>
        <v>0</v>
      </c>
      <c r="AG123" s="19">
        <f>IF(AQ123="2",BI123,0)</f>
        <v>0</v>
      </c>
      <c r="AH123" s="19">
        <f>IF(AQ123="0",BJ123,0)</f>
        <v>0</v>
      </c>
      <c r="AI123" s="16" t="s">
        <v>105</v>
      </c>
      <c r="AJ123" s="19">
        <f>IF(AN123=0,L123,0)</f>
        <v>0</v>
      </c>
      <c r="AK123" s="19">
        <f>IF(AN123=12,L123,0)</f>
        <v>0</v>
      </c>
      <c r="AL123" s="19">
        <f>IF(AN123=21,L123,0)</f>
        <v>0</v>
      </c>
      <c r="AN123" s="19">
        <v>12</v>
      </c>
      <c r="AO123" s="19">
        <f>H123*0</f>
        <v>0</v>
      </c>
      <c r="AP123" s="19">
        <f>H123*(1-0)</f>
        <v>0</v>
      </c>
      <c r="AQ123" s="87" t="s">
        <v>429</v>
      </c>
      <c r="AV123" s="19">
        <f>AW123+AX123</f>
        <v>0</v>
      </c>
      <c r="AW123" s="19">
        <f>G123*AO123</f>
        <v>0</v>
      </c>
      <c r="AX123" s="19">
        <f>G123*AP123</f>
        <v>0</v>
      </c>
      <c r="AY123" s="87" t="s">
        <v>497</v>
      </c>
      <c r="AZ123" s="87" t="s">
        <v>501</v>
      </c>
      <c r="BA123" s="16" t="s">
        <v>502</v>
      </c>
      <c r="BC123" s="19">
        <f>AW123+AX123</f>
        <v>0</v>
      </c>
      <c r="BD123" s="19">
        <f>H123/(100-BE123)*100</f>
        <v>0</v>
      </c>
      <c r="BE123" s="19">
        <v>0</v>
      </c>
      <c r="BF123" s="19">
        <f>O123</f>
        <v>0.46392</v>
      </c>
      <c r="BH123" s="19">
        <f>G123*AO123</f>
        <v>0</v>
      </c>
      <c r="BI123" s="19">
        <f>G123*AP123</f>
        <v>0</v>
      </c>
      <c r="BJ123" s="19">
        <f>G123*H123</f>
        <v>0</v>
      </c>
      <c r="BK123" s="19"/>
      <c r="BL123" s="19">
        <v>725</v>
      </c>
      <c r="BW123" s="19" t="str">
        <f>I123</f>
        <v>12</v>
      </c>
      <c r="BX123" s="4" t="s">
        <v>99</v>
      </c>
    </row>
    <row r="124" spans="1:76" x14ac:dyDescent="0.25">
      <c r="A124" s="1" t="s">
        <v>529</v>
      </c>
      <c r="B124" s="2" t="s">
        <v>105</v>
      </c>
      <c r="C124" s="2" t="s">
        <v>101</v>
      </c>
      <c r="D124" s="108" t="s">
        <v>102</v>
      </c>
      <c r="E124" s="102"/>
      <c r="F124" s="2" t="s">
        <v>100</v>
      </c>
      <c r="G124" s="19">
        <f>'Rozpočet - vybrané sloupce'!J111</f>
        <v>24</v>
      </c>
      <c r="H124" s="19">
        <f>'Rozpočet - vybrané sloupce'!K111</f>
        <v>0</v>
      </c>
      <c r="I124" s="87" t="s">
        <v>427</v>
      </c>
      <c r="J124" s="19">
        <f>G124*AO124</f>
        <v>0</v>
      </c>
      <c r="K124" s="19">
        <f>G124*AP124</f>
        <v>0</v>
      </c>
      <c r="L124" s="19">
        <f>G124*H124</f>
        <v>0</v>
      </c>
      <c r="M124" s="19">
        <f>L124*(1+BW124/100)</f>
        <v>0</v>
      </c>
      <c r="N124" s="19">
        <v>1.8600000000000001E-3</v>
      </c>
      <c r="O124" s="19">
        <f>G124*N124</f>
        <v>4.4639999999999999E-2</v>
      </c>
      <c r="P124" s="88" t="s">
        <v>428</v>
      </c>
      <c r="Z124" s="19">
        <f>IF(AQ124="5",BJ124,0)</f>
        <v>0</v>
      </c>
      <c r="AB124" s="19">
        <f>IF(AQ124="1",BH124,0)</f>
        <v>0</v>
      </c>
      <c r="AC124" s="19">
        <f>IF(AQ124="1",BI124,0)</f>
        <v>0</v>
      </c>
      <c r="AD124" s="19">
        <f>IF(AQ124="7",BH124,0)</f>
        <v>0</v>
      </c>
      <c r="AE124" s="19">
        <f>IF(AQ124="7",BI124,0)</f>
        <v>0</v>
      </c>
      <c r="AF124" s="19">
        <f>IF(AQ124="2",BH124,0)</f>
        <v>0</v>
      </c>
      <c r="AG124" s="19">
        <f>IF(AQ124="2",BI124,0)</f>
        <v>0</v>
      </c>
      <c r="AH124" s="19">
        <f>IF(AQ124="0",BJ124,0)</f>
        <v>0</v>
      </c>
      <c r="AI124" s="16" t="s">
        <v>105</v>
      </c>
      <c r="AJ124" s="19">
        <f>IF(AN124=0,L124,0)</f>
        <v>0</v>
      </c>
      <c r="AK124" s="19">
        <f>IF(AN124=12,L124,0)</f>
        <v>0</v>
      </c>
      <c r="AL124" s="19">
        <f>IF(AN124=21,L124,0)</f>
        <v>0</v>
      </c>
      <c r="AN124" s="19">
        <v>12</v>
      </c>
      <c r="AO124" s="19">
        <f>H124*0.443488504</f>
        <v>0</v>
      </c>
      <c r="AP124" s="19">
        <f>H124*(1-0.443488504)</f>
        <v>0</v>
      </c>
      <c r="AQ124" s="87" t="s">
        <v>429</v>
      </c>
      <c r="AV124" s="19">
        <f>AW124+AX124</f>
        <v>0</v>
      </c>
      <c r="AW124" s="19">
        <f>G124*AO124</f>
        <v>0</v>
      </c>
      <c r="AX124" s="19">
        <f>G124*AP124</f>
        <v>0</v>
      </c>
      <c r="AY124" s="87" t="s">
        <v>497</v>
      </c>
      <c r="AZ124" s="87" t="s">
        <v>501</v>
      </c>
      <c r="BA124" s="16" t="s">
        <v>502</v>
      </c>
      <c r="BC124" s="19">
        <f>AW124+AX124</f>
        <v>0</v>
      </c>
      <c r="BD124" s="19">
        <f>H124/(100-BE124)*100</f>
        <v>0</v>
      </c>
      <c r="BE124" s="19">
        <v>0</v>
      </c>
      <c r="BF124" s="19">
        <f>O124</f>
        <v>4.4639999999999999E-2</v>
      </c>
      <c r="BH124" s="19">
        <f>G124*AO124</f>
        <v>0</v>
      </c>
      <c r="BI124" s="19">
        <f>G124*AP124</f>
        <v>0</v>
      </c>
      <c r="BJ124" s="19">
        <f>G124*H124</f>
        <v>0</v>
      </c>
      <c r="BK124" s="19"/>
      <c r="BL124" s="19">
        <v>725</v>
      </c>
      <c r="BW124" s="19" t="str">
        <f>I124</f>
        <v>12</v>
      </c>
      <c r="BX124" s="4" t="s">
        <v>102</v>
      </c>
    </row>
    <row r="125" spans="1:76" x14ac:dyDescent="0.25">
      <c r="A125" s="1" t="s">
        <v>530</v>
      </c>
      <c r="B125" s="2" t="s">
        <v>105</v>
      </c>
      <c r="C125" s="2" t="s">
        <v>103</v>
      </c>
      <c r="D125" s="108" t="s">
        <v>104</v>
      </c>
      <c r="E125" s="102"/>
      <c r="F125" s="2" t="s">
        <v>51</v>
      </c>
      <c r="G125" s="19">
        <f>'Rozpočet - vybrané sloupce'!J112</f>
        <v>420</v>
      </c>
      <c r="H125" s="19">
        <f>'Rozpočet - vybrané sloupce'!K112</f>
        <v>0</v>
      </c>
      <c r="I125" s="87" t="s">
        <v>427</v>
      </c>
      <c r="J125" s="19">
        <f>G125*AO125</f>
        <v>0</v>
      </c>
      <c r="K125" s="19">
        <f>G125*AP125</f>
        <v>0</v>
      </c>
      <c r="L125" s="19">
        <f>G125*H125</f>
        <v>0</v>
      </c>
      <c r="M125" s="19">
        <f>L125*(1+BW125/100)</f>
        <v>0</v>
      </c>
      <c r="N125" s="19">
        <v>0</v>
      </c>
      <c r="O125" s="19">
        <f>G125*N125</f>
        <v>0</v>
      </c>
      <c r="P125" s="88" t="s">
        <v>428</v>
      </c>
      <c r="Z125" s="19">
        <f>IF(AQ125="5",BJ125,0)</f>
        <v>0</v>
      </c>
      <c r="AB125" s="19">
        <f>IF(AQ125="1",BH125,0)</f>
        <v>0</v>
      </c>
      <c r="AC125" s="19">
        <f>IF(AQ125="1",BI125,0)</f>
        <v>0</v>
      </c>
      <c r="AD125" s="19">
        <f>IF(AQ125="7",BH125,0)</f>
        <v>0</v>
      </c>
      <c r="AE125" s="19">
        <f>IF(AQ125="7",BI125,0)</f>
        <v>0</v>
      </c>
      <c r="AF125" s="19">
        <f>IF(AQ125="2",BH125,0)</f>
        <v>0</v>
      </c>
      <c r="AG125" s="19">
        <f>IF(AQ125="2",BI125,0)</f>
        <v>0</v>
      </c>
      <c r="AH125" s="19">
        <f>IF(AQ125="0",BJ125,0)</f>
        <v>0</v>
      </c>
      <c r="AI125" s="16" t="s">
        <v>105</v>
      </c>
      <c r="AJ125" s="19">
        <f>IF(AN125=0,L125,0)</f>
        <v>0</v>
      </c>
      <c r="AK125" s="19">
        <f>IF(AN125=12,L125,0)</f>
        <v>0</v>
      </c>
      <c r="AL125" s="19">
        <f>IF(AN125=21,L125,0)</f>
        <v>0</v>
      </c>
      <c r="AN125" s="19">
        <v>12</v>
      </c>
      <c r="AO125" s="19">
        <f>H125*0</f>
        <v>0</v>
      </c>
      <c r="AP125" s="19">
        <f>H125*(1-0)</f>
        <v>0</v>
      </c>
      <c r="AQ125" s="87" t="s">
        <v>436</v>
      </c>
      <c r="AV125" s="19">
        <f>AW125+AX125</f>
        <v>0</v>
      </c>
      <c r="AW125" s="19">
        <f>G125*AO125</f>
        <v>0</v>
      </c>
      <c r="AX125" s="19">
        <f>G125*AP125</f>
        <v>0</v>
      </c>
      <c r="AY125" s="87" t="s">
        <v>497</v>
      </c>
      <c r="AZ125" s="87" t="s">
        <v>501</v>
      </c>
      <c r="BA125" s="16" t="s">
        <v>502</v>
      </c>
      <c r="BC125" s="19">
        <f>AW125+AX125</f>
        <v>0</v>
      </c>
      <c r="BD125" s="19">
        <f>H125/(100-BE125)*100</f>
        <v>0</v>
      </c>
      <c r="BE125" s="19">
        <v>0</v>
      </c>
      <c r="BF125" s="19">
        <f>O125</f>
        <v>0</v>
      </c>
      <c r="BH125" s="19">
        <f>G125*AO125</f>
        <v>0</v>
      </c>
      <c r="BI125" s="19">
        <f>G125*AP125</f>
        <v>0</v>
      </c>
      <c r="BJ125" s="19">
        <f>G125*H125</f>
        <v>0</v>
      </c>
      <c r="BK125" s="19"/>
      <c r="BL125" s="19">
        <v>725</v>
      </c>
      <c r="BW125" s="19" t="str">
        <f>I125</f>
        <v>12</v>
      </c>
      <c r="BX125" s="4" t="s">
        <v>104</v>
      </c>
    </row>
    <row r="126" spans="1:76" x14ac:dyDescent="0.25">
      <c r="A126" s="84" t="s">
        <v>25</v>
      </c>
      <c r="B126" s="15" t="s">
        <v>107</v>
      </c>
      <c r="C126" s="15" t="s">
        <v>25</v>
      </c>
      <c r="D126" s="115" t="s">
        <v>108</v>
      </c>
      <c r="E126" s="116"/>
      <c r="F126" s="85" t="s">
        <v>23</v>
      </c>
      <c r="G126" s="85" t="s">
        <v>23</v>
      </c>
      <c r="H126" s="85" t="s">
        <v>23</v>
      </c>
      <c r="I126" s="85" t="s">
        <v>23</v>
      </c>
      <c r="J126" s="60">
        <f>J127+J155</f>
        <v>0</v>
      </c>
      <c r="K126" s="60">
        <f>K127+K155</f>
        <v>0</v>
      </c>
      <c r="L126" s="60">
        <f>L127+L155</f>
        <v>0</v>
      </c>
      <c r="M126" s="60">
        <f>M127+M155</f>
        <v>0</v>
      </c>
      <c r="N126" s="16" t="s">
        <v>25</v>
      </c>
      <c r="O126" s="60">
        <f>O127+O155</f>
        <v>1.10314</v>
      </c>
      <c r="P126" s="86" t="s">
        <v>25</v>
      </c>
    </row>
    <row r="127" spans="1:76" x14ac:dyDescent="0.25">
      <c r="A127" s="84" t="s">
        <v>25</v>
      </c>
      <c r="B127" s="15" t="s">
        <v>107</v>
      </c>
      <c r="C127" s="15" t="s">
        <v>27</v>
      </c>
      <c r="D127" s="115" t="s">
        <v>28</v>
      </c>
      <c r="E127" s="116"/>
      <c r="F127" s="85" t="s">
        <v>23</v>
      </c>
      <c r="G127" s="85" t="s">
        <v>23</v>
      </c>
      <c r="H127" s="85" t="s">
        <v>23</v>
      </c>
      <c r="I127" s="85" t="s">
        <v>23</v>
      </c>
      <c r="J127" s="60">
        <f>SUM(J128:J154)</f>
        <v>0</v>
      </c>
      <c r="K127" s="60">
        <f>SUM(K128:K154)</f>
        <v>0</v>
      </c>
      <c r="L127" s="60">
        <f>SUM(L128:L154)</f>
        <v>0</v>
      </c>
      <c r="M127" s="60">
        <f>SUM(M128:M154)</f>
        <v>0</v>
      </c>
      <c r="N127" s="16" t="s">
        <v>25</v>
      </c>
      <c r="O127" s="60">
        <f>SUM(O128:O154)</f>
        <v>0.59458</v>
      </c>
      <c r="P127" s="86" t="s">
        <v>25</v>
      </c>
      <c r="AI127" s="16" t="s">
        <v>107</v>
      </c>
      <c r="AS127" s="60">
        <f>SUM(AJ128:AJ154)</f>
        <v>0</v>
      </c>
      <c r="AT127" s="60">
        <f>SUM(AK128:AK154)</f>
        <v>0</v>
      </c>
      <c r="AU127" s="60">
        <f>SUM(AL128:AL154)</f>
        <v>0</v>
      </c>
    </row>
    <row r="128" spans="1:76" x14ac:dyDescent="0.25">
      <c r="A128" s="1" t="s">
        <v>531</v>
      </c>
      <c r="B128" s="2" t="s">
        <v>107</v>
      </c>
      <c r="C128" s="2" t="s">
        <v>29</v>
      </c>
      <c r="D128" s="108" t="s">
        <v>58</v>
      </c>
      <c r="E128" s="102"/>
      <c r="F128" s="2" t="s">
        <v>31</v>
      </c>
      <c r="G128" s="19">
        <f>'Rozpočet - vybrané sloupce'!J115</f>
        <v>92</v>
      </c>
      <c r="H128" s="19">
        <f>'Rozpočet - vybrané sloupce'!K115</f>
        <v>0</v>
      </c>
      <c r="I128" s="87" t="s">
        <v>427</v>
      </c>
      <c r="J128" s="19">
        <f t="shared" ref="J128:J154" si="130">G128*AO128</f>
        <v>0</v>
      </c>
      <c r="K128" s="19">
        <f t="shared" ref="K128:K154" si="131">G128*AP128</f>
        <v>0</v>
      </c>
      <c r="L128" s="19">
        <f t="shared" ref="L128:L154" si="132">G128*H128</f>
        <v>0</v>
      </c>
      <c r="M128" s="19">
        <f t="shared" ref="M128:M154" si="133">L128*(1+BW128/100)</f>
        <v>0</v>
      </c>
      <c r="N128" s="19">
        <v>2.7999999999999998E-4</v>
      </c>
      <c r="O128" s="19">
        <f t="shared" ref="O128:O154" si="134">G128*N128</f>
        <v>2.5759999999999998E-2</v>
      </c>
      <c r="P128" s="88" t="s">
        <v>428</v>
      </c>
      <c r="Z128" s="19">
        <f t="shared" ref="Z128:Z154" si="135">IF(AQ128="5",BJ128,0)</f>
        <v>0</v>
      </c>
      <c r="AB128" s="19">
        <f t="shared" ref="AB128:AB154" si="136">IF(AQ128="1",BH128,0)</f>
        <v>0</v>
      </c>
      <c r="AC128" s="19">
        <f t="shared" ref="AC128:AC154" si="137">IF(AQ128="1",BI128,0)</f>
        <v>0</v>
      </c>
      <c r="AD128" s="19">
        <f t="shared" ref="AD128:AD154" si="138">IF(AQ128="7",BH128,0)</f>
        <v>0</v>
      </c>
      <c r="AE128" s="19">
        <f t="shared" ref="AE128:AE154" si="139">IF(AQ128="7",BI128,0)</f>
        <v>0</v>
      </c>
      <c r="AF128" s="19">
        <f t="shared" ref="AF128:AF154" si="140">IF(AQ128="2",BH128,0)</f>
        <v>0</v>
      </c>
      <c r="AG128" s="19">
        <f t="shared" ref="AG128:AG154" si="141">IF(AQ128="2",BI128,0)</f>
        <v>0</v>
      </c>
      <c r="AH128" s="19">
        <f t="shared" ref="AH128:AH154" si="142">IF(AQ128="0",BJ128,0)</f>
        <v>0</v>
      </c>
      <c r="AI128" s="16" t="s">
        <v>107</v>
      </c>
      <c r="AJ128" s="19">
        <f t="shared" ref="AJ128:AJ154" si="143">IF(AN128=0,L128,0)</f>
        <v>0</v>
      </c>
      <c r="AK128" s="19">
        <f t="shared" ref="AK128:AK154" si="144">IF(AN128=12,L128,0)</f>
        <v>0</v>
      </c>
      <c r="AL128" s="19">
        <f t="shared" ref="AL128:AL154" si="145">IF(AN128=21,L128,0)</f>
        <v>0</v>
      </c>
      <c r="AN128" s="19">
        <v>12</v>
      </c>
      <c r="AO128" s="19">
        <f>H128*0</f>
        <v>0</v>
      </c>
      <c r="AP128" s="19">
        <f>H128*(1-0)</f>
        <v>0</v>
      </c>
      <c r="AQ128" s="87" t="s">
        <v>429</v>
      </c>
      <c r="AV128" s="19">
        <f t="shared" ref="AV128:AV154" si="146">AW128+AX128</f>
        <v>0</v>
      </c>
      <c r="AW128" s="19">
        <f t="shared" ref="AW128:AW154" si="147">G128*AO128</f>
        <v>0</v>
      </c>
      <c r="AX128" s="19">
        <f t="shared" ref="AX128:AX154" si="148">G128*AP128</f>
        <v>0</v>
      </c>
      <c r="AY128" s="87" t="s">
        <v>430</v>
      </c>
      <c r="AZ128" s="87" t="s">
        <v>532</v>
      </c>
      <c r="BA128" s="16" t="s">
        <v>533</v>
      </c>
      <c r="BC128" s="19">
        <f t="shared" ref="BC128:BC154" si="149">AW128+AX128</f>
        <v>0</v>
      </c>
      <c r="BD128" s="19">
        <f t="shared" ref="BD128:BD154" si="150">H128/(100-BE128)*100</f>
        <v>0</v>
      </c>
      <c r="BE128" s="19">
        <v>0</v>
      </c>
      <c r="BF128" s="19">
        <f t="shared" ref="BF128:BF154" si="151">O128</f>
        <v>2.5759999999999998E-2</v>
      </c>
      <c r="BH128" s="19">
        <f t="shared" ref="BH128:BH154" si="152">G128*AO128</f>
        <v>0</v>
      </c>
      <c r="BI128" s="19">
        <f t="shared" ref="BI128:BI154" si="153">G128*AP128</f>
        <v>0</v>
      </c>
      <c r="BJ128" s="19">
        <f t="shared" ref="BJ128:BJ154" si="154">G128*H128</f>
        <v>0</v>
      </c>
      <c r="BK128" s="19"/>
      <c r="BL128" s="19">
        <v>722</v>
      </c>
      <c r="BW128" s="19" t="str">
        <f t="shared" ref="BW128:BW154" si="155">I128</f>
        <v>12</v>
      </c>
      <c r="BX128" s="4" t="s">
        <v>58</v>
      </c>
    </row>
    <row r="129" spans="1:76" x14ac:dyDescent="0.25">
      <c r="A129" s="1" t="s">
        <v>534</v>
      </c>
      <c r="B129" s="2" t="s">
        <v>107</v>
      </c>
      <c r="C129" s="2" t="s">
        <v>33</v>
      </c>
      <c r="D129" s="108" t="s">
        <v>59</v>
      </c>
      <c r="E129" s="102"/>
      <c r="F129" s="2" t="s">
        <v>31</v>
      </c>
      <c r="G129" s="19">
        <f>'Rozpočet - vybrané sloupce'!J116</f>
        <v>132</v>
      </c>
      <c r="H129" s="19">
        <f>'Rozpočet - vybrané sloupce'!K116</f>
        <v>0</v>
      </c>
      <c r="I129" s="87" t="s">
        <v>427</v>
      </c>
      <c r="J129" s="19">
        <f t="shared" si="130"/>
        <v>0</v>
      </c>
      <c r="K129" s="19">
        <f t="shared" si="131"/>
        <v>0</v>
      </c>
      <c r="L129" s="19">
        <f t="shared" si="132"/>
        <v>0</v>
      </c>
      <c r="M129" s="19">
        <f t="shared" si="133"/>
        <v>0</v>
      </c>
      <c r="N129" s="19">
        <v>2.9E-4</v>
      </c>
      <c r="O129" s="19">
        <f t="shared" si="134"/>
        <v>3.8280000000000002E-2</v>
      </c>
      <c r="P129" s="88" t="s">
        <v>428</v>
      </c>
      <c r="Z129" s="19">
        <f t="shared" si="135"/>
        <v>0</v>
      </c>
      <c r="AB129" s="19">
        <f t="shared" si="136"/>
        <v>0</v>
      </c>
      <c r="AC129" s="19">
        <f t="shared" si="137"/>
        <v>0</v>
      </c>
      <c r="AD129" s="19">
        <f t="shared" si="138"/>
        <v>0</v>
      </c>
      <c r="AE129" s="19">
        <f t="shared" si="139"/>
        <v>0</v>
      </c>
      <c r="AF129" s="19">
        <f t="shared" si="140"/>
        <v>0</v>
      </c>
      <c r="AG129" s="19">
        <f t="shared" si="141"/>
        <v>0</v>
      </c>
      <c r="AH129" s="19">
        <f t="shared" si="142"/>
        <v>0</v>
      </c>
      <c r="AI129" s="16" t="s">
        <v>107</v>
      </c>
      <c r="AJ129" s="19">
        <f t="shared" si="143"/>
        <v>0</v>
      </c>
      <c r="AK129" s="19">
        <f t="shared" si="144"/>
        <v>0</v>
      </c>
      <c r="AL129" s="19">
        <f t="shared" si="145"/>
        <v>0</v>
      </c>
      <c r="AN129" s="19">
        <v>12</v>
      </c>
      <c r="AO129" s="19">
        <f>H129*0</f>
        <v>0</v>
      </c>
      <c r="AP129" s="19">
        <f>H129*(1-0)</f>
        <v>0</v>
      </c>
      <c r="AQ129" s="87" t="s">
        <v>429</v>
      </c>
      <c r="AV129" s="19">
        <f t="shared" si="146"/>
        <v>0</v>
      </c>
      <c r="AW129" s="19">
        <f t="shared" si="147"/>
        <v>0</v>
      </c>
      <c r="AX129" s="19">
        <f t="shared" si="148"/>
        <v>0</v>
      </c>
      <c r="AY129" s="87" t="s">
        <v>430</v>
      </c>
      <c r="AZ129" s="87" t="s">
        <v>532</v>
      </c>
      <c r="BA129" s="16" t="s">
        <v>533</v>
      </c>
      <c r="BC129" s="19">
        <f t="shared" si="149"/>
        <v>0</v>
      </c>
      <c r="BD129" s="19">
        <f t="shared" si="150"/>
        <v>0</v>
      </c>
      <c r="BE129" s="19">
        <v>0</v>
      </c>
      <c r="BF129" s="19">
        <f t="shared" si="151"/>
        <v>3.8280000000000002E-2</v>
      </c>
      <c r="BH129" s="19">
        <f t="shared" si="152"/>
        <v>0</v>
      </c>
      <c r="BI129" s="19">
        <f t="shared" si="153"/>
        <v>0</v>
      </c>
      <c r="BJ129" s="19">
        <f t="shared" si="154"/>
        <v>0</v>
      </c>
      <c r="BK129" s="19"/>
      <c r="BL129" s="19">
        <v>722</v>
      </c>
      <c r="BW129" s="19" t="str">
        <f t="shared" si="155"/>
        <v>12</v>
      </c>
      <c r="BX129" s="4" t="s">
        <v>59</v>
      </c>
    </row>
    <row r="130" spans="1:76" x14ac:dyDescent="0.25">
      <c r="A130" s="1" t="s">
        <v>535</v>
      </c>
      <c r="B130" s="2" t="s">
        <v>107</v>
      </c>
      <c r="C130" s="2" t="s">
        <v>60</v>
      </c>
      <c r="D130" s="108" t="s">
        <v>61</v>
      </c>
      <c r="E130" s="102"/>
      <c r="F130" s="2" t="s">
        <v>62</v>
      </c>
      <c r="G130" s="19">
        <f>'Rozpočet - vybrané sloupce'!J117</f>
        <v>48</v>
      </c>
      <c r="H130" s="19">
        <f>'Rozpočet - vybrané sloupce'!K117</f>
        <v>0</v>
      </c>
      <c r="I130" s="87" t="s">
        <v>427</v>
      </c>
      <c r="J130" s="19">
        <f t="shared" si="130"/>
        <v>0</v>
      </c>
      <c r="K130" s="19">
        <f t="shared" si="131"/>
        <v>0</v>
      </c>
      <c r="L130" s="19">
        <f t="shared" si="132"/>
        <v>0</v>
      </c>
      <c r="M130" s="19">
        <f t="shared" si="133"/>
        <v>0</v>
      </c>
      <c r="N130" s="19">
        <v>6.9999999999999999E-4</v>
      </c>
      <c r="O130" s="19">
        <f t="shared" si="134"/>
        <v>3.3599999999999998E-2</v>
      </c>
      <c r="P130" s="88" t="s">
        <v>428</v>
      </c>
      <c r="Z130" s="19">
        <f t="shared" si="135"/>
        <v>0</v>
      </c>
      <c r="AB130" s="19">
        <f t="shared" si="136"/>
        <v>0</v>
      </c>
      <c r="AC130" s="19">
        <f t="shared" si="137"/>
        <v>0</v>
      </c>
      <c r="AD130" s="19">
        <f t="shared" si="138"/>
        <v>0</v>
      </c>
      <c r="AE130" s="19">
        <f t="shared" si="139"/>
        <v>0</v>
      </c>
      <c r="AF130" s="19">
        <f t="shared" si="140"/>
        <v>0</v>
      </c>
      <c r="AG130" s="19">
        <f t="shared" si="141"/>
        <v>0</v>
      </c>
      <c r="AH130" s="19">
        <f t="shared" si="142"/>
        <v>0</v>
      </c>
      <c r="AI130" s="16" t="s">
        <v>107</v>
      </c>
      <c r="AJ130" s="19">
        <f t="shared" si="143"/>
        <v>0</v>
      </c>
      <c r="AK130" s="19">
        <f t="shared" si="144"/>
        <v>0</v>
      </c>
      <c r="AL130" s="19">
        <f t="shared" si="145"/>
        <v>0</v>
      </c>
      <c r="AN130" s="19">
        <v>12</v>
      </c>
      <c r="AO130" s="19">
        <f>H130*0.274014951</f>
        <v>0</v>
      </c>
      <c r="AP130" s="19">
        <f>H130*(1-0.274014951)</f>
        <v>0</v>
      </c>
      <c r="AQ130" s="87" t="s">
        <v>429</v>
      </c>
      <c r="AV130" s="19">
        <f t="shared" si="146"/>
        <v>0</v>
      </c>
      <c r="AW130" s="19">
        <f t="shared" si="147"/>
        <v>0</v>
      </c>
      <c r="AX130" s="19">
        <f t="shared" si="148"/>
        <v>0</v>
      </c>
      <c r="AY130" s="87" t="s">
        <v>430</v>
      </c>
      <c r="AZ130" s="87" t="s">
        <v>532</v>
      </c>
      <c r="BA130" s="16" t="s">
        <v>533</v>
      </c>
      <c r="BC130" s="19">
        <f t="shared" si="149"/>
        <v>0</v>
      </c>
      <c r="BD130" s="19">
        <f t="shared" si="150"/>
        <v>0</v>
      </c>
      <c r="BE130" s="19">
        <v>0</v>
      </c>
      <c r="BF130" s="19">
        <f t="shared" si="151"/>
        <v>3.3599999999999998E-2</v>
      </c>
      <c r="BH130" s="19">
        <f t="shared" si="152"/>
        <v>0</v>
      </c>
      <c r="BI130" s="19">
        <f t="shared" si="153"/>
        <v>0</v>
      </c>
      <c r="BJ130" s="19">
        <f t="shared" si="154"/>
        <v>0</v>
      </c>
      <c r="BK130" s="19"/>
      <c r="BL130" s="19">
        <v>722</v>
      </c>
      <c r="BW130" s="19" t="str">
        <f t="shared" si="155"/>
        <v>12</v>
      </c>
      <c r="BX130" s="4" t="s">
        <v>61</v>
      </c>
    </row>
    <row r="131" spans="1:76" x14ac:dyDescent="0.25">
      <c r="A131" s="1" t="s">
        <v>536</v>
      </c>
      <c r="B131" s="2" t="s">
        <v>107</v>
      </c>
      <c r="C131" s="2" t="s">
        <v>63</v>
      </c>
      <c r="D131" s="108" t="s">
        <v>64</v>
      </c>
      <c r="E131" s="102"/>
      <c r="F131" s="2" t="s">
        <v>31</v>
      </c>
      <c r="G131" s="19">
        <f>'Rozpočet - vybrané sloupce'!J118</f>
        <v>48</v>
      </c>
      <c r="H131" s="19">
        <f>'Rozpočet - vybrané sloupce'!K118</f>
        <v>0</v>
      </c>
      <c r="I131" s="87" t="s">
        <v>427</v>
      </c>
      <c r="J131" s="19">
        <f t="shared" si="130"/>
        <v>0</v>
      </c>
      <c r="K131" s="19">
        <f t="shared" si="131"/>
        <v>0</v>
      </c>
      <c r="L131" s="19">
        <f t="shared" si="132"/>
        <v>0</v>
      </c>
      <c r="M131" s="19">
        <f t="shared" si="133"/>
        <v>0</v>
      </c>
      <c r="N131" s="19">
        <v>4.2999999999999999E-4</v>
      </c>
      <c r="O131" s="19">
        <f t="shared" si="134"/>
        <v>2.0639999999999999E-2</v>
      </c>
      <c r="P131" s="88" t="s">
        <v>428</v>
      </c>
      <c r="Z131" s="19">
        <f t="shared" si="135"/>
        <v>0</v>
      </c>
      <c r="AB131" s="19">
        <f t="shared" si="136"/>
        <v>0</v>
      </c>
      <c r="AC131" s="19">
        <f t="shared" si="137"/>
        <v>0</v>
      </c>
      <c r="AD131" s="19">
        <f t="shared" si="138"/>
        <v>0</v>
      </c>
      <c r="AE131" s="19">
        <f t="shared" si="139"/>
        <v>0</v>
      </c>
      <c r="AF131" s="19">
        <f t="shared" si="140"/>
        <v>0</v>
      </c>
      <c r="AG131" s="19">
        <f t="shared" si="141"/>
        <v>0</v>
      </c>
      <c r="AH131" s="19">
        <f t="shared" si="142"/>
        <v>0</v>
      </c>
      <c r="AI131" s="16" t="s">
        <v>107</v>
      </c>
      <c r="AJ131" s="19">
        <f t="shared" si="143"/>
        <v>0</v>
      </c>
      <c r="AK131" s="19">
        <f t="shared" si="144"/>
        <v>0</v>
      </c>
      <c r="AL131" s="19">
        <f t="shared" si="145"/>
        <v>0</v>
      </c>
      <c r="AN131" s="19">
        <v>12</v>
      </c>
      <c r="AO131" s="19">
        <f>H131*0.433819771</f>
        <v>0</v>
      </c>
      <c r="AP131" s="19">
        <f>H131*(1-0.433819771)</f>
        <v>0</v>
      </c>
      <c r="AQ131" s="87" t="s">
        <v>429</v>
      </c>
      <c r="AV131" s="19">
        <f t="shared" si="146"/>
        <v>0</v>
      </c>
      <c r="AW131" s="19">
        <f t="shared" si="147"/>
        <v>0</v>
      </c>
      <c r="AX131" s="19">
        <f t="shared" si="148"/>
        <v>0</v>
      </c>
      <c r="AY131" s="87" t="s">
        <v>430</v>
      </c>
      <c r="AZ131" s="87" t="s">
        <v>532</v>
      </c>
      <c r="BA131" s="16" t="s">
        <v>533</v>
      </c>
      <c r="BC131" s="19">
        <f t="shared" si="149"/>
        <v>0</v>
      </c>
      <c r="BD131" s="19">
        <f t="shared" si="150"/>
        <v>0</v>
      </c>
      <c r="BE131" s="19">
        <v>0</v>
      </c>
      <c r="BF131" s="19">
        <f t="shared" si="151"/>
        <v>2.0639999999999999E-2</v>
      </c>
      <c r="BH131" s="19">
        <f t="shared" si="152"/>
        <v>0</v>
      </c>
      <c r="BI131" s="19">
        <f t="shared" si="153"/>
        <v>0</v>
      </c>
      <c r="BJ131" s="19">
        <f t="shared" si="154"/>
        <v>0</v>
      </c>
      <c r="BK131" s="19"/>
      <c r="BL131" s="19">
        <v>722</v>
      </c>
      <c r="BW131" s="19" t="str">
        <f t="shared" si="155"/>
        <v>12</v>
      </c>
      <c r="BX131" s="4" t="s">
        <v>64</v>
      </c>
    </row>
    <row r="132" spans="1:76" x14ac:dyDescent="0.25">
      <c r="A132" s="1" t="s">
        <v>262</v>
      </c>
      <c r="B132" s="2" t="s">
        <v>107</v>
      </c>
      <c r="C132" s="2" t="s">
        <v>35</v>
      </c>
      <c r="D132" s="108" t="s">
        <v>36</v>
      </c>
      <c r="E132" s="102"/>
      <c r="F132" s="2" t="s">
        <v>31</v>
      </c>
      <c r="G132" s="19">
        <f>'Rozpočet - vybrané sloupce'!J119</f>
        <v>90</v>
      </c>
      <c r="H132" s="19">
        <f>'Rozpočet - vybrané sloupce'!K119</f>
        <v>0</v>
      </c>
      <c r="I132" s="87" t="s">
        <v>427</v>
      </c>
      <c r="J132" s="19">
        <f t="shared" si="130"/>
        <v>0</v>
      </c>
      <c r="K132" s="19">
        <f t="shared" si="131"/>
        <v>0</v>
      </c>
      <c r="L132" s="19">
        <f t="shared" si="132"/>
        <v>0</v>
      </c>
      <c r="M132" s="19">
        <f t="shared" si="133"/>
        <v>0</v>
      </c>
      <c r="N132" s="19">
        <v>5.2999999999999998E-4</v>
      </c>
      <c r="O132" s="19">
        <f t="shared" si="134"/>
        <v>4.7699999999999999E-2</v>
      </c>
      <c r="P132" s="88" t="s">
        <v>428</v>
      </c>
      <c r="Z132" s="19">
        <f t="shared" si="135"/>
        <v>0</v>
      </c>
      <c r="AB132" s="19">
        <f t="shared" si="136"/>
        <v>0</v>
      </c>
      <c r="AC132" s="19">
        <f t="shared" si="137"/>
        <v>0</v>
      </c>
      <c r="AD132" s="19">
        <f t="shared" si="138"/>
        <v>0</v>
      </c>
      <c r="AE132" s="19">
        <f t="shared" si="139"/>
        <v>0</v>
      </c>
      <c r="AF132" s="19">
        <f t="shared" si="140"/>
        <v>0</v>
      </c>
      <c r="AG132" s="19">
        <f t="shared" si="141"/>
        <v>0</v>
      </c>
      <c r="AH132" s="19">
        <f t="shared" si="142"/>
        <v>0</v>
      </c>
      <c r="AI132" s="16" t="s">
        <v>107</v>
      </c>
      <c r="AJ132" s="19">
        <f t="shared" si="143"/>
        <v>0</v>
      </c>
      <c r="AK132" s="19">
        <f t="shared" si="144"/>
        <v>0</v>
      </c>
      <c r="AL132" s="19">
        <f t="shared" si="145"/>
        <v>0</v>
      </c>
      <c r="AN132" s="19">
        <v>12</v>
      </c>
      <c r="AO132" s="19">
        <f>H132*0.499104591</f>
        <v>0</v>
      </c>
      <c r="AP132" s="19">
        <f>H132*(1-0.499104591)</f>
        <v>0</v>
      </c>
      <c r="AQ132" s="87" t="s">
        <v>429</v>
      </c>
      <c r="AV132" s="19">
        <f t="shared" si="146"/>
        <v>0</v>
      </c>
      <c r="AW132" s="19">
        <f t="shared" si="147"/>
        <v>0</v>
      </c>
      <c r="AX132" s="19">
        <f t="shared" si="148"/>
        <v>0</v>
      </c>
      <c r="AY132" s="87" t="s">
        <v>430</v>
      </c>
      <c r="AZ132" s="87" t="s">
        <v>532</v>
      </c>
      <c r="BA132" s="16" t="s">
        <v>533</v>
      </c>
      <c r="BC132" s="19">
        <f t="shared" si="149"/>
        <v>0</v>
      </c>
      <c r="BD132" s="19">
        <f t="shared" si="150"/>
        <v>0</v>
      </c>
      <c r="BE132" s="19">
        <v>0</v>
      </c>
      <c r="BF132" s="19">
        <f t="shared" si="151"/>
        <v>4.7699999999999999E-2</v>
      </c>
      <c r="BH132" s="19">
        <f t="shared" si="152"/>
        <v>0</v>
      </c>
      <c r="BI132" s="19">
        <f t="shared" si="153"/>
        <v>0</v>
      </c>
      <c r="BJ132" s="19">
        <f t="shared" si="154"/>
        <v>0</v>
      </c>
      <c r="BK132" s="19"/>
      <c r="BL132" s="19">
        <v>722</v>
      </c>
      <c r="BW132" s="19" t="str">
        <f t="shared" si="155"/>
        <v>12</v>
      </c>
      <c r="BX132" s="4" t="s">
        <v>36</v>
      </c>
    </row>
    <row r="133" spans="1:76" x14ac:dyDescent="0.25">
      <c r="A133" s="1" t="s">
        <v>266</v>
      </c>
      <c r="B133" s="2" t="s">
        <v>107</v>
      </c>
      <c r="C133" s="2" t="s">
        <v>65</v>
      </c>
      <c r="D133" s="108" t="s">
        <v>66</v>
      </c>
      <c r="E133" s="102"/>
      <c r="F133" s="2" t="s">
        <v>31</v>
      </c>
      <c r="G133" s="19">
        <f>'Rozpočet - vybrané sloupce'!J120</f>
        <v>56</v>
      </c>
      <c r="H133" s="19">
        <f>'Rozpočet - vybrané sloupce'!K120</f>
        <v>0</v>
      </c>
      <c r="I133" s="87" t="s">
        <v>427</v>
      </c>
      <c r="J133" s="19">
        <f t="shared" si="130"/>
        <v>0</v>
      </c>
      <c r="K133" s="19">
        <f t="shared" si="131"/>
        <v>0</v>
      </c>
      <c r="L133" s="19">
        <f t="shared" si="132"/>
        <v>0</v>
      </c>
      <c r="M133" s="19">
        <f t="shared" si="133"/>
        <v>0</v>
      </c>
      <c r="N133" s="19">
        <v>7.2999999999999996E-4</v>
      </c>
      <c r="O133" s="19">
        <f t="shared" si="134"/>
        <v>4.088E-2</v>
      </c>
      <c r="P133" s="88" t="s">
        <v>428</v>
      </c>
      <c r="Z133" s="19">
        <f t="shared" si="135"/>
        <v>0</v>
      </c>
      <c r="AB133" s="19">
        <f t="shared" si="136"/>
        <v>0</v>
      </c>
      <c r="AC133" s="19">
        <f t="shared" si="137"/>
        <v>0</v>
      </c>
      <c r="AD133" s="19">
        <f t="shared" si="138"/>
        <v>0</v>
      </c>
      <c r="AE133" s="19">
        <f t="shared" si="139"/>
        <v>0</v>
      </c>
      <c r="AF133" s="19">
        <f t="shared" si="140"/>
        <v>0</v>
      </c>
      <c r="AG133" s="19">
        <f t="shared" si="141"/>
        <v>0</v>
      </c>
      <c r="AH133" s="19">
        <f t="shared" si="142"/>
        <v>0</v>
      </c>
      <c r="AI133" s="16" t="s">
        <v>107</v>
      </c>
      <c r="AJ133" s="19">
        <f t="shared" si="143"/>
        <v>0</v>
      </c>
      <c r="AK133" s="19">
        <f t="shared" si="144"/>
        <v>0</v>
      </c>
      <c r="AL133" s="19">
        <f t="shared" si="145"/>
        <v>0</v>
      </c>
      <c r="AN133" s="19">
        <v>12</v>
      </c>
      <c r="AO133" s="19">
        <f>H133*0.578540157</f>
        <v>0</v>
      </c>
      <c r="AP133" s="19">
        <f>H133*(1-0.578540157)</f>
        <v>0</v>
      </c>
      <c r="AQ133" s="87" t="s">
        <v>429</v>
      </c>
      <c r="AV133" s="19">
        <f t="shared" si="146"/>
        <v>0</v>
      </c>
      <c r="AW133" s="19">
        <f t="shared" si="147"/>
        <v>0</v>
      </c>
      <c r="AX133" s="19">
        <f t="shared" si="148"/>
        <v>0</v>
      </c>
      <c r="AY133" s="87" t="s">
        <v>430</v>
      </c>
      <c r="AZ133" s="87" t="s">
        <v>532</v>
      </c>
      <c r="BA133" s="16" t="s">
        <v>533</v>
      </c>
      <c r="BC133" s="19">
        <f t="shared" si="149"/>
        <v>0</v>
      </c>
      <c r="BD133" s="19">
        <f t="shared" si="150"/>
        <v>0</v>
      </c>
      <c r="BE133" s="19">
        <v>0</v>
      </c>
      <c r="BF133" s="19">
        <f t="shared" si="151"/>
        <v>4.088E-2</v>
      </c>
      <c r="BH133" s="19">
        <f t="shared" si="152"/>
        <v>0</v>
      </c>
      <c r="BI133" s="19">
        <f t="shared" si="153"/>
        <v>0</v>
      </c>
      <c r="BJ133" s="19">
        <f t="shared" si="154"/>
        <v>0</v>
      </c>
      <c r="BK133" s="19"/>
      <c r="BL133" s="19">
        <v>722</v>
      </c>
      <c r="BW133" s="19" t="str">
        <f t="shared" si="155"/>
        <v>12</v>
      </c>
      <c r="BX133" s="4" t="s">
        <v>66</v>
      </c>
    </row>
    <row r="134" spans="1:76" x14ac:dyDescent="0.25">
      <c r="A134" s="1" t="s">
        <v>270</v>
      </c>
      <c r="B134" s="2" t="s">
        <v>107</v>
      </c>
      <c r="C134" s="2" t="s">
        <v>37</v>
      </c>
      <c r="D134" s="108" t="s">
        <v>38</v>
      </c>
      <c r="E134" s="102"/>
      <c r="F134" s="2" t="s">
        <v>31</v>
      </c>
      <c r="G134" s="19">
        <f>'Rozpočet - vybrané sloupce'!J121</f>
        <v>72</v>
      </c>
      <c r="H134" s="19">
        <f>'Rozpočet - vybrané sloupce'!K121</f>
        <v>0</v>
      </c>
      <c r="I134" s="87" t="s">
        <v>427</v>
      </c>
      <c r="J134" s="19">
        <f t="shared" si="130"/>
        <v>0</v>
      </c>
      <c r="K134" s="19">
        <f t="shared" si="131"/>
        <v>0</v>
      </c>
      <c r="L134" s="19">
        <f t="shared" si="132"/>
        <v>0</v>
      </c>
      <c r="M134" s="19">
        <f t="shared" si="133"/>
        <v>0</v>
      </c>
      <c r="N134" s="19">
        <v>1.0200000000000001E-3</v>
      </c>
      <c r="O134" s="19">
        <f t="shared" si="134"/>
        <v>7.3440000000000005E-2</v>
      </c>
      <c r="P134" s="88" t="s">
        <v>428</v>
      </c>
      <c r="Z134" s="19">
        <f t="shared" si="135"/>
        <v>0</v>
      </c>
      <c r="AB134" s="19">
        <f t="shared" si="136"/>
        <v>0</v>
      </c>
      <c r="AC134" s="19">
        <f t="shared" si="137"/>
        <v>0</v>
      </c>
      <c r="AD134" s="19">
        <f t="shared" si="138"/>
        <v>0</v>
      </c>
      <c r="AE134" s="19">
        <f t="shared" si="139"/>
        <v>0</v>
      </c>
      <c r="AF134" s="19">
        <f t="shared" si="140"/>
        <v>0</v>
      </c>
      <c r="AG134" s="19">
        <f t="shared" si="141"/>
        <v>0</v>
      </c>
      <c r="AH134" s="19">
        <f t="shared" si="142"/>
        <v>0</v>
      </c>
      <c r="AI134" s="16" t="s">
        <v>107</v>
      </c>
      <c r="AJ134" s="19">
        <f t="shared" si="143"/>
        <v>0</v>
      </c>
      <c r="AK134" s="19">
        <f t="shared" si="144"/>
        <v>0</v>
      </c>
      <c r="AL134" s="19">
        <f t="shared" si="145"/>
        <v>0</v>
      </c>
      <c r="AN134" s="19">
        <v>12</v>
      </c>
      <c r="AO134" s="19">
        <f>H134*0.679692178</f>
        <v>0</v>
      </c>
      <c r="AP134" s="19">
        <f>H134*(1-0.679692178)</f>
        <v>0</v>
      </c>
      <c r="AQ134" s="87" t="s">
        <v>429</v>
      </c>
      <c r="AV134" s="19">
        <f t="shared" si="146"/>
        <v>0</v>
      </c>
      <c r="AW134" s="19">
        <f t="shared" si="147"/>
        <v>0</v>
      </c>
      <c r="AX134" s="19">
        <f t="shared" si="148"/>
        <v>0</v>
      </c>
      <c r="AY134" s="87" t="s">
        <v>430</v>
      </c>
      <c r="AZ134" s="87" t="s">
        <v>532</v>
      </c>
      <c r="BA134" s="16" t="s">
        <v>533</v>
      </c>
      <c r="BC134" s="19">
        <f t="shared" si="149"/>
        <v>0</v>
      </c>
      <c r="BD134" s="19">
        <f t="shared" si="150"/>
        <v>0</v>
      </c>
      <c r="BE134" s="19">
        <v>0</v>
      </c>
      <c r="BF134" s="19">
        <f t="shared" si="151"/>
        <v>7.3440000000000005E-2</v>
      </c>
      <c r="BH134" s="19">
        <f t="shared" si="152"/>
        <v>0</v>
      </c>
      <c r="BI134" s="19">
        <f t="shared" si="153"/>
        <v>0</v>
      </c>
      <c r="BJ134" s="19">
        <f t="shared" si="154"/>
        <v>0</v>
      </c>
      <c r="BK134" s="19"/>
      <c r="BL134" s="19">
        <v>722</v>
      </c>
      <c r="BW134" s="19" t="str">
        <f t="shared" si="155"/>
        <v>12</v>
      </c>
      <c r="BX134" s="4" t="s">
        <v>38</v>
      </c>
    </row>
    <row r="135" spans="1:76" x14ac:dyDescent="0.25">
      <c r="A135" s="1" t="s">
        <v>537</v>
      </c>
      <c r="B135" s="2" t="s">
        <v>107</v>
      </c>
      <c r="C135" s="2" t="s">
        <v>67</v>
      </c>
      <c r="D135" s="108" t="s">
        <v>68</v>
      </c>
      <c r="E135" s="102"/>
      <c r="F135" s="2" t="s">
        <v>62</v>
      </c>
      <c r="G135" s="19">
        <f>'Rozpočet - vybrané sloupce'!J122</f>
        <v>6</v>
      </c>
      <c r="H135" s="19">
        <f>'Rozpočet - vybrané sloupce'!K122</f>
        <v>0</v>
      </c>
      <c r="I135" s="87" t="s">
        <v>427</v>
      </c>
      <c r="J135" s="19">
        <f t="shared" si="130"/>
        <v>0</v>
      </c>
      <c r="K135" s="19">
        <f t="shared" si="131"/>
        <v>0</v>
      </c>
      <c r="L135" s="19">
        <f t="shared" si="132"/>
        <v>0</v>
      </c>
      <c r="M135" s="19">
        <f t="shared" si="133"/>
        <v>0</v>
      </c>
      <c r="N135" s="19">
        <v>5.1999999999999995E-4</v>
      </c>
      <c r="O135" s="19">
        <f t="shared" si="134"/>
        <v>3.1199999999999995E-3</v>
      </c>
      <c r="P135" s="88" t="s">
        <v>428</v>
      </c>
      <c r="Z135" s="19">
        <f t="shared" si="135"/>
        <v>0</v>
      </c>
      <c r="AB135" s="19">
        <f t="shared" si="136"/>
        <v>0</v>
      </c>
      <c r="AC135" s="19">
        <f t="shared" si="137"/>
        <v>0</v>
      </c>
      <c r="AD135" s="19">
        <f t="shared" si="138"/>
        <v>0</v>
      </c>
      <c r="AE135" s="19">
        <f t="shared" si="139"/>
        <v>0</v>
      </c>
      <c r="AF135" s="19">
        <f t="shared" si="140"/>
        <v>0</v>
      </c>
      <c r="AG135" s="19">
        <f t="shared" si="141"/>
        <v>0</v>
      </c>
      <c r="AH135" s="19">
        <f t="shared" si="142"/>
        <v>0</v>
      </c>
      <c r="AI135" s="16" t="s">
        <v>107</v>
      </c>
      <c r="AJ135" s="19">
        <f t="shared" si="143"/>
        <v>0</v>
      </c>
      <c r="AK135" s="19">
        <f t="shared" si="144"/>
        <v>0</v>
      </c>
      <c r="AL135" s="19">
        <f t="shared" si="145"/>
        <v>0</v>
      </c>
      <c r="AN135" s="19">
        <v>12</v>
      </c>
      <c r="AO135" s="19">
        <f>H135*0.362875871</f>
        <v>0</v>
      </c>
      <c r="AP135" s="19">
        <f>H135*(1-0.362875871)</f>
        <v>0</v>
      </c>
      <c r="AQ135" s="87" t="s">
        <v>429</v>
      </c>
      <c r="AV135" s="19">
        <f t="shared" si="146"/>
        <v>0</v>
      </c>
      <c r="AW135" s="19">
        <f t="shared" si="147"/>
        <v>0</v>
      </c>
      <c r="AX135" s="19">
        <f t="shared" si="148"/>
        <v>0</v>
      </c>
      <c r="AY135" s="87" t="s">
        <v>430</v>
      </c>
      <c r="AZ135" s="87" t="s">
        <v>532</v>
      </c>
      <c r="BA135" s="16" t="s">
        <v>533</v>
      </c>
      <c r="BC135" s="19">
        <f t="shared" si="149"/>
        <v>0</v>
      </c>
      <c r="BD135" s="19">
        <f t="shared" si="150"/>
        <v>0</v>
      </c>
      <c r="BE135" s="19">
        <v>0</v>
      </c>
      <c r="BF135" s="19">
        <f t="shared" si="151"/>
        <v>3.1199999999999995E-3</v>
      </c>
      <c r="BH135" s="19">
        <f t="shared" si="152"/>
        <v>0</v>
      </c>
      <c r="BI135" s="19">
        <f t="shared" si="153"/>
        <v>0</v>
      </c>
      <c r="BJ135" s="19">
        <f t="shared" si="154"/>
        <v>0</v>
      </c>
      <c r="BK135" s="19"/>
      <c r="BL135" s="19">
        <v>722</v>
      </c>
      <c r="BW135" s="19" t="str">
        <f t="shared" si="155"/>
        <v>12</v>
      </c>
      <c r="BX135" s="4" t="s">
        <v>68</v>
      </c>
    </row>
    <row r="136" spans="1:76" x14ac:dyDescent="0.25">
      <c r="A136" s="1" t="s">
        <v>538</v>
      </c>
      <c r="B136" s="2" t="s">
        <v>107</v>
      </c>
      <c r="C136" s="2" t="s">
        <v>69</v>
      </c>
      <c r="D136" s="108" t="s">
        <v>70</v>
      </c>
      <c r="E136" s="102"/>
      <c r="F136" s="2" t="s">
        <v>62</v>
      </c>
      <c r="G136" s="19">
        <f>'Rozpočet - vybrané sloupce'!J123</f>
        <v>6</v>
      </c>
      <c r="H136" s="19">
        <f>'Rozpočet - vybrané sloupce'!K123</f>
        <v>0</v>
      </c>
      <c r="I136" s="87" t="s">
        <v>427</v>
      </c>
      <c r="J136" s="19">
        <f t="shared" si="130"/>
        <v>0</v>
      </c>
      <c r="K136" s="19">
        <f t="shared" si="131"/>
        <v>0</v>
      </c>
      <c r="L136" s="19">
        <f t="shared" si="132"/>
        <v>0</v>
      </c>
      <c r="M136" s="19">
        <f t="shared" si="133"/>
        <v>0</v>
      </c>
      <c r="N136" s="19">
        <v>7.6000000000000004E-4</v>
      </c>
      <c r="O136" s="19">
        <f t="shared" si="134"/>
        <v>4.5599999999999998E-3</v>
      </c>
      <c r="P136" s="88" t="s">
        <v>428</v>
      </c>
      <c r="Z136" s="19">
        <f t="shared" si="135"/>
        <v>0</v>
      </c>
      <c r="AB136" s="19">
        <f t="shared" si="136"/>
        <v>0</v>
      </c>
      <c r="AC136" s="19">
        <f t="shared" si="137"/>
        <v>0</v>
      </c>
      <c r="AD136" s="19">
        <f t="shared" si="138"/>
        <v>0</v>
      </c>
      <c r="AE136" s="19">
        <f t="shared" si="139"/>
        <v>0</v>
      </c>
      <c r="AF136" s="19">
        <f t="shared" si="140"/>
        <v>0</v>
      </c>
      <c r="AG136" s="19">
        <f t="shared" si="141"/>
        <v>0</v>
      </c>
      <c r="AH136" s="19">
        <f t="shared" si="142"/>
        <v>0</v>
      </c>
      <c r="AI136" s="16" t="s">
        <v>107</v>
      </c>
      <c r="AJ136" s="19">
        <f t="shared" si="143"/>
        <v>0</v>
      </c>
      <c r="AK136" s="19">
        <f t="shared" si="144"/>
        <v>0</v>
      </c>
      <c r="AL136" s="19">
        <f t="shared" si="145"/>
        <v>0</v>
      </c>
      <c r="AN136" s="19">
        <v>12</v>
      </c>
      <c r="AO136" s="19">
        <f>H136*0.421426807</f>
        <v>0</v>
      </c>
      <c r="AP136" s="19">
        <f>H136*(1-0.421426807)</f>
        <v>0</v>
      </c>
      <c r="AQ136" s="87" t="s">
        <v>429</v>
      </c>
      <c r="AV136" s="19">
        <f t="shared" si="146"/>
        <v>0</v>
      </c>
      <c r="AW136" s="19">
        <f t="shared" si="147"/>
        <v>0</v>
      </c>
      <c r="AX136" s="19">
        <f t="shared" si="148"/>
        <v>0</v>
      </c>
      <c r="AY136" s="87" t="s">
        <v>430</v>
      </c>
      <c r="AZ136" s="87" t="s">
        <v>532</v>
      </c>
      <c r="BA136" s="16" t="s">
        <v>533</v>
      </c>
      <c r="BC136" s="19">
        <f t="shared" si="149"/>
        <v>0</v>
      </c>
      <c r="BD136" s="19">
        <f t="shared" si="150"/>
        <v>0</v>
      </c>
      <c r="BE136" s="19">
        <v>0</v>
      </c>
      <c r="BF136" s="19">
        <f t="shared" si="151"/>
        <v>4.5599999999999998E-3</v>
      </c>
      <c r="BH136" s="19">
        <f t="shared" si="152"/>
        <v>0</v>
      </c>
      <c r="BI136" s="19">
        <f t="shared" si="153"/>
        <v>0</v>
      </c>
      <c r="BJ136" s="19">
        <f t="shared" si="154"/>
        <v>0</v>
      </c>
      <c r="BK136" s="19"/>
      <c r="BL136" s="19">
        <v>722</v>
      </c>
      <c r="BW136" s="19" t="str">
        <f t="shared" si="155"/>
        <v>12</v>
      </c>
      <c r="BX136" s="4" t="s">
        <v>70</v>
      </c>
    </row>
    <row r="137" spans="1:76" x14ac:dyDescent="0.25">
      <c r="A137" s="1" t="s">
        <v>539</v>
      </c>
      <c r="B137" s="2" t="s">
        <v>107</v>
      </c>
      <c r="C137" s="2" t="s">
        <v>71</v>
      </c>
      <c r="D137" s="108" t="s">
        <v>72</v>
      </c>
      <c r="E137" s="102"/>
      <c r="F137" s="2" t="s">
        <v>62</v>
      </c>
      <c r="G137" s="19">
        <f>'Rozpočet - vybrané sloupce'!J124</f>
        <v>6</v>
      </c>
      <c r="H137" s="19">
        <f>'Rozpočet - vybrané sloupce'!K124</f>
        <v>0</v>
      </c>
      <c r="I137" s="87" t="s">
        <v>427</v>
      </c>
      <c r="J137" s="19">
        <f t="shared" si="130"/>
        <v>0</v>
      </c>
      <c r="K137" s="19">
        <f t="shared" si="131"/>
        <v>0</v>
      </c>
      <c r="L137" s="19">
        <f t="shared" si="132"/>
        <v>0</v>
      </c>
      <c r="M137" s="19">
        <f t="shared" si="133"/>
        <v>0</v>
      </c>
      <c r="N137" s="19">
        <v>1.0200000000000001E-3</v>
      </c>
      <c r="O137" s="19">
        <f t="shared" si="134"/>
        <v>6.1200000000000004E-3</v>
      </c>
      <c r="P137" s="88" t="s">
        <v>428</v>
      </c>
      <c r="Z137" s="19">
        <f t="shared" si="135"/>
        <v>0</v>
      </c>
      <c r="AB137" s="19">
        <f t="shared" si="136"/>
        <v>0</v>
      </c>
      <c r="AC137" s="19">
        <f t="shared" si="137"/>
        <v>0</v>
      </c>
      <c r="AD137" s="19">
        <f t="shared" si="138"/>
        <v>0</v>
      </c>
      <c r="AE137" s="19">
        <f t="shared" si="139"/>
        <v>0</v>
      </c>
      <c r="AF137" s="19">
        <f t="shared" si="140"/>
        <v>0</v>
      </c>
      <c r="AG137" s="19">
        <f t="shared" si="141"/>
        <v>0</v>
      </c>
      <c r="AH137" s="19">
        <f t="shared" si="142"/>
        <v>0</v>
      </c>
      <c r="AI137" s="16" t="s">
        <v>107</v>
      </c>
      <c r="AJ137" s="19">
        <f t="shared" si="143"/>
        <v>0</v>
      </c>
      <c r="AK137" s="19">
        <f t="shared" si="144"/>
        <v>0</v>
      </c>
      <c r="AL137" s="19">
        <f t="shared" si="145"/>
        <v>0</v>
      </c>
      <c r="AN137" s="19">
        <v>12</v>
      </c>
      <c r="AO137" s="19">
        <f>H137*0.490618173</f>
        <v>0</v>
      </c>
      <c r="AP137" s="19">
        <f>H137*(1-0.490618173)</f>
        <v>0</v>
      </c>
      <c r="AQ137" s="87" t="s">
        <v>429</v>
      </c>
      <c r="AV137" s="19">
        <f t="shared" si="146"/>
        <v>0</v>
      </c>
      <c r="AW137" s="19">
        <f t="shared" si="147"/>
        <v>0</v>
      </c>
      <c r="AX137" s="19">
        <f t="shared" si="148"/>
        <v>0</v>
      </c>
      <c r="AY137" s="87" t="s">
        <v>430</v>
      </c>
      <c r="AZ137" s="87" t="s">
        <v>532</v>
      </c>
      <c r="BA137" s="16" t="s">
        <v>533</v>
      </c>
      <c r="BC137" s="19">
        <f t="shared" si="149"/>
        <v>0</v>
      </c>
      <c r="BD137" s="19">
        <f t="shared" si="150"/>
        <v>0</v>
      </c>
      <c r="BE137" s="19">
        <v>0</v>
      </c>
      <c r="BF137" s="19">
        <f t="shared" si="151"/>
        <v>6.1200000000000004E-3</v>
      </c>
      <c r="BH137" s="19">
        <f t="shared" si="152"/>
        <v>0</v>
      </c>
      <c r="BI137" s="19">
        <f t="shared" si="153"/>
        <v>0</v>
      </c>
      <c r="BJ137" s="19">
        <f t="shared" si="154"/>
        <v>0</v>
      </c>
      <c r="BK137" s="19"/>
      <c r="BL137" s="19">
        <v>722</v>
      </c>
      <c r="BW137" s="19" t="str">
        <f t="shared" si="155"/>
        <v>12</v>
      </c>
      <c r="BX137" s="4" t="s">
        <v>72</v>
      </c>
    </row>
    <row r="138" spans="1:76" x14ac:dyDescent="0.25">
      <c r="A138" s="1" t="s">
        <v>540</v>
      </c>
      <c r="B138" s="2" t="s">
        <v>107</v>
      </c>
      <c r="C138" s="2" t="s">
        <v>73</v>
      </c>
      <c r="D138" s="108" t="s">
        <v>74</v>
      </c>
      <c r="E138" s="102"/>
      <c r="F138" s="2" t="s">
        <v>31</v>
      </c>
      <c r="G138" s="19">
        <f>'Rozpočet - vybrané sloupce'!J125</f>
        <v>48</v>
      </c>
      <c r="H138" s="19">
        <f>'Rozpočet - vybrané sloupce'!K125</f>
        <v>0</v>
      </c>
      <c r="I138" s="87" t="s">
        <v>427</v>
      </c>
      <c r="J138" s="19">
        <f t="shared" si="130"/>
        <v>0</v>
      </c>
      <c r="K138" s="19">
        <f t="shared" si="131"/>
        <v>0</v>
      </c>
      <c r="L138" s="19">
        <f t="shared" si="132"/>
        <v>0</v>
      </c>
      <c r="M138" s="19">
        <f t="shared" si="133"/>
        <v>0</v>
      </c>
      <c r="N138" s="19">
        <v>3.0000000000000001E-5</v>
      </c>
      <c r="O138" s="19">
        <f t="shared" si="134"/>
        <v>1.4400000000000001E-3</v>
      </c>
      <c r="P138" s="88" t="s">
        <v>428</v>
      </c>
      <c r="Z138" s="19">
        <f t="shared" si="135"/>
        <v>0</v>
      </c>
      <c r="AB138" s="19">
        <f t="shared" si="136"/>
        <v>0</v>
      </c>
      <c r="AC138" s="19">
        <f t="shared" si="137"/>
        <v>0</v>
      </c>
      <c r="AD138" s="19">
        <f t="shared" si="138"/>
        <v>0</v>
      </c>
      <c r="AE138" s="19">
        <f t="shared" si="139"/>
        <v>0</v>
      </c>
      <c r="AF138" s="19">
        <f t="shared" si="140"/>
        <v>0</v>
      </c>
      <c r="AG138" s="19">
        <f t="shared" si="141"/>
        <v>0</v>
      </c>
      <c r="AH138" s="19">
        <f t="shared" si="142"/>
        <v>0</v>
      </c>
      <c r="AI138" s="16" t="s">
        <v>107</v>
      </c>
      <c r="AJ138" s="19">
        <f t="shared" si="143"/>
        <v>0</v>
      </c>
      <c r="AK138" s="19">
        <f t="shared" si="144"/>
        <v>0</v>
      </c>
      <c r="AL138" s="19">
        <f t="shared" si="145"/>
        <v>0</v>
      </c>
      <c r="AN138" s="19">
        <v>12</v>
      </c>
      <c r="AO138" s="19">
        <f>H138*0.230663147</f>
        <v>0</v>
      </c>
      <c r="AP138" s="19">
        <f>H138*(1-0.230663147)</f>
        <v>0</v>
      </c>
      <c r="AQ138" s="87" t="s">
        <v>429</v>
      </c>
      <c r="AV138" s="19">
        <f t="shared" si="146"/>
        <v>0</v>
      </c>
      <c r="AW138" s="19">
        <f t="shared" si="147"/>
        <v>0</v>
      </c>
      <c r="AX138" s="19">
        <f t="shared" si="148"/>
        <v>0</v>
      </c>
      <c r="AY138" s="87" t="s">
        <v>430</v>
      </c>
      <c r="AZ138" s="87" t="s">
        <v>532</v>
      </c>
      <c r="BA138" s="16" t="s">
        <v>533</v>
      </c>
      <c r="BC138" s="19">
        <f t="shared" si="149"/>
        <v>0</v>
      </c>
      <c r="BD138" s="19">
        <f t="shared" si="150"/>
        <v>0</v>
      </c>
      <c r="BE138" s="19">
        <v>0</v>
      </c>
      <c r="BF138" s="19">
        <f t="shared" si="151"/>
        <v>1.4400000000000001E-3</v>
      </c>
      <c r="BH138" s="19">
        <f t="shared" si="152"/>
        <v>0</v>
      </c>
      <c r="BI138" s="19">
        <f t="shared" si="153"/>
        <v>0</v>
      </c>
      <c r="BJ138" s="19">
        <f t="shared" si="154"/>
        <v>0</v>
      </c>
      <c r="BK138" s="19"/>
      <c r="BL138" s="19">
        <v>722</v>
      </c>
      <c r="BW138" s="19" t="str">
        <f t="shared" si="155"/>
        <v>12</v>
      </c>
      <c r="BX138" s="4" t="s">
        <v>74</v>
      </c>
    </row>
    <row r="139" spans="1:76" x14ac:dyDescent="0.25">
      <c r="A139" s="1" t="s">
        <v>541</v>
      </c>
      <c r="B139" s="2" t="s">
        <v>107</v>
      </c>
      <c r="C139" s="2" t="s">
        <v>75</v>
      </c>
      <c r="D139" s="108" t="s">
        <v>76</v>
      </c>
      <c r="E139" s="102"/>
      <c r="F139" s="2" t="s">
        <v>31</v>
      </c>
      <c r="G139" s="19">
        <f>'Rozpočet - vybrané sloupce'!J126</f>
        <v>10</v>
      </c>
      <c r="H139" s="19">
        <f>'Rozpočet - vybrané sloupce'!K126</f>
        <v>0</v>
      </c>
      <c r="I139" s="87" t="s">
        <v>427</v>
      </c>
      <c r="J139" s="19">
        <f t="shared" si="130"/>
        <v>0</v>
      </c>
      <c r="K139" s="19">
        <f t="shared" si="131"/>
        <v>0</v>
      </c>
      <c r="L139" s="19">
        <f t="shared" si="132"/>
        <v>0</v>
      </c>
      <c r="M139" s="19">
        <f t="shared" si="133"/>
        <v>0</v>
      </c>
      <c r="N139" s="19">
        <v>6.0000000000000002E-5</v>
      </c>
      <c r="O139" s="19">
        <f t="shared" si="134"/>
        <v>6.0000000000000006E-4</v>
      </c>
      <c r="P139" s="88" t="s">
        <v>428</v>
      </c>
      <c r="Z139" s="19">
        <f t="shared" si="135"/>
        <v>0</v>
      </c>
      <c r="AB139" s="19">
        <f t="shared" si="136"/>
        <v>0</v>
      </c>
      <c r="AC139" s="19">
        <f t="shared" si="137"/>
        <v>0</v>
      </c>
      <c r="AD139" s="19">
        <f t="shared" si="138"/>
        <v>0</v>
      </c>
      <c r="AE139" s="19">
        <f t="shared" si="139"/>
        <v>0</v>
      </c>
      <c r="AF139" s="19">
        <f t="shared" si="140"/>
        <v>0</v>
      </c>
      <c r="AG139" s="19">
        <f t="shared" si="141"/>
        <v>0</v>
      </c>
      <c r="AH139" s="19">
        <f t="shared" si="142"/>
        <v>0</v>
      </c>
      <c r="AI139" s="16" t="s">
        <v>107</v>
      </c>
      <c r="AJ139" s="19">
        <f t="shared" si="143"/>
        <v>0</v>
      </c>
      <c r="AK139" s="19">
        <f t="shared" si="144"/>
        <v>0</v>
      </c>
      <c r="AL139" s="19">
        <f t="shared" si="145"/>
        <v>0</v>
      </c>
      <c r="AN139" s="19">
        <v>12</v>
      </c>
      <c r="AO139" s="19">
        <f>H139*0.243994253</f>
        <v>0</v>
      </c>
      <c r="AP139" s="19">
        <f>H139*(1-0.243994253)</f>
        <v>0</v>
      </c>
      <c r="AQ139" s="87" t="s">
        <v>429</v>
      </c>
      <c r="AV139" s="19">
        <f t="shared" si="146"/>
        <v>0</v>
      </c>
      <c r="AW139" s="19">
        <f t="shared" si="147"/>
        <v>0</v>
      </c>
      <c r="AX139" s="19">
        <f t="shared" si="148"/>
        <v>0</v>
      </c>
      <c r="AY139" s="87" t="s">
        <v>430</v>
      </c>
      <c r="AZ139" s="87" t="s">
        <v>532</v>
      </c>
      <c r="BA139" s="16" t="s">
        <v>533</v>
      </c>
      <c r="BC139" s="19">
        <f t="shared" si="149"/>
        <v>0</v>
      </c>
      <c r="BD139" s="19">
        <f t="shared" si="150"/>
        <v>0</v>
      </c>
      <c r="BE139" s="19">
        <v>0</v>
      </c>
      <c r="BF139" s="19">
        <f t="shared" si="151"/>
        <v>6.0000000000000006E-4</v>
      </c>
      <c r="BH139" s="19">
        <f t="shared" si="152"/>
        <v>0</v>
      </c>
      <c r="BI139" s="19">
        <f t="shared" si="153"/>
        <v>0</v>
      </c>
      <c r="BJ139" s="19">
        <f t="shared" si="154"/>
        <v>0</v>
      </c>
      <c r="BK139" s="19"/>
      <c r="BL139" s="19">
        <v>722</v>
      </c>
      <c r="BW139" s="19" t="str">
        <f t="shared" si="155"/>
        <v>12</v>
      </c>
      <c r="BX139" s="4" t="s">
        <v>76</v>
      </c>
    </row>
    <row r="140" spans="1:76" x14ac:dyDescent="0.25">
      <c r="A140" s="1" t="s">
        <v>542</v>
      </c>
      <c r="B140" s="2" t="s">
        <v>107</v>
      </c>
      <c r="C140" s="2" t="s">
        <v>77</v>
      </c>
      <c r="D140" s="108" t="s">
        <v>78</v>
      </c>
      <c r="E140" s="102"/>
      <c r="F140" s="2" t="s">
        <v>31</v>
      </c>
      <c r="G140" s="19">
        <f>'Rozpočet - vybrané sloupce'!J127</f>
        <v>28</v>
      </c>
      <c r="H140" s="19">
        <f>'Rozpočet - vybrané sloupce'!K127</f>
        <v>0</v>
      </c>
      <c r="I140" s="87" t="s">
        <v>427</v>
      </c>
      <c r="J140" s="19">
        <f t="shared" si="130"/>
        <v>0</v>
      </c>
      <c r="K140" s="19">
        <f t="shared" si="131"/>
        <v>0</v>
      </c>
      <c r="L140" s="19">
        <f t="shared" si="132"/>
        <v>0</v>
      </c>
      <c r="M140" s="19">
        <f t="shared" si="133"/>
        <v>0</v>
      </c>
      <c r="N140" s="19">
        <v>5.0000000000000002E-5</v>
      </c>
      <c r="O140" s="19">
        <f t="shared" si="134"/>
        <v>1.4E-3</v>
      </c>
      <c r="P140" s="88" t="s">
        <v>428</v>
      </c>
      <c r="Z140" s="19">
        <f t="shared" si="135"/>
        <v>0</v>
      </c>
      <c r="AB140" s="19">
        <f t="shared" si="136"/>
        <v>0</v>
      </c>
      <c r="AC140" s="19">
        <f t="shared" si="137"/>
        <v>0</v>
      </c>
      <c r="AD140" s="19">
        <f t="shared" si="138"/>
        <v>0</v>
      </c>
      <c r="AE140" s="19">
        <f t="shared" si="139"/>
        <v>0</v>
      </c>
      <c r="AF140" s="19">
        <f t="shared" si="140"/>
        <v>0</v>
      </c>
      <c r="AG140" s="19">
        <f t="shared" si="141"/>
        <v>0</v>
      </c>
      <c r="AH140" s="19">
        <f t="shared" si="142"/>
        <v>0</v>
      </c>
      <c r="AI140" s="16" t="s">
        <v>107</v>
      </c>
      <c r="AJ140" s="19">
        <f t="shared" si="143"/>
        <v>0</v>
      </c>
      <c r="AK140" s="19">
        <f t="shared" si="144"/>
        <v>0</v>
      </c>
      <c r="AL140" s="19">
        <f t="shared" si="145"/>
        <v>0</v>
      </c>
      <c r="AN140" s="19">
        <v>12</v>
      </c>
      <c r="AO140" s="19">
        <f>H140*0.242397018</f>
        <v>0</v>
      </c>
      <c r="AP140" s="19">
        <f>H140*(1-0.242397018)</f>
        <v>0</v>
      </c>
      <c r="AQ140" s="87" t="s">
        <v>429</v>
      </c>
      <c r="AV140" s="19">
        <f t="shared" si="146"/>
        <v>0</v>
      </c>
      <c r="AW140" s="19">
        <f t="shared" si="147"/>
        <v>0</v>
      </c>
      <c r="AX140" s="19">
        <f t="shared" si="148"/>
        <v>0</v>
      </c>
      <c r="AY140" s="87" t="s">
        <v>430</v>
      </c>
      <c r="AZ140" s="87" t="s">
        <v>532</v>
      </c>
      <c r="BA140" s="16" t="s">
        <v>533</v>
      </c>
      <c r="BC140" s="19">
        <f t="shared" si="149"/>
        <v>0</v>
      </c>
      <c r="BD140" s="19">
        <f t="shared" si="150"/>
        <v>0</v>
      </c>
      <c r="BE140" s="19">
        <v>0</v>
      </c>
      <c r="BF140" s="19">
        <f t="shared" si="151"/>
        <v>1.4E-3</v>
      </c>
      <c r="BH140" s="19">
        <f t="shared" si="152"/>
        <v>0</v>
      </c>
      <c r="BI140" s="19">
        <f t="shared" si="153"/>
        <v>0</v>
      </c>
      <c r="BJ140" s="19">
        <f t="shared" si="154"/>
        <v>0</v>
      </c>
      <c r="BK140" s="19"/>
      <c r="BL140" s="19">
        <v>722</v>
      </c>
      <c r="BW140" s="19" t="str">
        <f t="shared" si="155"/>
        <v>12</v>
      </c>
      <c r="BX140" s="4" t="s">
        <v>78</v>
      </c>
    </row>
    <row r="141" spans="1:76" x14ac:dyDescent="0.25">
      <c r="A141" s="1" t="s">
        <v>543</v>
      </c>
      <c r="B141" s="2" t="s">
        <v>107</v>
      </c>
      <c r="C141" s="2" t="s">
        <v>39</v>
      </c>
      <c r="D141" s="108" t="s">
        <v>40</v>
      </c>
      <c r="E141" s="102"/>
      <c r="F141" s="2" t="s">
        <v>31</v>
      </c>
      <c r="G141" s="19">
        <f>'Rozpočet - vybrané sloupce'!J128</f>
        <v>36</v>
      </c>
      <c r="H141" s="19">
        <f>'Rozpočet - vybrané sloupce'!K128</f>
        <v>0</v>
      </c>
      <c r="I141" s="87" t="s">
        <v>427</v>
      </c>
      <c r="J141" s="19">
        <f t="shared" si="130"/>
        <v>0</v>
      </c>
      <c r="K141" s="19">
        <f t="shared" si="131"/>
        <v>0</v>
      </c>
      <c r="L141" s="19">
        <f t="shared" si="132"/>
        <v>0</v>
      </c>
      <c r="M141" s="19">
        <f t="shared" si="133"/>
        <v>0</v>
      </c>
      <c r="N141" s="19">
        <v>9.0000000000000006E-5</v>
      </c>
      <c r="O141" s="19">
        <f t="shared" si="134"/>
        <v>3.2400000000000003E-3</v>
      </c>
      <c r="P141" s="88" t="s">
        <v>428</v>
      </c>
      <c r="Z141" s="19">
        <f t="shared" si="135"/>
        <v>0</v>
      </c>
      <c r="AB141" s="19">
        <f t="shared" si="136"/>
        <v>0</v>
      </c>
      <c r="AC141" s="19">
        <f t="shared" si="137"/>
        <v>0</v>
      </c>
      <c r="AD141" s="19">
        <f t="shared" si="138"/>
        <v>0</v>
      </c>
      <c r="AE141" s="19">
        <f t="shared" si="139"/>
        <v>0</v>
      </c>
      <c r="AF141" s="19">
        <f t="shared" si="140"/>
        <v>0</v>
      </c>
      <c r="AG141" s="19">
        <f t="shared" si="141"/>
        <v>0</v>
      </c>
      <c r="AH141" s="19">
        <f t="shared" si="142"/>
        <v>0</v>
      </c>
      <c r="AI141" s="16" t="s">
        <v>107</v>
      </c>
      <c r="AJ141" s="19">
        <f t="shared" si="143"/>
        <v>0</v>
      </c>
      <c r="AK141" s="19">
        <f t="shared" si="144"/>
        <v>0</v>
      </c>
      <c r="AL141" s="19">
        <f t="shared" si="145"/>
        <v>0</v>
      </c>
      <c r="AN141" s="19">
        <v>12</v>
      </c>
      <c r="AO141" s="19">
        <f>H141*0.255251613</f>
        <v>0</v>
      </c>
      <c r="AP141" s="19">
        <f>H141*(1-0.255251613)</f>
        <v>0</v>
      </c>
      <c r="AQ141" s="87" t="s">
        <v>429</v>
      </c>
      <c r="AV141" s="19">
        <f t="shared" si="146"/>
        <v>0</v>
      </c>
      <c r="AW141" s="19">
        <f t="shared" si="147"/>
        <v>0</v>
      </c>
      <c r="AX141" s="19">
        <f t="shared" si="148"/>
        <v>0</v>
      </c>
      <c r="AY141" s="87" t="s">
        <v>430</v>
      </c>
      <c r="AZ141" s="87" t="s">
        <v>532</v>
      </c>
      <c r="BA141" s="16" t="s">
        <v>533</v>
      </c>
      <c r="BC141" s="19">
        <f t="shared" si="149"/>
        <v>0</v>
      </c>
      <c r="BD141" s="19">
        <f t="shared" si="150"/>
        <v>0</v>
      </c>
      <c r="BE141" s="19">
        <v>0</v>
      </c>
      <c r="BF141" s="19">
        <f t="shared" si="151"/>
        <v>3.2400000000000003E-3</v>
      </c>
      <c r="BH141" s="19">
        <f t="shared" si="152"/>
        <v>0</v>
      </c>
      <c r="BI141" s="19">
        <f t="shared" si="153"/>
        <v>0</v>
      </c>
      <c r="BJ141" s="19">
        <f t="shared" si="154"/>
        <v>0</v>
      </c>
      <c r="BK141" s="19"/>
      <c r="BL141" s="19">
        <v>722</v>
      </c>
      <c r="BW141" s="19" t="str">
        <f t="shared" si="155"/>
        <v>12</v>
      </c>
      <c r="BX141" s="4" t="s">
        <v>40</v>
      </c>
    </row>
    <row r="142" spans="1:76" x14ac:dyDescent="0.25">
      <c r="A142" s="1" t="s">
        <v>544</v>
      </c>
      <c r="B142" s="2" t="s">
        <v>107</v>
      </c>
      <c r="C142" s="2" t="s">
        <v>41</v>
      </c>
      <c r="D142" s="108" t="s">
        <v>42</v>
      </c>
      <c r="E142" s="102"/>
      <c r="F142" s="2" t="s">
        <v>31</v>
      </c>
      <c r="G142" s="19">
        <f>'Rozpočet - vybrané sloupce'!J129</f>
        <v>80</v>
      </c>
      <c r="H142" s="19">
        <f>'Rozpočet - vybrané sloupce'!K129</f>
        <v>0</v>
      </c>
      <c r="I142" s="87" t="s">
        <v>427</v>
      </c>
      <c r="J142" s="19">
        <f t="shared" si="130"/>
        <v>0</v>
      </c>
      <c r="K142" s="19">
        <f t="shared" si="131"/>
        <v>0</v>
      </c>
      <c r="L142" s="19">
        <f t="shared" si="132"/>
        <v>0</v>
      </c>
      <c r="M142" s="19">
        <f t="shared" si="133"/>
        <v>0</v>
      </c>
      <c r="N142" s="19">
        <v>6.9999999999999994E-5</v>
      </c>
      <c r="O142" s="19">
        <f t="shared" si="134"/>
        <v>5.5999999999999991E-3</v>
      </c>
      <c r="P142" s="88" t="s">
        <v>428</v>
      </c>
      <c r="Z142" s="19">
        <f t="shared" si="135"/>
        <v>0</v>
      </c>
      <c r="AB142" s="19">
        <f t="shared" si="136"/>
        <v>0</v>
      </c>
      <c r="AC142" s="19">
        <f t="shared" si="137"/>
        <v>0</v>
      </c>
      <c r="AD142" s="19">
        <f t="shared" si="138"/>
        <v>0</v>
      </c>
      <c r="AE142" s="19">
        <f t="shared" si="139"/>
        <v>0</v>
      </c>
      <c r="AF142" s="19">
        <f t="shared" si="140"/>
        <v>0</v>
      </c>
      <c r="AG142" s="19">
        <f t="shared" si="141"/>
        <v>0</v>
      </c>
      <c r="AH142" s="19">
        <f t="shared" si="142"/>
        <v>0</v>
      </c>
      <c r="AI142" s="16" t="s">
        <v>107</v>
      </c>
      <c r="AJ142" s="19">
        <f t="shared" si="143"/>
        <v>0</v>
      </c>
      <c r="AK142" s="19">
        <f t="shared" si="144"/>
        <v>0</v>
      </c>
      <c r="AL142" s="19">
        <f t="shared" si="145"/>
        <v>0</v>
      </c>
      <c r="AN142" s="19">
        <v>12</v>
      </c>
      <c r="AO142" s="19">
        <f>H142*0.523262036</f>
        <v>0</v>
      </c>
      <c r="AP142" s="19">
        <f>H142*(1-0.523262036)</f>
        <v>0</v>
      </c>
      <c r="AQ142" s="87" t="s">
        <v>429</v>
      </c>
      <c r="AV142" s="19">
        <f t="shared" si="146"/>
        <v>0</v>
      </c>
      <c r="AW142" s="19">
        <f t="shared" si="147"/>
        <v>0</v>
      </c>
      <c r="AX142" s="19">
        <f t="shared" si="148"/>
        <v>0</v>
      </c>
      <c r="AY142" s="87" t="s">
        <v>430</v>
      </c>
      <c r="AZ142" s="87" t="s">
        <v>532</v>
      </c>
      <c r="BA142" s="16" t="s">
        <v>533</v>
      </c>
      <c r="BC142" s="19">
        <f t="shared" si="149"/>
        <v>0</v>
      </c>
      <c r="BD142" s="19">
        <f t="shared" si="150"/>
        <v>0</v>
      </c>
      <c r="BE142" s="19">
        <v>0</v>
      </c>
      <c r="BF142" s="19">
        <f t="shared" si="151"/>
        <v>5.5999999999999991E-3</v>
      </c>
      <c r="BH142" s="19">
        <f t="shared" si="152"/>
        <v>0</v>
      </c>
      <c r="BI142" s="19">
        <f t="shared" si="153"/>
        <v>0</v>
      </c>
      <c r="BJ142" s="19">
        <f t="shared" si="154"/>
        <v>0</v>
      </c>
      <c r="BK142" s="19"/>
      <c r="BL142" s="19">
        <v>722</v>
      </c>
      <c r="BW142" s="19" t="str">
        <f t="shared" si="155"/>
        <v>12</v>
      </c>
      <c r="BX142" s="4" t="s">
        <v>42</v>
      </c>
    </row>
    <row r="143" spans="1:76" x14ac:dyDescent="0.25">
      <c r="A143" s="1" t="s">
        <v>545</v>
      </c>
      <c r="B143" s="2" t="s">
        <v>107</v>
      </c>
      <c r="C143" s="2" t="s">
        <v>79</v>
      </c>
      <c r="D143" s="108" t="s">
        <v>80</v>
      </c>
      <c r="E143" s="102"/>
      <c r="F143" s="2" t="s">
        <v>31</v>
      </c>
      <c r="G143" s="19">
        <f>'Rozpočet - vybrané sloupce'!J130</f>
        <v>28</v>
      </c>
      <c r="H143" s="19">
        <f>'Rozpočet - vybrané sloupce'!K130</f>
        <v>0</v>
      </c>
      <c r="I143" s="87" t="s">
        <v>427</v>
      </c>
      <c r="J143" s="19">
        <f t="shared" si="130"/>
        <v>0</v>
      </c>
      <c r="K143" s="19">
        <f t="shared" si="131"/>
        <v>0</v>
      </c>
      <c r="L143" s="19">
        <f t="shared" si="132"/>
        <v>0</v>
      </c>
      <c r="M143" s="19">
        <f t="shared" si="133"/>
        <v>0</v>
      </c>
      <c r="N143" s="19">
        <v>8.0000000000000007E-5</v>
      </c>
      <c r="O143" s="19">
        <f t="shared" si="134"/>
        <v>2.2400000000000002E-3</v>
      </c>
      <c r="P143" s="88" t="s">
        <v>428</v>
      </c>
      <c r="Z143" s="19">
        <f t="shared" si="135"/>
        <v>0</v>
      </c>
      <c r="AB143" s="19">
        <f t="shared" si="136"/>
        <v>0</v>
      </c>
      <c r="AC143" s="19">
        <f t="shared" si="137"/>
        <v>0</v>
      </c>
      <c r="AD143" s="19">
        <f t="shared" si="138"/>
        <v>0</v>
      </c>
      <c r="AE143" s="19">
        <f t="shared" si="139"/>
        <v>0</v>
      </c>
      <c r="AF143" s="19">
        <f t="shared" si="140"/>
        <v>0</v>
      </c>
      <c r="AG143" s="19">
        <f t="shared" si="141"/>
        <v>0</v>
      </c>
      <c r="AH143" s="19">
        <f t="shared" si="142"/>
        <v>0</v>
      </c>
      <c r="AI143" s="16" t="s">
        <v>107</v>
      </c>
      <c r="AJ143" s="19">
        <f t="shared" si="143"/>
        <v>0</v>
      </c>
      <c r="AK143" s="19">
        <f t="shared" si="144"/>
        <v>0</v>
      </c>
      <c r="AL143" s="19">
        <f t="shared" si="145"/>
        <v>0</v>
      </c>
      <c r="AN143" s="19">
        <v>12</v>
      </c>
      <c r="AO143" s="19">
        <f>H143*0.527714286</f>
        <v>0</v>
      </c>
      <c r="AP143" s="19">
        <f>H143*(1-0.527714286)</f>
        <v>0</v>
      </c>
      <c r="AQ143" s="87" t="s">
        <v>429</v>
      </c>
      <c r="AV143" s="19">
        <f t="shared" si="146"/>
        <v>0</v>
      </c>
      <c r="AW143" s="19">
        <f t="shared" si="147"/>
        <v>0</v>
      </c>
      <c r="AX143" s="19">
        <f t="shared" si="148"/>
        <v>0</v>
      </c>
      <c r="AY143" s="87" t="s">
        <v>430</v>
      </c>
      <c r="AZ143" s="87" t="s">
        <v>532</v>
      </c>
      <c r="BA143" s="16" t="s">
        <v>533</v>
      </c>
      <c r="BC143" s="19">
        <f t="shared" si="149"/>
        <v>0</v>
      </c>
      <c r="BD143" s="19">
        <f t="shared" si="150"/>
        <v>0</v>
      </c>
      <c r="BE143" s="19">
        <v>0</v>
      </c>
      <c r="BF143" s="19">
        <f t="shared" si="151"/>
        <v>2.2400000000000002E-3</v>
      </c>
      <c r="BH143" s="19">
        <f t="shared" si="152"/>
        <v>0</v>
      </c>
      <c r="BI143" s="19">
        <f t="shared" si="153"/>
        <v>0</v>
      </c>
      <c r="BJ143" s="19">
        <f t="shared" si="154"/>
        <v>0</v>
      </c>
      <c r="BK143" s="19"/>
      <c r="BL143" s="19">
        <v>722</v>
      </c>
      <c r="BW143" s="19" t="str">
        <f t="shared" si="155"/>
        <v>12</v>
      </c>
      <c r="BX143" s="4" t="s">
        <v>80</v>
      </c>
    </row>
    <row r="144" spans="1:76" x14ac:dyDescent="0.25">
      <c r="A144" s="1" t="s">
        <v>546</v>
      </c>
      <c r="B144" s="2" t="s">
        <v>107</v>
      </c>
      <c r="C144" s="2" t="s">
        <v>43</v>
      </c>
      <c r="D144" s="108" t="s">
        <v>44</v>
      </c>
      <c r="E144" s="102"/>
      <c r="F144" s="2" t="s">
        <v>31</v>
      </c>
      <c r="G144" s="19">
        <f>'Rozpočet - vybrané sloupce'!J131</f>
        <v>36</v>
      </c>
      <c r="H144" s="19">
        <f>'Rozpočet - vybrané sloupce'!K131</f>
        <v>0</v>
      </c>
      <c r="I144" s="87" t="s">
        <v>427</v>
      </c>
      <c r="J144" s="19">
        <f t="shared" si="130"/>
        <v>0</v>
      </c>
      <c r="K144" s="19">
        <f t="shared" si="131"/>
        <v>0</v>
      </c>
      <c r="L144" s="19">
        <f t="shared" si="132"/>
        <v>0</v>
      </c>
      <c r="M144" s="19">
        <f t="shared" si="133"/>
        <v>0</v>
      </c>
      <c r="N144" s="19">
        <v>1.2999999999999999E-4</v>
      </c>
      <c r="O144" s="19">
        <f t="shared" si="134"/>
        <v>4.6799999999999993E-3</v>
      </c>
      <c r="P144" s="88" t="s">
        <v>428</v>
      </c>
      <c r="Z144" s="19">
        <f t="shared" si="135"/>
        <v>0</v>
      </c>
      <c r="AB144" s="19">
        <f t="shared" si="136"/>
        <v>0</v>
      </c>
      <c r="AC144" s="19">
        <f t="shared" si="137"/>
        <v>0</v>
      </c>
      <c r="AD144" s="19">
        <f t="shared" si="138"/>
        <v>0</v>
      </c>
      <c r="AE144" s="19">
        <f t="shared" si="139"/>
        <v>0</v>
      </c>
      <c r="AF144" s="19">
        <f t="shared" si="140"/>
        <v>0</v>
      </c>
      <c r="AG144" s="19">
        <f t="shared" si="141"/>
        <v>0</v>
      </c>
      <c r="AH144" s="19">
        <f t="shared" si="142"/>
        <v>0</v>
      </c>
      <c r="AI144" s="16" t="s">
        <v>107</v>
      </c>
      <c r="AJ144" s="19">
        <f t="shared" si="143"/>
        <v>0</v>
      </c>
      <c r="AK144" s="19">
        <f t="shared" si="144"/>
        <v>0</v>
      </c>
      <c r="AL144" s="19">
        <f t="shared" si="145"/>
        <v>0</v>
      </c>
      <c r="AN144" s="19">
        <v>12</v>
      </c>
      <c r="AO144" s="19">
        <f>H144*0.526485197</f>
        <v>0</v>
      </c>
      <c r="AP144" s="19">
        <f>H144*(1-0.526485197)</f>
        <v>0</v>
      </c>
      <c r="AQ144" s="87" t="s">
        <v>429</v>
      </c>
      <c r="AV144" s="19">
        <f t="shared" si="146"/>
        <v>0</v>
      </c>
      <c r="AW144" s="19">
        <f t="shared" si="147"/>
        <v>0</v>
      </c>
      <c r="AX144" s="19">
        <f t="shared" si="148"/>
        <v>0</v>
      </c>
      <c r="AY144" s="87" t="s">
        <v>430</v>
      </c>
      <c r="AZ144" s="87" t="s">
        <v>532</v>
      </c>
      <c r="BA144" s="16" t="s">
        <v>533</v>
      </c>
      <c r="BC144" s="19">
        <f t="shared" si="149"/>
        <v>0</v>
      </c>
      <c r="BD144" s="19">
        <f t="shared" si="150"/>
        <v>0</v>
      </c>
      <c r="BE144" s="19">
        <v>0</v>
      </c>
      <c r="BF144" s="19">
        <f t="shared" si="151"/>
        <v>4.6799999999999993E-3</v>
      </c>
      <c r="BH144" s="19">
        <f t="shared" si="152"/>
        <v>0</v>
      </c>
      <c r="BI144" s="19">
        <f t="shared" si="153"/>
        <v>0</v>
      </c>
      <c r="BJ144" s="19">
        <f t="shared" si="154"/>
        <v>0</v>
      </c>
      <c r="BK144" s="19"/>
      <c r="BL144" s="19">
        <v>722</v>
      </c>
      <c r="BW144" s="19" t="str">
        <f t="shared" si="155"/>
        <v>12</v>
      </c>
      <c r="BX144" s="4" t="s">
        <v>44</v>
      </c>
    </row>
    <row r="145" spans="1:76" x14ac:dyDescent="0.25">
      <c r="A145" s="1" t="s">
        <v>547</v>
      </c>
      <c r="B145" s="2" t="s">
        <v>107</v>
      </c>
      <c r="C145" s="2" t="s">
        <v>81</v>
      </c>
      <c r="D145" s="108" t="s">
        <v>82</v>
      </c>
      <c r="E145" s="102"/>
      <c r="F145" s="2" t="s">
        <v>62</v>
      </c>
      <c r="G145" s="19">
        <f>'Rozpočet - vybrané sloupce'!J132</f>
        <v>96</v>
      </c>
      <c r="H145" s="19">
        <f>'Rozpočet - vybrané sloupce'!K132</f>
        <v>0</v>
      </c>
      <c r="I145" s="87" t="s">
        <v>427</v>
      </c>
      <c r="J145" s="19">
        <f t="shared" si="130"/>
        <v>0</v>
      </c>
      <c r="K145" s="19">
        <f t="shared" si="131"/>
        <v>0</v>
      </c>
      <c r="L145" s="19">
        <f t="shared" si="132"/>
        <v>0</v>
      </c>
      <c r="M145" s="19">
        <f t="shared" si="133"/>
        <v>0</v>
      </c>
      <c r="N145" s="19">
        <v>0</v>
      </c>
      <c r="O145" s="19">
        <f t="shared" si="134"/>
        <v>0</v>
      </c>
      <c r="P145" s="88" t="s">
        <v>428</v>
      </c>
      <c r="Z145" s="19">
        <f t="shared" si="135"/>
        <v>0</v>
      </c>
      <c r="AB145" s="19">
        <f t="shared" si="136"/>
        <v>0</v>
      </c>
      <c r="AC145" s="19">
        <f t="shared" si="137"/>
        <v>0</v>
      </c>
      <c r="AD145" s="19">
        <f t="shared" si="138"/>
        <v>0</v>
      </c>
      <c r="AE145" s="19">
        <f t="shared" si="139"/>
        <v>0</v>
      </c>
      <c r="AF145" s="19">
        <f t="shared" si="140"/>
        <v>0</v>
      </c>
      <c r="AG145" s="19">
        <f t="shared" si="141"/>
        <v>0</v>
      </c>
      <c r="AH145" s="19">
        <f t="shared" si="142"/>
        <v>0</v>
      </c>
      <c r="AI145" s="16" t="s">
        <v>107</v>
      </c>
      <c r="AJ145" s="19">
        <f t="shared" si="143"/>
        <v>0</v>
      </c>
      <c r="AK145" s="19">
        <f t="shared" si="144"/>
        <v>0</v>
      </c>
      <c r="AL145" s="19">
        <f t="shared" si="145"/>
        <v>0</v>
      </c>
      <c r="AN145" s="19">
        <v>12</v>
      </c>
      <c r="AO145" s="19">
        <f>H145*1.000045096</f>
        <v>0</v>
      </c>
      <c r="AP145" s="19">
        <f>H145*(1-1.000045096)</f>
        <v>0</v>
      </c>
      <c r="AQ145" s="87" t="s">
        <v>429</v>
      </c>
      <c r="AV145" s="19">
        <f t="shared" si="146"/>
        <v>0</v>
      </c>
      <c r="AW145" s="19">
        <f t="shared" si="147"/>
        <v>0</v>
      </c>
      <c r="AX145" s="19">
        <f t="shared" si="148"/>
        <v>0</v>
      </c>
      <c r="AY145" s="87" t="s">
        <v>430</v>
      </c>
      <c r="AZ145" s="87" t="s">
        <v>532</v>
      </c>
      <c r="BA145" s="16" t="s">
        <v>533</v>
      </c>
      <c r="BC145" s="19">
        <f t="shared" si="149"/>
        <v>0</v>
      </c>
      <c r="BD145" s="19">
        <f t="shared" si="150"/>
        <v>0</v>
      </c>
      <c r="BE145" s="19">
        <v>0</v>
      </c>
      <c r="BF145" s="19">
        <f t="shared" si="151"/>
        <v>0</v>
      </c>
      <c r="BH145" s="19">
        <f t="shared" si="152"/>
        <v>0</v>
      </c>
      <c r="BI145" s="19">
        <f t="shared" si="153"/>
        <v>0</v>
      </c>
      <c r="BJ145" s="19">
        <f t="shared" si="154"/>
        <v>0</v>
      </c>
      <c r="BK145" s="19"/>
      <c r="BL145" s="19">
        <v>722</v>
      </c>
      <c r="BW145" s="19" t="str">
        <f t="shared" si="155"/>
        <v>12</v>
      </c>
      <c r="BX145" s="4" t="s">
        <v>82</v>
      </c>
    </row>
    <row r="146" spans="1:76" x14ac:dyDescent="0.25">
      <c r="A146" s="1" t="s">
        <v>548</v>
      </c>
      <c r="B146" s="2" t="s">
        <v>107</v>
      </c>
      <c r="C146" s="2" t="s">
        <v>83</v>
      </c>
      <c r="D146" s="108" t="s">
        <v>84</v>
      </c>
      <c r="E146" s="102"/>
      <c r="F146" s="2" t="s">
        <v>62</v>
      </c>
      <c r="G146" s="19">
        <f>'Rozpočet - vybrané sloupce'!J133</f>
        <v>48</v>
      </c>
      <c r="H146" s="19">
        <f>'Rozpočet - vybrané sloupce'!K133</f>
        <v>0</v>
      </c>
      <c r="I146" s="87" t="s">
        <v>427</v>
      </c>
      <c r="J146" s="19">
        <f t="shared" si="130"/>
        <v>0</v>
      </c>
      <c r="K146" s="19">
        <f t="shared" si="131"/>
        <v>0</v>
      </c>
      <c r="L146" s="19">
        <f t="shared" si="132"/>
        <v>0</v>
      </c>
      <c r="M146" s="19">
        <f t="shared" si="133"/>
        <v>0</v>
      </c>
      <c r="N146" s="19">
        <v>2.4000000000000001E-4</v>
      </c>
      <c r="O146" s="19">
        <f t="shared" si="134"/>
        <v>1.1520000000000001E-2</v>
      </c>
      <c r="P146" s="88" t="s">
        <v>428</v>
      </c>
      <c r="Z146" s="19">
        <f t="shared" si="135"/>
        <v>0</v>
      </c>
      <c r="AB146" s="19">
        <f t="shared" si="136"/>
        <v>0</v>
      </c>
      <c r="AC146" s="19">
        <f t="shared" si="137"/>
        <v>0</v>
      </c>
      <c r="AD146" s="19">
        <f t="shared" si="138"/>
        <v>0</v>
      </c>
      <c r="AE146" s="19">
        <f t="shared" si="139"/>
        <v>0</v>
      </c>
      <c r="AF146" s="19">
        <f t="shared" si="140"/>
        <v>0</v>
      </c>
      <c r="AG146" s="19">
        <f t="shared" si="141"/>
        <v>0</v>
      </c>
      <c r="AH146" s="19">
        <f t="shared" si="142"/>
        <v>0</v>
      </c>
      <c r="AI146" s="16" t="s">
        <v>107</v>
      </c>
      <c r="AJ146" s="19">
        <f t="shared" si="143"/>
        <v>0</v>
      </c>
      <c r="AK146" s="19">
        <f t="shared" si="144"/>
        <v>0</v>
      </c>
      <c r="AL146" s="19">
        <f t="shared" si="145"/>
        <v>0</v>
      </c>
      <c r="AN146" s="19">
        <v>12</v>
      </c>
      <c r="AO146" s="19">
        <f>H146*0.728215883</f>
        <v>0</v>
      </c>
      <c r="AP146" s="19">
        <f>H146*(1-0.728215883)</f>
        <v>0</v>
      </c>
      <c r="AQ146" s="87" t="s">
        <v>429</v>
      </c>
      <c r="AV146" s="19">
        <f t="shared" si="146"/>
        <v>0</v>
      </c>
      <c r="AW146" s="19">
        <f t="shared" si="147"/>
        <v>0</v>
      </c>
      <c r="AX146" s="19">
        <f t="shared" si="148"/>
        <v>0</v>
      </c>
      <c r="AY146" s="87" t="s">
        <v>430</v>
      </c>
      <c r="AZ146" s="87" t="s">
        <v>532</v>
      </c>
      <c r="BA146" s="16" t="s">
        <v>533</v>
      </c>
      <c r="BC146" s="19">
        <f t="shared" si="149"/>
        <v>0</v>
      </c>
      <c r="BD146" s="19">
        <f t="shared" si="150"/>
        <v>0</v>
      </c>
      <c r="BE146" s="19">
        <v>0</v>
      </c>
      <c r="BF146" s="19">
        <f t="shared" si="151"/>
        <v>1.1520000000000001E-2</v>
      </c>
      <c r="BH146" s="19">
        <f t="shared" si="152"/>
        <v>0</v>
      </c>
      <c r="BI146" s="19">
        <f t="shared" si="153"/>
        <v>0</v>
      </c>
      <c r="BJ146" s="19">
        <f t="shared" si="154"/>
        <v>0</v>
      </c>
      <c r="BK146" s="19"/>
      <c r="BL146" s="19">
        <v>722</v>
      </c>
      <c r="BW146" s="19" t="str">
        <f t="shared" si="155"/>
        <v>12</v>
      </c>
      <c r="BX146" s="4" t="s">
        <v>84</v>
      </c>
    </row>
    <row r="147" spans="1:76" x14ac:dyDescent="0.25">
      <c r="A147" s="1" t="s">
        <v>549</v>
      </c>
      <c r="B147" s="2" t="s">
        <v>107</v>
      </c>
      <c r="C147" s="2" t="s">
        <v>85</v>
      </c>
      <c r="D147" s="108" t="s">
        <v>86</v>
      </c>
      <c r="E147" s="102"/>
      <c r="F147" s="2" t="s">
        <v>62</v>
      </c>
      <c r="G147" s="19">
        <f>'Rozpočet - vybrané sloupce'!J134</f>
        <v>48</v>
      </c>
      <c r="H147" s="19">
        <f>'Rozpočet - vybrané sloupce'!K134</f>
        <v>0</v>
      </c>
      <c r="I147" s="87" t="s">
        <v>427</v>
      </c>
      <c r="J147" s="19">
        <f t="shared" si="130"/>
        <v>0</v>
      </c>
      <c r="K147" s="19">
        <f t="shared" si="131"/>
        <v>0</v>
      </c>
      <c r="L147" s="19">
        <f t="shared" si="132"/>
        <v>0</v>
      </c>
      <c r="M147" s="19">
        <f t="shared" si="133"/>
        <v>0</v>
      </c>
      <c r="N147" s="19">
        <v>1.1E-4</v>
      </c>
      <c r="O147" s="19">
        <f t="shared" si="134"/>
        <v>5.28E-3</v>
      </c>
      <c r="P147" s="88" t="s">
        <v>428</v>
      </c>
      <c r="Z147" s="19">
        <f t="shared" si="135"/>
        <v>0</v>
      </c>
      <c r="AB147" s="19">
        <f t="shared" si="136"/>
        <v>0</v>
      </c>
      <c r="AC147" s="19">
        <f t="shared" si="137"/>
        <v>0</v>
      </c>
      <c r="AD147" s="19">
        <f t="shared" si="138"/>
        <v>0</v>
      </c>
      <c r="AE147" s="19">
        <f t="shared" si="139"/>
        <v>0</v>
      </c>
      <c r="AF147" s="19">
        <f t="shared" si="140"/>
        <v>0</v>
      </c>
      <c r="AG147" s="19">
        <f t="shared" si="141"/>
        <v>0</v>
      </c>
      <c r="AH147" s="19">
        <f t="shared" si="142"/>
        <v>0</v>
      </c>
      <c r="AI147" s="16" t="s">
        <v>107</v>
      </c>
      <c r="AJ147" s="19">
        <f t="shared" si="143"/>
        <v>0</v>
      </c>
      <c r="AK147" s="19">
        <f t="shared" si="144"/>
        <v>0</v>
      </c>
      <c r="AL147" s="19">
        <f t="shared" si="145"/>
        <v>0</v>
      </c>
      <c r="AN147" s="19">
        <v>12</v>
      </c>
      <c r="AO147" s="19">
        <f>H147*0.699411029</f>
        <v>0</v>
      </c>
      <c r="AP147" s="19">
        <f>H147*(1-0.699411029)</f>
        <v>0</v>
      </c>
      <c r="AQ147" s="87" t="s">
        <v>429</v>
      </c>
      <c r="AV147" s="19">
        <f t="shared" si="146"/>
        <v>0</v>
      </c>
      <c r="AW147" s="19">
        <f t="shared" si="147"/>
        <v>0</v>
      </c>
      <c r="AX147" s="19">
        <f t="shared" si="148"/>
        <v>0</v>
      </c>
      <c r="AY147" s="87" t="s">
        <v>430</v>
      </c>
      <c r="AZ147" s="87" t="s">
        <v>532</v>
      </c>
      <c r="BA147" s="16" t="s">
        <v>533</v>
      </c>
      <c r="BC147" s="19">
        <f t="shared" si="149"/>
        <v>0</v>
      </c>
      <c r="BD147" s="19">
        <f t="shared" si="150"/>
        <v>0</v>
      </c>
      <c r="BE147" s="19">
        <v>0</v>
      </c>
      <c r="BF147" s="19">
        <f t="shared" si="151"/>
        <v>5.28E-3</v>
      </c>
      <c r="BH147" s="19">
        <f t="shared" si="152"/>
        <v>0</v>
      </c>
      <c r="BI147" s="19">
        <f t="shared" si="153"/>
        <v>0</v>
      </c>
      <c r="BJ147" s="19">
        <f t="shared" si="154"/>
        <v>0</v>
      </c>
      <c r="BK147" s="19"/>
      <c r="BL147" s="19">
        <v>722</v>
      </c>
      <c r="BW147" s="19" t="str">
        <f t="shared" si="155"/>
        <v>12</v>
      </c>
      <c r="BX147" s="4" t="s">
        <v>86</v>
      </c>
    </row>
    <row r="148" spans="1:76" x14ac:dyDescent="0.25">
      <c r="A148" s="1" t="s">
        <v>550</v>
      </c>
      <c r="B148" s="2" t="s">
        <v>107</v>
      </c>
      <c r="C148" s="2" t="s">
        <v>87</v>
      </c>
      <c r="D148" s="108" t="s">
        <v>88</v>
      </c>
      <c r="E148" s="102"/>
      <c r="F148" s="2" t="s">
        <v>62</v>
      </c>
      <c r="G148" s="19">
        <f>'Rozpočet - vybrané sloupce'!J135</f>
        <v>48</v>
      </c>
      <c r="H148" s="19">
        <f>'Rozpočet - vybrané sloupce'!K135</f>
        <v>0</v>
      </c>
      <c r="I148" s="87" t="s">
        <v>427</v>
      </c>
      <c r="J148" s="19">
        <f t="shared" si="130"/>
        <v>0</v>
      </c>
      <c r="K148" s="19">
        <f t="shared" si="131"/>
        <v>0</v>
      </c>
      <c r="L148" s="19">
        <f t="shared" si="132"/>
        <v>0</v>
      </c>
      <c r="M148" s="19">
        <f t="shared" si="133"/>
        <v>0</v>
      </c>
      <c r="N148" s="19">
        <v>5.4900000000000001E-3</v>
      </c>
      <c r="O148" s="19">
        <f t="shared" si="134"/>
        <v>0.26351999999999998</v>
      </c>
      <c r="P148" s="88" t="s">
        <v>428</v>
      </c>
      <c r="Z148" s="19">
        <f t="shared" si="135"/>
        <v>0</v>
      </c>
      <c r="AB148" s="19">
        <f t="shared" si="136"/>
        <v>0</v>
      </c>
      <c r="AC148" s="19">
        <f t="shared" si="137"/>
        <v>0</v>
      </c>
      <c r="AD148" s="19">
        <f t="shared" si="138"/>
        <v>0</v>
      </c>
      <c r="AE148" s="19">
        <f t="shared" si="139"/>
        <v>0</v>
      </c>
      <c r="AF148" s="19">
        <f t="shared" si="140"/>
        <v>0</v>
      </c>
      <c r="AG148" s="19">
        <f t="shared" si="141"/>
        <v>0</v>
      </c>
      <c r="AH148" s="19">
        <f t="shared" si="142"/>
        <v>0</v>
      </c>
      <c r="AI148" s="16" t="s">
        <v>107</v>
      </c>
      <c r="AJ148" s="19">
        <f t="shared" si="143"/>
        <v>0</v>
      </c>
      <c r="AK148" s="19">
        <f t="shared" si="144"/>
        <v>0</v>
      </c>
      <c r="AL148" s="19">
        <f t="shared" si="145"/>
        <v>0</v>
      </c>
      <c r="AN148" s="19">
        <v>12</v>
      </c>
      <c r="AO148" s="19">
        <f>H148*0</f>
        <v>0</v>
      </c>
      <c r="AP148" s="19">
        <f>H148*(1-0)</f>
        <v>0</v>
      </c>
      <c r="AQ148" s="87" t="s">
        <v>429</v>
      </c>
      <c r="AV148" s="19">
        <f t="shared" si="146"/>
        <v>0</v>
      </c>
      <c r="AW148" s="19">
        <f t="shared" si="147"/>
        <v>0</v>
      </c>
      <c r="AX148" s="19">
        <f t="shared" si="148"/>
        <v>0</v>
      </c>
      <c r="AY148" s="87" t="s">
        <v>430</v>
      </c>
      <c r="AZ148" s="87" t="s">
        <v>532</v>
      </c>
      <c r="BA148" s="16" t="s">
        <v>533</v>
      </c>
      <c r="BC148" s="19">
        <f t="shared" si="149"/>
        <v>0</v>
      </c>
      <c r="BD148" s="19">
        <f t="shared" si="150"/>
        <v>0</v>
      </c>
      <c r="BE148" s="19">
        <v>0</v>
      </c>
      <c r="BF148" s="19">
        <f t="shared" si="151"/>
        <v>0.26351999999999998</v>
      </c>
      <c r="BH148" s="19">
        <f t="shared" si="152"/>
        <v>0</v>
      </c>
      <c r="BI148" s="19">
        <f t="shared" si="153"/>
        <v>0</v>
      </c>
      <c r="BJ148" s="19">
        <f t="shared" si="154"/>
        <v>0</v>
      </c>
      <c r="BK148" s="19"/>
      <c r="BL148" s="19">
        <v>722</v>
      </c>
      <c r="BW148" s="19" t="str">
        <f t="shared" si="155"/>
        <v>12</v>
      </c>
      <c r="BX148" s="4" t="s">
        <v>88</v>
      </c>
    </row>
    <row r="149" spans="1:76" x14ac:dyDescent="0.25">
      <c r="A149" s="1" t="s">
        <v>551</v>
      </c>
      <c r="B149" s="2" t="s">
        <v>107</v>
      </c>
      <c r="C149" s="2" t="s">
        <v>89</v>
      </c>
      <c r="D149" s="108" t="s">
        <v>90</v>
      </c>
      <c r="E149" s="102"/>
      <c r="F149" s="2" t="s">
        <v>62</v>
      </c>
      <c r="G149" s="19">
        <f>'Rozpočet - vybrané sloupce'!J136</f>
        <v>48</v>
      </c>
      <c r="H149" s="19">
        <f>'Rozpočet - vybrané sloupce'!K136</f>
        <v>0</v>
      </c>
      <c r="I149" s="87" t="s">
        <v>427</v>
      </c>
      <c r="J149" s="19">
        <f t="shared" si="130"/>
        <v>0</v>
      </c>
      <c r="K149" s="19">
        <f t="shared" si="131"/>
        <v>0</v>
      </c>
      <c r="L149" s="19">
        <f t="shared" si="132"/>
        <v>0</v>
      </c>
      <c r="M149" s="19">
        <f t="shared" si="133"/>
        <v>0</v>
      </c>
      <c r="N149" s="19">
        <v>2.0000000000000002E-5</v>
      </c>
      <c r="O149" s="19">
        <f t="shared" si="134"/>
        <v>9.6000000000000013E-4</v>
      </c>
      <c r="P149" s="88" t="s">
        <v>428</v>
      </c>
      <c r="Z149" s="19">
        <f t="shared" si="135"/>
        <v>0</v>
      </c>
      <c r="AB149" s="19">
        <f t="shared" si="136"/>
        <v>0</v>
      </c>
      <c r="AC149" s="19">
        <f t="shared" si="137"/>
        <v>0</v>
      </c>
      <c r="AD149" s="19">
        <f t="shared" si="138"/>
        <v>0</v>
      </c>
      <c r="AE149" s="19">
        <f t="shared" si="139"/>
        <v>0</v>
      </c>
      <c r="AF149" s="19">
        <f t="shared" si="140"/>
        <v>0</v>
      </c>
      <c r="AG149" s="19">
        <f t="shared" si="141"/>
        <v>0</v>
      </c>
      <c r="AH149" s="19">
        <f t="shared" si="142"/>
        <v>0</v>
      </c>
      <c r="AI149" s="16" t="s">
        <v>107</v>
      </c>
      <c r="AJ149" s="19">
        <f t="shared" si="143"/>
        <v>0</v>
      </c>
      <c r="AK149" s="19">
        <f t="shared" si="144"/>
        <v>0</v>
      </c>
      <c r="AL149" s="19">
        <f t="shared" si="145"/>
        <v>0</v>
      </c>
      <c r="AN149" s="19">
        <v>12</v>
      </c>
      <c r="AO149" s="19">
        <f>H149*0.034755206</f>
        <v>0</v>
      </c>
      <c r="AP149" s="19">
        <f>H149*(1-0.034755206)</f>
        <v>0</v>
      </c>
      <c r="AQ149" s="87" t="s">
        <v>429</v>
      </c>
      <c r="AV149" s="19">
        <f t="shared" si="146"/>
        <v>0</v>
      </c>
      <c r="AW149" s="19">
        <f t="shared" si="147"/>
        <v>0</v>
      </c>
      <c r="AX149" s="19">
        <f t="shared" si="148"/>
        <v>0</v>
      </c>
      <c r="AY149" s="87" t="s">
        <v>430</v>
      </c>
      <c r="AZ149" s="87" t="s">
        <v>532</v>
      </c>
      <c r="BA149" s="16" t="s">
        <v>533</v>
      </c>
      <c r="BC149" s="19">
        <f t="shared" si="149"/>
        <v>0</v>
      </c>
      <c r="BD149" s="19">
        <f t="shared" si="150"/>
        <v>0</v>
      </c>
      <c r="BE149" s="19">
        <v>0</v>
      </c>
      <c r="BF149" s="19">
        <f t="shared" si="151"/>
        <v>9.6000000000000013E-4</v>
      </c>
      <c r="BH149" s="19">
        <f t="shared" si="152"/>
        <v>0</v>
      </c>
      <c r="BI149" s="19">
        <f t="shared" si="153"/>
        <v>0</v>
      </c>
      <c r="BJ149" s="19">
        <f t="shared" si="154"/>
        <v>0</v>
      </c>
      <c r="BK149" s="19"/>
      <c r="BL149" s="19">
        <v>722</v>
      </c>
      <c r="BW149" s="19" t="str">
        <f t="shared" si="155"/>
        <v>12</v>
      </c>
      <c r="BX149" s="4" t="s">
        <v>90</v>
      </c>
    </row>
    <row r="150" spans="1:76" x14ac:dyDescent="0.25">
      <c r="A150" s="1" t="s">
        <v>552</v>
      </c>
      <c r="B150" s="2" t="s">
        <v>107</v>
      </c>
      <c r="C150" s="2" t="s">
        <v>91</v>
      </c>
      <c r="D150" s="108" t="s">
        <v>92</v>
      </c>
      <c r="E150" s="102"/>
      <c r="F150" s="2" t="s">
        <v>62</v>
      </c>
      <c r="G150" s="19">
        <f>'Rozpočet - vybrané sloupce'!J137</f>
        <v>48</v>
      </c>
      <c r="H150" s="19">
        <f>'Rozpočet - vybrané sloupce'!K137</f>
        <v>0</v>
      </c>
      <c r="I150" s="87" t="s">
        <v>427</v>
      </c>
      <c r="J150" s="19">
        <f t="shared" si="130"/>
        <v>0</v>
      </c>
      <c r="K150" s="19">
        <f t="shared" si="131"/>
        <v>0</v>
      </c>
      <c r="L150" s="19">
        <f t="shared" si="132"/>
        <v>0</v>
      </c>
      <c r="M150" s="19">
        <f t="shared" si="133"/>
        <v>0</v>
      </c>
      <c r="N150" s="19">
        <v>0</v>
      </c>
      <c r="O150" s="19">
        <f t="shared" si="134"/>
        <v>0</v>
      </c>
      <c r="P150" s="88" t="s">
        <v>428</v>
      </c>
      <c r="Z150" s="19">
        <f t="shared" si="135"/>
        <v>0</v>
      </c>
      <c r="AB150" s="19">
        <f t="shared" si="136"/>
        <v>0</v>
      </c>
      <c r="AC150" s="19">
        <f t="shared" si="137"/>
        <v>0</v>
      </c>
      <c r="AD150" s="19">
        <f t="shared" si="138"/>
        <v>0</v>
      </c>
      <c r="AE150" s="19">
        <f t="shared" si="139"/>
        <v>0</v>
      </c>
      <c r="AF150" s="19">
        <f t="shared" si="140"/>
        <v>0</v>
      </c>
      <c r="AG150" s="19">
        <f t="shared" si="141"/>
        <v>0</v>
      </c>
      <c r="AH150" s="19">
        <f t="shared" si="142"/>
        <v>0</v>
      </c>
      <c r="AI150" s="16" t="s">
        <v>107</v>
      </c>
      <c r="AJ150" s="19">
        <f t="shared" si="143"/>
        <v>0</v>
      </c>
      <c r="AK150" s="19">
        <f t="shared" si="144"/>
        <v>0</v>
      </c>
      <c r="AL150" s="19">
        <f t="shared" si="145"/>
        <v>0</v>
      </c>
      <c r="AN150" s="19">
        <v>12</v>
      </c>
      <c r="AO150" s="19">
        <f>H150*0.166666667</f>
        <v>0</v>
      </c>
      <c r="AP150" s="19">
        <f>H150*(1-0.166666667)</f>
        <v>0</v>
      </c>
      <c r="AQ150" s="87" t="s">
        <v>429</v>
      </c>
      <c r="AV150" s="19">
        <f t="shared" si="146"/>
        <v>0</v>
      </c>
      <c r="AW150" s="19">
        <f t="shared" si="147"/>
        <v>0</v>
      </c>
      <c r="AX150" s="19">
        <f t="shared" si="148"/>
        <v>0</v>
      </c>
      <c r="AY150" s="87" t="s">
        <v>430</v>
      </c>
      <c r="AZ150" s="87" t="s">
        <v>532</v>
      </c>
      <c r="BA150" s="16" t="s">
        <v>533</v>
      </c>
      <c r="BC150" s="19">
        <f t="shared" si="149"/>
        <v>0</v>
      </c>
      <c r="BD150" s="19">
        <f t="shared" si="150"/>
        <v>0</v>
      </c>
      <c r="BE150" s="19">
        <v>0</v>
      </c>
      <c r="BF150" s="19">
        <f t="shared" si="151"/>
        <v>0</v>
      </c>
      <c r="BH150" s="19">
        <f t="shared" si="152"/>
        <v>0</v>
      </c>
      <c r="BI150" s="19">
        <f t="shared" si="153"/>
        <v>0</v>
      </c>
      <c r="BJ150" s="19">
        <f t="shared" si="154"/>
        <v>0</v>
      </c>
      <c r="BK150" s="19"/>
      <c r="BL150" s="19">
        <v>722</v>
      </c>
      <c r="BW150" s="19" t="str">
        <f t="shared" si="155"/>
        <v>12</v>
      </c>
      <c r="BX150" s="4" t="s">
        <v>92</v>
      </c>
    </row>
    <row r="151" spans="1:76" x14ac:dyDescent="0.25">
      <c r="A151" s="1" t="s">
        <v>553</v>
      </c>
      <c r="B151" s="2" t="s">
        <v>107</v>
      </c>
      <c r="C151" s="2" t="s">
        <v>45</v>
      </c>
      <c r="D151" s="108" t="s">
        <v>46</v>
      </c>
      <c r="E151" s="102"/>
      <c r="F151" s="2" t="s">
        <v>31</v>
      </c>
      <c r="G151" s="19">
        <f>'Rozpočet - vybrané sloupce'!J138</f>
        <v>194</v>
      </c>
      <c r="H151" s="19">
        <f>'Rozpočet - vybrané sloupce'!K138</f>
        <v>0</v>
      </c>
      <c r="I151" s="87" t="s">
        <v>427</v>
      </c>
      <c r="J151" s="19">
        <f t="shared" si="130"/>
        <v>0</v>
      </c>
      <c r="K151" s="19">
        <f t="shared" si="131"/>
        <v>0</v>
      </c>
      <c r="L151" s="19">
        <f t="shared" si="132"/>
        <v>0</v>
      </c>
      <c r="M151" s="19">
        <f t="shared" si="133"/>
        <v>0</v>
      </c>
      <c r="N151" s="19">
        <v>0</v>
      </c>
      <c r="O151" s="19">
        <f t="shared" si="134"/>
        <v>0</v>
      </c>
      <c r="P151" s="88" t="s">
        <v>428</v>
      </c>
      <c r="Z151" s="19">
        <f t="shared" si="135"/>
        <v>0</v>
      </c>
      <c r="AB151" s="19">
        <f t="shared" si="136"/>
        <v>0</v>
      </c>
      <c r="AC151" s="19">
        <f t="shared" si="137"/>
        <v>0</v>
      </c>
      <c r="AD151" s="19">
        <f t="shared" si="138"/>
        <v>0</v>
      </c>
      <c r="AE151" s="19">
        <f t="shared" si="139"/>
        <v>0</v>
      </c>
      <c r="AF151" s="19">
        <f t="shared" si="140"/>
        <v>0</v>
      </c>
      <c r="AG151" s="19">
        <f t="shared" si="141"/>
        <v>0</v>
      </c>
      <c r="AH151" s="19">
        <f t="shared" si="142"/>
        <v>0</v>
      </c>
      <c r="AI151" s="16" t="s">
        <v>107</v>
      </c>
      <c r="AJ151" s="19">
        <f t="shared" si="143"/>
        <v>0</v>
      </c>
      <c r="AK151" s="19">
        <f t="shared" si="144"/>
        <v>0</v>
      </c>
      <c r="AL151" s="19">
        <f t="shared" si="145"/>
        <v>0</v>
      </c>
      <c r="AN151" s="19">
        <v>12</v>
      </c>
      <c r="AO151" s="19">
        <f>H151*0.014891906</f>
        <v>0</v>
      </c>
      <c r="AP151" s="19">
        <f>H151*(1-0.014891906)</f>
        <v>0</v>
      </c>
      <c r="AQ151" s="87" t="s">
        <v>429</v>
      </c>
      <c r="AV151" s="19">
        <f t="shared" si="146"/>
        <v>0</v>
      </c>
      <c r="AW151" s="19">
        <f t="shared" si="147"/>
        <v>0</v>
      </c>
      <c r="AX151" s="19">
        <f t="shared" si="148"/>
        <v>0</v>
      </c>
      <c r="AY151" s="87" t="s">
        <v>430</v>
      </c>
      <c r="AZ151" s="87" t="s">
        <v>532</v>
      </c>
      <c r="BA151" s="16" t="s">
        <v>533</v>
      </c>
      <c r="BC151" s="19">
        <f t="shared" si="149"/>
        <v>0</v>
      </c>
      <c r="BD151" s="19">
        <f t="shared" si="150"/>
        <v>0</v>
      </c>
      <c r="BE151" s="19">
        <v>0</v>
      </c>
      <c r="BF151" s="19">
        <f t="shared" si="151"/>
        <v>0</v>
      </c>
      <c r="BH151" s="19">
        <f t="shared" si="152"/>
        <v>0</v>
      </c>
      <c r="BI151" s="19">
        <f t="shared" si="153"/>
        <v>0</v>
      </c>
      <c r="BJ151" s="19">
        <f t="shared" si="154"/>
        <v>0</v>
      </c>
      <c r="BK151" s="19"/>
      <c r="BL151" s="19">
        <v>722</v>
      </c>
      <c r="BW151" s="19" t="str">
        <f t="shared" si="155"/>
        <v>12</v>
      </c>
      <c r="BX151" s="4" t="s">
        <v>46</v>
      </c>
    </row>
    <row r="152" spans="1:76" x14ac:dyDescent="0.25">
      <c r="A152" s="1" t="s">
        <v>554</v>
      </c>
      <c r="B152" s="2" t="s">
        <v>107</v>
      </c>
      <c r="C152" s="2" t="s">
        <v>47</v>
      </c>
      <c r="D152" s="108" t="s">
        <v>48</v>
      </c>
      <c r="E152" s="102"/>
      <c r="F152" s="2" t="s">
        <v>31</v>
      </c>
      <c r="G152" s="19">
        <f>'Rozpočet - vybrané sloupce'!J139</f>
        <v>72</v>
      </c>
      <c r="H152" s="19">
        <f>'Rozpočet - vybrané sloupce'!K139</f>
        <v>0</v>
      </c>
      <c r="I152" s="87" t="s">
        <v>427</v>
      </c>
      <c r="J152" s="19">
        <f t="shared" si="130"/>
        <v>0</v>
      </c>
      <c r="K152" s="19">
        <f t="shared" si="131"/>
        <v>0</v>
      </c>
      <c r="L152" s="19">
        <f t="shared" si="132"/>
        <v>0</v>
      </c>
      <c r="M152" s="19">
        <f t="shared" si="133"/>
        <v>0</v>
      </c>
      <c r="N152" s="19">
        <v>0</v>
      </c>
      <c r="O152" s="19">
        <f t="shared" si="134"/>
        <v>0</v>
      </c>
      <c r="P152" s="88" t="s">
        <v>428</v>
      </c>
      <c r="Z152" s="19">
        <f t="shared" si="135"/>
        <v>0</v>
      </c>
      <c r="AB152" s="19">
        <f t="shared" si="136"/>
        <v>0</v>
      </c>
      <c r="AC152" s="19">
        <f t="shared" si="137"/>
        <v>0</v>
      </c>
      <c r="AD152" s="19">
        <f t="shared" si="138"/>
        <v>0</v>
      </c>
      <c r="AE152" s="19">
        <f t="shared" si="139"/>
        <v>0</v>
      </c>
      <c r="AF152" s="19">
        <f t="shared" si="140"/>
        <v>0</v>
      </c>
      <c r="AG152" s="19">
        <f t="shared" si="141"/>
        <v>0</v>
      </c>
      <c r="AH152" s="19">
        <f t="shared" si="142"/>
        <v>0</v>
      </c>
      <c r="AI152" s="16" t="s">
        <v>107</v>
      </c>
      <c r="AJ152" s="19">
        <f t="shared" si="143"/>
        <v>0</v>
      </c>
      <c r="AK152" s="19">
        <f t="shared" si="144"/>
        <v>0</v>
      </c>
      <c r="AL152" s="19">
        <f t="shared" si="145"/>
        <v>0</v>
      </c>
      <c r="AN152" s="19">
        <v>12</v>
      </c>
      <c r="AO152" s="19">
        <f>H152*0.016921659</f>
        <v>0</v>
      </c>
      <c r="AP152" s="19">
        <f>H152*(1-0.016921659)</f>
        <v>0</v>
      </c>
      <c r="AQ152" s="87" t="s">
        <v>429</v>
      </c>
      <c r="AV152" s="19">
        <f t="shared" si="146"/>
        <v>0</v>
      </c>
      <c r="AW152" s="19">
        <f t="shared" si="147"/>
        <v>0</v>
      </c>
      <c r="AX152" s="19">
        <f t="shared" si="148"/>
        <v>0</v>
      </c>
      <c r="AY152" s="87" t="s">
        <v>430</v>
      </c>
      <c r="AZ152" s="87" t="s">
        <v>532</v>
      </c>
      <c r="BA152" s="16" t="s">
        <v>533</v>
      </c>
      <c r="BC152" s="19">
        <f t="shared" si="149"/>
        <v>0</v>
      </c>
      <c r="BD152" s="19">
        <f t="shared" si="150"/>
        <v>0</v>
      </c>
      <c r="BE152" s="19">
        <v>0</v>
      </c>
      <c r="BF152" s="19">
        <f t="shared" si="151"/>
        <v>0</v>
      </c>
      <c r="BH152" s="19">
        <f t="shared" si="152"/>
        <v>0</v>
      </c>
      <c r="BI152" s="19">
        <f t="shared" si="153"/>
        <v>0</v>
      </c>
      <c r="BJ152" s="19">
        <f t="shared" si="154"/>
        <v>0</v>
      </c>
      <c r="BK152" s="19"/>
      <c r="BL152" s="19">
        <v>722</v>
      </c>
      <c r="BW152" s="19" t="str">
        <f t="shared" si="155"/>
        <v>12</v>
      </c>
      <c r="BX152" s="4" t="s">
        <v>48</v>
      </c>
    </row>
    <row r="153" spans="1:76" x14ac:dyDescent="0.25">
      <c r="A153" s="1" t="s">
        <v>555</v>
      </c>
      <c r="B153" s="2" t="s">
        <v>107</v>
      </c>
      <c r="C153" s="2" t="s">
        <v>93</v>
      </c>
      <c r="D153" s="108" t="s">
        <v>94</v>
      </c>
      <c r="E153" s="102"/>
      <c r="F153" s="2" t="s">
        <v>95</v>
      </c>
      <c r="G153" s="19">
        <f>'Rozpočet - vybrané sloupce'!J140</f>
        <v>0.2</v>
      </c>
      <c r="H153" s="19">
        <f>'Rozpočet - vybrané sloupce'!K140</f>
        <v>0</v>
      </c>
      <c r="I153" s="87" t="s">
        <v>427</v>
      </c>
      <c r="J153" s="19">
        <f t="shared" si="130"/>
        <v>0</v>
      </c>
      <c r="K153" s="19">
        <f t="shared" si="131"/>
        <v>0</v>
      </c>
      <c r="L153" s="19">
        <f t="shared" si="132"/>
        <v>0</v>
      </c>
      <c r="M153" s="19">
        <f t="shared" si="133"/>
        <v>0</v>
      </c>
      <c r="N153" s="19">
        <v>0</v>
      </c>
      <c r="O153" s="19">
        <f t="shared" si="134"/>
        <v>0</v>
      </c>
      <c r="P153" s="88" t="s">
        <v>428</v>
      </c>
      <c r="Z153" s="19">
        <f t="shared" si="135"/>
        <v>0</v>
      </c>
      <c r="AB153" s="19">
        <f t="shared" si="136"/>
        <v>0</v>
      </c>
      <c r="AC153" s="19">
        <f t="shared" si="137"/>
        <v>0</v>
      </c>
      <c r="AD153" s="19">
        <f t="shared" si="138"/>
        <v>0</v>
      </c>
      <c r="AE153" s="19">
        <f t="shared" si="139"/>
        <v>0</v>
      </c>
      <c r="AF153" s="19">
        <f t="shared" si="140"/>
        <v>0</v>
      </c>
      <c r="AG153" s="19">
        <f t="shared" si="141"/>
        <v>0</v>
      </c>
      <c r="AH153" s="19">
        <f t="shared" si="142"/>
        <v>0</v>
      </c>
      <c r="AI153" s="16" t="s">
        <v>107</v>
      </c>
      <c r="AJ153" s="19">
        <f t="shared" si="143"/>
        <v>0</v>
      </c>
      <c r="AK153" s="19">
        <f t="shared" si="144"/>
        <v>0</v>
      </c>
      <c r="AL153" s="19">
        <f t="shared" si="145"/>
        <v>0</v>
      </c>
      <c r="AN153" s="19">
        <v>12</v>
      </c>
      <c r="AO153" s="19">
        <f>H153*0</f>
        <v>0</v>
      </c>
      <c r="AP153" s="19">
        <f>H153*(1-0)</f>
        <v>0</v>
      </c>
      <c r="AQ153" s="87" t="s">
        <v>429</v>
      </c>
      <c r="AV153" s="19">
        <f t="shared" si="146"/>
        <v>0</v>
      </c>
      <c r="AW153" s="19">
        <f t="shared" si="147"/>
        <v>0</v>
      </c>
      <c r="AX153" s="19">
        <f t="shared" si="148"/>
        <v>0</v>
      </c>
      <c r="AY153" s="87" t="s">
        <v>430</v>
      </c>
      <c r="AZ153" s="87" t="s">
        <v>532</v>
      </c>
      <c r="BA153" s="16" t="s">
        <v>533</v>
      </c>
      <c r="BC153" s="19">
        <f t="shared" si="149"/>
        <v>0</v>
      </c>
      <c r="BD153" s="19">
        <f t="shared" si="150"/>
        <v>0</v>
      </c>
      <c r="BE153" s="19">
        <v>0</v>
      </c>
      <c r="BF153" s="19">
        <f t="shared" si="151"/>
        <v>0</v>
      </c>
      <c r="BH153" s="19">
        <f t="shared" si="152"/>
        <v>0</v>
      </c>
      <c r="BI153" s="19">
        <f t="shared" si="153"/>
        <v>0</v>
      </c>
      <c r="BJ153" s="19">
        <f t="shared" si="154"/>
        <v>0</v>
      </c>
      <c r="BK153" s="19"/>
      <c r="BL153" s="19">
        <v>722</v>
      </c>
      <c r="BW153" s="19" t="str">
        <f t="shared" si="155"/>
        <v>12</v>
      </c>
      <c r="BX153" s="4" t="s">
        <v>94</v>
      </c>
    </row>
    <row r="154" spans="1:76" x14ac:dyDescent="0.25">
      <c r="A154" s="1" t="s">
        <v>556</v>
      </c>
      <c r="B154" s="2" t="s">
        <v>107</v>
      </c>
      <c r="C154" s="2" t="s">
        <v>49</v>
      </c>
      <c r="D154" s="108" t="s">
        <v>50</v>
      </c>
      <c r="E154" s="102"/>
      <c r="F154" s="2" t="s">
        <v>51</v>
      </c>
      <c r="G154" s="19">
        <f>'Rozpočet - vybrané sloupce'!J141</f>
        <v>2715</v>
      </c>
      <c r="H154" s="19">
        <f>'Rozpočet - vybrané sloupce'!K141</f>
        <v>0</v>
      </c>
      <c r="I154" s="87" t="s">
        <v>427</v>
      </c>
      <c r="J154" s="19">
        <f t="shared" si="130"/>
        <v>0</v>
      </c>
      <c r="K154" s="19">
        <f t="shared" si="131"/>
        <v>0</v>
      </c>
      <c r="L154" s="19">
        <f t="shared" si="132"/>
        <v>0</v>
      </c>
      <c r="M154" s="19">
        <f t="shared" si="133"/>
        <v>0</v>
      </c>
      <c r="N154" s="19">
        <v>0</v>
      </c>
      <c r="O154" s="19">
        <f t="shared" si="134"/>
        <v>0</v>
      </c>
      <c r="P154" s="88" t="s">
        <v>428</v>
      </c>
      <c r="Z154" s="19">
        <f t="shared" si="135"/>
        <v>0</v>
      </c>
      <c r="AB154" s="19">
        <f t="shared" si="136"/>
        <v>0</v>
      </c>
      <c r="AC154" s="19">
        <f t="shared" si="137"/>
        <v>0</v>
      </c>
      <c r="AD154" s="19">
        <f t="shared" si="138"/>
        <v>0</v>
      </c>
      <c r="AE154" s="19">
        <f t="shared" si="139"/>
        <v>0</v>
      </c>
      <c r="AF154" s="19">
        <f t="shared" si="140"/>
        <v>0</v>
      </c>
      <c r="AG154" s="19">
        <f t="shared" si="141"/>
        <v>0</v>
      </c>
      <c r="AH154" s="19">
        <f t="shared" si="142"/>
        <v>0</v>
      </c>
      <c r="AI154" s="16" t="s">
        <v>107</v>
      </c>
      <c r="AJ154" s="19">
        <f t="shared" si="143"/>
        <v>0</v>
      </c>
      <c r="AK154" s="19">
        <f t="shared" si="144"/>
        <v>0</v>
      </c>
      <c r="AL154" s="19">
        <f t="shared" si="145"/>
        <v>0</v>
      </c>
      <c r="AN154" s="19">
        <v>12</v>
      </c>
      <c r="AO154" s="19">
        <f>H154*0</f>
        <v>0</v>
      </c>
      <c r="AP154" s="19">
        <f>H154*(1-0)</f>
        <v>0</v>
      </c>
      <c r="AQ154" s="87" t="s">
        <v>436</v>
      </c>
      <c r="AV154" s="19">
        <f t="shared" si="146"/>
        <v>0</v>
      </c>
      <c r="AW154" s="19">
        <f t="shared" si="147"/>
        <v>0</v>
      </c>
      <c r="AX154" s="19">
        <f t="shared" si="148"/>
        <v>0</v>
      </c>
      <c r="AY154" s="87" t="s">
        <v>430</v>
      </c>
      <c r="AZ154" s="87" t="s">
        <v>532</v>
      </c>
      <c r="BA154" s="16" t="s">
        <v>533</v>
      </c>
      <c r="BC154" s="19">
        <f t="shared" si="149"/>
        <v>0</v>
      </c>
      <c r="BD154" s="19">
        <f t="shared" si="150"/>
        <v>0</v>
      </c>
      <c r="BE154" s="19">
        <v>0</v>
      </c>
      <c r="BF154" s="19">
        <f t="shared" si="151"/>
        <v>0</v>
      </c>
      <c r="BH154" s="19">
        <f t="shared" si="152"/>
        <v>0</v>
      </c>
      <c r="BI154" s="19">
        <f t="shared" si="153"/>
        <v>0</v>
      </c>
      <c r="BJ154" s="19">
        <f t="shared" si="154"/>
        <v>0</v>
      </c>
      <c r="BK154" s="19"/>
      <c r="BL154" s="19">
        <v>722</v>
      </c>
      <c r="BW154" s="19" t="str">
        <f t="shared" si="155"/>
        <v>12</v>
      </c>
      <c r="BX154" s="4" t="s">
        <v>50</v>
      </c>
    </row>
    <row r="155" spans="1:76" x14ac:dyDescent="0.25">
      <c r="A155" s="84" t="s">
        <v>25</v>
      </c>
      <c r="B155" s="15" t="s">
        <v>107</v>
      </c>
      <c r="C155" s="15" t="s">
        <v>96</v>
      </c>
      <c r="D155" s="115" t="s">
        <v>97</v>
      </c>
      <c r="E155" s="116"/>
      <c r="F155" s="85" t="s">
        <v>23</v>
      </c>
      <c r="G155" s="85" t="s">
        <v>23</v>
      </c>
      <c r="H155" s="85" t="s">
        <v>23</v>
      </c>
      <c r="I155" s="85" t="s">
        <v>23</v>
      </c>
      <c r="J155" s="60">
        <f>SUM(J156:J158)</f>
        <v>0</v>
      </c>
      <c r="K155" s="60">
        <f>SUM(K156:K158)</f>
        <v>0</v>
      </c>
      <c r="L155" s="60">
        <f>SUM(L156:L158)</f>
        <v>0</v>
      </c>
      <c r="M155" s="60">
        <f>SUM(M156:M158)</f>
        <v>0</v>
      </c>
      <c r="N155" s="16" t="s">
        <v>25</v>
      </c>
      <c r="O155" s="60">
        <f>SUM(O156:O158)</f>
        <v>0.50856000000000001</v>
      </c>
      <c r="P155" s="86" t="s">
        <v>25</v>
      </c>
      <c r="AI155" s="16" t="s">
        <v>107</v>
      </c>
      <c r="AS155" s="60">
        <f>SUM(AJ156:AJ158)</f>
        <v>0</v>
      </c>
      <c r="AT155" s="60">
        <f>SUM(AK156:AK158)</f>
        <v>0</v>
      </c>
      <c r="AU155" s="60">
        <f>SUM(AL156:AL158)</f>
        <v>0</v>
      </c>
    </row>
    <row r="156" spans="1:76" x14ac:dyDescent="0.25">
      <c r="A156" s="1" t="s">
        <v>557</v>
      </c>
      <c r="B156" s="2" t="s">
        <v>107</v>
      </c>
      <c r="C156" s="2" t="s">
        <v>98</v>
      </c>
      <c r="D156" s="108" t="s">
        <v>99</v>
      </c>
      <c r="E156" s="102"/>
      <c r="F156" s="2" t="s">
        <v>100</v>
      </c>
      <c r="G156" s="19">
        <f>'Rozpočet - vybrané sloupce'!J143</f>
        <v>24</v>
      </c>
      <c r="H156" s="19">
        <f>'Rozpočet - vybrané sloupce'!K143</f>
        <v>0</v>
      </c>
      <c r="I156" s="87" t="s">
        <v>427</v>
      </c>
      <c r="J156" s="19">
        <f>G156*AO156</f>
        <v>0</v>
      </c>
      <c r="K156" s="19">
        <f>G156*AP156</f>
        <v>0</v>
      </c>
      <c r="L156" s="19">
        <f>G156*H156</f>
        <v>0</v>
      </c>
      <c r="M156" s="19">
        <f>L156*(1+BW156/100)</f>
        <v>0</v>
      </c>
      <c r="N156" s="19">
        <v>1.933E-2</v>
      </c>
      <c r="O156" s="19">
        <f>G156*N156</f>
        <v>0.46392</v>
      </c>
      <c r="P156" s="88" t="s">
        <v>428</v>
      </c>
      <c r="Z156" s="19">
        <f>IF(AQ156="5",BJ156,0)</f>
        <v>0</v>
      </c>
      <c r="AB156" s="19">
        <f>IF(AQ156="1",BH156,0)</f>
        <v>0</v>
      </c>
      <c r="AC156" s="19">
        <f>IF(AQ156="1",BI156,0)</f>
        <v>0</v>
      </c>
      <c r="AD156" s="19">
        <f>IF(AQ156="7",BH156,0)</f>
        <v>0</v>
      </c>
      <c r="AE156" s="19">
        <f>IF(AQ156="7",BI156,0)</f>
        <v>0</v>
      </c>
      <c r="AF156" s="19">
        <f>IF(AQ156="2",BH156,0)</f>
        <v>0</v>
      </c>
      <c r="AG156" s="19">
        <f>IF(AQ156="2",BI156,0)</f>
        <v>0</v>
      </c>
      <c r="AH156" s="19">
        <f>IF(AQ156="0",BJ156,0)</f>
        <v>0</v>
      </c>
      <c r="AI156" s="16" t="s">
        <v>107</v>
      </c>
      <c r="AJ156" s="19">
        <f>IF(AN156=0,L156,0)</f>
        <v>0</v>
      </c>
      <c r="AK156" s="19">
        <f>IF(AN156=12,L156,0)</f>
        <v>0</v>
      </c>
      <c r="AL156" s="19">
        <f>IF(AN156=21,L156,0)</f>
        <v>0</v>
      </c>
      <c r="AN156" s="19">
        <v>12</v>
      </c>
      <c r="AO156" s="19">
        <f>H156*0</f>
        <v>0</v>
      </c>
      <c r="AP156" s="19">
        <f>H156*(1-0)</f>
        <v>0</v>
      </c>
      <c r="AQ156" s="87" t="s">
        <v>429</v>
      </c>
      <c r="AV156" s="19">
        <f>AW156+AX156</f>
        <v>0</v>
      </c>
      <c r="AW156" s="19">
        <f>G156*AO156</f>
        <v>0</v>
      </c>
      <c r="AX156" s="19">
        <f>G156*AP156</f>
        <v>0</v>
      </c>
      <c r="AY156" s="87" t="s">
        <v>497</v>
      </c>
      <c r="AZ156" s="87" t="s">
        <v>532</v>
      </c>
      <c r="BA156" s="16" t="s">
        <v>533</v>
      </c>
      <c r="BC156" s="19">
        <f>AW156+AX156</f>
        <v>0</v>
      </c>
      <c r="BD156" s="19">
        <f>H156/(100-BE156)*100</f>
        <v>0</v>
      </c>
      <c r="BE156" s="19">
        <v>0</v>
      </c>
      <c r="BF156" s="19">
        <f>O156</f>
        <v>0.46392</v>
      </c>
      <c r="BH156" s="19">
        <f>G156*AO156</f>
        <v>0</v>
      </c>
      <c r="BI156" s="19">
        <f>G156*AP156</f>
        <v>0</v>
      </c>
      <c r="BJ156" s="19">
        <f>G156*H156</f>
        <v>0</v>
      </c>
      <c r="BK156" s="19"/>
      <c r="BL156" s="19">
        <v>725</v>
      </c>
      <c r="BW156" s="19" t="str">
        <f>I156</f>
        <v>12</v>
      </c>
      <c r="BX156" s="4" t="s">
        <v>99</v>
      </c>
    </row>
    <row r="157" spans="1:76" x14ac:dyDescent="0.25">
      <c r="A157" s="1" t="s">
        <v>558</v>
      </c>
      <c r="B157" s="2" t="s">
        <v>107</v>
      </c>
      <c r="C157" s="2" t="s">
        <v>101</v>
      </c>
      <c r="D157" s="108" t="s">
        <v>102</v>
      </c>
      <c r="E157" s="102"/>
      <c r="F157" s="2" t="s">
        <v>100</v>
      </c>
      <c r="G157" s="19">
        <f>'Rozpočet - vybrané sloupce'!J144</f>
        <v>24</v>
      </c>
      <c r="H157" s="19">
        <f>'Rozpočet - vybrané sloupce'!K144</f>
        <v>0</v>
      </c>
      <c r="I157" s="87" t="s">
        <v>427</v>
      </c>
      <c r="J157" s="19">
        <f>G157*AO157</f>
        <v>0</v>
      </c>
      <c r="K157" s="19">
        <f>G157*AP157</f>
        <v>0</v>
      </c>
      <c r="L157" s="19">
        <f>G157*H157</f>
        <v>0</v>
      </c>
      <c r="M157" s="19">
        <f>L157*(1+BW157/100)</f>
        <v>0</v>
      </c>
      <c r="N157" s="19">
        <v>1.8600000000000001E-3</v>
      </c>
      <c r="O157" s="19">
        <f>G157*N157</f>
        <v>4.4639999999999999E-2</v>
      </c>
      <c r="P157" s="88" t="s">
        <v>428</v>
      </c>
      <c r="Z157" s="19">
        <f>IF(AQ157="5",BJ157,0)</f>
        <v>0</v>
      </c>
      <c r="AB157" s="19">
        <f>IF(AQ157="1",BH157,0)</f>
        <v>0</v>
      </c>
      <c r="AC157" s="19">
        <f>IF(AQ157="1",BI157,0)</f>
        <v>0</v>
      </c>
      <c r="AD157" s="19">
        <f>IF(AQ157="7",BH157,0)</f>
        <v>0</v>
      </c>
      <c r="AE157" s="19">
        <f>IF(AQ157="7",BI157,0)</f>
        <v>0</v>
      </c>
      <c r="AF157" s="19">
        <f>IF(AQ157="2",BH157,0)</f>
        <v>0</v>
      </c>
      <c r="AG157" s="19">
        <f>IF(AQ157="2",BI157,0)</f>
        <v>0</v>
      </c>
      <c r="AH157" s="19">
        <f>IF(AQ157="0",BJ157,0)</f>
        <v>0</v>
      </c>
      <c r="AI157" s="16" t="s">
        <v>107</v>
      </c>
      <c r="AJ157" s="19">
        <f>IF(AN157=0,L157,0)</f>
        <v>0</v>
      </c>
      <c r="AK157" s="19">
        <f>IF(AN157=12,L157,0)</f>
        <v>0</v>
      </c>
      <c r="AL157" s="19">
        <f>IF(AN157=21,L157,0)</f>
        <v>0</v>
      </c>
      <c r="AN157" s="19">
        <v>12</v>
      </c>
      <c r="AO157" s="19">
        <f>H157*0.443488504</f>
        <v>0</v>
      </c>
      <c r="AP157" s="19">
        <f>H157*(1-0.443488504)</f>
        <v>0</v>
      </c>
      <c r="AQ157" s="87" t="s">
        <v>429</v>
      </c>
      <c r="AV157" s="19">
        <f>AW157+AX157</f>
        <v>0</v>
      </c>
      <c r="AW157" s="19">
        <f>G157*AO157</f>
        <v>0</v>
      </c>
      <c r="AX157" s="19">
        <f>G157*AP157</f>
        <v>0</v>
      </c>
      <c r="AY157" s="87" t="s">
        <v>497</v>
      </c>
      <c r="AZ157" s="87" t="s">
        <v>532</v>
      </c>
      <c r="BA157" s="16" t="s">
        <v>533</v>
      </c>
      <c r="BC157" s="19">
        <f>AW157+AX157</f>
        <v>0</v>
      </c>
      <c r="BD157" s="19">
        <f>H157/(100-BE157)*100</f>
        <v>0</v>
      </c>
      <c r="BE157" s="19">
        <v>0</v>
      </c>
      <c r="BF157" s="19">
        <f>O157</f>
        <v>4.4639999999999999E-2</v>
      </c>
      <c r="BH157" s="19">
        <f>G157*AO157</f>
        <v>0</v>
      </c>
      <c r="BI157" s="19">
        <f>G157*AP157</f>
        <v>0</v>
      </c>
      <c r="BJ157" s="19">
        <f>G157*H157</f>
        <v>0</v>
      </c>
      <c r="BK157" s="19"/>
      <c r="BL157" s="19">
        <v>725</v>
      </c>
      <c r="BW157" s="19" t="str">
        <f>I157</f>
        <v>12</v>
      </c>
      <c r="BX157" s="4" t="s">
        <v>102</v>
      </c>
    </row>
    <row r="158" spans="1:76" x14ac:dyDescent="0.25">
      <c r="A158" s="1" t="s">
        <v>559</v>
      </c>
      <c r="B158" s="2" t="s">
        <v>107</v>
      </c>
      <c r="C158" s="2" t="s">
        <v>103</v>
      </c>
      <c r="D158" s="108" t="s">
        <v>104</v>
      </c>
      <c r="E158" s="102"/>
      <c r="F158" s="2" t="s">
        <v>51</v>
      </c>
      <c r="G158" s="19">
        <f>'Rozpočet - vybrané sloupce'!J145</f>
        <v>420</v>
      </c>
      <c r="H158" s="19">
        <f>'Rozpočet - vybrané sloupce'!K145</f>
        <v>0</v>
      </c>
      <c r="I158" s="87" t="s">
        <v>427</v>
      </c>
      <c r="J158" s="19">
        <f>G158*AO158</f>
        <v>0</v>
      </c>
      <c r="K158" s="19">
        <f>G158*AP158</f>
        <v>0</v>
      </c>
      <c r="L158" s="19">
        <f>G158*H158</f>
        <v>0</v>
      </c>
      <c r="M158" s="19">
        <f>L158*(1+BW158/100)</f>
        <v>0</v>
      </c>
      <c r="N158" s="19">
        <v>0</v>
      </c>
      <c r="O158" s="19">
        <f>G158*N158</f>
        <v>0</v>
      </c>
      <c r="P158" s="88" t="s">
        <v>428</v>
      </c>
      <c r="Z158" s="19">
        <f>IF(AQ158="5",BJ158,0)</f>
        <v>0</v>
      </c>
      <c r="AB158" s="19">
        <f>IF(AQ158="1",BH158,0)</f>
        <v>0</v>
      </c>
      <c r="AC158" s="19">
        <f>IF(AQ158="1",BI158,0)</f>
        <v>0</v>
      </c>
      <c r="AD158" s="19">
        <f>IF(AQ158="7",BH158,0)</f>
        <v>0</v>
      </c>
      <c r="AE158" s="19">
        <f>IF(AQ158="7",BI158,0)</f>
        <v>0</v>
      </c>
      <c r="AF158" s="19">
        <f>IF(AQ158="2",BH158,0)</f>
        <v>0</v>
      </c>
      <c r="AG158" s="19">
        <f>IF(AQ158="2",BI158,0)</f>
        <v>0</v>
      </c>
      <c r="AH158" s="19">
        <f>IF(AQ158="0",BJ158,0)</f>
        <v>0</v>
      </c>
      <c r="AI158" s="16" t="s">
        <v>107</v>
      </c>
      <c r="AJ158" s="19">
        <f>IF(AN158=0,L158,0)</f>
        <v>0</v>
      </c>
      <c r="AK158" s="19">
        <f>IF(AN158=12,L158,0)</f>
        <v>0</v>
      </c>
      <c r="AL158" s="19">
        <f>IF(AN158=21,L158,0)</f>
        <v>0</v>
      </c>
      <c r="AN158" s="19">
        <v>12</v>
      </c>
      <c r="AO158" s="19">
        <f>H158*0</f>
        <v>0</v>
      </c>
      <c r="AP158" s="19">
        <f>H158*(1-0)</f>
        <v>0</v>
      </c>
      <c r="AQ158" s="87" t="s">
        <v>436</v>
      </c>
      <c r="AV158" s="19">
        <f>AW158+AX158</f>
        <v>0</v>
      </c>
      <c r="AW158" s="19">
        <f>G158*AO158</f>
        <v>0</v>
      </c>
      <c r="AX158" s="19">
        <f>G158*AP158</f>
        <v>0</v>
      </c>
      <c r="AY158" s="87" t="s">
        <v>497</v>
      </c>
      <c r="AZ158" s="87" t="s">
        <v>532</v>
      </c>
      <c r="BA158" s="16" t="s">
        <v>533</v>
      </c>
      <c r="BC158" s="19">
        <f>AW158+AX158</f>
        <v>0</v>
      </c>
      <c r="BD158" s="19">
        <f>H158/(100-BE158)*100</f>
        <v>0</v>
      </c>
      <c r="BE158" s="19">
        <v>0</v>
      </c>
      <c r="BF158" s="19">
        <f>O158</f>
        <v>0</v>
      </c>
      <c r="BH158" s="19">
        <f>G158*AO158</f>
        <v>0</v>
      </c>
      <c r="BI158" s="19">
        <f>G158*AP158</f>
        <v>0</v>
      </c>
      <c r="BJ158" s="19">
        <f>G158*H158</f>
        <v>0</v>
      </c>
      <c r="BK158" s="19"/>
      <c r="BL158" s="19">
        <v>725</v>
      </c>
      <c r="BW158" s="19" t="str">
        <f>I158</f>
        <v>12</v>
      </c>
      <c r="BX158" s="4" t="s">
        <v>104</v>
      </c>
    </row>
    <row r="159" spans="1:76" x14ac:dyDescent="0.25">
      <c r="A159" s="84" t="s">
        <v>25</v>
      </c>
      <c r="B159" s="15" t="s">
        <v>109</v>
      </c>
      <c r="C159" s="15" t="s">
        <v>25</v>
      </c>
      <c r="D159" s="115" t="s">
        <v>110</v>
      </c>
      <c r="E159" s="116"/>
      <c r="F159" s="85" t="s">
        <v>23</v>
      </c>
      <c r="G159" s="85" t="s">
        <v>23</v>
      </c>
      <c r="H159" s="85" t="s">
        <v>23</v>
      </c>
      <c r="I159" s="85" t="s">
        <v>23</v>
      </c>
      <c r="J159" s="60">
        <f>J160</f>
        <v>0</v>
      </c>
      <c r="K159" s="60">
        <f>K160</f>
        <v>0</v>
      </c>
      <c r="L159" s="60">
        <f>L160</f>
        <v>0</v>
      </c>
      <c r="M159" s="60">
        <f>M160</f>
        <v>0</v>
      </c>
      <c r="N159" s="16" t="s">
        <v>25</v>
      </c>
      <c r="O159" s="60">
        <f>O160</f>
        <v>1.1484000000000003</v>
      </c>
      <c r="P159" s="86" t="s">
        <v>25</v>
      </c>
    </row>
    <row r="160" spans="1:76" x14ac:dyDescent="0.25">
      <c r="A160" s="84" t="s">
        <v>25</v>
      </c>
      <c r="B160" s="15" t="s">
        <v>109</v>
      </c>
      <c r="C160" s="15" t="s">
        <v>111</v>
      </c>
      <c r="D160" s="115" t="s">
        <v>112</v>
      </c>
      <c r="E160" s="116"/>
      <c r="F160" s="85" t="s">
        <v>23</v>
      </c>
      <c r="G160" s="85" t="s">
        <v>23</v>
      </c>
      <c r="H160" s="85" t="s">
        <v>23</v>
      </c>
      <c r="I160" s="85" t="s">
        <v>23</v>
      </c>
      <c r="J160" s="60">
        <f>SUM(J161:J192)</f>
        <v>0</v>
      </c>
      <c r="K160" s="60">
        <f>SUM(K161:K192)</f>
        <v>0</v>
      </c>
      <c r="L160" s="60">
        <f>SUM(L161:L192)</f>
        <v>0</v>
      </c>
      <c r="M160" s="60">
        <f>SUM(M161:M192)</f>
        <v>0</v>
      </c>
      <c r="N160" s="16" t="s">
        <v>25</v>
      </c>
      <c r="O160" s="60">
        <f>SUM(O161:O192)</f>
        <v>1.1484000000000003</v>
      </c>
      <c r="P160" s="86" t="s">
        <v>25</v>
      </c>
      <c r="AI160" s="16" t="s">
        <v>109</v>
      </c>
      <c r="AS160" s="60">
        <f>SUM(AJ161:AJ192)</f>
        <v>0</v>
      </c>
      <c r="AT160" s="60">
        <f>SUM(AK161:AK192)</f>
        <v>0</v>
      </c>
      <c r="AU160" s="60">
        <f>SUM(AL161:AL192)</f>
        <v>0</v>
      </c>
    </row>
    <row r="161" spans="1:76" x14ac:dyDescent="0.25">
      <c r="A161" s="1" t="s">
        <v>560</v>
      </c>
      <c r="B161" s="2" t="s">
        <v>109</v>
      </c>
      <c r="C161" s="2" t="s">
        <v>113</v>
      </c>
      <c r="D161" s="108" t="s">
        <v>114</v>
      </c>
      <c r="E161" s="102"/>
      <c r="F161" s="2" t="s">
        <v>31</v>
      </c>
      <c r="G161" s="19">
        <f>'Rozpočet - vybrané sloupce'!J148</f>
        <v>95</v>
      </c>
      <c r="H161" s="19">
        <f>'Rozpočet - vybrané sloupce'!K148</f>
        <v>0</v>
      </c>
      <c r="I161" s="87" t="s">
        <v>427</v>
      </c>
      <c r="J161" s="19">
        <f>G161*AO161</f>
        <v>0</v>
      </c>
      <c r="K161" s="19">
        <f>G161*AP161</f>
        <v>0</v>
      </c>
      <c r="L161" s="19">
        <f>G161*H161</f>
        <v>0</v>
      </c>
      <c r="M161" s="19">
        <f>L161*(1+BW161/100)</f>
        <v>0</v>
      </c>
      <c r="N161" s="19">
        <v>3.81E-3</v>
      </c>
      <c r="O161" s="19">
        <f>G161*N161</f>
        <v>0.36194999999999999</v>
      </c>
      <c r="P161" s="88" t="s">
        <v>428</v>
      </c>
      <c r="Z161" s="19">
        <f>IF(AQ161="5",BJ161,0)</f>
        <v>0</v>
      </c>
      <c r="AB161" s="19">
        <f>IF(AQ161="1",BH161,0)</f>
        <v>0</v>
      </c>
      <c r="AC161" s="19">
        <f>IF(AQ161="1",BI161,0)</f>
        <v>0</v>
      </c>
      <c r="AD161" s="19">
        <f>IF(AQ161="7",BH161,0)</f>
        <v>0</v>
      </c>
      <c r="AE161" s="19">
        <f>IF(AQ161="7",BI161,0)</f>
        <v>0</v>
      </c>
      <c r="AF161" s="19">
        <f>IF(AQ161="2",BH161,0)</f>
        <v>0</v>
      </c>
      <c r="AG161" s="19">
        <f>IF(AQ161="2",BI161,0)</f>
        <v>0</v>
      </c>
      <c r="AH161" s="19">
        <f>IF(AQ161="0",BJ161,0)</f>
        <v>0</v>
      </c>
      <c r="AI161" s="16" t="s">
        <v>109</v>
      </c>
      <c r="AJ161" s="19">
        <f>IF(AN161=0,L161,0)</f>
        <v>0</v>
      </c>
      <c r="AK161" s="19">
        <f>IF(AN161=12,L161,0)</f>
        <v>0</v>
      </c>
      <c r="AL161" s="19">
        <f>IF(AN161=21,L161,0)</f>
        <v>0</v>
      </c>
      <c r="AN161" s="19">
        <v>12</v>
      </c>
      <c r="AO161" s="19">
        <f>H161*0.884461868</f>
        <v>0</v>
      </c>
      <c r="AP161" s="19">
        <f>H161*(1-0.884461868)</f>
        <v>0</v>
      </c>
      <c r="AQ161" s="87" t="s">
        <v>429</v>
      </c>
      <c r="AV161" s="19">
        <f>AW161+AX161</f>
        <v>0</v>
      </c>
      <c r="AW161" s="19">
        <f>G161*AO161</f>
        <v>0</v>
      </c>
      <c r="AX161" s="19">
        <f>G161*AP161</f>
        <v>0</v>
      </c>
      <c r="AY161" s="87" t="s">
        <v>561</v>
      </c>
      <c r="AZ161" s="87" t="s">
        <v>562</v>
      </c>
      <c r="BA161" s="16" t="s">
        <v>563</v>
      </c>
      <c r="BC161" s="19">
        <f>AW161+AX161</f>
        <v>0</v>
      </c>
      <c r="BD161" s="19">
        <f>H161/(100-BE161)*100</f>
        <v>0</v>
      </c>
      <c r="BE161" s="19">
        <v>0</v>
      </c>
      <c r="BF161" s="19">
        <f>O161</f>
        <v>0.36194999999999999</v>
      </c>
      <c r="BH161" s="19">
        <f>G161*AO161</f>
        <v>0</v>
      </c>
      <c r="BI161" s="19">
        <f>G161*AP161</f>
        <v>0</v>
      </c>
      <c r="BJ161" s="19">
        <f>G161*H161</f>
        <v>0</v>
      </c>
      <c r="BK161" s="19"/>
      <c r="BL161" s="19">
        <v>723</v>
      </c>
      <c r="BW161" s="19" t="str">
        <f>I161</f>
        <v>12</v>
      </c>
      <c r="BX161" s="4" t="s">
        <v>114</v>
      </c>
    </row>
    <row r="162" spans="1:76" x14ac:dyDescent="0.25">
      <c r="A162" s="1" t="s">
        <v>564</v>
      </c>
      <c r="B162" s="2" t="s">
        <v>109</v>
      </c>
      <c r="C162" s="2" t="s">
        <v>115</v>
      </c>
      <c r="D162" s="108" t="s">
        <v>116</v>
      </c>
      <c r="E162" s="102"/>
      <c r="F162" s="2" t="s">
        <v>31</v>
      </c>
      <c r="G162" s="19">
        <f>'Rozpočet - vybrané sloupce'!J149</f>
        <v>22</v>
      </c>
      <c r="H162" s="19">
        <f>'Rozpočet - vybrané sloupce'!K149</f>
        <v>0</v>
      </c>
      <c r="I162" s="87" t="s">
        <v>427</v>
      </c>
      <c r="J162" s="19">
        <f>G162*AO162</f>
        <v>0</v>
      </c>
      <c r="K162" s="19">
        <f>G162*AP162</f>
        <v>0</v>
      </c>
      <c r="L162" s="19">
        <f>G162*H162</f>
        <v>0</v>
      </c>
      <c r="M162" s="19">
        <f>L162*(1+BW162/100)</f>
        <v>0</v>
      </c>
      <c r="N162" s="19">
        <v>8.6700000000000006E-3</v>
      </c>
      <c r="O162" s="19">
        <f>G162*N162</f>
        <v>0.19074000000000002</v>
      </c>
      <c r="P162" s="88" t="s">
        <v>428</v>
      </c>
      <c r="Z162" s="19">
        <f>IF(AQ162="5",BJ162,0)</f>
        <v>0</v>
      </c>
      <c r="AB162" s="19">
        <f>IF(AQ162="1",BH162,0)</f>
        <v>0</v>
      </c>
      <c r="AC162" s="19">
        <f>IF(AQ162="1",BI162,0)</f>
        <v>0</v>
      </c>
      <c r="AD162" s="19">
        <f>IF(AQ162="7",BH162,0)</f>
        <v>0</v>
      </c>
      <c r="AE162" s="19">
        <f>IF(AQ162="7",BI162,0)</f>
        <v>0</v>
      </c>
      <c r="AF162" s="19">
        <f>IF(AQ162="2",BH162,0)</f>
        <v>0</v>
      </c>
      <c r="AG162" s="19">
        <f>IF(AQ162="2",BI162,0)</f>
        <v>0</v>
      </c>
      <c r="AH162" s="19">
        <f>IF(AQ162="0",BJ162,0)</f>
        <v>0</v>
      </c>
      <c r="AI162" s="16" t="s">
        <v>109</v>
      </c>
      <c r="AJ162" s="19">
        <f>IF(AN162=0,L162,0)</f>
        <v>0</v>
      </c>
      <c r="AK162" s="19">
        <f>IF(AN162=12,L162,0)</f>
        <v>0</v>
      </c>
      <c r="AL162" s="19">
        <f>IF(AN162=21,L162,0)</f>
        <v>0</v>
      </c>
      <c r="AN162" s="19">
        <v>12</v>
      </c>
      <c r="AO162" s="19">
        <f>H162*0.866160266</f>
        <v>0</v>
      </c>
      <c r="AP162" s="19">
        <f>H162*(1-0.866160266)</f>
        <v>0</v>
      </c>
      <c r="AQ162" s="87" t="s">
        <v>429</v>
      </c>
      <c r="AV162" s="19">
        <f>AW162+AX162</f>
        <v>0</v>
      </c>
      <c r="AW162" s="19">
        <f>G162*AO162</f>
        <v>0</v>
      </c>
      <c r="AX162" s="19">
        <f>G162*AP162</f>
        <v>0</v>
      </c>
      <c r="AY162" s="87" t="s">
        <v>561</v>
      </c>
      <c r="AZ162" s="87" t="s">
        <v>562</v>
      </c>
      <c r="BA162" s="16" t="s">
        <v>563</v>
      </c>
      <c r="BC162" s="19">
        <f>AW162+AX162</f>
        <v>0</v>
      </c>
      <c r="BD162" s="19">
        <f>H162/(100-BE162)*100</f>
        <v>0</v>
      </c>
      <c r="BE162" s="19">
        <v>0</v>
      </c>
      <c r="BF162" s="19">
        <f>O162</f>
        <v>0.19074000000000002</v>
      </c>
      <c r="BH162" s="19">
        <f>G162*AO162</f>
        <v>0</v>
      </c>
      <c r="BI162" s="19">
        <f>G162*AP162</f>
        <v>0</v>
      </c>
      <c r="BJ162" s="19">
        <f>G162*H162</f>
        <v>0</v>
      </c>
      <c r="BK162" s="19"/>
      <c r="BL162" s="19">
        <v>723</v>
      </c>
      <c r="BW162" s="19" t="str">
        <f>I162</f>
        <v>12</v>
      </c>
      <c r="BX162" s="4" t="s">
        <v>116</v>
      </c>
    </row>
    <row r="163" spans="1:76" x14ac:dyDescent="0.25">
      <c r="A163" s="1" t="s">
        <v>565</v>
      </c>
      <c r="B163" s="2" t="s">
        <v>109</v>
      </c>
      <c r="C163" s="2" t="s">
        <v>117</v>
      </c>
      <c r="D163" s="108" t="s">
        <v>118</v>
      </c>
      <c r="E163" s="102"/>
      <c r="F163" s="2" t="s">
        <v>62</v>
      </c>
      <c r="G163" s="19">
        <f>'Rozpočet - vybrané sloupce'!J150</f>
        <v>1</v>
      </c>
      <c r="H163" s="19">
        <f>'Rozpočet - vybrané sloupce'!K150</f>
        <v>0</v>
      </c>
      <c r="I163" s="87" t="s">
        <v>427</v>
      </c>
      <c r="J163" s="19">
        <f>G163*AO163</f>
        <v>0</v>
      </c>
      <c r="K163" s="19">
        <f>G163*AP163</f>
        <v>0</v>
      </c>
      <c r="L163" s="19">
        <f>G163*H163</f>
        <v>0</v>
      </c>
      <c r="M163" s="19">
        <f>L163*(1+BW163/100)</f>
        <v>0</v>
      </c>
      <c r="N163" s="19">
        <v>3.8300000000000001E-3</v>
      </c>
      <c r="O163" s="19">
        <f>G163*N163</f>
        <v>3.8300000000000001E-3</v>
      </c>
      <c r="P163" s="88" t="s">
        <v>428</v>
      </c>
      <c r="Z163" s="19">
        <f>IF(AQ163="5",BJ163,0)</f>
        <v>0</v>
      </c>
      <c r="AB163" s="19">
        <f>IF(AQ163="1",BH163,0)</f>
        <v>0</v>
      </c>
      <c r="AC163" s="19">
        <f>IF(AQ163="1",BI163,0)</f>
        <v>0</v>
      </c>
      <c r="AD163" s="19">
        <f>IF(AQ163="7",BH163,0)</f>
        <v>0</v>
      </c>
      <c r="AE163" s="19">
        <f>IF(AQ163="7",BI163,0)</f>
        <v>0</v>
      </c>
      <c r="AF163" s="19">
        <f>IF(AQ163="2",BH163,0)</f>
        <v>0</v>
      </c>
      <c r="AG163" s="19">
        <f>IF(AQ163="2",BI163,0)</f>
        <v>0</v>
      </c>
      <c r="AH163" s="19">
        <f>IF(AQ163="0",BJ163,0)</f>
        <v>0</v>
      </c>
      <c r="AI163" s="16" t="s">
        <v>109</v>
      </c>
      <c r="AJ163" s="19">
        <f>IF(AN163=0,L163,0)</f>
        <v>0</v>
      </c>
      <c r="AK163" s="19">
        <f>IF(AN163=12,L163,0)</f>
        <v>0</v>
      </c>
      <c r="AL163" s="19">
        <f>IF(AN163=21,L163,0)</f>
        <v>0</v>
      </c>
      <c r="AN163" s="19">
        <v>12</v>
      </c>
      <c r="AO163" s="19">
        <f>H163*0.482934267</f>
        <v>0</v>
      </c>
      <c r="AP163" s="19">
        <f>H163*(1-0.482934267)</f>
        <v>0</v>
      </c>
      <c r="AQ163" s="87" t="s">
        <v>429</v>
      </c>
      <c r="AV163" s="19">
        <f>AW163+AX163</f>
        <v>0</v>
      </c>
      <c r="AW163" s="19">
        <f>G163*AO163</f>
        <v>0</v>
      </c>
      <c r="AX163" s="19">
        <f>G163*AP163</f>
        <v>0</v>
      </c>
      <c r="AY163" s="87" t="s">
        <v>561</v>
      </c>
      <c r="AZ163" s="87" t="s">
        <v>562</v>
      </c>
      <c r="BA163" s="16" t="s">
        <v>563</v>
      </c>
      <c r="BC163" s="19">
        <f>AW163+AX163</f>
        <v>0</v>
      </c>
      <c r="BD163" s="19">
        <f>H163/(100-BE163)*100</f>
        <v>0</v>
      </c>
      <c r="BE163" s="19">
        <v>0</v>
      </c>
      <c r="BF163" s="19">
        <f>O163</f>
        <v>3.8300000000000001E-3</v>
      </c>
      <c r="BH163" s="19">
        <f>G163*AO163</f>
        <v>0</v>
      </c>
      <c r="BI163" s="19">
        <f>G163*AP163</f>
        <v>0</v>
      </c>
      <c r="BJ163" s="19">
        <f>G163*H163</f>
        <v>0</v>
      </c>
      <c r="BK163" s="19"/>
      <c r="BL163" s="19">
        <v>723</v>
      </c>
      <c r="BW163" s="19" t="str">
        <f>I163</f>
        <v>12</v>
      </c>
      <c r="BX163" s="4" t="s">
        <v>118</v>
      </c>
    </row>
    <row r="164" spans="1:76" x14ac:dyDescent="0.25">
      <c r="A164" s="1" t="s">
        <v>566</v>
      </c>
      <c r="B164" s="2" t="s">
        <v>109</v>
      </c>
      <c r="C164" s="2" t="s">
        <v>119</v>
      </c>
      <c r="D164" s="108" t="s">
        <v>120</v>
      </c>
      <c r="E164" s="102"/>
      <c r="F164" s="2" t="s">
        <v>31</v>
      </c>
      <c r="G164" s="19">
        <f>'Rozpočet - vybrané sloupce'!J151</f>
        <v>95</v>
      </c>
      <c r="H164" s="19">
        <f>'Rozpočet - vybrané sloupce'!K151</f>
        <v>0</v>
      </c>
      <c r="I164" s="87" t="s">
        <v>427</v>
      </c>
      <c r="J164" s="19">
        <f>G164*AO164</f>
        <v>0</v>
      </c>
      <c r="K164" s="19">
        <f>G164*AP164</f>
        <v>0</v>
      </c>
      <c r="L164" s="19">
        <f>G164*H164</f>
        <v>0</v>
      </c>
      <c r="M164" s="19">
        <f>L164*(1+BW164/100)</f>
        <v>0</v>
      </c>
      <c r="N164" s="19">
        <v>1.66E-3</v>
      </c>
      <c r="O164" s="19">
        <f>G164*N164</f>
        <v>0.15770000000000001</v>
      </c>
      <c r="P164" s="88" t="s">
        <v>428</v>
      </c>
      <c r="Z164" s="19">
        <f>IF(AQ164="5",BJ164,0)</f>
        <v>0</v>
      </c>
      <c r="AB164" s="19">
        <f>IF(AQ164="1",BH164,0)</f>
        <v>0</v>
      </c>
      <c r="AC164" s="19">
        <f>IF(AQ164="1",BI164,0)</f>
        <v>0</v>
      </c>
      <c r="AD164" s="19">
        <f>IF(AQ164="7",BH164,0)</f>
        <v>0</v>
      </c>
      <c r="AE164" s="19">
        <f>IF(AQ164="7",BI164,0)</f>
        <v>0</v>
      </c>
      <c r="AF164" s="19">
        <f>IF(AQ164="2",BH164,0)</f>
        <v>0</v>
      </c>
      <c r="AG164" s="19">
        <f>IF(AQ164="2",BI164,0)</f>
        <v>0</v>
      </c>
      <c r="AH164" s="19">
        <f>IF(AQ164="0",BJ164,0)</f>
        <v>0</v>
      </c>
      <c r="AI164" s="16" t="s">
        <v>109</v>
      </c>
      <c r="AJ164" s="19">
        <f>IF(AN164=0,L164,0)</f>
        <v>0</v>
      </c>
      <c r="AK164" s="19">
        <f>IF(AN164=12,L164,0)</f>
        <v>0</v>
      </c>
      <c r="AL164" s="19">
        <f>IF(AN164=21,L164,0)</f>
        <v>0</v>
      </c>
      <c r="AN164" s="19">
        <v>12</v>
      </c>
      <c r="AO164" s="19">
        <f>H164*0.758212625</f>
        <v>0</v>
      </c>
      <c r="AP164" s="19">
        <f>H164*(1-0.758212625)</f>
        <v>0</v>
      </c>
      <c r="AQ164" s="87" t="s">
        <v>429</v>
      </c>
      <c r="AV164" s="19">
        <f>AW164+AX164</f>
        <v>0</v>
      </c>
      <c r="AW164" s="19">
        <f>G164*AO164</f>
        <v>0</v>
      </c>
      <c r="AX164" s="19">
        <f>G164*AP164</f>
        <v>0</v>
      </c>
      <c r="AY164" s="87" t="s">
        <v>561</v>
      </c>
      <c r="AZ164" s="87" t="s">
        <v>562</v>
      </c>
      <c r="BA164" s="16" t="s">
        <v>563</v>
      </c>
      <c r="BC164" s="19">
        <f>AW164+AX164</f>
        <v>0</v>
      </c>
      <c r="BD164" s="19">
        <f>H164/(100-BE164)*100</f>
        <v>0</v>
      </c>
      <c r="BE164" s="19">
        <v>0</v>
      </c>
      <c r="BF164" s="19">
        <f>O164</f>
        <v>0.15770000000000001</v>
      </c>
      <c r="BH164" s="19">
        <f>G164*AO164</f>
        <v>0</v>
      </c>
      <c r="BI164" s="19">
        <f>G164*AP164</f>
        <v>0</v>
      </c>
      <c r="BJ164" s="19">
        <f>G164*H164</f>
        <v>0</v>
      </c>
      <c r="BK164" s="19"/>
      <c r="BL164" s="19">
        <v>723</v>
      </c>
      <c r="BW164" s="19" t="str">
        <f>I164</f>
        <v>12</v>
      </c>
      <c r="BX164" s="4" t="s">
        <v>120</v>
      </c>
    </row>
    <row r="165" spans="1:76" ht="25.5" x14ac:dyDescent="0.25">
      <c r="A165" s="89"/>
      <c r="C165" s="90" t="s">
        <v>437</v>
      </c>
      <c r="D165" s="187" t="s">
        <v>567</v>
      </c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9"/>
      <c r="BX165" s="91" t="s">
        <v>567</v>
      </c>
    </row>
    <row r="166" spans="1:76" x14ac:dyDescent="0.25">
      <c r="A166" s="1" t="s">
        <v>568</v>
      </c>
      <c r="B166" s="2" t="s">
        <v>109</v>
      </c>
      <c r="C166" s="2" t="s">
        <v>121</v>
      </c>
      <c r="D166" s="108" t="s">
        <v>122</v>
      </c>
      <c r="E166" s="102"/>
      <c r="F166" s="2" t="s">
        <v>31</v>
      </c>
      <c r="G166" s="19">
        <f>'Rozpočet - vybrané sloupce'!J152</f>
        <v>13.2</v>
      </c>
      <c r="H166" s="19">
        <f>'Rozpočet - vybrané sloupce'!K152</f>
        <v>0</v>
      </c>
      <c r="I166" s="87" t="s">
        <v>427</v>
      </c>
      <c r="J166" s="19">
        <f>G166*AO166</f>
        <v>0</v>
      </c>
      <c r="K166" s="19">
        <f>G166*AP166</f>
        <v>0</v>
      </c>
      <c r="L166" s="19">
        <f>G166*H166</f>
        <v>0</v>
      </c>
      <c r="M166" s="19">
        <f>L166*(1+BW166/100)</f>
        <v>0</v>
      </c>
      <c r="N166" s="19">
        <v>2E-3</v>
      </c>
      <c r="O166" s="19">
        <f>G166*N166</f>
        <v>2.64E-2</v>
      </c>
      <c r="P166" s="88" t="s">
        <v>428</v>
      </c>
      <c r="Z166" s="19">
        <f>IF(AQ166="5",BJ166,0)</f>
        <v>0</v>
      </c>
      <c r="AB166" s="19">
        <f>IF(AQ166="1",BH166,0)</f>
        <v>0</v>
      </c>
      <c r="AC166" s="19">
        <f>IF(AQ166="1",BI166,0)</f>
        <v>0</v>
      </c>
      <c r="AD166" s="19">
        <f>IF(AQ166="7",BH166,0)</f>
        <v>0</v>
      </c>
      <c r="AE166" s="19">
        <f>IF(AQ166="7",BI166,0)</f>
        <v>0</v>
      </c>
      <c r="AF166" s="19">
        <f>IF(AQ166="2",BH166,0)</f>
        <v>0</v>
      </c>
      <c r="AG166" s="19">
        <f>IF(AQ166="2",BI166,0)</f>
        <v>0</v>
      </c>
      <c r="AH166" s="19">
        <f>IF(AQ166="0",BJ166,0)</f>
        <v>0</v>
      </c>
      <c r="AI166" s="16" t="s">
        <v>109</v>
      </c>
      <c r="AJ166" s="19">
        <f>IF(AN166=0,L166,0)</f>
        <v>0</v>
      </c>
      <c r="AK166" s="19">
        <f>IF(AN166=12,L166,0)</f>
        <v>0</v>
      </c>
      <c r="AL166" s="19">
        <f>IF(AN166=21,L166,0)</f>
        <v>0</v>
      </c>
      <c r="AN166" s="19">
        <v>12</v>
      </c>
      <c r="AO166" s="19">
        <f>H166*0.801747301</f>
        <v>0</v>
      </c>
      <c r="AP166" s="19">
        <f>H166*(1-0.801747301)</f>
        <v>0</v>
      </c>
      <c r="AQ166" s="87" t="s">
        <v>429</v>
      </c>
      <c r="AV166" s="19">
        <f>AW166+AX166</f>
        <v>0</v>
      </c>
      <c r="AW166" s="19">
        <f>G166*AO166</f>
        <v>0</v>
      </c>
      <c r="AX166" s="19">
        <f>G166*AP166</f>
        <v>0</v>
      </c>
      <c r="AY166" s="87" t="s">
        <v>561</v>
      </c>
      <c r="AZ166" s="87" t="s">
        <v>562</v>
      </c>
      <c r="BA166" s="16" t="s">
        <v>563</v>
      </c>
      <c r="BC166" s="19">
        <f>AW166+AX166</f>
        <v>0</v>
      </c>
      <c r="BD166" s="19">
        <f>H166/(100-BE166)*100</f>
        <v>0</v>
      </c>
      <c r="BE166" s="19">
        <v>0</v>
      </c>
      <c r="BF166" s="19">
        <f>O166</f>
        <v>2.64E-2</v>
      </c>
      <c r="BH166" s="19">
        <f>G166*AO166</f>
        <v>0</v>
      </c>
      <c r="BI166" s="19">
        <f>G166*AP166</f>
        <v>0</v>
      </c>
      <c r="BJ166" s="19">
        <f>G166*H166</f>
        <v>0</v>
      </c>
      <c r="BK166" s="19"/>
      <c r="BL166" s="19">
        <v>723</v>
      </c>
      <c r="BW166" s="19" t="str">
        <f>I166</f>
        <v>12</v>
      </c>
      <c r="BX166" s="4" t="s">
        <v>122</v>
      </c>
    </row>
    <row r="167" spans="1:76" ht="25.5" x14ac:dyDescent="0.25">
      <c r="A167" s="89"/>
      <c r="C167" s="90" t="s">
        <v>437</v>
      </c>
      <c r="D167" s="187" t="s">
        <v>471</v>
      </c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9"/>
      <c r="BX167" s="91" t="s">
        <v>471</v>
      </c>
    </row>
    <row r="168" spans="1:76" x14ac:dyDescent="0.25">
      <c r="A168" s="1" t="s">
        <v>569</v>
      </c>
      <c r="B168" s="2" t="s">
        <v>109</v>
      </c>
      <c r="C168" s="2" t="s">
        <v>123</v>
      </c>
      <c r="D168" s="108" t="s">
        <v>124</v>
      </c>
      <c r="E168" s="102"/>
      <c r="F168" s="2" t="s">
        <v>31</v>
      </c>
      <c r="G168" s="19">
        <f>'Rozpočet - vybrané sloupce'!J153</f>
        <v>23</v>
      </c>
      <c r="H168" s="19">
        <f>'Rozpočet - vybrané sloupce'!K153</f>
        <v>0</v>
      </c>
      <c r="I168" s="87" t="s">
        <v>427</v>
      </c>
      <c r="J168" s="19">
        <f>G168*AO168</f>
        <v>0</v>
      </c>
      <c r="K168" s="19">
        <f>G168*AP168</f>
        <v>0</v>
      </c>
      <c r="L168" s="19">
        <f>G168*H168</f>
        <v>0</v>
      </c>
      <c r="M168" s="19">
        <f>L168*(1+BW168/100)</f>
        <v>0</v>
      </c>
      <c r="N168" s="19">
        <v>2.4299999999999999E-3</v>
      </c>
      <c r="O168" s="19">
        <f>G168*N168</f>
        <v>5.5889999999999995E-2</v>
      </c>
      <c r="P168" s="88" t="s">
        <v>428</v>
      </c>
      <c r="Z168" s="19">
        <f>IF(AQ168="5",BJ168,0)</f>
        <v>0</v>
      </c>
      <c r="AB168" s="19">
        <f>IF(AQ168="1",BH168,0)</f>
        <v>0</v>
      </c>
      <c r="AC168" s="19">
        <f>IF(AQ168="1",BI168,0)</f>
        <v>0</v>
      </c>
      <c r="AD168" s="19">
        <f>IF(AQ168="7",BH168,0)</f>
        <v>0</v>
      </c>
      <c r="AE168" s="19">
        <f>IF(AQ168="7",BI168,0)</f>
        <v>0</v>
      </c>
      <c r="AF168" s="19">
        <f>IF(AQ168="2",BH168,0)</f>
        <v>0</v>
      </c>
      <c r="AG168" s="19">
        <f>IF(AQ168="2",BI168,0)</f>
        <v>0</v>
      </c>
      <c r="AH168" s="19">
        <f>IF(AQ168="0",BJ168,0)</f>
        <v>0</v>
      </c>
      <c r="AI168" s="16" t="s">
        <v>109</v>
      </c>
      <c r="AJ168" s="19">
        <f>IF(AN168=0,L168,0)</f>
        <v>0</v>
      </c>
      <c r="AK168" s="19">
        <f>IF(AN168=12,L168,0)</f>
        <v>0</v>
      </c>
      <c r="AL168" s="19">
        <f>IF(AN168=21,L168,0)</f>
        <v>0</v>
      </c>
      <c r="AN168" s="19">
        <v>12</v>
      </c>
      <c r="AO168" s="19">
        <f>H168*0.819679341</f>
        <v>0</v>
      </c>
      <c r="AP168" s="19">
        <f>H168*(1-0.819679341)</f>
        <v>0</v>
      </c>
      <c r="AQ168" s="87" t="s">
        <v>429</v>
      </c>
      <c r="AV168" s="19">
        <f>AW168+AX168</f>
        <v>0</v>
      </c>
      <c r="AW168" s="19">
        <f>G168*AO168</f>
        <v>0</v>
      </c>
      <c r="AX168" s="19">
        <f>G168*AP168</f>
        <v>0</v>
      </c>
      <c r="AY168" s="87" t="s">
        <v>561</v>
      </c>
      <c r="AZ168" s="87" t="s">
        <v>562</v>
      </c>
      <c r="BA168" s="16" t="s">
        <v>563</v>
      </c>
      <c r="BC168" s="19">
        <f>AW168+AX168</f>
        <v>0</v>
      </c>
      <c r="BD168" s="19">
        <f>H168/(100-BE168)*100</f>
        <v>0</v>
      </c>
      <c r="BE168" s="19">
        <v>0</v>
      </c>
      <c r="BF168" s="19">
        <f>O168</f>
        <v>5.5889999999999995E-2</v>
      </c>
      <c r="BH168" s="19">
        <f>G168*AO168</f>
        <v>0</v>
      </c>
      <c r="BI168" s="19">
        <f>G168*AP168</f>
        <v>0</v>
      </c>
      <c r="BJ168" s="19">
        <f>G168*H168</f>
        <v>0</v>
      </c>
      <c r="BK168" s="19"/>
      <c r="BL168" s="19">
        <v>723</v>
      </c>
      <c r="BW168" s="19" t="str">
        <f>I168</f>
        <v>12</v>
      </c>
      <c r="BX168" s="4" t="s">
        <v>124</v>
      </c>
    </row>
    <row r="169" spans="1:76" ht="25.5" x14ac:dyDescent="0.25">
      <c r="A169" s="89"/>
      <c r="C169" s="90" t="s">
        <v>437</v>
      </c>
      <c r="D169" s="187" t="s">
        <v>567</v>
      </c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9"/>
      <c r="BX169" s="91" t="s">
        <v>567</v>
      </c>
    </row>
    <row r="170" spans="1:76" x14ac:dyDescent="0.25">
      <c r="A170" s="1" t="s">
        <v>570</v>
      </c>
      <c r="B170" s="2" t="s">
        <v>109</v>
      </c>
      <c r="C170" s="2" t="s">
        <v>125</v>
      </c>
      <c r="D170" s="108" t="s">
        <v>126</v>
      </c>
      <c r="E170" s="102"/>
      <c r="F170" s="2" t="s">
        <v>31</v>
      </c>
      <c r="G170" s="19">
        <f>'Rozpočet - vybrané sloupce'!J154</f>
        <v>1.6</v>
      </c>
      <c r="H170" s="19">
        <f>'Rozpočet - vybrané sloupce'!K154</f>
        <v>0</v>
      </c>
      <c r="I170" s="87" t="s">
        <v>427</v>
      </c>
      <c r="J170" s="19">
        <f>G170*AO170</f>
        <v>0</v>
      </c>
      <c r="K170" s="19">
        <f>G170*AP170</f>
        <v>0</v>
      </c>
      <c r="L170" s="19">
        <f>G170*H170</f>
        <v>0</v>
      </c>
      <c r="M170" s="19">
        <f>L170*(1+BW170/100)</f>
        <v>0</v>
      </c>
      <c r="N170" s="19">
        <v>3.8E-3</v>
      </c>
      <c r="O170" s="19">
        <f>G170*N170</f>
        <v>6.0800000000000003E-3</v>
      </c>
      <c r="P170" s="88" t="s">
        <v>428</v>
      </c>
      <c r="Z170" s="19">
        <f>IF(AQ170="5",BJ170,0)</f>
        <v>0</v>
      </c>
      <c r="AB170" s="19">
        <f>IF(AQ170="1",BH170,0)</f>
        <v>0</v>
      </c>
      <c r="AC170" s="19">
        <f>IF(AQ170="1",BI170,0)</f>
        <v>0</v>
      </c>
      <c r="AD170" s="19">
        <f>IF(AQ170="7",BH170,0)</f>
        <v>0</v>
      </c>
      <c r="AE170" s="19">
        <f>IF(AQ170="7",BI170,0)</f>
        <v>0</v>
      </c>
      <c r="AF170" s="19">
        <f>IF(AQ170="2",BH170,0)</f>
        <v>0</v>
      </c>
      <c r="AG170" s="19">
        <f>IF(AQ170="2",BI170,0)</f>
        <v>0</v>
      </c>
      <c r="AH170" s="19">
        <f>IF(AQ170="0",BJ170,0)</f>
        <v>0</v>
      </c>
      <c r="AI170" s="16" t="s">
        <v>109</v>
      </c>
      <c r="AJ170" s="19">
        <f>IF(AN170=0,L170,0)</f>
        <v>0</v>
      </c>
      <c r="AK170" s="19">
        <f>IF(AN170=12,L170,0)</f>
        <v>0</v>
      </c>
      <c r="AL170" s="19">
        <f>IF(AN170=21,L170,0)</f>
        <v>0</v>
      </c>
      <c r="AN170" s="19">
        <v>12</v>
      </c>
      <c r="AO170" s="19">
        <f>H170*0.865773477</f>
        <v>0</v>
      </c>
      <c r="AP170" s="19">
        <f>H170*(1-0.865773477)</f>
        <v>0</v>
      </c>
      <c r="AQ170" s="87" t="s">
        <v>429</v>
      </c>
      <c r="AV170" s="19">
        <f>AW170+AX170</f>
        <v>0</v>
      </c>
      <c r="AW170" s="19">
        <f>G170*AO170</f>
        <v>0</v>
      </c>
      <c r="AX170" s="19">
        <f>G170*AP170</f>
        <v>0</v>
      </c>
      <c r="AY170" s="87" t="s">
        <v>561</v>
      </c>
      <c r="AZ170" s="87" t="s">
        <v>562</v>
      </c>
      <c r="BA170" s="16" t="s">
        <v>563</v>
      </c>
      <c r="BC170" s="19">
        <f>AW170+AX170</f>
        <v>0</v>
      </c>
      <c r="BD170" s="19">
        <f>H170/(100-BE170)*100</f>
        <v>0</v>
      </c>
      <c r="BE170" s="19">
        <v>0</v>
      </c>
      <c r="BF170" s="19">
        <f>O170</f>
        <v>6.0800000000000003E-3</v>
      </c>
      <c r="BH170" s="19">
        <f>G170*AO170</f>
        <v>0</v>
      </c>
      <c r="BI170" s="19">
        <f>G170*AP170</f>
        <v>0</v>
      </c>
      <c r="BJ170" s="19">
        <f>G170*H170</f>
        <v>0</v>
      </c>
      <c r="BK170" s="19"/>
      <c r="BL170" s="19">
        <v>723</v>
      </c>
      <c r="BW170" s="19" t="str">
        <f>I170</f>
        <v>12</v>
      </c>
      <c r="BX170" s="4" t="s">
        <v>126</v>
      </c>
    </row>
    <row r="171" spans="1:76" ht="25.5" x14ac:dyDescent="0.25">
      <c r="A171" s="89"/>
      <c r="C171" s="90" t="s">
        <v>437</v>
      </c>
      <c r="D171" s="187" t="s">
        <v>471</v>
      </c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9"/>
      <c r="BX171" s="91" t="s">
        <v>471</v>
      </c>
    </row>
    <row r="172" spans="1:76" x14ac:dyDescent="0.25">
      <c r="A172" s="1" t="s">
        <v>571</v>
      </c>
      <c r="B172" s="2" t="s">
        <v>109</v>
      </c>
      <c r="C172" s="2" t="s">
        <v>127</v>
      </c>
      <c r="D172" s="108" t="s">
        <v>128</v>
      </c>
      <c r="E172" s="102"/>
      <c r="F172" s="2" t="s">
        <v>62</v>
      </c>
      <c r="G172" s="19">
        <f>'Rozpočet - vybrané sloupce'!J155</f>
        <v>23</v>
      </c>
      <c r="H172" s="19">
        <f>'Rozpočet - vybrané sloupce'!K155</f>
        <v>0</v>
      </c>
      <c r="I172" s="87" t="s">
        <v>427</v>
      </c>
      <c r="J172" s="19">
        <f t="shared" ref="J172:J190" si="156">G172*AO172</f>
        <v>0</v>
      </c>
      <c r="K172" s="19">
        <f t="shared" ref="K172:K190" si="157">G172*AP172</f>
        <v>0</v>
      </c>
      <c r="L172" s="19">
        <f t="shared" ref="L172:L190" si="158">G172*H172</f>
        <v>0</v>
      </c>
      <c r="M172" s="19">
        <f t="shared" ref="M172:M190" si="159">L172*(1+BW172/100)</f>
        <v>0</v>
      </c>
      <c r="N172" s="19">
        <v>2.3000000000000001E-4</v>
      </c>
      <c r="O172" s="19">
        <f t="shared" ref="O172:O190" si="160">G172*N172</f>
        <v>5.2900000000000004E-3</v>
      </c>
      <c r="P172" s="88" t="s">
        <v>428</v>
      </c>
      <c r="Z172" s="19">
        <f t="shared" ref="Z172:Z190" si="161">IF(AQ172="5",BJ172,0)</f>
        <v>0</v>
      </c>
      <c r="AB172" s="19">
        <f t="shared" ref="AB172:AB190" si="162">IF(AQ172="1",BH172,0)</f>
        <v>0</v>
      </c>
      <c r="AC172" s="19">
        <f t="shared" ref="AC172:AC190" si="163">IF(AQ172="1",BI172,0)</f>
        <v>0</v>
      </c>
      <c r="AD172" s="19">
        <f t="shared" ref="AD172:AD190" si="164">IF(AQ172="7",BH172,0)</f>
        <v>0</v>
      </c>
      <c r="AE172" s="19">
        <f t="shared" ref="AE172:AE190" si="165">IF(AQ172="7",BI172,0)</f>
        <v>0</v>
      </c>
      <c r="AF172" s="19">
        <f t="shared" ref="AF172:AF190" si="166">IF(AQ172="2",BH172,0)</f>
        <v>0</v>
      </c>
      <c r="AG172" s="19">
        <f t="shared" ref="AG172:AG190" si="167">IF(AQ172="2",BI172,0)</f>
        <v>0</v>
      </c>
      <c r="AH172" s="19">
        <f t="shared" ref="AH172:AH190" si="168">IF(AQ172="0",BJ172,0)</f>
        <v>0</v>
      </c>
      <c r="AI172" s="16" t="s">
        <v>109</v>
      </c>
      <c r="AJ172" s="19">
        <f t="shared" ref="AJ172:AJ190" si="169">IF(AN172=0,L172,0)</f>
        <v>0</v>
      </c>
      <c r="AK172" s="19">
        <f t="shared" ref="AK172:AK190" si="170">IF(AN172=12,L172,0)</f>
        <v>0</v>
      </c>
      <c r="AL172" s="19">
        <f t="shared" ref="AL172:AL190" si="171">IF(AN172=21,L172,0)</f>
        <v>0</v>
      </c>
      <c r="AN172" s="19">
        <v>12</v>
      </c>
      <c r="AO172" s="19">
        <f>H172*0.759530861</f>
        <v>0</v>
      </c>
      <c r="AP172" s="19">
        <f>H172*(1-0.759530861)</f>
        <v>0</v>
      </c>
      <c r="AQ172" s="87" t="s">
        <v>429</v>
      </c>
      <c r="AV172" s="19">
        <f t="shared" ref="AV172:AV190" si="172">AW172+AX172</f>
        <v>0</v>
      </c>
      <c r="AW172" s="19">
        <f t="shared" ref="AW172:AW190" si="173">G172*AO172</f>
        <v>0</v>
      </c>
      <c r="AX172" s="19">
        <f t="shared" ref="AX172:AX190" si="174">G172*AP172</f>
        <v>0</v>
      </c>
      <c r="AY172" s="87" t="s">
        <v>561</v>
      </c>
      <c r="AZ172" s="87" t="s">
        <v>562</v>
      </c>
      <c r="BA172" s="16" t="s">
        <v>563</v>
      </c>
      <c r="BC172" s="19">
        <f t="shared" ref="BC172:BC190" si="175">AW172+AX172</f>
        <v>0</v>
      </c>
      <c r="BD172" s="19">
        <f t="shared" ref="BD172:BD190" si="176">H172/(100-BE172)*100</f>
        <v>0</v>
      </c>
      <c r="BE172" s="19">
        <v>0</v>
      </c>
      <c r="BF172" s="19">
        <f t="shared" ref="BF172:BF190" si="177">O172</f>
        <v>5.2900000000000004E-3</v>
      </c>
      <c r="BH172" s="19">
        <f t="shared" ref="BH172:BH190" si="178">G172*AO172</f>
        <v>0</v>
      </c>
      <c r="BI172" s="19">
        <f t="shared" ref="BI172:BI190" si="179">G172*AP172</f>
        <v>0</v>
      </c>
      <c r="BJ172" s="19">
        <f t="shared" ref="BJ172:BJ190" si="180">G172*H172</f>
        <v>0</v>
      </c>
      <c r="BK172" s="19"/>
      <c r="BL172" s="19">
        <v>723</v>
      </c>
      <c r="BW172" s="19" t="str">
        <f t="shared" ref="BW172:BW190" si="181">I172</f>
        <v>12</v>
      </c>
      <c r="BX172" s="4" t="s">
        <v>128</v>
      </c>
    </row>
    <row r="173" spans="1:76" x14ac:dyDescent="0.25">
      <c r="A173" s="1" t="s">
        <v>572</v>
      </c>
      <c r="B173" s="2" t="s">
        <v>109</v>
      </c>
      <c r="C173" s="2" t="s">
        <v>129</v>
      </c>
      <c r="D173" s="108" t="s">
        <v>130</v>
      </c>
      <c r="E173" s="102"/>
      <c r="F173" s="2" t="s">
        <v>62</v>
      </c>
      <c r="G173" s="19">
        <f>'Rozpočet - vybrané sloupce'!J156</f>
        <v>26</v>
      </c>
      <c r="H173" s="19">
        <f>'Rozpočet - vybrané sloupce'!K156</f>
        <v>0</v>
      </c>
      <c r="I173" s="87" t="s">
        <v>427</v>
      </c>
      <c r="J173" s="19">
        <f t="shared" si="156"/>
        <v>0</v>
      </c>
      <c r="K173" s="19">
        <f t="shared" si="157"/>
        <v>0</v>
      </c>
      <c r="L173" s="19">
        <f t="shared" si="158"/>
        <v>0</v>
      </c>
      <c r="M173" s="19">
        <f t="shared" si="159"/>
        <v>0</v>
      </c>
      <c r="N173" s="19">
        <v>6.6E-4</v>
      </c>
      <c r="O173" s="19">
        <f t="shared" si="160"/>
        <v>1.7160000000000002E-2</v>
      </c>
      <c r="P173" s="88" t="s">
        <v>428</v>
      </c>
      <c r="Z173" s="19">
        <f t="shared" si="161"/>
        <v>0</v>
      </c>
      <c r="AB173" s="19">
        <f t="shared" si="162"/>
        <v>0</v>
      </c>
      <c r="AC173" s="19">
        <f t="shared" si="163"/>
        <v>0</v>
      </c>
      <c r="AD173" s="19">
        <f t="shared" si="164"/>
        <v>0</v>
      </c>
      <c r="AE173" s="19">
        <f t="shared" si="165"/>
        <v>0</v>
      </c>
      <c r="AF173" s="19">
        <f t="shared" si="166"/>
        <v>0</v>
      </c>
      <c r="AG173" s="19">
        <f t="shared" si="167"/>
        <v>0</v>
      </c>
      <c r="AH173" s="19">
        <f t="shared" si="168"/>
        <v>0</v>
      </c>
      <c r="AI173" s="16" t="s">
        <v>109</v>
      </c>
      <c r="AJ173" s="19">
        <f t="shared" si="169"/>
        <v>0</v>
      </c>
      <c r="AK173" s="19">
        <f t="shared" si="170"/>
        <v>0</v>
      </c>
      <c r="AL173" s="19">
        <f t="shared" si="171"/>
        <v>0</v>
      </c>
      <c r="AN173" s="19">
        <v>12</v>
      </c>
      <c r="AO173" s="19">
        <f>H173*0.843123682</f>
        <v>0</v>
      </c>
      <c r="AP173" s="19">
        <f>H173*(1-0.843123682)</f>
        <v>0</v>
      </c>
      <c r="AQ173" s="87" t="s">
        <v>429</v>
      </c>
      <c r="AV173" s="19">
        <f t="shared" si="172"/>
        <v>0</v>
      </c>
      <c r="AW173" s="19">
        <f t="shared" si="173"/>
        <v>0</v>
      </c>
      <c r="AX173" s="19">
        <f t="shared" si="174"/>
        <v>0</v>
      </c>
      <c r="AY173" s="87" t="s">
        <v>561</v>
      </c>
      <c r="AZ173" s="87" t="s">
        <v>562</v>
      </c>
      <c r="BA173" s="16" t="s">
        <v>563</v>
      </c>
      <c r="BC173" s="19">
        <f t="shared" si="175"/>
        <v>0</v>
      </c>
      <c r="BD173" s="19">
        <f t="shared" si="176"/>
        <v>0</v>
      </c>
      <c r="BE173" s="19">
        <v>0</v>
      </c>
      <c r="BF173" s="19">
        <f t="shared" si="177"/>
        <v>1.7160000000000002E-2</v>
      </c>
      <c r="BH173" s="19">
        <f t="shared" si="178"/>
        <v>0</v>
      </c>
      <c r="BI173" s="19">
        <f t="shared" si="179"/>
        <v>0</v>
      </c>
      <c r="BJ173" s="19">
        <f t="shared" si="180"/>
        <v>0</v>
      </c>
      <c r="BK173" s="19"/>
      <c r="BL173" s="19">
        <v>723</v>
      </c>
      <c r="BW173" s="19" t="str">
        <f t="shared" si="181"/>
        <v>12</v>
      </c>
      <c r="BX173" s="4" t="s">
        <v>130</v>
      </c>
    </row>
    <row r="174" spans="1:76" x14ac:dyDescent="0.25">
      <c r="A174" s="1" t="s">
        <v>573</v>
      </c>
      <c r="B174" s="2" t="s">
        <v>109</v>
      </c>
      <c r="C174" s="2" t="s">
        <v>131</v>
      </c>
      <c r="D174" s="108" t="s">
        <v>132</v>
      </c>
      <c r="E174" s="102"/>
      <c r="F174" s="2" t="s">
        <v>62</v>
      </c>
      <c r="G174" s="19">
        <f>'Rozpočet - vybrané sloupce'!J157</f>
        <v>1</v>
      </c>
      <c r="H174" s="19">
        <f>'Rozpočet - vybrané sloupce'!K157</f>
        <v>0</v>
      </c>
      <c r="I174" s="87" t="s">
        <v>427</v>
      </c>
      <c r="J174" s="19">
        <f t="shared" si="156"/>
        <v>0</v>
      </c>
      <c r="K174" s="19">
        <f t="shared" si="157"/>
        <v>0</v>
      </c>
      <c r="L174" s="19">
        <f t="shared" si="158"/>
        <v>0</v>
      </c>
      <c r="M174" s="19">
        <f t="shared" si="159"/>
        <v>0</v>
      </c>
      <c r="N174" s="19">
        <v>1.3600000000000001E-3</v>
      </c>
      <c r="O174" s="19">
        <f t="shared" si="160"/>
        <v>1.3600000000000001E-3</v>
      </c>
      <c r="P174" s="88" t="s">
        <v>428</v>
      </c>
      <c r="Z174" s="19">
        <f t="shared" si="161"/>
        <v>0</v>
      </c>
      <c r="AB174" s="19">
        <f t="shared" si="162"/>
        <v>0</v>
      </c>
      <c r="AC174" s="19">
        <f t="shared" si="163"/>
        <v>0</v>
      </c>
      <c r="AD174" s="19">
        <f t="shared" si="164"/>
        <v>0</v>
      </c>
      <c r="AE174" s="19">
        <f t="shared" si="165"/>
        <v>0</v>
      </c>
      <c r="AF174" s="19">
        <f t="shared" si="166"/>
        <v>0</v>
      </c>
      <c r="AG174" s="19">
        <f t="shared" si="167"/>
        <v>0</v>
      </c>
      <c r="AH174" s="19">
        <f t="shared" si="168"/>
        <v>0</v>
      </c>
      <c r="AI174" s="16" t="s">
        <v>109</v>
      </c>
      <c r="AJ174" s="19">
        <f t="shared" si="169"/>
        <v>0</v>
      </c>
      <c r="AK174" s="19">
        <f t="shared" si="170"/>
        <v>0</v>
      </c>
      <c r="AL174" s="19">
        <f t="shared" si="171"/>
        <v>0</v>
      </c>
      <c r="AN174" s="19">
        <v>12</v>
      </c>
      <c r="AO174" s="19">
        <f>H174*0.883675227</f>
        <v>0</v>
      </c>
      <c r="AP174" s="19">
        <f>H174*(1-0.883675227)</f>
        <v>0</v>
      </c>
      <c r="AQ174" s="87" t="s">
        <v>429</v>
      </c>
      <c r="AV174" s="19">
        <f t="shared" si="172"/>
        <v>0</v>
      </c>
      <c r="AW174" s="19">
        <f t="shared" si="173"/>
        <v>0</v>
      </c>
      <c r="AX174" s="19">
        <f t="shared" si="174"/>
        <v>0</v>
      </c>
      <c r="AY174" s="87" t="s">
        <v>561</v>
      </c>
      <c r="AZ174" s="87" t="s">
        <v>562</v>
      </c>
      <c r="BA174" s="16" t="s">
        <v>563</v>
      </c>
      <c r="BC174" s="19">
        <f t="shared" si="175"/>
        <v>0</v>
      </c>
      <c r="BD174" s="19">
        <f t="shared" si="176"/>
        <v>0</v>
      </c>
      <c r="BE174" s="19">
        <v>0</v>
      </c>
      <c r="BF174" s="19">
        <f t="shared" si="177"/>
        <v>1.3600000000000001E-3</v>
      </c>
      <c r="BH174" s="19">
        <f t="shared" si="178"/>
        <v>0</v>
      </c>
      <c r="BI174" s="19">
        <f t="shared" si="179"/>
        <v>0</v>
      </c>
      <c r="BJ174" s="19">
        <f t="shared" si="180"/>
        <v>0</v>
      </c>
      <c r="BK174" s="19"/>
      <c r="BL174" s="19">
        <v>723</v>
      </c>
      <c r="BW174" s="19" t="str">
        <f t="shared" si="181"/>
        <v>12</v>
      </c>
      <c r="BX174" s="4" t="s">
        <v>132</v>
      </c>
    </row>
    <row r="175" spans="1:76" x14ac:dyDescent="0.25">
      <c r="A175" s="1" t="s">
        <v>574</v>
      </c>
      <c r="B175" s="2" t="s">
        <v>109</v>
      </c>
      <c r="C175" s="2" t="s">
        <v>133</v>
      </c>
      <c r="D175" s="108" t="s">
        <v>134</v>
      </c>
      <c r="E175" s="102"/>
      <c r="F175" s="2" t="s">
        <v>31</v>
      </c>
      <c r="G175" s="19">
        <f>'Rozpočet - vybrané sloupce'!J158</f>
        <v>118</v>
      </c>
      <c r="H175" s="19">
        <f>'Rozpočet - vybrané sloupce'!K158</f>
        <v>0</v>
      </c>
      <c r="I175" s="87" t="s">
        <v>427</v>
      </c>
      <c r="J175" s="19">
        <f t="shared" si="156"/>
        <v>0</v>
      </c>
      <c r="K175" s="19">
        <f t="shared" si="157"/>
        <v>0</v>
      </c>
      <c r="L175" s="19">
        <f t="shared" si="158"/>
        <v>0</v>
      </c>
      <c r="M175" s="19">
        <f t="shared" si="159"/>
        <v>0</v>
      </c>
      <c r="N175" s="19">
        <v>0</v>
      </c>
      <c r="O175" s="19">
        <f t="shared" si="160"/>
        <v>0</v>
      </c>
      <c r="P175" s="88" t="s">
        <v>428</v>
      </c>
      <c r="Z175" s="19">
        <f t="shared" si="161"/>
        <v>0</v>
      </c>
      <c r="AB175" s="19">
        <f t="shared" si="162"/>
        <v>0</v>
      </c>
      <c r="AC175" s="19">
        <f t="shared" si="163"/>
        <v>0</v>
      </c>
      <c r="AD175" s="19">
        <f t="shared" si="164"/>
        <v>0</v>
      </c>
      <c r="AE175" s="19">
        <f t="shared" si="165"/>
        <v>0</v>
      </c>
      <c r="AF175" s="19">
        <f t="shared" si="166"/>
        <v>0</v>
      </c>
      <c r="AG175" s="19">
        <f t="shared" si="167"/>
        <v>0</v>
      </c>
      <c r="AH175" s="19">
        <f t="shared" si="168"/>
        <v>0</v>
      </c>
      <c r="AI175" s="16" t="s">
        <v>109</v>
      </c>
      <c r="AJ175" s="19">
        <f t="shared" si="169"/>
        <v>0</v>
      </c>
      <c r="AK175" s="19">
        <f t="shared" si="170"/>
        <v>0</v>
      </c>
      <c r="AL175" s="19">
        <f t="shared" si="171"/>
        <v>0</v>
      </c>
      <c r="AN175" s="19">
        <v>12</v>
      </c>
      <c r="AO175" s="19">
        <f>H175*0</f>
        <v>0</v>
      </c>
      <c r="AP175" s="19">
        <f>H175*(1-0)</f>
        <v>0</v>
      </c>
      <c r="AQ175" s="87" t="s">
        <v>429</v>
      </c>
      <c r="AV175" s="19">
        <f t="shared" si="172"/>
        <v>0</v>
      </c>
      <c r="AW175" s="19">
        <f t="shared" si="173"/>
        <v>0</v>
      </c>
      <c r="AX175" s="19">
        <f t="shared" si="174"/>
        <v>0</v>
      </c>
      <c r="AY175" s="87" t="s">
        <v>561</v>
      </c>
      <c r="AZ175" s="87" t="s">
        <v>562</v>
      </c>
      <c r="BA175" s="16" t="s">
        <v>563</v>
      </c>
      <c r="BC175" s="19">
        <f t="shared" si="175"/>
        <v>0</v>
      </c>
      <c r="BD175" s="19">
        <f t="shared" si="176"/>
        <v>0</v>
      </c>
      <c r="BE175" s="19">
        <v>0</v>
      </c>
      <c r="BF175" s="19">
        <f t="shared" si="177"/>
        <v>0</v>
      </c>
      <c r="BH175" s="19">
        <f t="shared" si="178"/>
        <v>0</v>
      </c>
      <c r="BI175" s="19">
        <f t="shared" si="179"/>
        <v>0</v>
      </c>
      <c r="BJ175" s="19">
        <f t="shared" si="180"/>
        <v>0</v>
      </c>
      <c r="BK175" s="19"/>
      <c r="BL175" s="19">
        <v>723</v>
      </c>
      <c r="BW175" s="19" t="str">
        <f t="shared" si="181"/>
        <v>12</v>
      </c>
      <c r="BX175" s="4" t="s">
        <v>134</v>
      </c>
    </row>
    <row r="176" spans="1:76" x14ac:dyDescent="0.25">
      <c r="A176" s="1" t="s">
        <v>575</v>
      </c>
      <c r="B176" s="2" t="s">
        <v>109</v>
      </c>
      <c r="C176" s="2" t="s">
        <v>135</v>
      </c>
      <c r="D176" s="108" t="s">
        <v>136</v>
      </c>
      <c r="E176" s="102"/>
      <c r="F176" s="2" t="s">
        <v>62</v>
      </c>
      <c r="G176" s="19">
        <f>'Rozpočet - vybrané sloupce'!J159</f>
        <v>4</v>
      </c>
      <c r="H176" s="19">
        <f>'Rozpočet - vybrané sloupce'!K159</f>
        <v>0</v>
      </c>
      <c r="I176" s="87" t="s">
        <v>427</v>
      </c>
      <c r="J176" s="19">
        <f t="shared" si="156"/>
        <v>0</v>
      </c>
      <c r="K176" s="19">
        <f t="shared" si="157"/>
        <v>0</v>
      </c>
      <c r="L176" s="19">
        <f t="shared" si="158"/>
        <v>0</v>
      </c>
      <c r="M176" s="19">
        <f t="shared" si="159"/>
        <v>0</v>
      </c>
      <c r="N176" s="19">
        <v>0</v>
      </c>
      <c r="O176" s="19">
        <f t="shared" si="160"/>
        <v>0</v>
      </c>
      <c r="P176" s="88" t="s">
        <v>428</v>
      </c>
      <c r="Z176" s="19">
        <f t="shared" si="161"/>
        <v>0</v>
      </c>
      <c r="AB176" s="19">
        <f t="shared" si="162"/>
        <v>0</v>
      </c>
      <c r="AC176" s="19">
        <f t="shared" si="163"/>
        <v>0</v>
      </c>
      <c r="AD176" s="19">
        <f t="shared" si="164"/>
        <v>0</v>
      </c>
      <c r="AE176" s="19">
        <f t="shared" si="165"/>
        <v>0</v>
      </c>
      <c r="AF176" s="19">
        <f t="shared" si="166"/>
        <v>0</v>
      </c>
      <c r="AG176" s="19">
        <f t="shared" si="167"/>
        <v>0</v>
      </c>
      <c r="AH176" s="19">
        <f t="shared" si="168"/>
        <v>0</v>
      </c>
      <c r="AI176" s="16" t="s">
        <v>109</v>
      </c>
      <c r="AJ176" s="19">
        <f t="shared" si="169"/>
        <v>0</v>
      </c>
      <c r="AK176" s="19">
        <f t="shared" si="170"/>
        <v>0</v>
      </c>
      <c r="AL176" s="19">
        <f t="shared" si="171"/>
        <v>0</v>
      </c>
      <c r="AN176" s="19">
        <v>12</v>
      </c>
      <c r="AO176" s="19">
        <f>H176*0</f>
        <v>0</v>
      </c>
      <c r="AP176" s="19">
        <f>H176*(1-0)</f>
        <v>0</v>
      </c>
      <c r="AQ176" s="87" t="s">
        <v>429</v>
      </c>
      <c r="AV176" s="19">
        <f t="shared" si="172"/>
        <v>0</v>
      </c>
      <c r="AW176" s="19">
        <f t="shared" si="173"/>
        <v>0</v>
      </c>
      <c r="AX176" s="19">
        <f t="shared" si="174"/>
        <v>0</v>
      </c>
      <c r="AY176" s="87" t="s">
        <v>561</v>
      </c>
      <c r="AZ176" s="87" t="s">
        <v>562</v>
      </c>
      <c r="BA176" s="16" t="s">
        <v>563</v>
      </c>
      <c r="BC176" s="19">
        <f t="shared" si="175"/>
        <v>0</v>
      </c>
      <c r="BD176" s="19">
        <f t="shared" si="176"/>
        <v>0</v>
      </c>
      <c r="BE176" s="19">
        <v>0</v>
      </c>
      <c r="BF176" s="19">
        <f t="shared" si="177"/>
        <v>0</v>
      </c>
      <c r="BH176" s="19">
        <f t="shared" si="178"/>
        <v>0</v>
      </c>
      <c r="BI176" s="19">
        <f t="shared" si="179"/>
        <v>0</v>
      </c>
      <c r="BJ176" s="19">
        <f t="shared" si="180"/>
        <v>0</v>
      </c>
      <c r="BK176" s="19"/>
      <c r="BL176" s="19">
        <v>723</v>
      </c>
      <c r="BW176" s="19" t="str">
        <f t="shared" si="181"/>
        <v>12</v>
      </c>
      <c r="BX176" s="4" t="s">
        <v>136</v>
      </c>
    </row>
    <row r="177" spans="1:76" x14ac:dyDescent="0.25">
      <c r="A177" s="1" t="s">
        <v>576</v>
      </c>
      <c r="B177" s="2" t="s">
        <v>109</v>
      </c>
      <c r="C177" s="2" t="s">
        <v>137</v>
      </c>
      <c r="D177" s="108" t="s">
        <v>138</v>
      </c>
      <c r="E177" s="102"/>
      <c r="F177" s="2" t="s">
        <v>62</v>
      </c>
      <c r="G177" s="19">
        <f>'Rozpočet - vybrané sloupce'!J160</f>
        <v>4</v>
      </c>
      <c r="H177" s="19">
        <f>'Rozpočet - vybrané sloupce'!K160</f>
        <v>0</v>
      </c>
      <c r="I177" s="87" t="s">
        <v>427</v>
      </c>
      <c r="J177" s="19">
        <f t="shared" si="156"/>
        <v>0</v>
      </c>
      <c r="K177" s="19">
        <f t="shared" si="157"/>
        <v>0</v>
      </c>
      <c r="L177" s="19">
        <f t="shared" si="158"/>
        <v>0</v>
      </c>
      <c r="M177" s="19">
        <f t="shared" si="159"/>
        <v>0</v>
      </c>
      <c r="N177" s="19">
        <v>0</v>
      </c>
      <c r="O177" s="19">
        <f t="shared" si="160"/>
        <v>0</v>
      </c>
      <c r="P177" s="88" t="s">
        <v>428</v>
      </c>
      <c r="Z177" s="19">
        <f t="shared" si="161"/>
        <v>0</v>
      </c>
      <c r="AB177" s="19">
        <f t="shared" si="162"/>
        <v>0</v>
      </c>
      <c r="AC177" s="19">
        <f t="shared" si="163"/>
        <v>0</v>
      </c>
      <c r="AD177" s="19">
        <f t="shared" si="164"/>
        <v>0</v>
      </c>
      <c r="AE177" s="19">
        <f t="shared" si="165"/>
        <v>0</v>
      </c>
      <c r="AF177" s="19">
        <f t="shared" si="166"/>
        <v>0</v>
      </c>
      <c r="AG177" s="19">
        <f t="shared" si="167"/>
        <v>0</v>
      </c>
      <c r="AH177" s="19">
        <f t="shared" si="168"/>
        <v>0</v>
      </c>
      <c r="AI177" s="16" t="s">
        <v>109</v>
      </c>
      <c r="AJ177" s="19">
        <f t="shared" si="169"/>
        <v>0</v>
      </c>
      <c r="AK177" s="19">
        <f t="shared" si="170"/>
        <v>0</v>
      </c>
      <c r="AL177" s="19">
        <f t="shared" si="171"/>
        <v>0</v>
      </c>
      <c r="AN177" s="19">
        <v>12</v>
      </c>
      <c r="AO177" s="19">
        <f>H177*0</f>
        <v>0</v>
      </c>
      <c r="AP177" s="19">
        <f>H177*(1-0)</f>
        <v>0</v>
      </c>
      <c r="AQ177" s="87" t="s">
        <v>429</v>
      </c>
      <c r="AV177" s="19">
        <f t="shared" si="172"/>
        <v>0</v>
      </c>
      <c r="AW177" s="19">
        <f t="shared" si="173"/>
        <v>0</v>
      </c>
      <c r="AX177" s="19">
        <f t="shared" si="174"/>
        <v>0</v>
      </c>
      <c r="AY177" s="87" t="s">
        <v>561</v>
      </c>
      <c r="AZ177" s="87" t="s">
        <v>562</v>
      </c>
      <c r="BA177" s="16" t="s">
        <v>563</v>
      </c>
      <c r="BC177" s="19">
        <f t="shared" si="175"/>
        <v>0</v>
      </c>
      <c r="BD177" s="19">
        <f t="shared" si="176"/>
        <v>0</v>
      </c>
      <c r="BE177" s="19">
        <v>0</v>
      </c>
      <c r="BF177" s="19">
        <f t="shared" si="177"/>
        <v>0</v>
      </c>
      <c r="BH177" s="19">
        <f t="shared" si="178"/>
        <v>0</v>
      </c>
      <c r="BI177" s="19">
        <f t="shared" si="179"/>
        <v>0</v>
      </c>
      <c r="BJ177" s="19">
        <f t="shared" si="180"/>
        <v>0</v>
      </c>
      <c r="BK177" s="19"/>
      <c r="BL177" s="19">
        <v>723</v>
      </c>
      <c r="BW177" s="19" t="str">
        <f t="shared" si="181"/>
        <v>12</v>
      </c>
      <c r="BX177" s="4" t="s">
        <v>138</v>
      </c>
    </row>
    <row r="178" spans="1:76" x14ac:dyDescent="0.25">
      <c r="A178" s="1" t="s">
        <v>577</v>
      </c>
      <c r="B178" s="2" t="s">
        <v>109</v>
      </c>
      <c r="C178" s="2" t="s">
        <v>139</v>
      </c>
      <c r="D178" s="108" t="s">
        <v>140</v>
      </c>
      <c r="E178" s="102"/>
      <c r="F178" s="2" t="s">
        <v>100</v>
      </c>
      <c r="G178" s="19">
        <f>'Rozpočet - vybrané sloupce'!J161</f>
        <v>4</v>
      </c>
      <c r="H178" s="19">
        <f>'Rozpočet - vybrané sloupce'!K161</f>
        <v>0</v>
      </c>
      <c r="I178" s="87" t="s">
        <v>427</v>
      </c>
      <c r="J178" s="19">
        <f t="shared" si="156"/>
        <v>0</v>
      </c>
      <c r="K178" s="19">
        <f t="shared" si="157"/>
        <v>0</v>
      </c>
      <c r="L178" s="19">
        <f t="shared" si="158"/>
        <v>0</v>
      </c>
      <c r="M178" s="19">
        <f t="shared" si="159"/>
        <v>0</v>
      </c>
      <c r="N178" s="19">
        <v>0</v>
      </c>
      <c r="O178" s="19">
        <f t="shared" si="160"/>
        <v>0</v>
      </c>
      <c r="P178" s="88" t="s">
        <v>428</v>
      </c>
      <c r="Z178" s="19">
        <f t="shared" si="161"/>
        <v>0</v>
      </c>
      <c r="AB178" s="19">
        <f t="shared" si="162"/>
        <v>0</v>
      </c>
      <c r="AC178" s="19">
        <f t="shared" si="163"/>
        <v>0</v>
      </c>
      <c r="AD178" s="19">
        <f t="shared" si="164"/>
        <v>0</v>
      </c>
      <c r="AE178" s="19">
        <f t="shared" si="165"/>
        <v>0</v>
      </c>
      <c r="AF178" s="19">
        <f t="shared" si="166"/>
        <v>0</v>
      </c>
      <c r="AG178" s="19">
        <f t="shared" si="167"/>
        <v>0</v>
      </c>
      <c r="AH178" s="19">
        <f t="shared" si="168"/>
        <v>0</v>
      </c>
      <c r="AI178" s="16" t="s">
        <v>109</v>
      </c>
      <c r="AJ178" s="19">
        <f t="shared" si="169"/>
        <v>0</v>
      </c>
      <c r="AK178" s="19">
        <f t="shared" si="170"/>
        <v>0</v>
      </c>
      <c r="AL178" s="19">
        <f t="shared" si="171"/>
        <v>0</v>
      </c>
      <c r="AN178" s="19">
        <v>12</v>
      </c>
      <c r="AO178" s="19">
        <f>H178*0</f>
        <v>0</v>
      </c>
      <c r="AP178" s="19">
        <f>H178*(1-0)</f>
        <v>0</v>
      </c>
      <c r="AQ178" s="87" t="s">
        <v>429</v>
      </c>
      <c r="AV178" s="19">
        <f t="shared" si="172"/>
        <v>0</v>
      </c>
      <c r="AW178" s="19">
        <f t="shared" si="173"/>
        <v>0</v>
      </c>
      <c r="AX178" s="19">
        <f t="shared" si="174"/>
        <v>0</v>
      </c>
      <c r="AY178" s="87" t="s">
        <v>561</v>
      </c>
      <c r="AZ178" s="87" t="s">
        <v>562</v>
      </c>
      <c r="BA178" s="16" t="s">
        <v>563</v>
      </c>
      <c r="BC178" s="19">
        <f t="shared" si="175"/>
        <v>0</v>
      </c>
      <c r="BD178" s="19">
        <f t="shared" si="176"/>
        <v>0</v>
      </c>
      <c r="BE178" s="19">
        <v>0</v>
      </c>
      <c r="BF178" s="19">
        <f t="shared" si="177"/>
        <v>0</v>
      </c>
      <c r="BH178" s="19">
        <f t="shared" si="178"/>
        <v>0</v>
      </c>
      <c r="BI178" s="19">
        <f t="shared" si="179"/>
        <v>0</v>
      </c>
      <c r="BJ178" s="19">
        <f t="shared" si="180"/>
        <v>0</v>
      </c>
      <c r="BK178" s="19"/>
      <c r="BL178" s="19">
        <v>723</v>
      </c>
      <c r="BW178" s="19" t="str">
        <f t="shared" si="181"/>
        <v>12</v>
      </c>
      <c r="BX178" s="4" t="s">
        <v>140</v>
      </c>
    </row>
    <row r="179" spans="1:76" x14ac:dyDescent="0.25">
      <c r="A179" s="1" t="s">
        <v>578</v>
      </c>
      <c r="B179" s="2" t="s">
        <v>109</v>
      </c>
      <c r="C179" s="2" t="s">
        <v>141</v>
      </c>
      <c r="D179" s="108" t="s">
        <v>142</v>
      </c>
      <c r="E179" s="102"/>
      <c r="F179" s="2" t="s">
        <v>62</v>
      </c>
      <c r="G179" s="19">
        <f>'Rozpočet - vybrané sloupce'!J162</f>
        <v>3</v>
      </c>
      <c r="H179" s="19">
        <f>'Rozpočet - vybrané sloupce'!K162</f>
        <v>0</v>
      </c>
      <c r="I179" s="87" t="s">
        <v>427</v>
      </c>
      <c r="J179" s="19">
        <f t="shared" si="156"/>
        <v>0</v>
      </c>
      <c r="K179" s="19">
        <f t="shared" si="157"/>
        <v>0</v>
      </c>
      <c r="L179" s="19">
        <f t="shared" si="158"/>
        <v>0</v>
      </c>
      <c r="M179" s="19">
        <f t="shared" si="159"/>
        <v>0</v>
      </c>
      <c r="N179" s="19">
        <v>0</v>
      </c>
      <c r="O179" s="19">
        <f t="shared" si="160"/>
        <v>0</v>
      </c>
      <c r="P179" s="88" t="s">
        <v>428</v>
      </c>
      <c r="Z179" s="19">
        <f t="shared" si="161"/>
        <v>0</v>
      </c>
      <c r="AB179" s="19">
        <f t="shared" si="162"/>
        <v>0</v>
      </c>
      <c r="AC179" s="19">
        <f t="shared" si="163"/>
        <v>0</v>
      </c>
      <c r="AD179" s="19">
        <f t="shared" si="164"/>
        <v>0</v>
      </c>
      <c r="AE179" s="19">
        <f t="shared" si="165"/>
        <v>0</v>
      </c>
      <c r="AF179" s="19">
        <f t="shared" si="166"/>
        <v>0</v>
      </c>
      <c r="AG179" s="19">
        <f t="shared" si="167"/>
        <v>0</v>
      </c>
      <c r="AH179" s="19">
        <f t="shared" si="168"/>
        <v>0</v>
      </c>
      <c r="AI179" s="16" t="s">
        <v>109</v>
      </c>
      <c r="AJ179" s="19">
        <f t="shared" si="169"/>
        <v>0</v>
      </c>
      <c r="AK179" s="19">
        <f t="shared" si="170"/>
        <v>0</v>
      </c>
      <c r="AL179" s="19">
        <f t="shared" si="171"/>
        <v>0</v>
      </c>
      <c r="AN179" s="19">
        <v>12</v>
      </c>
      <c r="AO179" s="19">
        <f>H179*0.133192389</f>
        <v>0</v>
      </c>
      <c r="AP179" s="19">
        <f>H179*(1-0.133192389)</f>
        <v>0</v>
      </c>
      <c r="AQ179" s="87" t="s">
        <v>429</v>
      </c>
      <c r="AV179" s="19">
        <f t="shared" si="172"/>
        <v>0</v>
      </c>
      <c r="AW179" s="19">
        <f t="shared" si="173"/>
        <v>0</v>
      </c>
      <c r="AX179" s="19">
        <f t="shared" si="174"/>
        <v>0</v>
      </c>
      <c r="AY179" s="87" t="s">
        <v>561</v>
      </c>
      <c r="AZ179" s="87" t="s">
        <v>562</v>
      </c>
      <c r="BA179" s="16" t="s">
        <v>563</v>
      </c>
      <c r="BC179" s="19">
        <f t="shared" si="175"/>
        <v>0</v>
      </c>
      <c r="BD179" s="19">
        <f t="shared" si="176"/>
        <v>0</v>
      </c>
      <c r="BE179" s="19">
        <v>0</v>
      </c>
      <c r="BF179" s="19">
        <f t="shared" si="177"/>
        <v>0</v>
      </c>
      <c r="BH179" s="19">
        <f t="shared" si="178"/>
        <v>0</v>
      </c>
      <c r="BI179" s="19">
        <f t="shared" si="179"/>
        <v>0</v>
      </c>
      <c r="BJ179" s="19">
        <f t="shared" si="180"/>
        <v>0</v>
      </c>
      <c r="BK179" s="19"/>
      <c r="BL179" s="19">
        <v>723</v>
      </c>
      <c r="BW179" s="19" t="str">
        <f t="shared" si="181"/>
        <v>12</v>
      </c>
      <c r="BX179" s="4" t="s">
        <v>142</v>
      </c>
    </row>
    <row r="180" spans="1:76" x14ac:dyDescent="0.25">
      <c r="A180" s="1" t="s">
        <v>579</v>
      </c>
      <c r="B180" s="2" t="s">
        <v>109</v>
      </c>
      <c r="C180" s="2" t="s">
        <v>143</v>
      </c>
      <c r="D180" s="108" t="s">
        <v>144</v>
      </c>
      <c r="E180" s="102"/>
      <c r="F180" s="2" t="s">
        <v>62</v>
      </c>
      <c r="G180" s="19">
        <f>'Rozpočet - vybrané sloupce'!J163</f>
        <v>23</v>
      </c>
      <c r="H180" s="19">
        <f>'Rozpočet - vybrané sloupce'!K163</f>
        <v>0</v>
      </c>
      <c r="I180" s="87" t="s">
        <v>427</v>
      </c>
      <c r="J180" s="19">
        <f t="shared" si="156"/>
        <v>0</v>
      </c>
      <c r="K180" s="19">
        <f t="shared" si="157"/>
        <v>0</v>
      </c>
      <c r="L180" s="19">
        <f t="shared" si="158"/>
        <v>0</v>
      </c>
      <c r="M180" s="19">
        <f t="shared" si="159"/>
        <v>0</v>
      </c>
      <c r="N180" s="19">
        <v>8.8999999999999995E-4</v>
      </c>
      <c r="O180" s="19">
        <f t="shared" si="160"/>
        <v>2.0469999999999999E-2</v>
      </c>
      <c r="P180" s="88" t="s">
        <v>428</v>
      </c>
      <c r="Z180" s="19">
        <f t="shared" si="161"/>
        <v>0</v>
      </c>
      <c r="AB180" s="19">
        <f t="shared" si="162"/>
        <v>0</v>
      </c>
      <c r="AC180" s="19">
        <f t="shared" si="163"/>
        <v>0</v>
      </c>
      <c r="AD180" s="19">
        <f t="shared" si="164"/>
        <v>0</v>
      </c>
      <c r="AE180" s="19">
        <f t="shared" si="165"/>
        <v>0</v>
      </c>
      <c r="AF180" s="19">
        <f t="shared" si="166"/>
        <v>0</v>
      </c>
      <c r="AG180" s="19">
        <f t="shared" si="167"/>
        <v>0</v>
      </c>
      <c r="AH180" s="19">
        <f t="shared" si="168"/>
        <v>0</v>
      </c>
      <c r="AI180" s="16" t="s">
        <v>109</v>
      </c>
      <c r="AJ180" s="19">
        <f t="shared" si="169"/>
        <v>0</v>
      </c>
      <c r="AK180" s="19">
        <f t="shared" si="170"/>
        <v>0</v>
      </c>
      <c r="AL180" s="19">
        <f t="shared" si="171"/>
        <v>0</v>
      </c>
      <c r="AN180" s="19">
        <v>12</v>
      </c>
      <c r="AO180" s="19">
        <f>H180*0</f>
        <v>0</v>
      </c>
      <c r="AP180" s="19">
        <f>H180*(1-0)</f>
        <v>0</v>
      </c>
      <c r="AQ180" s="87" t="s">
        <v>429</v>
      </c>
      <c r="AV180" s="19">
        <f t="shared" si="172"/>
        <v>0</v>
      </c>
      <c r="AW180" s="19">
        <f t="shared" si="173"/>
        <v>0</v>
      </c>
      <c r="AX180" s="19">
        <f t="shared" si="174"/>
        <v>0</v>
      </c>
      <c r="AY180" s="87" t="s">
        <v>561</v>
      </c>
      <c r="AZ180" s="87" t="s">
        <v>562</v>
      </c>
      <c r="BA180" s="16" t="s">
        <v>563</v>
      </c>
      <c r="BC180" s="19">
        <f t="shared" si="175"/>
        <v>0</v>
      </c>
      <c r="BD180" s="19">
        <f t="shared" si="176"/>
        <v>0</v>
      </c>
      <c r="BE180" s="19">
        <v>0</v>
      </c>
      <c r="BF180" s="19">
        <f t="shared" si="177"/>
        <v>2.0469999999999999E-2</v>
      </c>
      <c r="BH180" s="19">
        <f t="shared" si="178"/>
        <v>0</v>
      </c>
      <c r="BI180" s="19">
        <f t="shared" si="179"/>
        <v>0</v>
      </c>
      <c r="BJ180" s="19">
        <f t="shared" si="180"/>
        <v>0</v>
      </c>
      <c r="BK180" s="19"/>
      <c r="BL180" s="19">
        <v>723</v>
      </c>
      <c r="BW180" s="19" t="str">
        <f t="shared" si="181"/>
        <v>12</v>
      </c>
      <c r="BX180" s="4" t="s">
        <v>144</v>
      </c>
    </row>
    <row r="181" spans="1:76" x14ac:dyDescent="0.25">
      <c r="A181" s="1" t="s">
        <v>580</v>
      </c>
      <c r="B181" s="2" t="s">
        <v>109</v>
      </c>
      <c r="C181" s="2" t="s">
        <v>145</v>
      </c>
      <c r="D181" s="108" t="s">
        <v>146</v>
      </c>
      <c r="E181" s="102"/>
      <c r="F181" s="2" t="s">
        <v>147</v>
      </c>
      <c r="G181" s="19">
        <f>'Rozpočet - vybrané sloupce'!J164</f>
        <v>23</v>
      </c>
      <c r="H181" s="19">
        <f>'Rozpočet - vybrané sloupce'!K164</f>
        <v>0</v>
      </c>
      <c r="I181" s="87" t="s">
        <v>427</v>
      </c>
      <c r="J181" s="19">
        <f t="shared" si="156"/>
        <v>0</v>
      </c>
      <c r="K181" s="19">
        <f t="shared" si="157"/>
        <v>0</v>
      </c>
      <c r="L181" s="19">
        <f t="shared" si="158"/>
        <v>0</v>
      </c>
      <c r="M181" s="19">
        <f t="shared" si="159"/>
        <v>0</v>
      </c>
      <c r="N181" s="19">
        <v>5.13E-3</v>
      </c>
      <c r="O181" s="19">
        <f t="shared" si="160"/>
        <v>0.11799</v>
      </c>
      <c r="P181" s="88" t="s">
        <v>428</v>
      </c>
      <c r="Z181" s="19">
        <f t="shared" si="161"/>
        <v>0</v>
      </c>
      <c r="AB181" s="19">
        <f t="shared" si="162"/>
        <v>0</v>
      </c>
      <c r="AC181" s="19">
        <f t="shared" si="163"/>
        <v>0</v>
      </c>
      <c r="AD181" s="19">
        <f t="shared" si="164"/>
        <v>0</v>
      </c>
      <c r="AE181" s="19">
        <f t="shared" si="165"/>
        <v>0</v>
      </c>
      <c r="AF181" s="19">
        <f t="shared" si="166"/>
        <v>0</v>
      </c>
      <c r="AG181" s="19">
        <f t="shared" si="167"/>
        <v>0</v>
      </c>
      <c r="AH181" s="19">
        <f t="shared" si="168"/>
        <v>0</v>
      </c>
      <c r="AI181" s="16" t="s">
        <v>109</v>
      </c>
      <c r="AJ181" s="19">
        <f t="shared" si="169"/>
        <v>0</v>
      </c>
      <c r="AK181" s="19">
        <f t="shared" si="170"/>
        <v>0</v>
      </c>
      <c r="AL181" s="19">
        <f t="shared" si="171"/>
        <v>0</v>
      </c>
      <c r="AN181" s="19">
        <v>12</v>
      </c>
      <c r="AO181" s="19">
        <f>H181*0</f>
        <v>0</v>
      </c>
      <c r="AP181" s="19">
        <f>H181*(1-0)</f>
        <v>0</v>
      </c>
      <c r="AQ181" s="87" t="s">
        <v>429</v>
      </c>
      <c r="AV181" s="19">
        <f t="shared" si="172"/>
        <v>0</v>
      </c>
      <c r="AW181" s="19">
        <f t="shared" si="173"/>
        <v>0</v>
      </c>
      <c r="AX181" s="19">
        <f t="shared" si="174"/>
        <v>0</v>
      </c>
      <c r="AY181" s="87" t="s">
        <v>561</v>
      </c>
      <c r="AZ181" s="87" t="s">
        <v>562</v>
      </c>
      <c r="BA181" s="16" t="s">
        <v>563</v>
      </c>
      <c r="BC181" s="19">
        <f t="shared" si="175"/>
        <v>0</v>
      </c>
      <c r="BD181" s="19">
        <f t="shared" si="176"/>
        <v>0</v>
      </c>
      <c r="BE181" s="19">
        <v>0</v>
      </c>
      <c r="BF181" s="19">
        <f t="shared" si="177"/>
        <v>0.11799</v>
      </c>
      <c r="BH181" s="19">
        <f t="shared" si="178"/>
        <v>0</v>
      </c>
      <c r="BI181" s="19">
        <f t="shared" si="179"/>
        <v>0</v>
      </c>
      <c r="BJ181" s="19">
        <f t="shared" si="180"/>
        <v>0</v>
      </c>
      <c r="BK181" s="19"/>
      <c r="BL181" s="19">
        <v>723</v>
      </c>
      <c r="BW181" s="19" t="str">
        <f t="shared" si="181"/>
        <v>12</v>
      </c>
      <c r="BX181" s="4" t="s">
        <v>146</v>
      </c>
    </row>
    <row r="182" spans="1:76" x14ac:dyDescent="0.25">
      <c r="A182" s="1" t="s">
        <v>581</v>
      </c>
      <c r="B182" s="2" t="s">
        <v>109</v>
      </c>
      <c r="C182" s="2" t="s">
        <v>148</v>
      </c>
      <c r="D182" s="108" t="s">
        <v>149</v>
      </c>
      <c r="E182" s="102"/>
      <c r="F182" s="2" t="s">
        <v>100</v>
      </c>
      <c r="G182" s="19">
        <f>'Rozpočet - vybrané sloupce'!J165</f>
        <v>23</v>
      </c>
      <c r="H182" s="19">
        <f>'Rozpočet - vybrané sloupce'!K165</f>
        <v>0</v>
      </c>
      <c r="I182" s="87" t="s">
        <v>427</v>
      </c>
      <c r="J182" s="19">
        <f t="shared" si="156"/>
        <v>0</v>
      </c>
      <c r="K182" s="19">
        <f t="shared" si="157"/>
        <v>0</v>
      </c>
      <c r="L182" s="19">
        <f t="shared" si="158"/>
        <v>0</v>
      </c>
      <c r="M182" s="19">
        <f t="shared" si="159"/>
        <v>0</v>
      </c>
      <c r="N182" s="19">
        <v>1.8000000000000001E-4</v>
      </c>
      <c r="O182" s="19">
        <f t="shared" si="160"/>
        <v>4.1400000000000005E-3</v>
      </c>
      <c r="P182" s="88" t="s">
        <v>428</v>
      </c>
      <c r="Z182" s="19">
        <f t="shared" si="161"/>
        <v>0</v>
      </c>
      <c r="AB182" s="19">
        <f t="shared" si="162"/>
        <v>0</v>
      </c>
      <c r="AC182" s="19">
        <f t="shared" si="163"/>
        <v>0</v>
      </c>
      <c r="AD182" s="19">
        <f t="shared" si="164"/>
        <v>0</v>
      </c>
      <c r="AE182" s="19">
        <f t="shared" si="165"/>
        <v>0</v>
      </c>
      <c r="AF182" s="19">
        <f t="shared" si="166"/>
        <v>0</v>
      </c>
      <c r="AG182" s="19">
        <f t="shared" si="167"/>
        <v>0</v>
      </c>
      <c r="AH182" s="19">
        <f t="shared" si="168"/>
        <v>0</v>
      </c>
      <c r="AI182" s="16" t="s">
        <v>109</v>
      </c>
      <c r="AJ182" s="19">
        <f t="shared" si="169"/>
        <v>0</v>
      </c>
      <c r="AK182" s="19">
        <f t="shared" si="170"/>
        <v>0</v>
      </c>
      <c r="AL182" s="19">
        <f t="shared" si="171"/>
        <v>0</v>
      </c>
      <c r="AN182" s="19">
        <v>12</v>
      </c>
      <c r="AO182" s="19">
        <f>H182*0.062206897</f>
        <v>0</v>
      </c>
      <c r="AP182" s="19">
        <f>H182*(1-0.062206897)</f>
        <v>0</v>
      </c>
      <c r="AQ182" s="87" t="s">
        <v>429</v>
      </c>
      <c r="AV182" s="19">
        <f t="shared" si="172"/>
        <v>0</v>
      </c>
      <c r="AW182" s="19">
        <f t="shared" si="173"/>
        <v>0</v>
      </c>
      <c r="AX182" s="19">
        <f t="shared" si="174"/>
        <v>0</v>
      </c>
      <c r="AY182" s="87" t="s">
        <v>561</v>
      </c>
      <c r="AZ182" s="87" t="s">
        <v>562</v>
      </c>
      <c r="BA182" s="16" t="s">
        <v>563</v>
      </c>
      <c r="BC182" s="19">
        <f t="shared" si="175"/>
        <v>0</v>
      </c>
      <c r="BD182" s="19">
        <f t="shared" si="176"/>
        <v>0</v>
      </c>
      <c r="BE182" s="19">
        <v>0</v>
      </c>
      <c r="BF182" s="19">
        <f t="shared" si="177"/>
        <v>4.1400000000000005E-3</v>
      </c>
      <c r="BH182" s="19">
        <f t="shared" si="178"/>
        <v>0</v>
      </c>
      <c r="BI182" s="19">
        <f t="shared" si="179"/>
        <v>0</v>
      </c>
      <c r="BJ182" s="19">
        <f t="shared" si="180"/>
        <v>0</v>
      </c>
      <c r="BK182" s="19"/>
      <c r="BL182" s="19">
        <v>723</v>
      </c>
      <c r="BW182" s="19" t="str">
        <f t="shared" si="181"/>
        <v>12</v>
      </c>
      <c r="BX182" s="4" t="s">
        <v>149</v>
      </c>
    </row>
    <row r="183" spans="1:76" x14ac:dyDescent="0.25">
      <c r="A183" s="1" t="s">
        <v>582</v>
      </c>
      <c r="B183" s="2" t="s">
        <v>109</v>
      </c>
      <c r="C183" s="2" t="s">
        <v>150</v>
      </c>
      <c r="D183" s="108" t="s">
        <v>151</v>
      </c>
      <c r="E183" s="102"/>
      <c r="F183" s="2" t="s">
        <v>100</v>
      </c>
      <c r="G183" s="19">
        <f>'Rozpočet - vybrané sloupce'!J166</f>
        <v>23</v>
      </c>
      <c r="H183" s="19">
        <f>'Rozpočet - vybrané sloupce'!K166</f>
        <v>0</v>
      </c>
      <c r="I183" s="87" t="s">
        <v>427</v>
      </c>
      <c r="J183" s="19">
        <f t="shared" si="156"/>
        <v>0</v>
      </c>
      <c r="K183" s="19">
        <f t="shared" si="157"/>
        <v>0</v>
      </c>
      <c r="L183" s="19">
        <f t="shared" si="158"/>
        <v>0</v>
      </c>
      <c r="M183" s="19">
        <f t="shared" si="159"/>
        <v>0</v>
      </c>
      <c r="N183" s="19">
        <v>3.2499999999999999E-3</v>
      </c>
      <c r="O183" s="19">
        <f t="shared" si="160"/>
        <v>7.4749999999999997E-2</v>
      </c>
      <c r="P183" s="88" t="s">
        <v>428</v>
      </c>
      <c r="Z183" s="19">
        <f t="shared" si="161"/>
        <v>0</v>
      </c>
      <c r="AB183" s="19">
        <f t="shared" si="162"/>
        <v>0</v>
      </c>
      <c r="AC183" s="19">
        <f t="shared" si="163"/>
        <v>0</v>
      </c>
      <c r="AD183" s="19">
        <f t="shared" si="164"/>
        <v>0</v>
      </c>
      <c r="AE183" s="19">
        <f t="shared" si="165"/>
        <v>0</v>
      </c>
      <c r="AF183" s="19">
        <f t="shared" si="166"/>
        <v>0</v>
      </c>
      <c r="AG183" s="19">
        <f t="shared" si="167"/>
        <v>0</v>
      </c>
      <c r="AH183" s="19">
        <f t="shared" si="168"/>
        <v>0</v>
      </c>
      <c r="AI183" s="16" t="s">
        <v>109</v>
      </c>
      <c r="AJ183" s="19">
        <f t="shared" si="169"/>
        <v>0</v>
      </c>
      <c r="AK183" s="19">
        <f t="shared" si="170"/>
        <v>0</v>
      </c>
      <c r="AL183" s="19">
        <f t="shared" si="171"/>
        <v>0</v>
      </c>
      <c r="AN183" s="19">
        <v>12</v>
      </c>
      <c r="AO183" s="19">
        <f>H183*0.474438596</f>
        <v>0</v>
      </c>
      <c r="AP183" s="19">
        <f>H183*(1-0.474438596)</f>
        <v>0</v>
      </c>
      <c r="AQ183" s="87" t="s">
        <v>429</v>
      </c>
      <c r="AV183" s="19">
        <f t="shared" si="172"/>
        <v>0</v>
      </c>
      <c r="AW183" s="19">
        <f t="shared" si="173"/>
        <v>0</v>
      </c>
      <c r="AX183" s="19">
        <f t="shared" si="174"/>
        <v>0</v>
      </c>
      <c r="AY183" s="87" t="s">
        <v>561</v>
      </c>
      <c r="AZ183" s="87" t="s">
        <v>562</v>
      </c>
      <c r="BA183" s="16" t="s">
        <v>563</v>
      </c>
      <c r="BC183" s="19">
        <f t="shared" si="175"/>
        <v>0</v>
      </c>
      <c r="BD183" s="19">
        <f t="shared" si="176"/>
        <v>0</v>
      </c>
      <c r="BE183" s="19">
        <v>0</v>
      </c>
      <c r="BF183" s="19">
        <f t="shared" si="177"/>
        <v>7.4749999999999997E-2</v>
      </c>
      <c r="BH183" s="19">
        <f t="shared" si="178"/>
        <v>0</v>
      </c>
      <c r="BI183" s="19">
        <f t="shared" si="179"/>
        <v>0</v>
      </c>
      <c r="BJ183" s="19">
        <f t="shared" si="180"/>
        <v>0</v>
      </c>
      <c r="BK183" s="19"/>
      <c r="BL183" s="19">
        <v>723</v>
      </c>
      <c r="BW183" s="19" t="str">
        <f t="shared" si="181"/>
        <v>12</v>
      </c>
      <c r="BX183" s="4" t="s">
        <v>151</v>
      </c>
    </row>
    <row r="184" spans="1:76" x14ac:dyDescent="0.25">
      <c r="A184" s="1" t="s">
        <v>583</v>
      </c>
      <c r="B184" s="2" t="s">
        <v>109</v>
      </c>
      <c r="C184" s="2" t="s">
        <v>152</v>
      </c>
      <c r="D184" s="108" t="s">
        <v>153</v>
      </c>
      <c r="E184" s="102"/>
      <c r="F184" s="2" t="s">
        <v>62</v>
      </c>
      <c r="G184" s="19">
        <f>'Rozpočet - vybrané sloupce'!J167</f>
        <v>23</v>
      </c>
      <c r="H184" s="19">
        <f>'Rozpočet - vybrané sloupce'!K167</f>
        <v>0</v>
      </c>
      <c r="I184" s="87" t="s">
        <v>427</v>
      </c>
      <c r="J184" s="19">
        <f t="shared" si="156"/>
        <v>0</v>
      </c>
      <c r="K184" s="19">
        <f t="shared" si="157"/>
        <v>0</v>
      </c>
      <c r="L184" s="19">
        <f t="shared" si="158"/>
        <v>0</v>
      </c>
      <c r="M184" s="19">
        <f t="shared" si="159"/>
        <v>0</v>
      </c>
      <c r="N184" s="19">
        <v>4.3800000000000002E-3</v>
      </c>
      <c r="O184" s="19">
        <f t="shared" si="160"/>
        <v>0.10074000000000001</v>
      </c>
      <c r="P184" s="88" t="s">
        <v>428</v>
      </c>
      <c r="Z184" s="19">
        <f t="shared" si="161"/>
        <v>0</v>
      </c>
      <c r="AB184" s="19">
        <f t="shared" si="162"/>
        <v>0</v>
      </c>
      <c r="AC184" s="19">
        <f t="shared" si="163"/>
        <v>0</v>
      </c>
      <c r="AD184" s="19">
        <f t="shared" si="164"/>
        <v>0</v>
      </c>
      <c r="AE184" s="19">
        <f t="shared" si="165"/>
        <v>0</v>
      </c>
      <c r="AF184" s="19">
        <f t="shared" si="166"/>
        <v>0</v>
      </c>
      <c r="AG184" s="19">
        <f t="shared" si="167"/>
        <v>0</v>
      </c>
      <c r="AH184" s="19">
        <f t="shared" si="168"/>
        <v>0</v>
      </c>
      <c r="AI184" s="16" t="s">
        <v>109</v>
      </c>
      <c r="AJ184" s="19">
        <f t="shared" si="169"/>
        <v>0</v>
      </c>
      <c r="AK184" s="19">
        <f t="shared" si="170"/>
        <v>0</v>
      </c>
      <c r="AL184" s="19">
        <f t="shared" si="171"/>
        <v>0</v>
      </c>
      <c r="AN184" s="19">
        <v>12</v>
      </c>
      <c r="AO184" s="19">
        <f>H184*0.219754683</f>
        <v>0</v>
      </c>
      <c r="AP184" s="19">
        <f>H184*(1-0.219754683)</f>
        <v>0</v>
      </c>
      <c r="AQ184" s="87" t="s">
        <v>429</v>
      </c>
      <c r="AV184" s="19">
        <f t="shared" si="172"/>
        <v>0</v>
      </c>
      <c r="AW184" s="19">
        <f t="shared" si="173"/>
        <v>0</v>
      </c>
      <c r="AX184" s="19">
        <f t="shared" si="174"/>
        <v>0</v>
      </c>
      <c r="AY184" s="87" t="s">
        <v>561</v>
      </c>
      <c r="AZ184" s="87" t="s">
        <v>562</v>
      </c>
      <c r="BA184" s="16" t="s">
        <v>563</v>
      </c>
      <c r="BC184" s="19">
        <f t="shared" si="175"/>
        <v>0</v>
      </c>
      <c r="BD184" s="19">
        <f t="shared" si="176"/>
        <v>0</v>
      </c>
      <c r="BE184" s="19">
        <v>0</v>
      </c>
      <c r="BF184" s="19">
        <f t="shared" si="177"/>
        <v>0.10074000000000001</v>
      </c>
      <c r="BH184" s="19">
        <f t="shared" si="178"/>
        <v>0</v>
      </c>
      <c r="BI184" s="19">
        <f t="shared" si="179"/>
        <v>0</v>
      </c>
      <c r="BJ184" s="19">
        <f t="shared" si="180"/>
        <v>0</v>
      </c>
      <c r="BK184" s="19"/>
      <c r="BL184" s="19">
        <v>723</v>
      </c>
      <c r="BW184" s="19" t="str">
        <f t="shared" si="181"/>
        <v>12</v>
      </c>
      <c r="BX184" s="4" t="s">
        <v>153</v>
      </c>
    </row>
    <row r="185" spans="1:76" x14ac:dyDescent="0.25">
      <c r="A185" s="1" t="s">
        <v>584</v>
      </c>
      <c r="B185" s="2" t="s">
        <v>109</v>
      </c>
      <c r="C185" s="2" t="s">
        <v>154</v>
      </c>
      <c r="D185" s="108" t="s">
        <v>155</v>
      </c>
      <c r="E185" s="102"/>
      <c r="F185" s="2" t="s">
        <v>62</v>
      </c>
      <c r="G185" s="19">
        <f>'Rozpočet - vybrané sloupce'!J168</f>
        <v>23</v>
      </c>
      <c r="H185" s="19">
        <f>'Rozpočet - vybrané sloupce'!K168</f>
        <v>0</v>
      </c>
      <c r="I185" s="87" t="s">
        <v>427</v>
      </c>
      <c r="J185" s="19">
        <f t="shared" si="156"/>
        <v>0</v>
      </c>
      <c r="K185" s="19">
        <f t="shared" si="157"/>
        <v>0</v>
      </c>
      <c r="L185" s="19">
        <f t="shared" si="158"/>
        <v>0</v>
      </c>
      <c r="M185" s="19">
        <f t="shared" si="159"/>
        <v>0</v>
      </c>
      <c r="N185" s="19">
        <v>1.7000000000000001E-4</v>
      </c>
      <c r="O185" s="19">
        <f t="shared" si="160"/>
        <v>3.9100000000000003E-3</v>
      </c>
      <c r="P185" s="88" t="s">
        <v>428</v>
      </c>
      <c r="Z185" s="19">
        <f t="shared" si="161"/>
        <v>0</v>
      </c>
      <c r="AB185" s="19">
        <f t="shared" si="162"/>
        <v>0</v>
      </c>
      <c r="AC185" s="19">
        <f t="shared" si="163"/>
        <v>0</v>
      </c>
      <c r="AD185" s="19">
        <f t="shared" si="164"/>
        <v>0</v>
      </c>
      <c r="AE185" s="19">
        <f t="shared" si="165"/>
        <v>0</v>
      </c>
      <c r="AF185" s="19">
        <f t="shared" si="166"/>
        <v>0</v>
      </c>
      <c r="AG185" s="19">
        <f t="shared" si="167"/>
        <v>0</v>
      </c>
      <c r="AH185" s="19">
        <f t="shared" si="168"/>
        <v>0</v>
      </c>
      <c r="AI185" s="16" t="s">
        <v>109</v>
      </c>
      <c r="AJ185" s="19">
        <f t="shared" si="169"/>
        <v>0</v>
      </c>
      <c r="AK185" s="19">
        <f t="shared" si="170"/>
        <v>0</v>
      </c>
      <c r="AL185" s="19">
        <f t="shared" si="171"/>
        <v>0</v>
      </c>
      <c r="AN185" s="19">
        <v>12</v>
      </c>
      <c r="AO185" s="19">
        <f>H185*0.250098297</f>
        <v>0</v>
      </c>
      <c r="AP185" s="19">
        <f>H185*(1-0.250098297)</f>
        <v>0</v>
      </c>
      <c r="AQ185" s="87" t="s">
        <v>429</v>
      </c>
      <c r="AV185" s="19">
        <f t="shared" si="172"/>
        <v>0</v>
      </c>
      <c r="AW185" s="19">
        <f t="shared" si="173"/>
        <v>0</v>
      </c>
      <c r="AX185" s="19">
        <f t="shared" si="174"/>
        <v>0</v>
      </c>
      <c r="AY185" s="87" t="s">
        <v>561</v>
      </c>
      <c r="AZ185" s="87" t="s">
        <v>562</v>
      </c>
      <c r="BA185" s="16" t="s">
        <v>563</v>
      </c>
      <c r="BC185" s="19">
        <f t="shared" si="175"/>
        <v>0</v>
      </c>
      <c r="BD185" s="19">
        <f t="shared" si="176"/>
        <v>0</v>
      </c>
      <c r="BE185" s="19">
        <v>0</v>
      </c>
      <c r="BF185" s="19">
        <f t="shared" si="177"/>
        <v>3.9100000000000003E-3</v>
      </c>
      <c r="BH185" s="19">
        <f t="shared" si="178"/>
        <v>0</v>
      </c>
      <c r="BI185" s="19">
        <f t="shared" si="179"/>
        <v>0</v>
      </c>
      <c r="BJ185" s="19">
        <f t="shared" si="180"/>
        <v>0</v>
      </c>
      <c r="BK185" s="19"/>
      <c r="BL185" s="19">
        <v>723</v>
      </c>
      <c r="BW185" s="19" t="str">
        <f t="shared" si="181"/>
        <v>12</v>
      </c>
      <c r="BX185" s="4" t="s">
        <v>155</v>
      </c>
    </row>
    <row r="186" spans="1:76" x14ac:dyDescent="0.25">
      <c r="A186" s="1" t="s">
        <v>585</v>
      </c>
      <c r="B186" s="2" t="s">
        <v>109</v>
      </c>
      <c r="C186" s="2" t="s">
        <v>156</v>
      </c>
      <c r="D186" s="108" t="s">
        <v>157</v>
      </c>
      <c r="E186" s="102"/>
      <c r="F186" s="2" t="s">
        <v>62</v>
      </c>
      <c r="G186" s="19">
        <f>'Rozpočet - vybrané sloupce'!J169</f>
        <v>23</v>
      </c>
      <c r="H186" s="19">
        <f>'Rozpočet - vybrané sloupce'!K169</f>
        <v>0</v>
      </c>
      <c r="I186" s="87" t="s">
        <v>427</v>
      </c>
      <c r="J186" s="19">
        <f t="shared" si="156"/>
        <v>0</v>
      </c>
      <c r="K186" s="19">
        <f t="shared" si="157"/>
        <v>0</v>
      </c>
      <c r="L186" s="19">
        <f t="shared" si="158"/>
        <v>0</v>
      </c>
      <c r="M186" s="19">
        <f t="shared" si="159"/>
        <v>0</v>
      </c>
      <c r="N186" s="19">
        <v>0</v>
      </c>
      <c r="O186" s="19">
        <f t="shared" si="160"/>
        <v>0</v>
      </c>
      <c r="P186" s="88" t="s">
        <v>428</v>
      </c>
      <c r="Z186" s="19">
        <f t="shared" si="161"/>
        <v>0</v>
      </c>
      <c r="AB186" s="19">
        <f t="shared" si="162"/>
        <v>0</v>
      </c>
      <c r="AC186" s="19">
        <f t="shared" si="163"/>
        <v>0</v>
      </c>
      <c r="AD186" s="19">
        <f t="shared" si="164"/>
        <v>0</v>
      </c>
      <c r="AE186" s="19">
        <f t="shared" si="165"/>
        <v>0</v>
      </c>
      <c r="AF186" s="19">
        <f t="shared" si="166"/>
        <v>0</v>
      </c>
      <c r="AG186" s="19">
        <f t="shared" si="167"/>
        <v>0</v>
      </c>
      <c r="AH186" s="19">
        <f t="shared" si="168"/>
        <v>0</v>
      </c>
      <c r="AI186" s="16" t="s">
        <v>109</v>
      </c>
      <c r="AJ186" s="19">
        <f t="shared" si="169"/>
        <v>0</v>
      </c>
      <c r="AK186" s="19">
        <f t="shared" si="170"/>
        <v>0</v>
      </c>
      <c r="AL186" s="19">
        <f t="shared" si="171"/>
        <v>0</v>
      </c>
      <c r="AN186" s="19">
        <v>12</v>
      </c>
      <c r="AO186" s="19">
        <f>H186*0.125</f>
        <v>0</v>
      </c>
      <c r="AP186" s="19">
        <f>H186*(1-0.125)</f>
        <v>0</v>
      </c>
      <c r="AQ186" s="87" t="s">
        <v>429</v>
      </c>
      <c r="AV186" s="19">
        <f t="shared" si="172"/>
        <v>0</v>
      </c>
      <c r="AW186" s="19">
        <f t="shared" si="173"/>
        <v>0</v>
      </c>
      <c r="AX186" s="19">
        <f t="shared" si="174"/>
        <v>0</v>
      </c>
      <c r="AY186" s="87" t="s">
        <v>561</v>
      </c>
      <c r="AZ186" s="87" t="s">
        <v>562</v>
      </c>
      <c r="BA186" s="16" t="s">
        <v>563</v>
      </c>
      <c r="BC186" s="19">
        <f t="shared" si="175"/>
        <v>0</v>
      </c>
      <c r="BD186" s="19">
        <f t="shared" si="176"/>
        <v>0</v>
      </c>
      <c r="BE186" s="19">
        <v>0</v>
      </c>
      <c r="BF186" s="19">
        <f t="shared" si="177"/>
        <v>0</v>
      </c>
      <c r="BH186" s="19">
        <f t="shared" si="178"/>
        <v>0</v>
      </c>
      <c r="BI186" s="19">
        <f t="shared" si="179"/>
        <v>0</v>
      </c>
      <c r="BJ186" s="19">
        <f t="shared" si="180"/>
        <v>0</v>
      </c>
      <c r="BK186" s="19"/>
      <c r="BL186" s="19">
        <v>723</v>
      </c>
      <c r="BW186" s="19" t="str">
        <f t="shared" si="181"/>
        <v>12</v>
      </c>
      <c r="BX186" s="4" t="s">
        <v>157</v>
      </c>
    </row>
    <row r="187" spans="1:76" x14ac:dyDescent="0.25">
      <c r="A187" s="1" t="s">
        <v>586</v>
      </c>
      <c r="B187" s="2" t="s">
        <v>109</v>
      </c>
      <c r="C187" s="2" t="s">
        <v>158</v>
      </c>
      <c r="D187" s="108" t="s">
        <v>159</v>
      </c>
      <c r="E187" s="102"/>
      <c r="F187" s="2" t="s">
        <v>100</v>
      </c>
      <c r="G187" s="19">
        <f>'Rozpočet - vybrané sloupce'!J170</f>
        <v>23</v>
      </c>
      <c r="H187" s="19">
        <f>'Rozpočet - vybrané sloupce'!K170</f>
        <v>0</v>
      </c>
      <c r="I187" s="87" t="s">
        <v>427</v>
      </c>
      <c r="J187" s="19">
        <f t="shared" si="156"/>
        <v>0</v>
      </c>
      <c r="K187" s="19">
        <f t="shared" si="157"/>
        <v>0</v>
      </c>
      <c r="L187" s="19">
        <f t="shared" si="158"/>
        <v>0</v>
      </c>
      <c r="M187" s="19">
        <f t="shared" si="159"/>
        <v>0</v>
      </c>
      <c r="N187" s="19">
        <v>0</v>
      </c>
      <c r="O187" s="19">
        <f t="shared" si="160"/>
        <v>0</v>
      </c>
      <c r="P187" s="88" t="s">
        <v>428</v>
      </c>
      <c r="Z187" s="19">
        <f t="shared" si="161"/>
        <v>0</v>
      </c>
      <c r="AB187" s="19">
        <f t="shared" si="162"/>
        <v>0</v>
      </c>
      <c r="AC187" s="19">
        <f t="shared" si="163"/>
        <v>0</v>
      </c>
      <c r="AD187" s="19">
        <f t="shared" si="164"/>
        <v>0</v>
      </c>
      <c r="AE187" s="19">
        <f t="shared" si="165"/>
        <v>0</v>
      </c>
      <c r="AF187" s="19">
        <f t="shared" si="166"/>
        <v>0</v>
      </c>
      <c r="AG187" s="19">
        <f t="shared" si="167"/>
        <v>0</v>
      </c>
      <c r="AH187" s="19">
        <f t="shared" si="168"/>
        <v>0</v>
      </c>
      <c r="AI187" s="16" t="s">
        <v>109</v>
      </c>
      <c r="AJ187" s="19">
        <f t="shared" si="169"/>
        <v>0</v>
      </c>
      <c r="AK187" s="19">
        <f t="shared" si="170"/>
        <v>0</v>
      </c>
      <c r="AL187" s="19">
        <f t="shared" si="171"/>
        <v>0</v>
      </c>
      <c r="AN187" s="19">
        <v>12</v>
      </c>
      <c r="AO187" s="19">
        <f>H187*0.692285641</f>
        <v>0</v>
      </c>
      <c r="AP187" s="19">
        <f>H187*(1-0.692285641)</f>
        <v>0</v>
      </c>
      <c r="AQ187" s="87" t="s">
        <v>429</v>
      </c>
      <c r="AV187" s="19">
        <f t="shared" si="172"/>
        <v>0</v>
      </c>
      <c r="AW187" s="19">
        <f t="shared" si="173"/>
        <v>0</v>
      </c>
      <c r="AX187" s="19">
        <f t="shared" si="174"/>
        <v>0</v>
      </c>
      <c r="AY187" s="87" t="s">
        <v>561</v>
      </c>
      <c r="AZ187" s="87" t="s">
        <v>562</v>
      </c>
      <c r="BA187" s="16" t="s">
        <v>563</v>
      </c>
      <c r="BC187" s="19">
        <f t="shared" si="175"/>
        <v>0</v>
      </c>
      <c r="BD187" s="19">
        <f t="shared" si="176"/>
        <v>0</v>
      </c>
      <c r="BE187" s="19">
        <v>0</v>
      </c>
      <c r="BF187" s="19">
        <f t="shared" si="177"/>
        <v>0</v>
      </c>
      <c r="BH187" s="19">
        <f t="shared" si="178"/>
        <v>0</v>
      </c>
      <c r="BI187" s="19">
        <f t="shared" si="179"/>
        <v>0</v>
      </c>
      <c r="BJ187" s="19">
        <f t="shared" si="180"/>
        <v>0</v>
      </c>
      <c r="BK187" s="19"/>
      <c r="BL187" s="19">
        <v>723</v>
      </c>
      <c r="BW187" s="19" t="str">
        <f t="shared" si="181"/>
        <v>12</v>
      </c>
      <c r="BX187" s="4" t="s">
        <v>159</v>
      </c>
    </row>
    <row r="188" spans="1:76" x14ac:dyDescent="0.25">
      <c r="A188" s="1" t="s">
        <v>587</v>
      </c>
      <c r="B188" s="2" t="s">
        <v>109</v>
      </c>
      <c r="C188" s="2" t="s">
        <v>160</v>
      </c>
      <c r="D188" s="108" t="s">
        <v>161</v>
      </c>
      <c r="E188" s="102"/>
      <c r="F188" s="2" t="s">
        <v>31</v>
      </c>
      <c r="G188" s="19">
        <f>'Rozpočet - vybrané sloupce'!J171</f>
        <v>118</v>
      </c>
      <c r="H188" s="19">
        <f>'Rozpočet - vybrané sloupce'!K171</f>
        <v>0</v>
      </c>
      <c r="I188" s="87" t="s">
        <v>427</v>
      </c>
      <c r="J188" s="19">
        <f t="shared" si="156"/>
        <v>0</v>
      </c>
      <c r="K188" s="19">
        <f t="shared" si="157"/>
        <v>0</v>
      </c>
      <c r="L188" s="19">
        <f t="shared" si="158"/>
        <v>0</v>
      </c>
      <c r="M188" s="19">
        <f t="shared" si="159"/>
        <v>0</v>
      </c>
      <c r="N188" s="19">
        <v>0</v>
      </c>
      <c r="O188" s="19">
        <f t="shared" si="160"/>
        <v>0</v>
      </c>
      <c r="P188" s="88" t="s">
        <v>428</v>
      </c>
      <c r="Z188" s="19">
        <f t="shared" si="161"/>
        <v>0</v>
      </c>
      <c r="AB188" s="19">
        <f t="shared" si="162"/>
        <v>0</v>
      </c>
      <c r="AC188" s="19">
        <f t="shared" si="163"/>
        <v>0</v>
      </c>
      <c r="AD188" s="19">
        <f t="shared" si="164"/>
        <v>0</v>
      </c>
      <c r="AE188" s="19">
        <f t="shared" si="165"/>
        <v>0</v>
      </c>
      <c r="AF188" s="19">
        <f t="shared" si="166"/>
        <v>0</v>
      </c>
      <c r="AG188" s="19">
        <f t="shared" si="167"/>
        <v>0</v>
      </c>
      <c r="AH188" s="19">
        <f t="shared" si="168"/>
        <v>0</v>
      </c>
      <c r="AI188" s="16" t="s">
        <v>109</v>
      </c>
      <c r="AJ188" s="19">
        <f t="shared" si="169"/>
        <v>0</v>
      </c>
      <c r="AK188" s="19">
        <f t="shared" si="170"/>
        <v>0</v>
      </c>
      <c r="AL188" s="19">
        <f t="shared" si="171"/>
        <v>0</v>
      </c>
      <c r="AN188" s="19">
        <v>12</v>
      </c>
      <c r="AO188" s="19">
        <f>H188*0.5</f>
        <v>0</v>
      </c>
      <c r="AP188" s="19">
        <f>H188*(1-0.5)</f>
        <v>0</v>
      </c>
      <c r="AQ188" s="87" t="s">
        <v>429</v>
      </c>
      <c r="AV188" s="19">
        <f t="shared" si="172"/>
        <v>0</v>
      </c>
      <c r="AW188" s="19">
        <f t="shared" si="173"/>
        <v>0</v>
      </c>
      <c r="AX188" s="19">
        <f t="shared" si="174"/>
        <v>0</v>
      </c>
      <c r="AY188" s="87" t="s">
        <v>561</v>
      </c>
      <c r="AZ188" s="87" t="s">
        <v>562</v>
      </c>
      <c r="BA188" s="16" t="s">
        <v>563</v>
      </c>
      <c r="BC188" s="19">
        <f t="shared" si="175"/>
        <v>0</v>
      </c>
      <c r="BD188" s="19">
        <f t="shared" si="176"/>
        <v>0</v>
      </c>
      <c r="BE188" s="19">
        <v>0</v>
      </c>
      <c r="BF188" s="19">
        <f t="shared" si="177"/>
        <v>0</v>
      </c>
      <c r="BH188" s="19">
        <f t="shared" si="178"/>
        <v>0</v>
      </c>
      <c r="BI188" s="19">
        <f t="shared" si="179"/>
        <v>0</v>
      </c>
      <c r="BJ188" s="19">
        <f t="shared" si="180"/>
        <v>0</v>
      </c>
      <c r="BK188" s="19"/>
      <c r="BL188" s="19">
        <v>723</v>
      </c>
      <c r="BW188" s="19" t="str">
        <f t="shared" si="181"/>
        <v>12</v>
      </c>
      <c r="BX188" s="4" t="s">
        <v>161</v>
      </c>
    </row>
    <row r="189" spans="1:76" x14ac:dyDescent="0.25">
      <c r="A189" s="1" t="s">
        <v>588</v>
      </c>
      <c r="B189" s="2" t="s">
        <v>109</v>
      </c>
      <c r="C189" s="2" t="s">
        <v>162</v>
      </c>
      <c r="D189" s="108" t="s">
        <v>163</v>
      </c>
      <c r="E189" s="102"/>
      <c r="F189" s="2" t="s">
        <v>100</v>
      </c>
      <c r="G189" s="19">
        <f>'Rozpočet - vybrané sloupce'!J172</f>
        <v>3</v>
      </c>
      <c r="H189" s="19">
        <f>'Rozpočet - vybrané sloupce'!K172</f>
        <v>0</v>
      </c>
      <c r="I189" s="87" t="s">
        <v>427</v>
      </c>
      <c r="J189" s="19">
        <f t="shared" si="156"/>
        <v>0</v>
      </c>
      <c r="K189" s="19">
        <f t="shared" si="157"/>
        <v>0</v>
      </c>
      <c r="L189" s="19">
        <f t="shared" si="158"/>
        <v>0</v>
      </c>
      <c r="M189" s="19">
        <f t="shared" si="159"/>
        <v>0</v>
      </c>
      <c r="N189" s="19">
        <v>0</v>
      </c>
      <c r="O189" s="19">
        <f t="shared" si="160"/>
        <v>0</v>
      </c>
      <c r="P189" s="88" t="s">
        <v>428</v>
      </c>
      <c r="Z189" s="19">
        <f t="shared" si="161"/>
        <v>0</v>
      </c>
      <c r="AB189" s="19">
        <f t="shared" si="162"/>
        <v>0</v>
      </c>
      <c r="AC189" s="19">
        <f t="shared" si="163"/>
        <v>0</v>
      </c>
      <c r="AD189" s="19">
        <f t="shared" si="164"/>
        <v>0</v>
      </c>
      <c r="AE189" s="19">
        <f t="shared" si="165"/>
        <v>0</v>
      </c>
      <c r="AF189" s="19">
        <f t="shared" si="166"/>
        <v>0</v>
      </c>
      <c r="AG189" s="19">
        <f t="shared" si="167"/>
        <v>0</v>
      </c>
      <c r="AH189" s="19">
        <f t="shared" si="168"/>
        <v>0</v>
      </c>
      <c r="AI189" s="16" t="s">
        <v>109</v>
      </c>
      <c r="AJ189" s="19">
        <f t="shared" si="169"/>
        <v>0</v>
      </c>
      <c r="AK189" s="19">
        <f t="shared" si="170"/>
        <v>0</v>
      </c>
      <c r="AL189" s="19">
        <f t="shared" si="171"/>
        <v>0</v>
      </c>
      <c r="AN189" s="19">
        <v>12</v>
      </c>
      <c r="AO189" s="19">
        <f>H189*0.391304348</f>
        <v>0</v>
      </c>
      <c r="AP189" s="19">
        <f>H189*(1-0.391304348)</f>
        <v>0</v>
      </c>
      <c r="AQ189" s="87" t="s">
        <v>429</v>
      </c>
      <c r="AV189" s="19">
        <f t="shared" si="172"/>
        <v>0</v>
      </c>
      <c r="AW189" s="19">
        <f t="shared" si="173"/>
        <v>0</v>
      </c>
      <c r="AX189" s="19">
        <f t="shared" si="174"/>
        <v>0</v>
      </c>
      <c r="AY189" s="87" t="s">
        <v>561</v>
      </c>
      <c r="AZ189" s="87" t="s">
        <v>562</v>
      </c>
      <c r="BA189" s="16" t="s">
        <v>563</v>
      </c>
      <c r="BC189" s="19">
        <f t="shared" si="175"/>
        <v>0</v>
      </c>
      <c r="BD189" s="19">
        <f t="shared" si="176"/>
        <v>0</v>
      </c>
      <c r="BE189" s="19">
        <v>0</v>
      </c>
      <c r="BF189" s="19">
        <f t="shared" si="177"/>
        <v>0</v>
      </c>
      <c r="BH189" s="19">
        <f t="shared" si="178"/>
        <v>0</v>
      </c>
      <c r="BI189" s="19">
        <f t="shared" si="179"/>
        <v>0</v>
      </c>
      <c r="BJ189" s="19">
        <f t="shared" si="180"/>
        <v>0</v>
      </c>
      <c r="BK189" s="19"/>
      <c r="BL189" s="19">
        <v>723</v>
      </c>
      <c r="BW189" s="19" t="str">
        <f t="shared" si="181"/>
        <v>12</v>
      </c>
      <c r="BX189" s="4" t="s">
        <v>163</v>
      </c>
    </row>
    <row r="190" spans="1:76" x14ac:dyDescent="0.25">
      <c r="A190" s="1" t="s">
        <v>589</v>
      </c>
      <c r="B190" s="2" t="s">
        <v>109</v>
      </c>
      <c r="C190" s="2" t="s">
        <v>164</v>
      </c>
      <c r="D190" s="108" t="s">
        <v>165</v>
      </c>
      <c r="E190" s="102"/>
      <c r="F190" s="2" t="s">
        <v>95</v>
      </c>
      <c r="G190" s="19">
        <f>'Rozpočet - vybrané sloupce'!J173</f>
        <v>0.6</v>
      </c>
      <c r="H190" s="19">
        <f>'Rozpočet - vybrané sloupce'!K173</f>
        <v>0</v>
      </c>
      <c r="I190" s="87" t="s">
        <v>427</v>
      </c>
      <c r="J190" s="19">
        <f t="shared" si="156"/>
        <v>0</v>
      </c>
      <c r="K190" s="19">
        <f t="shared" si="157"/>
        <v>0</v>
      </c>
      <c r="L190" s="19">
        <f t="shared" si="158"/>
        <v>0</v>
      </c>
      <c r="M190" s="19">
        <f t="shared" si="159"/>
        <v>0</v>
      </c>
      <c r="N190" s="19">
        <v>0</v>
      </c>
      <c r="O190" s="19">
        <f t="shared" si="160"/>
        <v>0</v>
      </c>
      <c r="P190" s="88" t="s">
        <v>428</v>
      </c>
      <c r="Z190" s="19">
        <f t="shared" si="161"/>
        <v>0</v>
      </c>
      <c r="AB190" s="19">
        <f t="shared" si="162"/>
        <v>0</v>
      </c>
      <c r="AC190" s="19">
        <f t="shared" si="163"/>
        <v>0</v>
      </c>
      <c r="AD190" s="19">
        <f t="shared" si="164"/>
        <v>0</v>
      </c>
      <c r="AE190" s="19">
        <f t="shared" si="165"/>
        <v>0</v>
      </c>
      <c r="AF190" s="19">
        <f t="shared" si="166"/>
        <v>0</v>
      </c>
      <c r="AG190" s="19">
        <f t="shared" si="167"/>
        <v>0</v>
      </c>
      <c r="AH190" s="19">
        <f t="shared" si="168"/>
        <v>0</v>
      </c>
      <c r="AI190" s="16" t="s">
        <v>109</v>
      </c>
      <c r="AJ190" s="19">
        <f t="shared" si="169"/>
        <v>0</v>
      </c>
      <c r="AK190" s="19">
        <f t="shared" si="170"/>
        <v>0</v>
      </c>
      <c r="AL190" s="19">
        <f t="shared" si="171"/>
        <v>0</v>
      </c>
      <c r="AN190" s="19">
        <v>12</v>
      </c>
      <c r="AO190" s="19">
        <f>H190*0</f>
        <v>0</v>
      </c>
      <c r="AP190" s="19">
        <f>H190*(1-0)</f>
        <v>0</v>
      </c>
      <c r="AQ190" s="87" t="s">
        <v>429</v>
      </c>
      <c r="AV190" s="19">
        <f t="shared" si="172"/>
        <v>0</v>
      </c>
      <c r="AW190" s="19">
        <f t="shared" si="173"/>
        <v>0</v>
      </c>
      <c r="AX190" s="19">
        <f t="shared" si="174"/>
        <v>0</v>
      </c>
      <c r="AY190" s="87" t="s">
        <v>561</v>
      </c>
      <c r="AZ190" s="87" t="s">
        <v>562</v>
      </c>
      <c r="BA190" s="16" t="s">
        <v>563</v>
      </c>
      <c r="BC190" s="19">
        <f t="shared" si="175"/>
        <v>0</v>
      </c>
      <c r="BD190" s="19">
        <f t="shared" si="176"/>
        <v>0</v>
      </c>
      <c r="BE190" s="19">
        <v>0</v>
      </c>
      <c r="BF190" s="19">
        <f t="shared" si="177"/>
        <v>0</v>
      </c>
      <c r="BH190" s="19">
        <f t="shared" si="178"/>
        <v>0</v>
      </c>
      <c r="BI190" s="19">
        <f t="shared" si="179"/>
        <v>0</v>
      </c>
      <c r="BJ190" s="19">
        <f t="shared" si="180"/>
        <v>0</v>
      </c>
      <c r="BK190" s="19"/>
      <c r="BL190" s="19">
        <v>723</v>
      </c>
      <c r="BW190" s="19" t="str">
        <f t="shared" si="181"/>
        <v>12</v>
      </c>
      <c r="BX190" s="4" t="s">
        <v>165</v>
      </c>
    </row>
    <row r="191" spans="1:76" x14ac:dyDescent="0.25">
      <c r="A191" s="89"/>
      <c r="C191" s="90" t="s">
        <v>437</v>
      </c>
      <c r="D191" s="187" t="s">
        <v>494</v>
      </c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9"/>
      <c r="BX191" s="91" t="s">
        <v>494</v>
      </c>
    </row>
    <row r="192" spans="1:76" x14ac:dyDescent="0.25">
      <c r="A192" s="1" t="s">
        <v>590</v>
      </c>
      <c r="B192" s="2" t="s">
        <v>109</v>
      </c>
      <c r="C192" s="2" t="s">
        <v>166</v>
      </c>
      <c r="D192" s="108" t="s">
        <v>167</v>
      </c>
      <c r="E192" s="102"/>
      <c r="F192" s="2" t="s">
        <v>51</v>
      </c>
      <c r="G192" s="19">
        <f>'Rozpočet - vybrané sloupce'!J174</f>
        <v>0</v>
      </c>
      <c r="H192" s="19">
        <f>'Rozpočet - vybrané sloupce'!K174</f>
        <v>0</v>
      </c>
      <c r="I192" s="87" t="s">
        <v>427</v>
      </c>
      <c r="J192" s="19">
        <f>G192*AO192</f>
        <v>0</v>
      </c>
      <c r="K192" s="19">
        <f>G192*AP192</f>
        <v>0</v>
      </c>
      <c r="L192" s="19">
        <f>G192*H192</f>
        <v>0</v>
      </c>
      <c r="M192" s="19">
        <f>L192*(1+BW192/100)</f>
        <v>0</v>
      </c>
      <c r="N192" s="19">
        <v>0</v>
      </c>
      <c r="O192" s="19">
        <f>G192*N192</f>
        <v>0</v>
      </c>
      <c r="P192" s="88" t="s">
        <v>428</v>
      </c>
      <c r="Z192" s="19">
        <f>IF(AQ192="5",BJ192,0)</f>
        <v>0</v>
      </c>
      <c r="AB192" s="19">
        <f>IF(AQ192="1",BH192,0)</f>
        <v>0</v>
      </c>
      <c r="AC192" s="19">
        <f>IF(AQ192="1",BI192,0)</f>
        <v>0</v>
      </c>
      <c r="AD192" s="19">
        <f>IF(AQ192="7",BH192,0)</f>
        <v>0</v>
      </c>
      <c r="AE192" s="19">
        <f>IF(AQ192="7",BI192,0)</f>
        <v>0</v>
      </c>
      <c r="AF192" s="19">
        <f>IF(AQ192="2",BH192,0)</f>
        <v>0</v>
      </c>
      <c r="AG192" s="19">
        <f>IF(AQ192="2",BI192,0)</f>
        <v>0</v>
      </c>
      <c r="AH192" s="19">
        <f>IF(AQ192="0",BJ192,0)</f>
        <v>0</v>
      </c>
      <c r="AI192" s="16" t="s">
        <v>109</v>
      </c>
      <c r="AJ192" s="19">
        <f>IF(AN192=0,L192,0)</f>
        <v>0</v>
      </c>
      <c r="AK192" s="19">
        <f>IF(AN192=12,L192,0)</f>
        <v>0</v>
      </c>
      <c r="AL192" s="19">
        <f>IF(AN192=21,L192,0)</f>
        <v>0</v>
      </c>
      <c r="AN192" s="19">
        <v>12</v>
      </c>
      <c r="AO192" s="19">
        <f>H192*0</f>
        <v>0</v>
      </c>
      <c r="AP192" s="19">
        <f>H192*(1-0)</f>
        <v>0</v>
      </c>
      <c r="AQ192" s="87" t="s">
        <v>436</v>
      </c>
      <c r="AV192" s="19">
        <f>AW192+AX192</f>
        <v>0</v>
      </c>
      <c r="AW192" s="19">
        <f>G192*AO192</f>
        <v>0</v>
      </c>
      <c r="AX192" s="19">
        <f>G192*AP192</f>
        <v>0</v>
      </c>
      <c r="AY192" s="87" t="s">
        <v>561</v>
      </c>
      <c r="AZ192" s="87" t="s">
        <v>562</v>
      </c>
      <c r="BA192" s="16" t="s">
        <v>563</v>
      </c>
      <c r="BC192" s="19">
        <f>AW192+AX192</f>
        <v>0</v>
      </c>
      <c r="BD192" s="19">
        <f>H192/(100-BE192)*100</f>
        <v>0</v>
      </c>
      <c r="BE192" s="19">
        <v>0</v>
      </c>
      <c r="BF192" s="19">
        <f>O192</f>
        <v>0</v>
      </c>
      <c r="BH192" s="19">
        <f>G192*AO192</f>
        <v>0</v>
      </c>
      <c r="BI192" s="19">
        <f>G192*AP192</f>
        <v>0</v>
      </c>
      <c r="BJ192" s="19">
        <f>G192*H192</f>
        <v>0</v>
      </c>
      <c r="BK192" s="19"/>
      <c r="BL192" s="19">
        <v>723</v>
      </c>
      <c r="BW192" s="19" t="str">
        <f>I192</f>
        <v>12</v>
      </c>
      <c r="BX192" s="4" t="s">
        <v>167</v>
      </c>
    </row>
    <row r="193" spans="1:76" x14ac:dyDescent="0.25">
      <c r="A193" s="84" t="s">
        <v>25</v>
      </c>
      <c r="B193" s="15" t="s">
        <v>168</v>
      </c>
      <c r="C193" s="15" t="s">
        <v>25</v>
      </c>
      <c r="D193" s="115" t="s">
        <v>169</v>
      </c>
      <c r="E193" s="116"/>
      <c r="F193" s="85" t="s">
        <v>23</v>
      </c>
      <c r="G193" s="85" t="s">
        <v>23</v>
      </c>
      <c r="H193" s="85" t="s">
        <v>23</v>
      </c>
      <c r="I193" s="85" t="s">
        <v>23</v>
      </c>
      <c r="J193" s="60">
        <f>J194</f>
        <v>0</v>
      </c>
      <c r="K193" s="60">
        <f>K194</f>
        <v>0</v>
      </c>
      <c r="L193" s="60">
        <f>L194</f>
        <v>0</v>
      </c>
      <c r="M193" s="60">
        <f>M194</f>
        <v>0</v>
      </c>
      <c r="N193" s="16" t="s">
        <v>25</v>
      </c>
      <c r="O193" s="60">
        <f>O194</f>
        <v>1.1467200000000004</v>
      </c>
      <c r="P193" s="86" t="s">
        <v>25</v>
      </c>
    </row>
    <row r="194" spans="1:76" x14ac:dyDescent="0.25">
      <c r="A194" s="84" t="s">
        <v>25</v>
      </c>
      <c r="B194" s="15" t="s">
        <v>168</v>
      </c>
      <c r="C194" s="15" t="s">
        <v>111</v>
      </c>
      <c r="D194" s="115" t="s">
        <v>112</v>
      </c>
      <c r="E194" s="116"/>
      <c r="F194" s="85" t="s">
        <v>23</v>
      </c>
      <c r="G194" s="85" t="s">
        <v>23</v>
      </c>
      <c r="H194" s="85" t="s">
        <v>23</v>
      </c>
      <c r="I194" s="85" t="s">
        <v>23</v>
      </c>
      <c r="J194" s="60">
        <f>SUM(J195:J223)</f>
        <v>0</v>
      </c>
      <c r="K194" s="60">
        <f>SUM(K195:K223)</f>
        <v>0</v>
      </c>
      <c r="L194" s="60">
        <f>SUM(L195:L223)</f>
        <v>0</v>
      </c>
      <c r="M194" s="60">
        <f>SUM(M195:M223)</f>
        <v>0</v>
      </c>
      <c r="N194" s="16" t="s">
        <v>25</v>
      </c>
      <c r="O194" s="60">
        <f>SUM(O195:O223)</f>
        <v>1.1467200000000004</v>
      </c>
      <c r="P194" s="86" t="s">
        <v>25</v>
      </c>
      <c r="AI194" s="16" t="s">
        <v>168</v>
      </c>
      <c r="AS194" s="60">
        <f>SUM(AJ195:AJ223)</f>
        <v>0</v>
      </c>
      <c r="AT194" s="60">
        <f>SUM(AK195:AK223)</f>
        <v>0</v>
      </c>
      <c r="AU194" s="60">
        <f>SUM(AL195:AL223)</f>
        <v>0</v>
      </c>
    </row>
    <row r="195" spans="1:76" x14ac:dyDescent="0.25">
      <c r="A195" s="1" t="s">
        <v>591</v>
      </c>
      <c r="B195" s="2" t="s">
        <v>168</v>
      </c>
      <c r="C195" s="2" t="s">
        <v>113</v>
      </c>
      <c r="D195" s="108" t="s">
        <v>114</v>
      </c>
      <c r="E195" s="102"/>
      <c r="F195" s="2" t="s">
        <v>31</v>
      </c>
      <c r="G195" s="19">
        <f>'Rozpočet - vybrané sloupce'!J177</f>
        <v>95</v>
      </c>
      <c r="H195" s="19">
        <f>'Rozpočet - vybrané sloupce'!K177</f>
        <v>0</v>
      </c>
      <c r="I195" s="87" t="s">
        <v>427</v>
      </c>
      <c r="J195" s="19">
        <f t="shared" ref="J195:J223" si="182">G195*AO195</f>
        <v>0</v>
      </c>
      <c r="K195" s="19">
        <f t="shared" ref="K195:K223" si="183">G195*AP195</f>
        <v>0</v>
      </c>
      <c r="L195" s="19">
        <f t="shared" ref="L195:L223" si="184">G195*H195</f>
        <v>0</v>
      </c>
      <c r="M195" s="19">
        <f t="shared" ref="M195:M223" si="185">L195*(1+BW195/100)</f>
        <v>0</v>
      </c>
      <c r="N195" s="19">
        <v>3.81E-3</v>
      </c>
      <c r="O195" s="19">
        <f t="shared" ref="O195:O223" si="186">G195*N195</f>
        <v>0.36194999999999999</v>
      </c>
      <c r="P195" s="88" t="s">
        <v>428</v>
      </c>
      <c r="Z195" s="19">
        <f t="shared" ref="Z195:Z223" si="187">IF(AQ195="5",BJ195,0)</f>
        <v>0</v>
      </c>
      <c r="AB195" s="19">
        <f t="shared" ref="AB195:AB223" si="188">IF(AQ195="1",BH195,0)</f>
        <v>0</v>
      </c>
      <c r="AC195" s="19">
        <f t="shared" ref="AC195:AC223" si="189">IF(AQ195="1",BI195,0)</f>
        <v>0</v>
      </c>
      <c r="AD195" s="19">
        <f t="shared" ref="AD195:AD223" si="190">IF(AQ195="7",BH195,0)</f>
        <v>0</v>
      </c>
      <c r="AE195" s="19">
        <f t="shared" ref="AE195:AE223" si="191">IF(AQ195="7",BI195,0)</f>
        <v>0</v>
      </c>
      <c r="AF195" s="19">
        <f t="shared" ref="AF195:AF223" si="192">IF(AQ195="2",BH195,0)</f>
        <v>0</v>
      </c>
      <c r="AG195" s="19">
        <f t="shared" ref="AG195:AG223" si="193">IF(AQ195="2",BI195,0)</f>
        <v>0</v>
      </c>
      <c r="AH195" s="19">
        <f t="shared" ref="AH195:AH223" si="194">IF(AQ195="0",BJ195,0)</f>
        <v>0</v>
      </c>
      <c r="AI195" s="16" t="s">
        <v>168</v>
      </c>
      <c r="AJ195" s="19">
        <f t="shared" ref="AJ195:AJ223" si="195">IF(AN195=0,L195,0)</f>
        <v>0</v>
      </c>
      <c r="AK195" s="19">
        <f t="shared" ref="AK195:AK223" si="196">IF(AN195=12,L195,0)</f>
        <v>0</v>
      </c>
      <c r="AL195" s="19">
        <f t="shared" ref="AL195:AL223" si="197">IF(AN195=21,L195,0)</f>
        <v>0</v>
      </c>
      <c r="AN195" s="19">
        <v>12</v>
      </c>
      <c r="AO195" s="19">
        <f>H195*0.884461868</f>
        <v>0</v>
      </c>
      <c r="AP195" s="19">
        <f>H195*(1-0.884461868)</f>
        <v>0</v>
      </c>
      <c r="AQ195" s="87" t="s">
        <v>429</v>
      </c>
      <c r="AV195" s="19">
        <f t="shared" ref="AV195:AV223" si="198">AW195+AX195</f>
        <v>0</v>
      </c>
      <c r="AW195" s="19">
        <f t="shared" ref="AW195:AW223" si="199">G195*AO195</f>
        <v>0</v>
      </c>
      <c r="AX195" s="19">
        <f t="shared" ref="AX195:AX223" si="200">G195*AP195</f>
        <v>0</v>
      </c>
      <c r="AY195" s="87" t="s">
        <v>561</v>
      </c>
      <c r="AZ195" s="87" t="s">
        <v>592</v>
      </c>
      <c r="BA195" s="16" t="s">
        <v>593</v>
      </c>
      <c r="BC195" s="19">
        <f t="shared" ref="BC195:BC223" si="201">AW195+AX195</f>
        <v>0</v>
      </c>
      <c r="BD195" s="19">
        <f t="shared" ref="BD195:BD223" si="202">H195/(100-BE195)*100</f>
        <v>0</v>
      </c>
      <c r="BE195" s="19">
        <v>0</v>
      </c>
      <c r="BF195" s="19">
        <f t="shared" ref="BF195:BF223" si="203">O195</f>
        <v>0.36194999999999999</v>
      </c>
      <c r="BH195" s="19">
        <f t="shared" ref="BH195:BH223" si="204">G195*AO195</f>
        <v>0</v>
      </c>
      <c r="BI195" s="19">
        <f t="shared" ref="BI195:BI223" si="205">G195*AP195</f>
        <v>0</v>
      </c>
      <c r="BJ195" s="19">
        <f t="shared" ref="BJ195:BJ223" si="206">G195*H195</f>
        <v>0</v>
      </c>
      <c r="BK195" s="19"/>
      <c r="BL195" s="19">
        <v>723</v>
      </c>
      <c r="BW195" s="19" t="str">
        <f t="shared" ref="BW195:BW223" si="207">I195</f>
        <v>12</v>
      </c>
      <c r="BX195" s="4" t="s">
        <v>114</v>
      </c>
    </row>
    <row r="196" spans="1:76" x14ac:dyDescent="0.25">
      <c r="A196" s="1" t="s">
        <v>594</v>
      </c>
      <c r="B196" s="2" t="s">
        <v>168</v>
      </c>
      <c r="C196" s="2" t="s">
        <v>115</v>
      </c>
      <c r="D196" s="108" t="s">
        <v>116</v>
      </c>
      <c r="E196" s="102"/>
      <c r="F196" s="2" t="s">
        <v>31</v>
      </c>
      <c r="G196" s="19">
        <f>'Rozpočet - vybrané sloupce'!J178</f>
        <v>22</v>
      </c>
      <c r="H196" s="19">
        <f>'Rozpočet - vybrané sloupce'!K178</f>
        <v>0</v>
      </c>
      <c r="I196" s="87" t="s">
        <v>427</v>
      </c>
      <c r="J196" s="19">
        <f t="shared" si="182"/>
        <v>0</v>
      </c>
      <c r="K196" s="19">
        <f t="shared" si="183"/>
        <v>0</v>
      </c>
      <c r="L196" s="19">
        <f t="shared" si="184"/>
        <v>0</v>
      </c>
      <c r="M196" s="19">
        <f t="shared" si="185"/>
        <v>0</v>
      </c>
      <c r="N196" s="19">
        <v>8.6700000000000006E-3</v>
      </c>
      <c r="O196" s="19">
        <f t="shared" si="186"/>
        <v>0.19074000000000002</v>
      </c>
      <c r="P196" s="88" t="s">
        <v>428</v>
      </c>
      <c r="Z196" s="19">
        <f t="shared" si="187"/>
        <v>0</v>
      </c>
      <c r="AB196" s="19">
        <f t="shared" si="188"/>
        <v>0</v>
      </c>
      <c r="AC196" s="19">
        <f t="shared" si="189"/>
        <v>0</v>
      </c>
      <c r="AD196" s="19">
        <f t="shared" si="190"/>
        <v>0</v>
      </c>
      <c r="AE196" s="19">
        <f t="shared" si="191"/>
        <v>0</v>
      </c>
      <c r="AF196" s="19">
        <f t="shared" si="192"/>
        <v>0</v>
      </c>
      <c r="AG196" s="19">
        <f t="shared" si="193"/>
        <v>0</v>
      </c>
      <c r="AH196" s="19">
        <f t="shared" si="194"/>
        <v>0</v>
      </c>
      <c r="AI196" s="16" t="s">
        <v>168</v>
      </c>
      <c r="AJ196" s="19">
        <f t="shared" si="195"/>
        <v>0</v>
      </c>
      <c r="AK196" s="19">
        <f t="shared" si="196"/>
        <v>0</v>
      </c>
      <c r="AL196" s="19">
        <f t="shared" si="197"/>
        <v>0</v>
      </c>
      <c r="AN196" s="19">
        <v>12</v>
      </c>
      <c r="AO196" s="19">
        <f>H196*0.840925424</f>
        <v>0</v>
      </c>
      <c r="AP196" s="19">
        <f>H196*(1-0.840925424)</f>
        <v>0</v>
      </c>
      <c r="AQ196" s="87" t="s">
        <v>429</v>
      </c>
      <c r="AV196" s="19">
        <f t="shared" si="198"/>
        <v>0</v>
      </c>
      <c r="AW196" s="19">
        <f t="shared" si="199"/>
        <v>0</v>
      </c>
      <c r="AX196" s="19">
        <f t="shared" si="200"/>
        <v>0</v>
      </c>
      <c r="AY196" s="87" t="s">
        <v>561</v>
      </c>
      <c r="AZ196" s="87" t="s">
        <v>592</v>
      </c>
      <c r="BA196" s="16" t="s">
        <v>593</v>
      </c>
      <c r="BC196" s="19">
        <f t="shared" si="201"/>
        <v>0</v>
      </c>
      <c r="BD196" s="19">
        <f t="shared" si="202"/>
        <v>0</v>
      </c>
      <c r="BE196" s="19">
        <v>0</v>
      </c>
      <c r="BF196" s="19">
        <f t="shared" si="203"/>
        <v>0.19074000000000002</v>
      </c>
      <c r="BH196" s="19">
        <f t="shared" si="204"/>
        <v>0</v>
      </c>
      <c r="BI196" s="19">
        <f t="shared" si="205"/>
        <v>0</v>
      </c>
      <c r="BJ196" s="19">
        <f t="shared" si="206"/>
        <v>0</v>
      </c>
      <c r="BK196" s="19"/>
      <c r="BL196" s="19">
        <v>723</v>
      </c>
      <c r="BW196" s="19" t="str">
        <f t="shared" si="207"/>
        <v>12</v>
      </c>
      <c r="BX196" s="4" t="s">
        <v>116</v>
      </c>
    </row>
    <row r="197" spans="1:76" x14ac:dyDescent="0.25">
      <c r="A197" s="1" t="s">
        <v>595</v>
      </c>
      <c r="B197" s="2" t="s">
        <v>168</v>
      </c>
      <c r="C197" s="2" t="s">
        <v>117</v>
      </c>
      <c r="D197" s="108" t="s">
        <v>118</v>
      </c>
      <c r="E197" s="102"/>
      <c r="F197" s="2" t="s">
        <v>62</v>
      </c>
      <c r="G197" s="19">
        <f>'Rozpočet - vybrané sloupce'!J179</f>
        <v>1</v>
      </c>
      <c r="H197" s="19">
        <f>'Rozpočet - vybrané sloupce'!K179</f>
        <v>0</v>
      </c>
      <c r="I197" s="87" t="s">
        <v>427</v>
      </c>
      <c r="J197" s="19">
        <f t="shared" si="182"/>
        <v>0</v>
      </c>
      <c r="K197" s="19">
        <f t="shared" si="183"/>
        <v>0</v>
      </c>
      <c r="L197" s="19">
        <f t="shared" si="184"/>
        <v>0</v>
      </c>
      <c r="M197" s="19">
        <f t="shared" si="185"/>
        <v>0</v>
      </c>
      <c r="N197" s="19">
        <v>3.8300000000000001E-3</v>
      </c>
      <c r="O197" s="19">
        <f t="shared" si="186"/>
        <v>3.8300000000000001E-3</v>
      </c>
      <c r="P197" s="88" t="s">
        <v>428</v>
      </c>
      <c r="Z197" s="19">
        <f t="shared" si="187"/>
        <v>0</v>
      </c>
      <c r="AB197" s="19">
        <f t="shared" si="188"/>
        <v>0</v>
      </c>
      <c r="AC197" s="19">
        <f t="shared" si="189"/>
        <v>0</v>
      </c>
      <c r="AD197" s="19">
        <f t="shared" si="190"/>
        <v>0</v>
      </c>
      <c r="AE197" s="19">
        <f t="shared" si="191"/>
        <v>0</v>
      </c>
      <c r="AF197" s="19">
        <f t="shared" si="192"/>
        <v>0</v>
      </c>
      <c r="AG197" s="19">
        <f t="shared" si="193"/>
        <v>0</v>
      </c>
      <c r="AH197" s="19">
        <f t="shared" si="194"/>
        <v>0</v>
      </c>
      <c r="AI197" s="16" t="s">
        <v>168</v>
      </c>
      <c r="AJ197" s="19">
        <f t="shared" si="195"/>
        <v>0</v>
      </c>
      <c r="AK197" s="19">
        <f t="shared" si="196"/>
        <v>0</v>
      </c>
      <c r="AL197" s="19">
        <f t="shared" si="197"/>
        <v>0</v>
      </c>
      <c r="AN197" s="19">
        <v>12</v>
      </c>
      <c r="AO197" s="19">
        <f>H197*0.482934267</f>
        <v>0</v>
      </c>
      <c r="AP197" s="19">
        <f>H197*(1-0.482934267)</f>
        <v>0</v>
      </c>
      <c r="AQ197" s="87" t="s">
        <v>429</v>
      </c>
      <c r="AV197" s="19">
        <f t="shared" si="198"/>
        <v>0</v>
      </c>
      <c r="AW197" s="19">
        <f t="shared" si="199"/>
        <v>0</v>
      </c>
      <c r="AX197" s="19">
        <f t="shared" si="200"/>
        <v>0</v>
      </c>
      <c r="AY197" s="87" t="s">
        <v>561</v>
      </c>
      <c r="AZ197" s="87" t="s">
        <v>592</v>
      </c>
      <c r="BA197" s="16" t="s">
        <v>593</v>
      </c>
      <c r="BC197" s="19">
        <f t="shared" si="201"/>
        <v>0</v>
      </c>
      <c r="BD197" s="19">
        <f t="shared" si="202"/>
        <v>0</v>
      </c>
      <c r="BE197" s="19">
        <v>0</v>
      </c>
      <c r="BF197" s="19">
        <f t="shared" si="203"/>
        <v>3.8300000000000001E-3</v>
      </c>
      <c r="BH197" s="19">
        <f t="shared" si="204"/>
        <v>0</v>
      </c>
      <c r="BI197" s="19">
        <f t="shared" si="205"/>
        <v>0</v>
      </c>
      <c r="BJ197" s="19">
        <f t="shared" si="206"/>
        <v>0</v>
      </c>
      <c r="BK197" s="19"/>
      <c r="BL197" s="19">
        <v>723</v>
      </c>
      <c r="BW197" s="19" t="str">
        <f t="shared" si="207"/>
        <v>12</v>
      </c>
      <c r="BX197" s="4" t="s">
        <v>118</v>
      </c>
    </row>
    <row r="198" spans="1:76" x14ac:dyDescent="0.25">
      <c r="A198" s="1" t="s">
        <v>596</v>
      </c>
      <c r="B198" s="2" t="s">
        <v>168</v>
      </c>
      <c r="C198" s="2" t="s">
        <v>119</v>
      </c>
      <c r="D198" s="108" t="s">
        <v>120</v>
      </c>
      <c r="E198" s="102"/>
      <c r="F198" s="2" t="s">
        <v>31</v>
      </c>
      <c r="G198" s="19">
        <f>'Rozpočet - vybrané sloupce'!J180</f>
        <v>95</v>
      </c>
      <c r="H198" s="19">
        <f>'Rozpočet - vybrané sloupce'!K180</f>
        <v>0</v>
      </c>
      <c r="I198" s="87" t="s">
        <v>427</v>
      </c>
      <c r="J198" s="19">
        <f t="shared" si="182"/>
        <v>0</v>
      </c>
      <c r="K198" s="19">
        <f t="shared" si="183"/>
        <v>0</v>
      </c>
      <c r="L198" s="19">
        <f t="shared" si="184"/>
        <v>0</v>
      </c>
      <c r="M198" s="19">
        <f t="shared" si="185"/>
        <v>0</v>
      </c>
      <c r="N198" s="19">
        <v>1.66E-3</v>
      </c>
      <c r="O198" s="19">
        <f t="shared" si="186"/>
        <v>0.15770000000000001</v>
      </c>
      <c r="P198" s="88" t="s">
        <v>428</v>
      </c>
      <c r="Z198" s="19">
        <f t="shared" si="187"/>
        <v>0</v>
      </c>
      <c r="AB198" s="19">
        <f t="shared" si="188"/>
        <v>0</v>
      </c>
      <c r="AC198" s="19">
        <f t="shared" si="189"/>
        <v>0</v>
      </c>
      <c r="AD198" s="19">
        <f t="shared" si="190"/>
        <v>0</v>
      </c>
      <c r="AE198" s="19">
        <f t="shared" si="191"/>
        <v>0</v>
      </c>
      <c r="AF198" s="19">
        <f t="shared" si="192"/>
        <v>0</v>
      </c>
      <c r="AG198" s="19">
        <f t="shared" si="193"/>
        <v>0</v>
      </c>
      <c r="AH198" s="19">
        <f t="shared" si="194"/>
        <v>0</v>
      </c>
      <c r="AI198" s="16" t="s">
        <v>168</v>
      </c>
      <c r="AJ198" s="19">
        <f t="shared" si="195"/>
        <v>0</v>
      </c>
      <c r="AK198" s="19">
        <f t="shared" si="196"/>
        <v>0</v>
      </c>
      <c r="AL198" s="19">
        <f t="shared" si="197"/>
        <v>0</v>
      </c>
      <c r="AN198" s="19">
        <v>12</v>
      </c>
      <c r="AO198" s="19">
        <f>H198*0.758212625</f>
        <v>0</v>
      </c>
      <c r="AP198" s="19">
        <f>H198*(1-0.758212625)</f>
        <v>0</v>
      </c>
      <c r="AQ198" s="87" t="s">
        <v>429</v>
      </c>
      <c r="AV198" s="19">
        <f t="shared" si="198"/>
        <v>0</v>
      </c>
      <c r="AW198" s="19">
        <f t="shared" si="199"/>
        <v>0</v>
      </c>
      <c r="AX198" s="19">
        <f t="shared" si="200"/>
        <v>0</v>
      </c>
      <c r="AY198" s="87" t="s">
        <v>561</v>
      </c>
      <c r="AZ198" s="87" t="s">
        <v>592</v>
      </c>
      <c r="BA198" s="16" t="s">
        <v>593</v>
      </c>
      <c r="BC198" s="19">
        <f t="shared" si="201"/>
        <v>0</v>
      </c>
      <c r="BD198" s="19">
        <f t="shared" si="202"/>
        <v>0</v>
      </c>
      <c r="BE198" s="19">
        <v>0</v>
      </c>
      <c r="BF198" s="19">
        <f t="shared" si="203"/>
        <v>0.15770000000000001</v>
      </c>
      <c r="BH198" s="19">
        <f t="shared" si="204"/>
        <v>0</v>
      </c>
      <c r="BI198" s="19">
        <f t="shared" si="205"/>
        <v>0</v>
      </c>
      <c r="BJ198" s="19">
        <f t="shared" si="206"/>
        <v>0</v>
      </c>
      <c r="BK198" s="19"/>
      <c r="BL198" s="19">
        <v>723</v>
      </c>
      <c r="BW198" s="19" t="str">
        <f t="shared" si="207"/>
        <v>12</v>
      </c>
      <c r="BX198" s="4" t="s">
        <v>120</v>
      </c>
    </row>
    <row r="199" spans="1:76" x14ac:dyDescent="0.25">
      <c r="A199" s="1" t="s">
        <v>597</v>
      </c>
      <c r="B199" s="2" t="s">
        <v>168</v>
      </c>
      <c r="C199" s="2" t="s">
        <v>121</v>
      </c>
      <c r="D199" s="108" t="s">
        <v>122</v>
      </c>
      <c r="E199" s="102"/>
      <c r="F199" s="2" t="s">
        <v>31</v>
      </c>
      <c r="G199" s="19">
        <f>'Rozpočet - vybrané sloupce'!J181</f>
        <v>13.2</v>
      </c>
      <c r="H199" s="19">
        <f>'Rozpočet - vybrané sloupce'!K181</f>
        <v>0</v>
      </c>
      <c r="I199" s="87" t="s">
        <v>427</v>
      </c>
      <c r="J199" s="19">
        <f t="shared" si="182"/>
        <v>0</v>
      </c>
      <c r="K199" s="19">
        <f t="shared" si="183"/>
        <v>0</v>
      </c>
      <c r="L199" s="19">
        <f t="shared" si="184"/>
        <v>0</v>
      </c>
      <c r="M199" s="19">
        <f t="shared" si="185"/>
        <v>0</v>
      </c>
      <c r="N199" s="19">
        <v>2E-3</v>
      </c>
      <c r="O199" s="19">
        <f t="shared" si="186"/>
        <v>2.64E-2</v>
      </c>
      <c r="P199" s="88" t="s">
        <v>428</v>
      </c>
      <c r="Z199" s="19">
        <f t="shared" si="187"/>
        <v>0</v>
      </c>
      <c r="AB199" s="19">
        <f t="shared" si="188"/>
        <v>0</v>
      </c>
      <c r="AC199" s="19">
        <f t="shared" si="189"/>
        <v>0</v>
      </c>
      <c r="AD199" s="19">
        <f t="shared" si="190"/>
        <v>0</v>
      </c>
      <c r="AE199" s="19">
        <f t="shared" si="191"/>
        <v>0</v>
      </c>
      <c r="AF199" s="19">
        <f t="shared" si="192"/>
        <v>0</v>
      </c>
      <c r="AG199" s="19">
        <f t="shared" si="193"/>
        <v>0</v>
      </c>
      <c r="AH199" s="19">
        <f t="shared" si="194"/>
        <v>0</v>
      </c>
      <c r="AI199" s="16" t="s">
        <v>168</v>
      </c>
      <c r="AJ199" s="19">
        <f t="shared" si="195"/>
        <v>0</v>
      </c>
      <c r="AK199" s="19">
        <f t="shared" si="196"/>
        <v>0</v>
      </c>
      <c r="AL199" s="19">
        <f t="shared" si="197"/>
        <v>0</v>
      </c>
      <c r="AN199" s="19">
        <v>12</v>
      </c>
      <c r="AO199" s="19">
        <f>H199*0.801747301</f>
        <v>0</v>
      </c>
      <c r="AP199" s="19">
        <f>H199*(1-0.801747301)</f>
        <v>0</v>
      </c>
      <c r="AQ199" s="87" t="s">
        <v>429</v>
      </c>
      <c r="AV199" s="19">
        <f t="shared" si="198"/>
        <v>0</v>
      </c>
      <c r="AW199" s="19">
        <f t="shared" si="199"/>
        <v>0</v>
      </c>
      <c r="AX199" s="19">
        <f t="shared" si="200"/>
        <v>0</v>
      </c>
      <c r="AY199" s="87" t="s">
        <v>561</v>
      </c>
      <c r="AZ199" s="87" t="s">
        <v>592</v>
      </c>
      <c r="BA199" s="16" t="s">
        <v>593</v>
      </c>
      <c r="BC199" s="19">
        <f t="shared" si="201"/>
        <v>0</v>
      </c>
      <c r="BD199" s="19">
        <f t="shared" si="202"/>
        <v>0</v>
      </c>
      <c r="BE199" s="19">
        <v>0</v>
      </c>
      <c r="BF199" s="19">
        <f t="shared" si="203"/>
        <v>2.64E-2</v>
      </c>
      <c r="BH199" s="19">
        <f t="shared" si="204"/>
        <v>0</v>
      </c>
      <c r="BI199" s="19">
        <f t="shared" si="205"/>
        <v>0</v>
      </c>
      <c r="BJ199" s="19">
        <f t="shared" si="206"/>
        <v>0</v>
      </c>
      <c r="BK199" s="19"/>
      <c r="BL199" s="19">
        <v>723</v>
      </c>
      <c r="BW199" s="19" t="str">
        <f t="shared" si="207"/>
        <v>12</v>
      </c>
      <c r="BX199" s="4" t="s">
        <v>122</v>
      </c>
    </row>
    <row r="200" spans="1:76" x14ac:dyDescent="0.25">
      <c r="A200" s="1" t="s">
        <v>598</v>
      </c>
      <c r="B200" s="2" t="s">
        <v>168</v>
      </c>
      <c r="C200" s="2" t="s">
        <v>170</v>
      </c>
      <c r="D200" s="108" t="s">
        <v>171</v>
      </c>
      <c r="E200" s="102"/>
      <c r="F200" s="2" t="s">
        <v>31</v>
      </c>
      <c r="G200" s="19">
        <f>'Rozpočet - vybrané sloupce'!J182</f>
        <v>10</v>
      </c>
      <c r="H200" s="19">
        <f>'Rozpočet - vybrané sloupce'!K182</f>
        <v>0</v>
      </c>
      <c r="I200" s="87" t="s">
        <v>427</v>
      </c>
      <c r="J200" s="19">
        <f t="shared" si="182"/>
        <v>0</v>
      </c>
      <c r="K200" s="19">
        <f t="shared" si="183"/>
        <v>0</v>
      </c>
      <c r="L200" s="19">
        <f t="shared" si="184"/>
        <v>0</v>
      </c>
      <c r="M200" s="19">
        <f t="shared" si="185"/>
        <v>0</v>
      </c>
      <c r="N200" s="19">
        <v>2.0300000000000001E-3</v>
      </c>
      <c r="O200" s="19">
        <f t="shared" si="186"/>
        <v>2.0300000000000002E-2</v>
      </c>
      <c r="P200" s="88" t="s">
        <v>428</v>
      </c>
      <c r="Z200" s="19">
        <f t="shared" si="187"/>
        <v>0</v>
      </c>
      <c r="AB200" s="19">
        <f t="shared" si="188"/>
        <v>0</v>
      </c>
      <c r="AC200" s="19">
        <f t="shared" si="189"/>
        <v>0</v>
      </c>
      <c r="AD200" s="19">
        <f t="shared" si="190"/>
        <v>0</v>
      </c>
      <c r="AE200" s="19">
        <f t="shared" si="191"/>
        <v>0</v>
      </c>
      <c r="AF200" s="19">
        <f t="shared" si="192"/>
        <v>0</v>
      </c>
      <c r="AG200" s="19">
        <f t="shared" si="193"/>
        <v>0</v>
      </c>
      <c r="AH200" s="19">
        <f t="shared" si="194"/>
        <v>0</v>
      </c>
      <c r="AI200" s="16" t="s">
        <v>168</v>
      </c>
      <c r="AJ200" s="19">
        <f t="shared" si="195"/>
        <v>0</v>
      </c>
      <c r="AK200" s="19">
        <f t="shared" si="196"/>
        <v>0</v>
      </c>
      <c r="AL200" s="19">
        <f t="shared" si="197"/>
        <v>0</v>
      </c>
      <c r="AN200" s="19">
        <v>12</v>
      </c>
      <c r="AO200" s="19">
        <f>H200*0.801764253</f>
        <v>0</v>
      </c>
      <c r="AP200" s="19">
        <f>H200*(1-0.801764253)</f>
        <v>0</v>
      </c>
      <c r="AQ200" s="87" t="s">
        <v>429</v>
      </c>
      <c r="AV200" s="19">
        <f t="shared" si="198"/>
        <v>0</v>
      </c>
      <c r="AW200" s="19">
        <f t="shared" si="199"/>
        <v>0</v>
      </c>
      <c r="AX200" s="19">
        <f t="shared" si="200"/>
        <v>0</v>
      </c>
      <c r="AY200" s="87" t="s">
        <v>561</v>
      </c>
      <c r="AZ200" s="87" t="s">
        <v>592</v>
      </c>
      <c r="BA200" s="16" t="s">
        <v>593</v>
      </c>
      <c r="BC200" s="19">
        <f t="shared" si="201"/>
        <v>0</v>
      </c>
      <c r="BD200" s="19">
        <f t="shared" si="202"/>
        <v>0</v>
      </c>
      <c r="BE200" s="19">
        <v>0</v>
      </c>
      <c r="BF200" s="19">
        <f t="shared" si="203"/>
        <v>2.0300000000000002E-2</v>
      </c>
      <c r="BH200" s="19">
        <f t="shared" si="204"/>
        <v>0</v>
      </c>
      <c r="BI200" s="19">
        <f t="shared" si="205"/>
        <v>0</v>
      </c>
      <c r="BJ200" s="19">
        <f t="shared" si="206"/>
        <v>0</v>
      </c>
      <c r="BK200" s="19"/>
      <c r="BL200" s="19">
        <v>723</v>
      </c>
      <c r="BW200" s="19" t="str">
        <f t="shared" si="207"/>
        <v>12</v>
      </c>
      <c r="BX200" s="4" t="s">
        <v>171</v>
      </c>
    </row>
    <row r="201" spans="1:76" x14ac:dyDescent="0.25">
      <c r="A201" s="1" t="s">
        <v>599</v>
      </c>
      <c r="B201" s="2" t="s">
        <v>168</v>
      </c>
      <c r="C201" s="2" t="s">
        <v>172</v>
      </c>
      <c r="D201" s="108" t="s">
        <v>173</v>
      </c>
      <c r="E201" s="102"/>
      <c r="F201" s="2" t="s">
        <v>31</v>
      </c>
      <c r="G201" s="19">
        <f>'Rozpočet - vybrané sloupce'!J183</f>
        <v>0.6</v>
      </c>
      <c r="H201" s="19">
        <f>'Rozpočet - vybrané sloupce'!K183</f>
        <v>0</v>
      </c>
      <c r="I201" s="87" t="s">
        <v>427</v>
      </c>
      <c r="J201" s="19">
        <f t="shared" si="182"/>
        <v>0</v>
      </c>
      <c r="K201" s="19">
        <f t="shared" si="183"/>
        <v>0</v>
      </c>
      <c r="L201" s="19">
        <f t="shared" si="184"/>
        <v>0</v>
      </c>
      <c r="M201" s="19">
        <f t="shared" si="185"/>
        <v>0</v>
      </c>
      <c r="N201" s="19">
        <v>2.3500000000000001E-3</v>
      </c>
      <c r="O201" s="19">
        <f t="shared" si="186"/>
        <v>1.41E-3</v>
      </c>
      <c r="P201" s="88" t="s">
        <v>428</v>
      </c>
      <c r="Z201" s="19">
        <f t="shared" si="187"/>
        <v>0</v>
      </c>
      <c r="AB201" s="19">
        <f t="shared" si="188"/>
        <v>0</v>
      </c>
      <c r="AC201" s="19">
        <f t="shared" si="189"/>
        <v>0</v>
      </c>
      <c r="AD201" s="19">
        <f t="shared" si="190"/>
        <v>0</v>
      </c>
      <c r="AE201" s="19">
        <f t="shared" si="191"/>
        <v>0</v>
      </c>
      <c r="AF201" s="19">
        <f t="shared" si="192"/>
        <v>0</v>
      </c>
      <c r="AG201" s="19">
        <f t="shared" si="193"/>
        <v>0</v>
      </c>
      <c r="AH201" s="19">
        <f t="shared" si="194"/>
        <v>0</v>
      </c>
      <c r="AI201" s="16" t="s">
        <v>168</v>
      </c>
      <c r="AJ201" s="19">
        <f t="shared" si="195"/>
        <v>0</v>
      </c>
      <c r="AK201" s="19">
        <f t="shared" si="196"/>
        <v>0</v>
      </c>
      <c r="AL201" s="19">
        <f t="shared" si="197"/>
        <v>0</v>
      </c>
      <c r="AN201" s="19">
        <v>12</v>
      </c>
      <c r="AO201" s="19">
        <f>H201*0.819923025</f>
        <v>0</v>
      </c>
      <c r="AP201" s="19">
        <f>H201*(1-0.819923025)</f>
        <v>0</v>
      </c>
      <c r="AQ201" s="87" t="s">
        <v>429</v>
      </c>
      <c r="AV201" s="19">
        <f t="shared" si="198"/>
        <v>0</v>
      </c>
      <c r="AW201" s="19">
        <f t="shared" si="199"/>
        <v>0</v>
      </c>
      <c r="AX201" s="19">
        <f t="shared" si="200"/>
        <v>0</v>
      </c>
      <c r="AY201" s="87" t="s">
        <v>561</v>
      </c>
      <c r="AZ201" s="87" t="s">
        <v>592</v>
      </c>
      <c r="BA201" s="16" t="s">
        <v>593</v>
      </c>
      <c r="BC201" s="19">
        <f t="shared" si="201"/>
        <v>0</v>
      </c>
      <c r="BD201" s="19">
        <f t="shared" si="202"/>
        <v>0</v>
      </c>
      <c r="BE201" s="19">
        <v>0</v>
      </c>
      <c r="BF201" s="19">
        <f t="shared" si="203"/>
        <v>1.41E-3</v>
      </c>
      <c r="BH201" s="19">
        <f t="shared" si="204"/>
        <v>0</v>
      </c>
      <c r="BI201" s="19">
        <f t="shared" si="205"/>
        <v>0</v>
      </c>
      <c r="BJ201" s="19">
        <f t="shared" si="206"/>
        <v>0</v>
      </c>
      <c r="BK201" s="19"/>
      <c r="BL201" s="19">
        <v>723</v>
      </c>
      <c r="BW201" s="19" t="str">
        <f t="shared" si="207"/>
        <v>12</v>
      </c>
      <c r="BX201" s="4" t="s">
        <v>173</v>
      </c>
    </row>
    <row r="202" spans="1:76" x14ac:dyDescent="0.25">
      <c r="A202" s="1" t="s">
        <v>600</v>
      </c>
      <c r="B202" s="2" t="s">
        <v>168</v>
      </c>
      <c r="C202" s="2" t="s">
        <v>123</v>
      </c>
      <c r="D202" s="108" t="s">
        <v>124</v>
      </c>
      <c r="E202" s="102"/>
      <c r="F202" s="2" t="s">
        <v>31</v>
      </c>
      <c r="G202" s="19">
        <f>'Rozpočet - vybrané sloupce'!J184</f>
        <v>14</v>
      </c>
      <c r="H202" s="19">
        <f>'Rozpočet - vybrané sloupce'!K184</f>
        <v>0</v>
      </c>
      <c r="I202" s="87" t="s">
        <v>427</v>
      </c>
      <c r="J202" s="19">
        <f t="shared" si="182"/>
        <v>0</v>
      </c>
      <c r="K202" s="19">
        <f t="shared" si="183"/>
        <v>0</v>
      </c>
      <c r="L202" s="19">
        <f t="shared" si="184"/>
        <v>0</v>
      </c>
      <c r="M202" s="19">
        <f t="shared" si="185"/>
        <v>0</v>
      </c>
      <c r="N202" s="19">
        <v>2.4299999999999999E-3</v>
      </c>
      <c r="O202" s="19">
        <f t="shared" si="186"/>
        <v>3.4019999999999995E-2</v>
      </c>
      <c r="P202" s="88" t="s">
        <v>428</v>
      </c>
      <c r="Z202" s="19">
        <f t="shared" si="187"/>
        <v>0</v>
      </c>
      <c r="AB202" s="19">
        <f t="shared" si="188"/>
        <v>0</v>
      </c>
      <c r="AC202" s="19">
        <f t="shared" si="189"/>
        <v>0</v>
      </c>
      <c r="AD202" s="19">
        <f t="shared" si="190"/>
        <v>0</v>
      </c>
      <c r="AE202" s="19">
        <f t="shared" si="191"/>
        <v>0</v>
      </c>
      <c r="AF202" s="19">
        <f t="shared" si="192"/>
        <v>0</v>
      </c>
      <c r="AG202" s="19">
        <f t="shared" si="193"/>
        <v>0</v>
      </c>
      <c r="AH202" s="19">
        <f t="shared" si="194"/>
        <v>0</v>
      </c>
      <c r="AI202" s="16" t="s">
        <v>168</v>
      </c>
      <c r="AJ202" s="19">
        <f t="shared" si="195"/>
        <v>0</v>
      </c>
      <c r="AK202" s="19">
        <f t="shared" si="196"/>
        <v>0</v>
      </c>
      <c r="AL202" s="19">
        <f t="shared" si="197"/>
        <v>0</v>
      </c>
      <c r="AN202" s="19">
        <v>12</v>
      </c>
      <c r="AO202" s="19">
        <f>H202*0.819680798</f>
        <v>0</v>
      </c>
      <c r="AP202" s="19">
        <f>H202*(1-0.819680798)</f>
        <v>0</v>
      </c>
      <c r="AQ202" s="87" t="s">
        <v>429</v>
      </c>
      <c r="AV202" s="19">
        <f t="shared" si="198"/>
        <v>0</v>
      </c>
      <c r="AW202" s="19">
        <f t="shared" si="199"/>
        <v>0</v>
      </c>
      <c r="AX202" s="19">
        <f t="shared" si="200"/>
        <v>0</v>
      </c>
      <c r="AY202" s="87" t="s">
        <v>561</v>
      </c>
      <c r="AZ202" s="87" t="s">
        <v>592</v>
      </c>
      <c r="BA202" s="16" t="s">
        <v>593</v>
      </c>
      <c r="BC202" s="19">
        <f t="shared" si="201"/>
        <v>0</v>
      </c>
      <c r="BD202" s="19">
        <f t="shared" si="202"/>
        <v>0</v>
      </c>
      <c r="BE202" s="19">
        <v>0</v>
      </c>
      <c r="BF202" s="19">
        <f t="shared" si="203"/>
        <v>3.4019999999999995E-2</v>
      </c>
      <c r="BH202" s="19">
        <f t="shared" si="204"/>
        <v>0</v>
      </c>
      <c r="BI202" s="19">
        <f t="shared" si="205"/>
        <v>0</v>
      </c>
      <c r="BJ202" s="19">
        <f t="shared" si="206"/>
        <v>0</v>
      </c>
      <c r="BK202" s="19"/>
      <c r="BL202" s="19">
        <v>723</v>
      </c>
      <c r="BW202" s="19" t="str">
        <f t="shared" si="207"/>
        <v>12</v>
      </c>
      <c r="BX202" s="4" t="s">
        <v>124</v>
      </c>
    </row>
    <row r="203" spans="1:76" x14ac:dyDescent="0.25">
      <c r="A203" s="1" t="s">
        <v>601</v>
      </c>
      <c r="B203" s="2" t="s">
        <v>168</v>
      </c>
      <c r="C203" s="2" t="s">
        <v>125</v>
      </c>
      <c r="D203" s="108" t="s">
        <v>126</v>
      </c>
      <c r="E203" s="102"/>
      <c r="F203" s="2" t="s">
        <v>31</v>
      </c>
      <c r="G203" s="19">
        <f>'Rozpočet - vybrané sloupce'!J185</f>
        <v>1.2</v>
      </c>
      <c r="H203" s="19">
        <f>'Rozpočet - vybrané sloupce'!K185</f>
        <v>0</v>
      </c>
      <c r="I203" s="87" t="s">
        <v>427</v>
      </c>
      <c r="J203" s="19">
        <f t="shared" si="182"/>
        <v>0</v>
      </c>
      <c r="K203" s="19">
        <f t="shared" si="183"/>
        <v>0</v>
      </c>
      <c r="L203" s="19">
        <f t="shared" si="184"/>
        <v>0</v>
      </c>
      <c r="M203" s="19">
        <f t="shared" si="185"/>
        <v>0</v>
      </c>
      <c r="N203" s="19">
        <v>3.8E-3</v>
      </c>
      <c r="O203" s="19">
        <f t="shared" si="186"/>
        <v>4.5599999999999998E-3</v>
      </c>
      <c r="P203" s="88" t="s">
        <v>428</v>
      </c>
      <c r="Z203" s="19">
        <f t="shared" si="187"/>
        <v>0</v>
      </c>
      <c r="AB203" s="19">
        <f t="shared" si="188"/>
        <v>0</v>
      </c>
      <c r="AC203" s="19">
        <f t="shared" si="189"/>
        <v>0</v>
      </c>
      <c r="AD203" s="19">
        <f t="shared" si="190"/>
        <v>0</v>
      </c>
      <c r="AE203" s="19">
        <f t="shared" si="191"/>
        <v>0</v>
      </c>
      <c r="AF203" s="19">
        <f t="shared" si="192"/>
        <v>0</v>
      </c>
      <c r="AG203" s="19">
        <f t="shared" si="193"/>
        <v>0</v>
      </c>
      <c r="AH203" s="19">
        <f t="shared" si="194"/>
        <v>0</v>
      </c>
      <c r="AI203" s="16" t="s">
        <v>168</v>
      </c>
      <c r="AJ203" s="19">
        <f t="shared" si="195"/>
        <v>0</v>
      </c>
      <c r="AK203" s="19">
        <f t="shared" si="196"/>
        <v>0</v>
      </c>
      <c r="AL203" s="19">
        <f t="shared" si="197"/>
        <v>0</v>
      </c>
      <c r="AN203" s="19">
        <v>12</v>
      </c>
      <c r="AO203" s="19">
        <f>H203*0.865638453</f>
        <v>0</v>
      </c>
      <c r="AP203" s="19">
        <f>H203*(1-0.865638453)</f>
        <v>0</v>
      </c>
      <c r="AQ203" s="87" t="s">
        <v>429</v>
      </c>
      <c r="AV203" s="19">
        <f t="shared" si="198"/>
        <v>0</v>
      </c>
      <c r="AW203" s="19">
        <f t="shared" si="199"/>
        <v>0</v>
      </c>
      <c r="AX203" s="19">
        <f t="shared" si="200"/>
        <v>0</v>
      </c>
      <c r="AY203" s="87" t="s">
        <v>561</v>
      </c>
      <c r="AZ203" s="87" t="s">
        <v>592</v>
      </c>
      <c r="BA203" s="16" t="s">
        <v>593</v>
      </c>
      <c r="BC203" s="19">
        <f t="shared" si="201"/>
        <v>0</v>
      </c>
      <c r="BD203" s="19">
        <f t="shared" si="202"/>
        <v>0</v>
      </c>
      <c r="BE203" s="19">
        <v>0</v>
      </c>
      <c r="BF203" s="19">
        <f t="shared" si="203"/>
        <v>4.5599999999999998E-3</v>
      </c>
      <c r="BH203" s="19">
        <f t="shared" si="204"/>
        <v>0</v>
      </c>
      <c r="BI203" s="19">
        <f t="shared" si="205"/>
        <v>0</v>
      </c>
      <c r="BJ203" s="19">
        <f t="shared" si="206"/>
        <v>0</v>
      </c>
      <c r="BK203" s="19"/>
      <c r="BL203" s="19">
        <v>723</v>
      </c>
      <c r="BW203" s="19" t="str">
        <f t="shared" si="207"/>
        <v>12</v>
      </c>
      <c r="BX203" s="4" t="s">
        <v>126</v>
      </c>
    </row>
    <row r="204" spans="1:76" x14ac:dyDescent="0.25">
      <c r="A204" s="1" t="s">
        <v>602</v>
      </c>
      <c r="B204" s="2" t="s">
        <v>168</v>
      </c>
      <c r="C204" s="2" t="s">
        <v>127</v>
      </c>
      <c r="D204" s="108" t="s">
        <v>128</v>
      </c>
      <c r="E204" s="102"/>
      <c r="F204" s="2" t="s">
        <v>62</v>
      </c>
      <c r="G204" s="19">
        <f>'Rozpočet - vybrané sloupce'!J186</f>
        <v>23</v>
      </c>
      <c r="H204" s="19">
        <f>'Rozpočet - vybrané sloupce'!K186</f>
        <v>0</v>
      </c>
      <c r="I204" s="87" t="s">
        <v>427</v>
      </c>
      <c r="J204" s="19">
        <f t="shared" si="182"/>
        <v>0</v>
      </c>
      <c r="K204" s="19">
        <f t="shared" si="183"/>
        <v>0</v>
      </c>
      <c r="L204" s="19">
        <f t="shared" si="184"/>
        <v>0</v>
      </c>
      <c r="M204" s="19">
        <f t="shared" si="185"/>
        <v>0</v>
      </c>
      <c r="N204" s="19">
        <v>2.3000000000000001E-4</v>
      </c>
      <c r="O204" s="19">
        <f t="shared" si="186"/>
        <v>5.2900000000000004E-3</v>
      </c>
      <c r="P204" s="88" t="s">
        <v>428</v>
      </c>
      <c r="Z204" s="19">
        <f t="shared" si="187"/>
        <v>0</v>
      </c>
      <c r="AB204" s="19">
        <f t="shared" si="188"/>
        <v>0</v>
      </c>
      <c r="AC204" s="19">
        <f t="shared" si="189"/>
        <v>0</v>
      </c>
      <c r="AD204" s="19">
        <f t="shared" si="190"/>
        <v>0</v>
      </c>
      <c r="AE204" s="19">
        <f t="shared" si="191"/>
        <v>0</v>
      </c>
      <c r="AF204" s="19">
        <f t="shared" si="192"/>
        <v>0</v>
      </c>
      <c r="AG204" s="19">
        <f t="shared" si="193"/>
        <v>0</v>
      </c>
      <c r="AH204" s="19">
        <f t="shared" si="194"/>
        <v>0</v>
      </c>
      <c r="AI204" s="16" t="s">
        <v>168</v>
      </c>
      <c r="AJ204" s="19">
        <f t="shared" si="195"/>
        <v>0</v>
      </c>
      <c r="AK204" s="19">
        <f t="shared" si="196"/>
        <v>0</v>
      </c>
      <c r="AL204" s="19">
        <f t="shared" si="197"/>
        <v>0</v>
      </c>
      <c r="AN204" s="19">
        <v>12</v>
      </c>
      <c r="AO204" s="19">
        <f>H204*0.759530861</f>
        <v>0</v>
      </c>
      <c r="AP204" s="19">
        <f>H204*(1-0.759530861)</f>
        <v>0</v>
      </c>
      <c r="AQ204" s="87" t="s">
        <v>429</v>
      </c>
      <c r="AV204" s="19">
        <f t="shared" si="198"/>
        <v>0</v>
      </c>
      <c r="AW204" s="19">
        <f t="shared" si="199"/>
        <v>0</v>
      </c>
      <c r="AX204" s="19">
        <f t="shared" si="200"/>
        <v>0</v>
      </c>
      <c r="AY204" s="87" t="s">
        <v>561</v>
      </c>
      <c r="AZ204" s="87" t="s">
        <v>592</v>
      </c>
      <c r="BA204" s="16" t="s">
        <v>593</v>
      </c>
      <c r="BC204" s="19">
        <f t="shared" si="201"/>
        <v>0</v>
      </c>
      <c r="BD204" s="19">
        <f t="shared" si="202"/>
        <v>0</v>
      </c>
      <c r="BE204" s="19">
        <v>0</v>
      </c>
      <c r="BF204" s="19">
        <f t="shared" si="203"/>
        <v>5.2900000000000004E-3</v>
      </c>
      <c r="BH204" s="19">
        <f t="shared" si="204"/>
        <v>0</v>
      </c>
      <c r="BI204" s="19">
        <f t="shared" si="205"/>
        <v>0</v>
      </c>
      <c r="BJ204" s="19">
        <f t="shared" si="206"/>
        <v>0</v>
      </c>
      <c r="BK204" s="19"/>
      <c r="BL204" s="19">
        <v>723</v>
      </c>
      <c r="BW204" s="19" t="str">
        <f t="shared" si="207"/>
        <v>12</v>
      </c>
      <c r="BX204" s="4" t="s">
        <v>128</v>
      </c>
    </row>
    <row r="205" spans="1:76" x14ac:dyDescent="0.25">
      <c r="A205" s="1" t="s">
        <v>603</v>
      </c>
      <c r="B205" s="2" t="s">
        <v>168</v>
      </c>
      <c r="C205" s="2" t="s">
        <v>129</v>
      </c>
      <c r="D205" s="108" t="s">
        <v>130</v>
      </c>
      <c r="E205" s="102"/>
      <c r="F205" s="2" t="s">
        <v>62</v>
      </c>
      <c r="G205" s="19">
        <f>'Rozpočet - vybrané sloupce'!J187</f>
        <v>26</v>
      </c>
      <c r="H205" s="19">
        <f>'Rozpočet - vybrané sloupce'!K187</f>
        <v>0</v>
      </c>
      <c r="I205" s="87" t="s">
        <v>427</v>
      </c>
      <c r="J205" s="19">
        <f t="shared" si="182"/>
        <v>0</v>
      </c>
      <c r="K205" s="19">
        <f t="shared" si="183"/>
        <v>0</v>
      </c>
      <c r="L205" s="19">
        <f t="shared" si="184"/>
        <v>0</v>
      </c>
      <c r="M205" s="19">
        <f t="shared" si="185"/>
        <v>0</v>
      </c>
      <c r="N205" s="19">
        <v>6.6E-4</v>
      </c>
      <c r="O205" s="19">
        <f t="shared" si="186"/>
        <v>1.7160000000000002E-2</v>
      </c>
      <c r="P205" s="88" t="s">
        <v>428</v>
      </c>
      <c r="Z205" s="19">
        <f t="shared" si="187"/>
        <v>0</v>
      </c>
      <c r="AB205" s="19">
        <f t="shared" si="188"/>
        <v>0</v>
      </c>
      <c r="AC205" s="19">
        <f t="shared" si="189"/>
        <v>0</v>
      </c>
      <c r="AD205" s="19">
        <f t="shared" si="190"/>
        <v>0</v>
      </c>
      <c r="AE205" s="19">
        <f t="shared" si="191"/>
        <v>0</v>
      </c>
      <c r="AF205" s="19">
        <f t="shared" si="192"/>
        <v>0</v>
      </c>
      <c r="AG205" s="19">
        <f t="shared" si="193"/>
        <v>0</v>
      </c>
      <c r="AH205" s="19">
        <f t="shared" si="194"/>
        <v>0</v>
      </c>
      <c r="AI205" s="16" t="s">
        <v>168</v>
      </c>
      <c r="AJ205" s="19">
        <f t="shared" si="195"/>
        <v>0</v>
      </c>
      <c r="AK205" s="19">
        <f t="shared" si="196"/>
        <v>0</v>
      </c>
      <c r="AL205" s="19">
        <f t="shared" si="197"/>
        <v>0</v>
      </c>
      <c r="AN205" s="19">
        <v>12</v>
      </c>
      <c r="AO205" s="19">
        <f>H205*0.843123682</f>
        <v>0</v>
      </c>
      <c r="AP205" s="19">
        <f>H205*(1-0.843123682)</f>
        <v>0</v>
      </c>
      <c r="AQ205" s="87" t="s">
        <v>429</v>
      </c>
      <c r="AV205" s="19">
        <f t="shared" si="198"/>
        <v>0</v>
      </c>
      <c r="AW205" s="19">
        <f t="shared" si="199"/>
        <v>0</v>
      </c>
      <c r="AX205" s="19">
        <f t="shared" si="200"/>
        <v>0</v>
      </c>
      <c r="AY205" s="87" t="s">
        <v>561</v>
      </c>
      <c r="AZ205" s="87" t="s">
        <v>592</v>
      </c>
      <c r="BA205" s="16" t="s">
        <v>593</v>
      </c>
      <c r="BC205" s="19">
        <f t="shared" si="201"/>
        <v>0</v>
      </c>
      <c r="BD205" s="19">
        <f t="shared" si="202"/>
        <v>0</v>
      </c>
      <c r="BE205" s="19">
        <v>0</v>
      </c>
      <c r="BF205" s="19">
        <f t="shared" si="203"/>
        <v>1.7160000000000002E-2</v>
      </c>
      <c r="BH205" s="19">
        <f t="shared" si="204"/>
        <v>0</v>
      </c>
      <c r="BI205" s="19">
        <f t="shared" si="205"/>
        <v>0</v>
      </c>
      <c r="BJ205" s="19">
        <f t="shared" si="206"/>
        <v>0</v>
      </c>
      <c r="BK205" s="19"/>
      <c r="BL205" s="19">
        <v>723</v>
      </c>
      <c r="BW205" s="19" t="str">
        <f t="shared" si="207"/>
        <v>12</v>
      </c>
      <c r="BX205" s="4" t="s">
        <v>130</v>
      </c>
    </row>
    <row r="206" spans="1:76" x14ac:dyDescent="0.25">
      <c r="A206" s="1" t="s">
        <v>604</v>
      </c>
      <c r="B206" s="2" t="s">
        <v>168</v>
      </c>
      <c r="C206" s="2" t="s">
        <v>131</v>
      </c>
      <c r="D206" s="108" t="s">
        <v>132</v>
      </c>
      <c r="E206" s="102"/>
      <c r="F206" s="2" t="s">
        <v>62</v>
      </c>
      <c r="G206" s="19">
        <f>'Rozpočet - vybrané sloupce'!J188</f>
        <v>1</v>
      </c>
      <c r="H206" s="19">
        <f>'Rozpočet - vybrané sloupce'!K188</f>
        <v>0</v>
      </c>
      <c r="I206" s="87" t="s">
        <v>427</v>
      </c>
      <c r="J206" s="19">
        <f t="shared" si="182"/>
        <v>0</v>
      </c>
      <c r="K206" s="19">
        <f t="shared" si="183"/>
        <v>0</v>
      </c>
      <c r="L206" s="19">
        <f t="shared" si="184"/>
        <v>0</v>
      </c>
      <c r="M206" s="19">
        <f t="shared" si="185"/>
        <v>0</v>
      </c>
      <c r="N206" s="19">
        <v>1.3600000000000001E-3</v>
      </c>
      <c r="O206" s="19">
        <f t="shared" si="186"/>
        <v>1.3600000000000001E-3</v>
      </c>
      <c r="P206" s="88" t="s">
        <v>428</v>
      </c>
      <c r="Z206" s="19">
        <f t="shared" si="187"/>
        <v>0</v>
      </c>
      <c r="AB206" s="19">
        <f t="shared" si="188"/>
        <v>0</v>
      </c>
      <c r="AC206" s="19">
        <f t="shared" si="189"/>
        <v>0</v>
      </c>
      <c r="AD206" s="19">
        <f t="shared" si="190"/>
        <v>0</v>
      </c>
      <c r="AE206" s="19">
        <f t="shared" si="191"/>
        <v>0</v>
      </c>
      <c r="AF206" s="19">
        <f t="shared" si="192"/>
        <v>0</v>
      </c>
      <c r="AG206" s="19">
        <f t="shared" si="193"/>
        <v>0</v>
      </c>
      <c r="AH206" s="19">
        <f t="shared" si="194"/>
        <v>0</v>
      </c>
      <c r="AI206" s="16" t="s">
        <v>168</v>
      </c>
      <c r="AJ206" s="19">
        <f t="shared" si="195"/>
        <v>0</v>
      </c>
      <c r="AK206" s="19">
        <f t="shared" si="196"/>
        <v>0</v>
      </c>
      <c r="AL206" s="19">
        <f t="shared" si="197"/>
        <v>0</v>
      </c>
      <c r="AN206" s="19">
        <v>12</v>
      </c>
      <c r="AO206" s="19">
        <f>H206*0.883675227</f>
        <v>0</v>
      </c>
      <c r="AP206" s="19">
        <f>H206*(1-0.883675227)</f>
        <v>0</v>
      </c>
      <c r="AQ206" s="87" t="s">
        <v>429</v>
      </c>
      <c r="AV206" s="19">
        <f t="shared" si="198"/>
        <v>0</v>
      </c>
      <c r="AW206" s="19">
        <f t="shared" si="199"/>
        <v>0</v>
      </c>
      <c r="AX206" s="19">
        <f t="shared" si="200"/>
        <v>0</v>
      </c>
      <c r="AY206" s="87" t="s">
        <v>561</v>
      </c>
      <c r="AZ206" s="87" t="s">
        <v>592</v>
      </c>
      <c r="BA206" s="16" t="s">
        <v>593</v>
      </c>
      <c r="BC206" s="19">
        <f t="shared" si="201"/>
        <v>0</v>
      </c>
      <c r="BD206" s="19">
        <f t="shared" si="202"/>
        <v>0</v>
      </c>
      <c r="BE206" s="19">
        <v>0</v>
      </c>
      <c r="BF206" s="19">
        <f t="shared" si="203"/>
        <v>1.3600000000000001E-3</v>
      </c>
      <c r="BH206" s="19">
        <f t="shared" si="204"/>
        <v>0</v>
      </c>
      <c r="BI206" s="19">
        <f t="shared" si="205"/>
        <v>0</v>
      </c>
      <c r="BJ206" s="19">
        <f t="shared" si="206"/>
        <v>0</v>
      </c>
      <c r="BK206" s="19"/>
      <c r="BL206" s="19">
        <v>723</v>
      </c>
      <c r="BW206" s="19" t="str">
        <f t="shared" si="207"/>
        <v>12</v>
      </c>
      <c r="BX206" s="4" t="s">
        <v>132</v>
      </c>
    </row>
    <row r="207" spans="1:76" x14ac:dyDescent="0.25">
      <c r="A207" s="1" t="s">
        <v>605</v>
      </c>
      <c r="B207" s="2" t="s">
        <v>168</v>
      </c>
      <c r="C207" s="2" t="s">
        <v>133</v>
      </c>
      <c r="D207" s="108" t="s">
        <v>134</v>
      </c>
      <c r="E207" s="102"/>
      <c r="F207" s="2" t="s">
        <v>31</v>
      </c>
      <c r="G207" s="19">
        <f>'Rozpočet - vybrané sloupce'!J189</f>
        <v>118</v>
      </c>
      <c r="H207" s="19">
        <f>'Rozpočet - vybrané sloupce'!K189</f>
        <v>0</v>
      </c>
      <c r="I207" s="87" t="s">
        <v>427</v>
      </c>
      <c r="J207" s="19">
        <f t="shared" si="182"/>
        <v>0</v>
      </c>
      <c r="K207" s="19">
        <f t="shared" si="183"/>
        <v>0</v>
      </c>
      <c r="L207" s="19">
        <f t="shared" si="184"/>
        <v>0</v>
      </c>
      <c r="M207" s="19">
        <f t="shared" si="185"/>
        <v>0</v>
      </c>
      <c r="N207" s="19">
        <v>0</v>
      </c>
      <c r="O207" s="19">
        <f t="shared" si="186"/>
        <v>0</v>
      </c>
      <c r="P207" s="88" t="s">
        <v>428</v>
      </c>
      <c r="Z207" s="19">
        <f t="shared" si="187"/>
        <v>0</v>
      </c>
      <c r="AB207" s="19">
        <f t="shared" si="188"/>
        <v>0</v>
      </c>
      <c r="AC207" s="19">
        <f t="shared" si="189"/>
        <v>0</v>
      </c>
      <c r="AD207" s="19">
        <f t="shared" si="190"/>
        <v>0</v>
      </c>
      <c r="AE207" s="19">
        <f t="shared" si="191"/>
        <v>0</v>
      </c>
      <c r="AF207" s="19">
        <f t="shared" si="192"/>
        <v>0</v>
      </c>
      <c r="AG207" s="19">
        <f t="shared" si="193"/>
        <v>0</v>
      </c>
      <c r="AH207" s="19">
        <f t="shared" si="194"/>
        <v>0</v>
      </c>
      <c r="AI207" s="16" t="s">
        <v>168</v>
      </c>
      <c r="AJ207" s="19">
        <f t="shared" si="195"/>
        <v>0</v>
      </c>
      <c r="AK207" s="19">
        <f t="shared" si="196"/>
        <v>0</v>
      </c>
      <c r="AL207" s="19">
        <f t="shared" si="197"/>
        <v>0</v>
      </c>
      <c r="AN207" s="19">
        <v>12</v>
      </c>
      <c r="AO207" s="19">
        <f>H207*0</f>
        <v>0</v>
      </c>
      <c r="AP207" s="19">
        <f>H207*(1-0)</f>
        <v>0</v>
      </c>
      <c r="AQ207" s="87" t="s">
        <v>429</v>
      </c>
      <c r="AV207" s="19">
        <f t="shared" si="198"/>
        <v>0</v>
      </c>
      <c r="AW207" s="19">
        <f t="shared" si="199"/>
        <v>0</v>
      </c>
      <c r="AX207" s="19">
        <f t="shared" si="200"/>
        <v>0</v>
      </c>
      <c r="AY207" s="87" t="s">
        <v>561</v>
      </c>
      <c r="AZ207" s="87" t="s">
        <v>592</v>
      </c>
      <c r="BA207" s="16" t="s">
        <v>593</v>
      </c>
      <c r="BC207" s="19">
        <f t="shared" si="201"/>
        <v>0</v>
      </c>
      <c r="BD207" s="19">
        <f t="shared" si="202"/>
        <v>0</v>
      </c>
      <c r="BE207" s="19">
        <v>0</v>
      </c>
      <c r="BF207" s="19">
        <f t="shared" si="203"/>
        <v>0</v>
      </c>
      <c r="BH207" s="19">
        <f t="shared" si="204"/>
        <v>0</v>
      </c>
      <c r="BI207" s="19">
        <f t="shared" si="205"/>
        <v>0</v>
      </c>
      <c r="BJ207" s="19">
        <f t="shared" si="206"/>
        <v>0</v>
      </c>
      <c r="BK207" s="19"/>
      <c r="BL207" s="19">
        <v>723</v>
      </c>
      <c r="BW207" s="19" t="str">
        <f t="shared" si="207"/>
        <v>12</v>
      </c>
      <c r="BX207" s="4" t="s">
        <v>134</v>
      </c>
    </row>
    <row r="208" spans="1:76" x14ac:dyDescent="0.25">
      <c r="A208" s="1" t="s">
        <v>606</v>
      </c>
      <c r="B208" s="2" t="s">
        <v>168</v>
      </c>
      <c r="C208" s="2" t="s">
        <v>135</v>
      </c>
      <c r="D208" s="108" t="s">
        <v>136</v>
      </c>
      <c r="E208" s="102"/>
      <c r="F208" s="2" t="s">
        <v>62</v>
      </c>
      <c r="G208" s="19">
        <f>'Rozpočet - vybrané sloupce'!J190</f>
        <v>4</v>
      </c>
      <c r="H208" s="19">
        <f>'Rozpočet - vybrané sloupce'!K190</f>
        <v>0</v>
      </c>
      <c r="I208" s="87" t="s">
        <v>427</v>
      </c>
      <c r="J208" s="19">
        <f t="shared" si="182"/>
        <v>0</v>
      </c>
      <c r="K208" s="19">
        <f t="shared" si="183"/>
        <v>0</v>
      </c>
      <c r="L208" s="19">
        <f t="shared" si="184"/>
        <v>0</v>
      </c>
      <c r="M208" s="19">
        <f t="shared" si="185"/>
        <v>0</v>
      </c>
      <c r="N208" s="19">
        <v>0</v>
      </c>
      <c r="O208" s="19">
        <f t="shared" si="186"/>
        <v>0</v>
      </c>
      <c r="P208" s="88" t="s">
        <v>428</v>
      </c>
      <c r="Z208" s="19">
        <f t="shared" si="187"/>
        <v>0</v>
      </c>
      <c r="AB208" s="19">
        <f t="shared" si="188"/>
        <v>0</v>
      </c>
      <c r="AC208" s="19">
        <f t="shared" si="189"/>
        <v>0</v>
      </c>
      <c r="AD208" s="19">
        <f t="shared" si="190"/>
        <v>0</v>
      </c>
      <c r="AE208" s="19">
        <f t="shared" si="191"/>
        <v>0</v>
      </c>
      <c r="AF208" s="19">
        <f t="shared" si="192"/>
        <v>0</v>
      </c>
      <c r="AG208" s="19">
        <f t="shared" si="193"/>
        <v>0</v>
      </c>
      <c r="AH208" s="19">
        <f t="shared" si="194"/>
        <v>0</v>
      </c>
      <c r="AI208" s="16" t="s">
        <v>168</v>
      </c>
      <c r="AJ208" s="19">
        <f t="shared" si="195"/>
        <v>0</v>
      </c>
      <c r="AK208" s="19">
        <f t="shared" si="196"/>
        <v>0</v>
      </c>
      <c r="AL208" s="19">
        <f t="shared" si="197"/>
        <v>0</v>
      </c>
      <c r="AN208" s="19">
        <v>12</v>
      </c>
      <c r="AO208" s="19">
        <f>H208*0</f>
        <v>0</v>
      </c>
      <c r="AP208" s="19">
        <f>H208*(1-0)</f>
        <v>0</v>
      </c>
      <c r="AQ208" s="87" t="s">
        <v>429</v>
      </c>
      <c r="AV208" s="19">
        <f t="shared" si="198"/>
        <v>0</v>
      </c>
      <c r="AW208" s="19">
        <f t="shared" si="199"/>
        <v>0</v>
      </c>
      <c r="AX208" s="19">
        <f t="shared" si="200"/>
        <v>0</v>
      </c>
      <c r="AY208" s="87" t="s">
        <v>561</v>
      </c>
      <c r="AZ208" s="87" t="s">
        <v>592</v>
      </c>
      <c r="BA208" s="16" t="s">
        <v>593</v>
      </c>
      <c r="BC208" s="19">
        <f t="shared" si="201"/>
        <v>0</v>
      </c>
      <c r="BD208" s="19">
        <f t="shared" si="202"/>
        <v>0</v>
      </c>
      <c r="BE208" s="19">
        <v>0</v>
      </c>
      <c r="BF208" s="19">
        <f t="shared" si="203"/>
        <v>0</v>
      </c>
      <c r="BH208" s="19">
        <f t="shared" si="204"/>
        <v>0</v>
      </c>
      <c r="BI208" s="19">
        <f t="shared" si="205"/>
        <v>0</v>
      </c>
      <c r="BJ208" s="19">
        <f t="shared" si="206"/>
        <v>0</v>
      </c>
      <c r="BK208" s="19"/>
      <c r="BL208" s="19">
        <v>723</v>
      </c>
      <c r="BW208" s="19" t="str">
        <f t="shared" si="207"/>
        <v>12</v>
      </c>
      <c r="BX208" s="4" t="s">
        <v>136</v>
      </c>
    </row>
    <row r="209" spans="1:76" x14ac:dyDescent="0.25">
      <c r="A209" s="1" t="s">
        <v>607</v>
      </c>
      <c r="B209" s="2" t="s">
        <v>168</v>
      </c>
      <c r="C209" s="2" t="s">
        <v>137</v>
      </c>
      <c r="D209" s="108" t="s">
        <v>138</v>
      </c>
      <c r="E209" s="102"/>
      <c r="F209" s="2" t="s">
        <v>62</v>
      </c>
      <c r="G209" s="19">
        <f>'Rozpočet - vybrané sloupce'!J191</f>
        <v>4</v>
      </c>
      <c r="H209" s="19">
        <f>'Rozpočet - vybrané sloupce'!K191</f>
        <v>0</v>
      </c>
      <c r="I209" s="87" t="s">
        <v>427</v>
      </c>
      <c r="J209" s="19">
        <f t="shared" si="182"/>
        <v>0</v>
      </c>
      <c r="K209" s="19">
        <f t="shared" si="183"/>
        <v>0</v>
      </c>
      <c r="L209" s="19">
        <f t="shared" si="184"/>
        <v>0</v>
      </c>
      <c r="M209" s="19">
        <f t="shared" si="185"/>
        <v>0</v>
      </c>
      <c r="N209" s="19">
        <v>0</v>
      </c>
      <c r="O209" s="19">
        <f t="shared" si="186"/>
        <v>0</v>
      </c>
      <c r="P209" s="88" t="s">
        <v>428</v>
      </c>
      <c r="Z209" s="19">
        <f t="shared" si="187"/>
        <v>0</v>
      </c>
      <c r="AB209" s="19">
        <f t="shared" si="188"/>
        <v>0</v>
      </c>
      <c r="AC209" s="19">
        <f t="shared" si="189"/>
        <v>0</v>
      </c>
      <c r="AD209" s="19">
        <f t="shared" si="190"/>
        <v>0</v>
      </c>
      <c r="AE209" s="19">
        <f t="shared" si="191"/>
        <v>0</v>
      </c>
      <c r="AF209" s="19">
        <f t="shared" si="192"/>
        <v>0</v>
      </c>
      <c r="AG209" s="19">
        <f t="shared" si="193"/>
        <v>0</v>
      </c>
      <c r="AH209" s="19">
        <f t="shared" si="194"/>
        <v>0</v>
      </c>
      <c r="AI209" s="16" t="s">
        <v>168</v>
      </c>
      <c r="AJ209" s="19">
        <f t="shared" si="195"/>
        <v>0</v>
      </c>
      <c r="AK209" s="19">
        <f t="shared" si="196"/>
        <v>0</v>
      </c>
      <c r="AL209" s="19">
        <f t="shared" si="197"/>
        <v>0</v>
      </c>
      <c r="AN209" s="19">
        <v>12</v>
      </c>
      <c r="AO209" s="19">
        <f>H209*0</f>
        <v>0</v>
      </c>
      <c r="AP209" s="19">
        <f>H209*(1-0)</f>
        <v>0</v>
      </c>
      <c r="AQ209" s="87" t="s">
        <v>429</v>
      </c>
      <c r="AV209" s="19">
        <f t="shared" si="198"/>
        <v>0</v>
      </c>
      <c r="AW209" s="19">
        <f t="shared" si="199"/>
        <v>0</v>
      </c>
      <c r="AX209" s="19">
        <f t="shared" si="200"/>
        <v>0</v>
      </c>
      <c r="AY209" s="87" t="s">
        <v>561</v>
      </c>
      <c r="AZ209" s="87" t="s">
        <v>592</v>
      </c>
      <c r="BA209" s="16" t="s">
        <v>593</v>
      </c>
      <c r="BC209" s="19">
        <f t="shared" si="201"/>
        <v>0</v>
      </c>
      <c r="BD209" s="19">
        <f t="shared" si="202"/>
        <v>0</v>
      </c>
      <c r="BE209" s="19">
        <v>0</v>
      </c>
      <c r="BF209" s="19">
        <f t="shared" si="203"/>
        <v>0</v>
      </c>
      <c r="BH209" s="19">
        <f t="shared" si="204"/>
        <v>0</v>
      </c>
      <c r="BI209" s="19">
        <f t="shared" si="205"/>
        <v>0</v>
      </c>
      <c r="BJ209" s="19">
        <f t="shared" si="206"/>
        <v>0</v>
      </c>
      <c r="BK209" s="19"/>
      <c r="BL209" s="19">
        <v>723</v>
      </c>
      <c r="BW209" s="19" t="str">
        <f t="shared" si="207"/>
        <v>12</v>
      </c>
      <c r="BX209" s="4" t="s">
        <v>138</v>
      </c>
    </row>
    <row r="210" spans="1:76" x14ac:dyDescent="0.25">
      <c r="A210" s="1" t="s">
        <v>608</v>
      </c>
      <c r="B210" s="2" t="s">
        <v>168</v>
      </c>
      <c r="C210" s="2" t="s">
        <v>139</v>
      </c>
      <c r="D210" s="108" t="s">
        <v>140</v>
      </c>
      <c r="E210" s="102"/>
      <c r="F210" s="2" t="s">
        <v>100</v>
      </c>
      <c r="G210" s="19">
        <f>'Rozpočet - vybrané sloupce'!J192</f>
        <v>4</v>
      </c>
      <c r="H210" s="19">
        <f>'Rozpočet - vybrané sloupce'!K192</f>
        <v>0</v>
      </c>
      <c r="I210" s="87" t="s">
        <v>427</v>
      </c>
      <c r="J210" s="19">
        <f t="shared" si="182"/>
        <v>0</v>
      </c>
      <c r="K210" s="19">
        <f t="shared" si="183"/>
        <v>0</v>
      </c>
      <c r="L210" s="19">
        <f t="shared" si="184"/>
        <v>0</v>
      </c>
      <c r="M210" s="19">
        <f t="shared" si="185"/>
        <v>0</v>
      </c>
      <c r="N210" s="19">
        <v>0</v>
      </c>
      <c r="O210" s="19">
        <f t="shared" si="186"/>
        <v>0</v>
      </c>
      <c r="P210" s="88" t="s">
        <v>428</v>
      </c>
      <c r="Z210" s="19">
        <f t="shared" si="187"/>
        <v>0</v>
      </c>
      <c r="AB210" s="19">
        <f t="shared" si="188"/>
        <v>0</v>
      </c>
      <c r="AC210" s="19">
        <f t="shared" si="189"/>
        <v>0</v>
      </c>
      <c r="AD210" s="19">
        <f t="shared" si="190"/>
        <v>0</v>
      </c>
      <c r="AE210" s="19">
        <f t="shared" si="191"/>
        <v>0</v>
      </c>
      <c r="AF210" s="19">
        <f t="shared" si="192"/>
        <v>0</v>
      </c>
      <c r="AG210" s="19">
        <f t="shared" si="193"/>
        <v>0</v>
      </c>
      <c r="AH210" s="19">
        <f t="shared" si="194"/>
        <v>0</v>
      </c>
      <c r="AI210" s="16" t="s">
        <v>168</v>
      </c>
      <c r="AJ210" s="19">
        <f t="shared" si="195"/>
        <v>0</v>
      </c>
      <c r="AK210" s="19">
        <f t="shared" si="196"/>
        <v>0</v>
      </c>
      <c r="AL210" s="19">
        <f t="shared" si="197"/>
        <v>0</v>
      </c>
      <c r="AN210" s="19">
        <v>12</v>
      </c>
      <c r="AO210" s="19">
        <f>H210*0</f>
        <v>0</v>
      </c>
      <c r="AP210" s="19">
        <f>H210*(1-0)</f>
        <v>0</v>
      </c>
      <c r="AQ210" s="87" t="s">
        <v>429</v>
      </c>
      <c r="AV210" s="19">
        <f t="shared" si="198"/>
        <v>0</v>
      </c>
      <c r="AW210" s="19">
        <f t="shared" si="199"/>
        <v>0</v>
      </c>
      <c r="AX210" s="19">
        <f t="shared" si="200"/>
        <v>0</v>
      </c>
      <c r="AY210" s="87" t="s">
        <v>561</v>
      </c>
      <c r="AZ210" s="87" t="s">
        <v>592</v>
      </c>
      <c r="BA210" s="16" t="s">
        <v>593</v>
      </c>
      <c r="BC210" s="19">
        <f t="shared" si="201"/>
        <v>0</v>
      </c>
      <c r="BD210" s="19">
        <f t="shared" si="202"/>
        <v>0</v>
      </c>
      <c r="BE210" s="19">
        <v>0</v>
      </c>
      <c r="BF210" s="19">
        <f t="shared" si="203"/>
        <v>0</v>
      </c>
      <c r="BH210" s="19">
        <f t="shared" si="204"/>
        <v>0</v>
      </c>
      <c r="BI210" s="19">
        <f t="shared" si="205"/>
        <v>0</v>
      </c>
      <c r="BJ210" s="19">
        <f t="shared" si="206"/>
        <v>0</v>
      </c>
      <c r="BK210" s="19"/>
      <c r="BL210" s="19">
        <v>723</v>
      </c>
      <c r="BW210" s="19" t="str">
        <f t="shared" si="207"/>
        <v>12</v>
      </c>
      <c r="BX210" s="4" t="s">
        <v>140</v>
      </c>
    </row>
    <row r="211" spans="1:76" x14ac:dyDescent="0.25">
      <c r="A211" s="1" t="s">
        <v>609</v>
      </c>
      <c r="B211" s="2" t="s">
        <v>168</v>
      </c>
      <c r="C211" s="2" t="s">
        <v>141</v>
      </c>
      <c r="D211" s="108" t="s">
        <v>142</v>
      </c>
      <c r="E211" s="102"/>
      <c r="F211" s="2" t="s">
        <v>62</v>
      </c>
      <c r="G211" s="19">
        <f>'Rozpočet - vybrané sloupce'!J193</f>
        <v>3</v>
      </c>
      <c r="H211" s="19">
        <f>'Rozpočet - vybrané sloupce'!K193</f>
        <v>0</v>
      </c>
      <c r="I211" s="87" t="s">
        <v>427</v>
      </c>
      <c r="J211" s="19">
        <f t="shared" si="182"/>
        <v>0</v>
      </c>
      <c r="K211" s="19">
        <f t="shared" si="183"/>
        <v>0</v>
      </c>
      <c r="L211" s="19">
        <f t="shared" si="184"/>
        <v>0</v>
      </c>
      <c r="M211" s="19">
        <f t="shared" si="185"/>
        <v>0</v>
      </c>
      <c r="N211" s="19">
        <v>0</v>
      </c>
      <c r="O211" s="19">
        <f t="shared" si="186"/>
        <v>0</v>
      </c>
      <c r="P211" s="88" t="s">
        <v>428</v>
      </c>
      <c r="Z211" s="19">
        <f t="shared" si="187"/>
        <v>0</v>
      </c>
      <c r="AB211" s="19">
        <f t="shared" si="188"/>
        <v>0</v>
      </c>
      <c r="AC211" s="19">
        <f t="shared" si="189"/>
        <v>0</v>
      </c>
      <c r="AD211" s="19">
        <f t="shared" si="190"/>
        <v>0</v>
      </c>
      <c r="AE211" s="19">
        <f t="shared" si="191"/>
        <v>0</v>
      </c>
      <c r="AF211" s="19">
        <f t="shared" si="192"/>
        <v>0</v>
      </c>
      <c r="AG211" s="19">
        <f t="shared" si="193"/>
        <v>0</v>
      </c>
      <c r="AH211" s="19">
        <f t="shared" si="194"/>
        <v>0</v>
      </c>
      <c r="AI211" s="16" t="s">
        <v>168</v>
      </c>
      <c r="AJ211" s="19">
        <f t="shared" si="195"/>
        <v>0</v>
      </c>
      <c r="AK211" s="19">
        <f t="shared" si="196"/>
        <v>0</v>
      </c>
      <c r="AL211" s="19">
        <f t="shared" si="197"/>
        <v>0</v>
      </c>
      <c r="AN211" s="19">
        <v>12</v>
      </c>
      <c r="AO211" s="19">
        <f>H211*0.133192389</f>
        <v>0</v>
      </c>
      <c r="AP211" s="19">
        <f>H211*(1-0.133192389)</f>
        <v>0</v>
      </c>
      <c r="AQ211" s="87" t="s">
        <v>429</v>
      </c>
      <c r="AV211" s="19">
        <f t="shared" si="198"/>
        <v>0</v>
      </c>
      <c r="AW211" s="19">
        <f t="shared" si="199"/>
        <v>0</v>
      </c>
      <c r="AX211" s="19">
        <f t="shared" si="200"/>
        <v>0</v>
      </c>
      <c r="AY211" s="87" t="s">
        <v>561</v>
      </c>
      <c r="AZ211" s="87" t="s">
        <v>592</v>
      </c>
      <c r="BA211" s="16" t="s">
        <v>593</v>
      </c>
      <c r="BC211" s="19">
        <f t="shared" si="201"/>
        <v>0</v>
      </c>
      <c r="BD211" s="19">
        <f t="shared" si="202"/>
        <v>0</v>
      </c>
      <c r="BE211" s="19">
        <v>0</v>
      </c>
      <c r="BF211" s="19">
        <f t="shared" si="203"/>
        <v>0</v>
      </c>
      <c r="BH211" s="19">
        <f t="shared" si="204"/>
        <v>0</v>
      </c>
      <c r="BI211" s="19">
        <f t="shared" si="205"/>
        <v>0</v>
      </c>
      <c r="BJ211" s="19">
        <f t="shared" si="206"/>
        <v>0</v>
      </c>
      <c r="BK211" s="19"/>
      <c r="BL211" s="19">
        <v>723</v>
      </c>
      <c r="BW211" s="19" t="str">
        <f t="shared" si="207"/>
        <v>12</v>
      </c>
      <c r="BX211" s="4" t="s">
        <v>142</v>
      </c>
    </row>
    <row r="212" spans="1:76" x14ac:dyDescent="0.25">
      <c r="A212" s="1" t="s">
        <v>610</v>
      </c>
      <c r="B212" s="2" t="s">
        <v>168</v>
      </c>
      <c r="C212" s="2" t="s">
        <v>143</v>
      </c>
      <c r="D212" s="108" t="s">
        <v>144</v>
      </c>
      <c r="E212" s="102"/>
      <c r="F212" s="2" t="s">
        <v>62</v>
      </c>
      <c r="G212" s="19">
        <f>'Rozpočet - vybrané sloupce'!J194</f>
        <v>23</v>
      </c>
      <c r="H212" s="19">
        <f>'Rozpočet - vybrané sloupce'!K194</f>
        <v>0</v>
      </c>
      <c r="I212" s="87" t="s">
        <v>427</v>
      </c>
      <c r="J212" s="19">
        <f t="shared" si="182"/>
        <v>0</v>
      </c>
      <c r="K212" s="19">
        <f t="shared" si="183"/>
        <v>0</v>
      </c>
      <c r="L212" s="19">
        <f t="shared" si="184"/>
        <v>0</v>
      </c>
      <c r="M212" s="19">
        <f t="shared" si="185"/>
        <v>0</v>
      </c>
      <c r="N212" s="19">
        <v>8.8999999999999995E-4</v>
      </c>
      <c r="O212" s="19">
        <f t="shared" si="186"/>
        <v>2.0469999999999999E-2</v>
      </c>
      <c r="P212" s="88" t="s">
        <v>428</v>
      </c>
      <c r="Z212" s="19">
        <f t="shared" si="187"/>
        <v>0</v>
      </c>
      <c r="AB212" s="19">
        <f t="shared" si="188"/>
        <v>0</v>
      </c>
      <c r="AC212" s="19">
        <f t="shared" si="189"/>
        <v>0</v>
      </c>
      <c r="AD212" s="19">
        <f t="shared" si="190"/>
        <v>0</v>
      </c>
      <c r="AE212" s="19">
        <f t="shared" si="191"/>
        <v>0</v>
      </c>
      <c r="AF212" s="19">
        <f t="shared" si="192"/>
        <v>0</v>
      </c>
      <c r="AG212" s="19">
        <f t="shared" si="193"/>
        <v>0</v>
      </c>
      <c r="AH212" s="19">
        <f t="shared" si="194"/>
        <v>0</v>
      </c>
      <c r="AI212" s="16" t="s">
        <v>168</v>
      </c>
      <c r="AJ212" s="19">
        <f t="shared" si="195"/>
        <v>0</v>
      </c>
      <c r="AK212" s="19">
        <f t="shared" si="196"/>
        <v>0</v>
      </c>
      <c r="AL212" s="19">
        <f t="shared" si="197"/>
        <v>0</v>
      </c>
      <c r="AN212" s="19">
        <v>12</v>
      </c>
      <c r="AO212" s="19">
        <f>H212*0</f>
        <v>0</v>
      </c>
      <c r="AP212" s="19">
        <f>H212*(1-0)</f>
        <v>0</v>
      </c>
      <c r="AQ212" s="87" t="s">
        <v>429</v>
      </c>
      <c r="AV212" s="19">
        <f t="shared" si="198"/>
        <v>0</v>
      </c>
      <c r="AW212" s="19">
        <f t="shared" si="199"/>
        <v>0</v>
      </c>
      <c r="AX212" s="19">
        <f t="shared" si="200"/>
        <v>0</v>
      </c>
      <c r="AY212" s="87" t="s">
        <v>561</v>
      </c>
      <c r="AZ212" s="87" t="s">
        <v>592</v>
      </c>
      <c r="BA212" s="16" t="s">
        <v>593</v>
      </c>
      <c r="BC212" s="19">
        <f t="shared" si="201"/>
        <v>0</v>
      </c>
      <c r="BD212" s="19">
        <f t="shared" si="202"/>
        <v>0</v>
      </c>
      <c r="BE212" s="19">
        <v>0</v>
      </c>
      <c r="BF212" s="19">
        <f t="shared" si="203"/>
        <v>2.0469999999999999E-2</v>
      </c>
      <c r="BH212" s="19">
        <f t="shared" si="204"/>
        <v>0</v>
      </c>
      <c r="BI212" s="19">
        <f t="shared" si="205"/>
        <v>0</v>
      </c>
      <c r="BJ212" s="19">
        <f t="shared" si="206"/>
        <v>0</v>
      </c>
      <c r="BK212" s="19"/>
      <c r="BL212" s="19">
        <v>723</v>
      </c>
      <c r="BW212" s="19" t="str">
        <f t="shared" si="207"/>
        <v>12</v>
      </c>
      <c r="BX212" s="4" t="s">
        <v>144</v>
      </c>
    </row>
    <row r="213" spans="1:76" x14ac:dyDescent="0.25">
      <c r="A213" s="1" t="s">
        <v>611</v>
      </c>
      <c r="B213" s="2" t="s">
        <v>168</v>
      </c>
      <c r="C213" s="2" t="s">
        <v>145</v>
      </c>
      <c r="D213" s="108" t="s">
        <v>146</v>
      </c>
      <c r="E213" s="102"/>
      <c r="F213" s="2" t="s">
        <v>147</v>
      </c>
      <c r="G213" s="19">
        <f>'Rozpočet - vybrané sloupce'!J195</f>
        <v>23</v>
      </c>
      <c r="H213" s="19">
        <f>'Rozpočet - vybrané sloupce'!K195</f>
        <v>0</v>
      </c>
      <c r="I213" s="87" t="s">
        <v>427</v>
      </c>
      <c r="J213" s="19">
        <f t="shared" si="182"/>
        <v>0</v>
      </c>
      <c r="K213" s="19">
        <f t="shared" si="183"/>
        <v>0</v>
      </c>
      <c r="L213" s="19">
        <f t="shared" si="184"/>
        <v>0</v>
      </c>
      <c r="M213" s="19">
        <f t="shared" si="185"/>
        <v>0</v>
      </c>
      <c r="N213" s="19">
        <v>5.13E-3</v>
      </c>
      <c r="O213" s="19">
        <f t="shared" si="186"/>
        <v>0.11799</v>
      </c>
      <c r="P213" s="88" t="s">
        <v>428</v>
      </c>
      <c r="Z213" s="19">
        <f t="shared" si="187"/>
        <v>0</v>
      </c>
      <c r="AB213" s="19">
        <f t="shared" si="188"/>
        <v>0</v>
      </c>
      <c r="AC213" s="19">
        <f t="shared" si="189"/>
        <v>0</v>
      </c>
      <c r="AD213" s="19">
        <f t="shared" si="190"/>
        <v>0</v>
      </c>
      <c r="AE213" s="19">
        <f t="shared" si="191"/>
        <v>0</v>
      </c>
      <c r="AF213" s="19">
        <f t="shared" si="192"/>
        <v>0</v>
      </c>
      <c r="AG213" s="19">
        <f t="shared" si="193"/>
        <v>0</v>
      </c>
      <c r="AH213" s="19">
        <f t="shared" si="194"/>
        <v>0</v>
      </c>
      <c r="AI213" s="16" t="s">
        <v>168</v>
      </c>
      <c r="AJ213" s="19">
        <f t="shared" si="195"/>
        <v>0</v>
      </c>
      <c r="AK213" s="19">
        <f t="shared" si="196"/>
        <v>0</v>
      </c>
      <c r="AL213" s="19">
        <f t="shared" si="197"/>
        <v>0</v>
      </c>
      <c r="AN213" s="19">
        <v>12</v>
      </c>
      <c r="AO213" s="19">
        <f>H213*0</f>
        <v>0</v>
      </c>
      <c r="AP213" s="19">
        <f>H213*(1-0)</f>
        <v>0</v>
      </c>
      <c r="AQ213" s="87" t="s">
        <v>429</v>
      </c>
      <c r="AV213" s="19">
        <f t="shared" si="198"/>
        <v>0</v>
      </c>
      <c r="AW213" s="19">
        <f t="shared" si="199"/>
        <v>0</v>
      </c>
      <c r="AX213" s="19">
        <f t="shared" si="200"/>
        <v>0</v>
      </c>
      <c r="AY213" s="87" t="s">
        <v>561</v>
      </c>
      <c r="AZ213" s="87" t="s">
        <v>592</v>
      </c>
      <c r="BA213" s="16" t="s">
        <v>593</v>
      </c>
      <c r="BC213" s="19">
        <f t="shared" si="201"/>
        <v>0</v>
      </c>
      <c r="BD213" s="19">
        <f t="shared" si="202"/>
        <v>0</v>
      </c>
      <c r="BE213" s="19">
        <v>0</v>
      </c>
      <c r="BF213" s="19">
        <f t="shared" si="203"/>
        <v>0.11799</v>
      </c>
      <c r="BH213" s="19">
        <f t="shared" si="204"/>
        <v>0</v>
      </c>
      <c r="BI213" s="19">
        <f t="shared" si="205"/>
        <v>0</v>
      </c>
      <c r="BJ213" s="19">
        <f t="shared" si="206"/>
        <v>0</v>
      </c>
      <c r="BK213" s="19"/>
      <c r="BL213" s="19">
        <v>723</v>
      </c>
      <c r="BW213" s="19" t="str">
        <f t="shared" si="207"/>
        <v>12</v>
      </c>
      <c r="BX213" s="4" t="s">
        <v>146</v>
      </c>
    </row>
    <row r="214" spans="1:76" x14ac:dyDescent="0.25">
      <c r="A214" s="1" t="s">
        <v>612</v>
      </c>
      <c r="B214" s="2" t="s">
        <v>168</v>
      </c>
      <c r="C214" s="2" t="s">
        <v>148</v>
      </c>
      <c r="D214" s="108" t="s">
        <v>149</v>
      </c>
      <c r="E214" s="102"/>
      <c r="F214" s="2" t="s">
        <v>100</v>
      </c>
      <c r="G214" s="19">
        <f>'Rozpočet - vybrané sloupce'!J196</f>
        <v>23</v>
      </c>
      <c r="H214" s="19">
        <f>'Rozpočet - vybrané sloupce'!K196</f>
        <v>0</v>
      </c>
      <c r="I214" s="87" t="s">
        <v>427</v>
      </c>
      <c r="J214" s="19">
        <f t="shared" si="182"/>
        <v>0</v>
      </c>
      <c r="K214" s="19">
        <f t="shared" si="183"/>
        <v>0</v>
      </c>
      <c r="L214" s="19">
        <f t="shared" si="184"/>
        <v>0</v>
      </c>
      <c r="M214" s="19">
        <f t="shared" si="185"/>
        <v>0</v>
      </c>
      <c r="N214" s="19">
        <v>1.8000000000000001E-4</v>
      </c>
      <c r="O214" s="19">
        <f t="shared" si="186"/>
        <v>4.1400000000000005E-3</v>
      </c>
      <c r="P214" s="88" t="s">
        <v>428</v>
      </c>
      <c r="Z214" s="19">
        <f t="shared" si="187"/>
        <v>0</v>
      </c>
      <c r="AB214" s="19">
        <f t="shared" si="188"/>
        <v>0</v>
      </c>
      <c r="AC214" s="19">
        <f t="shared" si="189"/>
        <v>0</v>
      </c>
      <c r="AD214" s="19">
        <f t="shared" si="190"/>
        <v>0</v>
      </c>
      <c r="AE214" s="19">
        <f t="shared" si="191"/>
        <v>0</v>
      </c>
      <c r="AF214" s="19">
        <f t="shared" si="192"/>
        <v>0</v>
      </c>
      <c r="AG214" s="19">
        <f t="shared" si="193"/>
        <v>0</v>
      </c>
      <c r="AH214" s="19">
        <f t="shared" si="194"/>
        <v>0</v>
      </c>
      <c r="AI214" s="16" t="s">
        <v>168</v>
      </c>
      <c r="AJ214" s="19">
        <f t="shared" si="195"/>
        <v>0</v>
      </c>
      <c r="AK214" s="19">
        <f t="shared" si="196"/>
        <v>0</v>
      </c>
      <c r="AL214" s="19">
        <f t="shared" si="197"/>
        <v>0</v>
      </c>
      <c r="AN214" s="19">
        <v>12</v>
      </c>
      <c r="AO214" s="19">
        <f>H214*0.062206897</f>
        <v>0</v>
      </c>
      <c r="AP214" s="19">
        <f>H214*(1-0.062206897)</f>
        <v>0</v>
      </c>
      <c r="AQ214" s="87" t="s">
        <v>429</v>
      </c>
      <c r="AV214" s="19">
        <f t="shared" si="198"/>
        <v>0</v>
      </c>
      <c r="AW214" s="19">
        <f t="shared" si="199"/>
        <v>0</v>
      </c>
      <c r="AX214" s="19">
        <f t="shared" si="200"/>
        <v>0</v>
      </c>
      <c r="AY214" s="87" t="s">
        <v>561</v>
      </c>
      <c r="AZ214" s="87" t="s">
        <v>592</v>
      </c>
      <c r="BA214" s="16" t="s">
        <v>593</v>
      </c>
      <c r="BC214" s="19">
        <f t="shared" si="201"/>
        <v>0</v>
      </c>
      <c r="BD214" s="19">
        <f t="shared" si="202"/>
        <v>0</v>
      </c>
      <c r="BE214" s="19">
        <v>0</v>
      </c>
      <c r="BF214" s="19">
        <f t="shared" si="203"/>
        <v>4.1400000000000005E-3</v>
      </c>
      <c r="BH214" s="19">
        <f t="shared" si="204"/>
        <v>0</v>
      </c>
      <c r="BI214" s="19">
        <f t="shared" si="205"/>
        <v>0</v>
      </c>
      <c r="BJ214" s="19">
        <f t="shared" si="206"/>
        <v>0</v>
      </c>
      <c r="BK214" s="19"/>
      <c r="BL214" s="19">
        <v>723</v>
      </c>
      <c r="BW214" s="19" t="str">
        <f t="shared" si="207"/>
        <v>12</v>
      </c>
      <c r="BX214" s="4" t="s">
        <v>149</v>
      </c>
    </row>
    <row r="215" spans="1:76" x14ac:dyDescent="0.25">
      <c r="A215" s="1" t="s">
        <v>613</v>
      </c>
      <c r="B215" s="2" t="s">
        <v>168</v>
      </c>
      <c r="C215" s="2" t="s">
        <v>150</v>
      </c>
      <c r="D215" s="108" t="s">
        <v>151</v>
      </c>
      <c r="E215" s="102"/>
      <c r="F215" s="2" t="s">
        <v>100</v>
      </c>
      <c r="G215" s="19">
        <f>'Rozpočet - vybrané sloupce'!J197</f>
        <v>23</v>
      </c>
      <c r="H215" s="19">
        <f>'Rozpočet - vybrané sloupce'!K197</f>
        <v>0</v>
      </c>
      <c r="I215" s="87" t="s">
        <v>427</v>
      </c>
      <c r="J215" s="19">
        <f t="shared" si="182"/>
        <v>0</v>
      </c>
      <c r="K215" s="19">
        <f t="shared" si="183"/>
        <v>0</v>
      </c>
      <c r="L215" s="19">
        <f t="shared" si="184"/>
        <v>0</v>
      </c>
      <c r="M215" s="19">
        <f t="shared" si="185"/>
        <v>0</v>
      </c>
      <c r="N215" s="19">
        <v>3.2499999999999999E-3</v>
      </c>
      <c r="O215" s="19">
        <f t="shared" si="186"/>
        <v>7.4749999999999997E-2</v>
      </c>
      <c r="P215" s="88" t="s">
        <v>428</v>
      </c>
      <c r="Z215" s="19">
        <f t="shared" si="187"/>
        <v>0</v>
      </c>
      <c r="AB215" s="19">
        <f t="shared" si="188"/>
        <v>0</v>
      </c>
      <c r="AC215" s="19">
        <f t="shared" si="189"/>
        <v>0</v>
      </c>
      <c r="AD215" s="19">
        <f t="shared" si="190"/>
        <v>0</v>
      </c>
      <c r="AE215" s="19">
        <f t="shared" si="191"/>
        <v>0</v>
      </c>
      <c r="AF215" s="19">
        <f t="shared" si="192"/>
        <v>0</v>
      </c>
      <c r="AG215" s="19">
        <f t="shared" si="193"/>
        <v>0</v>
      </c>
      <c r="AH215" s="19">
        <f t="shared" si="194"/>
        <v>0</v>
      </c>
      <c r="AI215" s="16" t="s">
        <v>168</v>
      </c>
      <c r="AJ215" s="19">
        <f t="shared" si="195"/>
        <v>0</v>
      </c>
      <c r="AK215" s="19">
        <f t="shared" si="196"/>
        <v>0</v>
      </c>
      <c r="AL215" s="19">
        <f t="shared" si="197"/>
        <v>0</v>
      </c>
      <c r="AN215" s="19">
        <v>12</v>
      </c>
      <c r="AO215" s="19">
        <f>H215*0.474438596</f>
        <v>0</v>
      </c>
      <c r="AP215" s="19">
        <f>H215*(1-0.474438596)</f>
        <v>0</v>
      </c>
      <c r="AQ215" s="87" t="s">
        <v>429</v>
      </c>
      <c r="AV215" s="19">
        <f t="shared" si="198"/>
        <v>0</v>
      </c>
      <c r="AW215" s="19">
        <f t="shared" si="199"/>
        <v>0</v>
      </c>
      <c r="AX215" s="19">
        <f t="shared" si="200"/>
        <v>0</v>
      </c>
      <c r="AY215" s="87" t="s">
        <v>561</v>
      </c>
      <c r="AZ215" s="87" t="s">
        <v>592</v>
      </c>
      <c r="BA215" s="16" t="s">
        <v>593</v>
      </c>
      <c r="BC215" s="19">
        <f t="shared" si="201"/>
        <v>0</v>
      </c>
      <c r="BD215" s="19">
        <f t="shared" si="202"/>
        <v>0</v>
      </c>
      <c r="BE215" s="19">
        <v>0</v>
      </c>
      <c r="BF215" s="19">
        <f t="shared" si="203"/>
        <v>7.4749999999999997E-2</v>
      </c>
      <c r="BH215" s="19">
        <f t="shared" si="204"/>
        <v>0</v>
      </c>
      <c r="BI215" s="19">
        <f t="shared" si="205"/>
        <v>0</v>
      </c>
      <c r="BJ215" s="19">
        <f t="shared" si="206"/>
        <v>0</v>
      </c>
      <c r="BK215" s="19"/>
      <c r="BL215" s="19">
        <v>723</v>
      </c>
      <c r="BW215" s="19" t="str">
        <f t="shared" si="207"/>
        <v>12</v>
      </c>
      <c r="BX215" s="4" t="s">
        <v>151</v>
      </c>
    </row>
    <row r="216" spans="1:76" x14ac:dyDescent="0.25">
      <c r="A216" s="1" t="s">
        <v>614</v>
      </c>
      <c r="B216" s="2" t="s">
        <v>168</v>
      </c>
      <c r="C216" s="2" t="s">
        <v>152</v>
      </c>
      <c r="D216" s="108" t="s">
        <v>153</v>
      </c>
      <c r="E216" s="102"/>
      <c r="F216" s="2" t="s">
        <v>62</v>
      </c>
      <c r="G216" s="19">
        <f>'Rozpočet - vybrané sloupce'!J198</f>
        <v>23</v>
      </c>
      <c r="H216" s="19">
        <f>'Rozpočet - vybrané sloupce'!K198</f>
        <v>0</v>
      </c>
      <c r="I216" s="87" t="s">
        <v>427</v>
      </c>
      <c r="J216" s="19">
        <f t="shared" si="182"/>
        <v>0</v>
      </c>
      <c r="K216" s="19">
        <f t="shared" si="183"/>
        <v>0</v>
      </c>
      <c r="L216" s="19">
        <f t="shared" si="184"/>
        <v>0</v>
      </c>
      <c r="M216" s="19">
        <f t="shared" si="185"/>
        <v>0</v>
      </c>
      <c r="N216" s="19">
        <v>4.3800000000000002E-3</v>
      </c>
      <c r="O216" s="19">
        <f t="shared" si="186"/>
        <v>0.10074000000000001</v>
      </c>
      <c r="P216" s="88" t="s">
        <v>428</v>
      </c>
      <c r="Z216" s="19">
        <f t="shared" si="187"/>
        <v>0</v>
      </c>
      <c r="AB216" s="19">
        <f t="shared" si="188"/>
        <v>0</v>
      </c>
      <c r="AC216" s="19">
        <f t="shared" si="189"/>
        <v>0</v>
      </c>
      <c r="AD216" s="19">
        <f t="shared" si="190"/>
        <v>0</v>
      </c>
      <c r="AE216" s="19">
        <f t="shared" si="191"/>
        <v>0</v>
      </c>
      <c r="AF216" s="19">
        <f t="shared" si="192"/>
        <v>0</v>
      </c>
      <c r="AG216" s="19">
        <f t="shared" si="193"/>
        <v>0</v>
      </c>
      <c r="AH216" s="19">
        <f t="shared" si="194"/>
        <v>0</v>
      </c>
      <c r="AI216" s="16" t="s">
        <v>168</v>
      </c>
      <c r="AJ216" s="19">
        <f t="shared" si="195"/>
        <v>0</v>
      </c>
      <c r="AK216" s="19">
        <f t="shared" si="196"/>
        <v>0</v>
      </c>
      <c r="AL216" s="19">
        <f t="shared" si="197"/>
        <v>0</v>
      </c>
      <c r="AN216" s="19">
        <v>12</v>
      </c>
      <c r="AO216" s="19">
        <f>H216*0.219754683</f>
        <v>0</v>
      </c>
      <c r="AP216" s="19">
        <f>H216*(1-0.219754683)</f>
        <v>0</v>
      </c>
      <c r="AQ216" s="87" t="s">
        <v>429</v>
      </c>
      <c r="AV216" s="19">
        <f t="shared" si="198"/>
        <v>0</v>
      </c>
      <c r="AW216" s="19">
        <f t="shared" si="199"/>
        <v>0</v>
      </c>
      <c r="AX216" s="19">
        <f t="shared" si="200"/>
        <v>0</v>
      </c>
      <c r="AY216" s="87" t="s">
        <v>561</v>
      </c>
      <c r="AZ216" s="87" t="s">
        <v>592</v>
      </c>
      <c r="BA216" s="16" t="s">
        <v>593</v>
      </c>
      <c r="BC216" s="19">
        <f t="shared" si="201"/>
        <v>0</v>
      </c>
      <c r="BD216" s="19">
        <f t="shared" si="202"/>
        <v>0</v>
      </c>
      <c r="BE216" s="19">
        <v>0</v>
      </c>
      <c r="BF216" s="19">
        <f t="shared" si="203"/>
        <v>0.10074000000000001</v>
      </c>
      <c r="BH216" s="19">
        <f t="shared" si="204"/>
        <v>0</v>
      </c>
      <c r="BI216" s="19">
        <f t="shared" si="205"/>
        <v>0</v>
      </c>
      <c r="BJ216" s="19">
        <f t="shared" si="206"/>
        <v>0</v>
      </c>
      <c r="BK216" s="19"/>
      <c r="BL216" s="19">
        <v>723</v>
      </c>
      <c r="BW216" s="19" t="str">
        <f t="shared" si="207"/>
        <v>12</v>
      </c>
      <c r="BX216" s="4" t="s">
        <v>153</v>
      </c>
    </row>
    <row r="217" spans="1:76" x14ac:dyDescent="0.25">
      <c r="A217" s="1" t="s">
        <v>615</v>
      </c>
      <c r="B217" s="2" t="s">
        <v>168</v>
      </c>
      <c r="C217" s="2" t="s">
        <v>154</v>
      </c>
      <c r="D217" s="108" t="s">
        <v>155</v>
      </c>
      <c r="E217" s="102"/>
      <c r="F217" s="2" t="s">
        <v>62</v>
      </c>
      <c r="G217" s="19">
        <f>'Rozpočet - vybrané sloupce'!J199</f>
        <v>23</v>
      </c>
      <c r="H217" s="19">
        <f>'Rozpočet - vybrané sloupce'!K199</f>
        <v>0</v>
      </c>
      <c r="I217" s="87" t="s">
        <v>427</v>
      </c>
      <c r="J217" s="19">
        <f t="shared" si="182"/>
        <v>0</v>
      </c>
      <c r="K217" s="19">
        <f t="shared" si="183"/>
        <v>0</v>
      </c>
      <c r="L217" s="19">
        <f t="shared" si="184"/>
        <v>0</v>
      </c>
      <c r="M217" s="19">
        <f t="shared" si="185"/>
        <v>0</v>
      </c>
      <c r="N217" s="19">
        <v>1.7000000000000001E-4</v>
      </c>
      <c r="O217" s="19">
        <f t="shared" si="186"/>
        <v>3.9100000000000003E-3</v>
      </c>
      <c r="P217" s="88" t="s">
        <v>428</v>
      </c>
      <c r="Z217" s="19">
        <f t="shared" si="187"/>
        <v>0</v>
      </c>
      <c r="AB217" s="19">
        <f t="shared" si="188"/>
        <v>0</v>
      </c>
      <c r="AC217" s="19">
        <f t="shared" si="189"/>
        <v>0</v>
      </c>
      <c r="AD217" s="19">
        <f t="shared" si="190"/>
        <v>0</v>
      </c>
      <c r="AE217" s="19">
        <f t="shared" si="191"/>
        <v>0</v>
      </c>
      <c r="AF217" s="19">
        <f t="shared" si="192"/>
        <v>0</v>
      </c>
      <c r="AG217" s="19">
        <f t="shared" si="193"/>
        <v>0</v>
      </c>
      <c r="AH217" s="19">
        <f t="shared" si="194"/>
        <v>0</v>
      </c>
      <c r="AI217" s="16" t="s">
        <v>168</v>
      </c>
      <c r="AJ217" s="19">
        <f t="shared" si="195"/>
        <v>0</v>
      </c>
      <c r="AK217" s="19">
        <f t="shared" si="196"/>
        <v>0</v>
      </c>
      <c r="AL217" s="19">
        <f t="shared" si="197"/>
        <v>0</v>
      </c>
      <c r="AN217" s="19">
        <v>12</v>
      </c>
      <c r="AO217" s="19">
        <f>H217*0.250098297</f>
        <v>0</v>
      </c>
      <c r="AP217" s="19">
        <f>H217*(1-0.250098297)</f>
        <v>0</v>
      </c>
      <c r="AQ217" s="87" t="s">
        <v>429</v>
      </c>
      <c r="AV217" s="19">
        <f t="shared" si="198"/>
        <v>0</v>
      </c>
      <c r="AW217" s="19">
        <f t="shared" si="199"/>
        <v>0</v>
      </c>
      <c r="AX217" s="19">
        <f t="shared" si="200"/>
        <v>0</v>
      </c>
      <c r="AY217" s="87" t="s">
        <v>561</v>
      </c>
      <c r="AZ217" s="87" t="s">
        <v>592</v>
      </c>
      <c r="BA217" s="16" t="s">
        <v>593</v>
      </c>
      <c r="BC217" s="19">
        <f t="shared" si="201"/>
        <v>0</v>
      </c>
      <c r="BD217" s="19">
        <f t="shared" si="202"/>
        <v>0</v>
      </c>
      <c r="BE217" s="19">
        <v>0</v>
      </c>
      <c r="BF217" s="19">
        <f t="shared" si="203"/>
        <v>3.9100000000000003E-3</v>
      </c>
      <c r="BH217" s="19">
        <f t="shared" si="204"/>
        <v>0</v>
      </c>
      <c r="BI217" s="19">
        <f t="shared" si="205"/>
        <v>0</v>
      </c>
      <c r="BJ217" s="19">
        <f t="shared" si="206"/>
        <v>0</v>
      </c>
      <c r="BK217" s="19"/>
      <c r="BL217" s="19">
        <v>723</v>
      </c>
      <c r="BW217" s="19" t="str">
        <f t="shared" si="207"/>
        <v>12</v>
      </c>
      <c r="BX217" s="4" t="s">
        <v>155</v>
      </c>
    </row>
    <row r="218" spans="1:76" x14ac:dyDescent="0.25">
      <c r="A218" s="1" t="s">
        <v>616</v>
      </c>
      <c r="B218" s="2" t="s">
        <v>168</v>
      </c>
      <c r="C218" s="2" t="s">
        <v>156</v>
      </c>
      <c r="D218" s="108" t="s">
        <v>157</v>
      </c>
      <c r="E218" s="102"/>
      <c r="F218" s="2" t="s">
        <v>62</v>
      </c>
      <c r="G218" s="19">
        <f>'Rozpočet - vybrané sloupce'!J200</f>
        <v>23</v>
      </c>
      <c r="H218" s="19">
        <f>'Rozpočet - vybrané sloupce'!K200</f>
        <v>0</v>
      </c>
      <c r="I218" s="87" t="s">
        <v>427</v>
      </c>
      <c r="J218" s="19">
        <f t="shared" si="182"/>
        <v>0</v>
      </c>
      <c r="K218" s="19">
        <f t="shared" si="183"/>
        <v>0</v>
      </c>
      <c r="L218" s="19">
        <f t="shared" si="184"/>
        <v>0</v>
      </c>
      <c r="M218" s="19">
        <f t="shared" si="185"/>
        <v>0</v>
      </c>
      <c r="N218" s="19">
        <v>0</v>
      </c>
      <c r="O218" s="19">
        <f t="shared" si="186"/>
        <v>0</v>
      </c>
      <c r="P218" s="88" t="s">
        <v>428</v>
      </c>
      <c r="Z218" s="19">
        <f t="shared" si="187"/>
        <v>0</v>
      </c>
      <c r="AB218" s="19">
        <f t="shared" si="188"/>
        <v>0</v>
      </c>
      <c r="AC218" s="19">
        <f t="shared" si="189"/>
        <v>0</v>
      </c>
      <c r="AD218" s="19">
        <f t="shared" si="190"/>
        <v>0</v>
      </c>
      <c r="AE218" s="19">
        <f t="shared" si="191"/>
        <v>0</v>
      </c>
      <c r="AF218" s="19">
        <f t="shared" si="192"/>
        <v>0</v>
      </c>
      <c r="AG218" s="19">
        <f t="shared" si="193"/>
        <v>0</v>
      </c>
      <c r="AH218" s="19">
        <f t="shared" si="194"/>
        <v>0</v>
      </c>
      <c r="AI218" s="16" t="s">
        <v>168</v>
      </c>
      <c r="AJ218" s="19">
        <f t="shared" si="195"/>
        <v>0</v>
      </c>
      <c r="AK218" s="19">
        <f t="shared" si="196"/>
        <v>0</v>
      </c>
      <c r="AL218" s="19">
        <f t="shared" si="197"/>
        <v>0</v>
      </c>
      <c r="AN218" s="19">
        <v>12</v>
      </c>
      <c r="AO218" s="19">
        <f>H218*0.125</f>
        <v>0</v>
      </c>
      <c r="AP218" s="19">
        <f>H218*(1-0.125)</f>
        <v>0</v>
      </c>
      <c r="AQ218" s="87" t="s">
        <v>429</v>
      </c>
      <c r="AV218" s="19">
        <f t="shared" si="198"/>
        <v>0</v>
      </c>
      <c r="AW218" s="19">
        <f t="shared" si="199"/>
        <v>0</v>
      </c>
      <c r="AX218" s="19">
        <f t="shared" si="200"/>
        <v>0</v>
      </c>
      <c r="AY218" s="87" t="s">
        <v>561</v>
      </c>
      <c r="AZ218" s="87" t="s">
        <v>592</v>
      </c>
      <c r="BA218" s="16" t="s">
        <v>593</v>
      </c>
      <c r="BC218" s="19">
        <f t="shared" si="201"/>
        <v>0</v>
      </c>
      <c r="BD218" s="19">
        <f t="shared" si="202"/>
        <v>0</v>
      </c>
      <c r="BE218" s="19">
        <v>0</v>
      </c>
      <c r="BF218" s="19">
        <f t="shared" si="203"/>
        <v>0</v>
      </c>
      <c r="BH218" s="19">
        <f t="shared" si="204"/>
        <v>0</v>
      </c>
      <c r="BI218" s="19">
        <f t="shared" si="205"/>
        <v>0</v>
      </c>
      <c r="BJ218" s="19">
        <f t="shared" si="206"/>
        <v>0</v>
      </c>
      <c r="BK218" s="19"/>
      <c r="BL218" s="19">
        <v>723</v>
      </c>
      <c r="BW218" s="19" t="str">
        <f t="shared" si="207"/>
        <v>12</v>
      </c>
      <c r="BX218" s="4" t="s">
        <v>157</v>
      </c>
    </row>
    <row r="219" spans="1:76" x14ac:dyDescent="0.25">
      <c r="A219" s="1" t="s">
        <v>617</v>
      </c>
      <c r="B219" s="2" t="s">
        <v>168</v>
      </c>
      <c r="C219" s="2" t="s">
        <v>158</v>
      </c>
      <c r="D219" s="108" t="s">
        <v>159</v>
      </c>
      <c r="E219" s="102"/>
      <c r="F219" s="2" t="s">
        <v>100</v>
      </c>
      <c r="G219" s="19">
        <f>'Rozpočet - vybrané sloupce'!J201</f>
        <v>23</v>
      </c>
      <c r="H219" s="19">
        <f>'Rozpočet - vybrané sloupce'!K201</f>
        <v>0</v>
      </c>
      <c r="I219" s="87" t="s">
        <v>427</v>
      </c>
      <c r="J219" s="19">
        <f t="shared" si="182"/>
        <v>0</v>
      </c>
      <c r="K219" s="19">
        <f t="shared" si="183"/>
        <v>0</v>
      </c>
      <c r="L219" s="19">
        <f t="shared" si="184"/>
        <v>0</v>
      </c>
      <c r="M219" s="19">
        <f t="shared" si="185"/>
        <v>0</v>
      </c>
      <c r="N219" s="19">
        <v>0</v>
      </c>
      <c r="O219" s="19">
        <f t="shared" si="186"/>
        <v>0</v>
      </c>
      <c r="P219" s="88" t="s">
        <v>428</v>
      </c>
      <c r="Z219" s="19">
        <f t="shared" si="187"/>
        <v>0</v>
      </c>
      <c r="AB219" s="19">
        <f t="shared" si="188"/>
        <v>0</v>
      </c>
      <c r="AC219" s="19">
        <f t="shared" si="189"/>
        <v>0</v>
      </c>
      <c r="AD219" s="19">
        <f t="shared" si="190"/>
        <v>0</v>
      </c>
      <c r="AE219" s="19">
        <f t="shared" si="191"/>
        <v>0</v>
      </c>
      <c r="AF219" s="19">
        <f t="shared" si="192"/>
        <v>0</v>
      </c>
      <c r="AG219" s="19">
        <f t="shared" si="193"/>
        <v>0</v>
      </c>
      <c r="AH219" s="19">
        <f t="shared" si="194"/>
        <v>0</v>
      </c>
      <c r="AI219" s="16" t="s">
        <v>168</v>
      </c>
      <c r="AJ219" s="19">
        <f t="shared" si="195"/>
        <v>0</v>
      </c>
      <c r="AK219" s="19">
        <f t="shared" si="196"/>
        <v>0</v>
      </c>
      <c r="AL219" s="19">
        <f t="shared" si="197"/>
        <v>0</v>
      </c>
      <c r="AN219" s="19">
        <v>12</v>
      </c>
      <c r="AO219" s="19">
        <f>H219*0.692285641</f>
        <v>0</v>
      </c>
      <c r="AP219" s="19">
        <f>H219*(1-0.692285641)</f>
        <v>0</v>
      </c>
      <c r="AQ219" s="87" t="s">
        <v>429</v>
      </c>
      <c r="AV219" s="19">
        <f t="shared" si="198"/>
        <v>0</v>
      </c>
      <c r="AW219" s="19">
        <f t="shared" si="199"/>
        <v>0</v>
      </c>
      <c r="AX219" s="19">
        <f t="shared" si="200"/>
        <v>0</v>
      </c>
      <c r="AY219" s="87" t="s">
        <v>561</v>
      </c>
      <c r="AZ219" s="87" t="s">
        <v>592</v>
      </c>
      <c r="BA219" s="16" t="s">
        <v>593</v>
      </c>
      <c r="BC219" s="19">
        <f t="shared" si="201"/>
        <v>0</v>
      </c>
      <c r="BD219" s="19">
        <f t="shared" si="202"/>
        <v>0</v>
      </c>
      <c r="BE219" s="19">
        <v>0</v>
      </c>
      <c r="BF219" s="19">
        <f t="shared" si="203"/>
        <v>0</v>
      </c>
      <c r="BH219" s="19">
        <f t="shared" si="204"/>
        <v>0</v>
      </c>
      <c r="BI219" s="19">
        <f t="shared" si="205"/>
        <v>0</v>
      </c>
      <c r="BJ219" s="19">
        <f t="shared" si="206"/>
        <v>0</v>
      </c>
      <c r="BK219" s="19"/>
      <c r="BL219" s="19">
        <v>723</v>
      </c>
      <c r="BW219" s="19" t="str">
        <f t="shared" si="207"/>
        <v>12</v>
      </c>
      <c r="BX219" s="4" t="s">
        <v>159</v>
      </c>
    </row>
    <row r="220" spans="1:76" x14ac:dyDescent="0.25">
      <c r="A220" s="1" t="s">
        <v>618</v>
      </c>
      <c r="B220" s="2" t="s">
        <v>168</v>
      </c>
      <c r="C220" s="2" t="s">
        <v>160</v>
      </c>
      <c r="D220" s="108" t="s">
        <v>161</v>
      </c>
      <c r="E220" s="102"/>
      <c r="F220" s="2" t="s">
        <v>31</v>
      </c>
      <c r="G220" s="19">
        <f>'Rozpočet - vybrané sloupce'!J202</f>
        <v>118</v>
      </c>
      <c r="H220" s="19">
        <f>'Rozpočet - vybrané sloupce'!K202</f>
        <v>0</v>
      </c>
      <c r="I220" s="87" t="s">
        <v>427</v>
      </c>
      <c r="J220" s="19">
        <f t="shared" si="182"/>
        <v>0</v>
      </c>
      <c r="K220" s="19">
        <f t="shared" si="183"/>
        <v>0</v>
      </c>
      <c r="L220" s="19">
        <f t="shared" si="184"/>
        <v>0</v>
      </c>
      <c r="M220" s="19">
        <f t="shared" si="185"/>
        <v>0</v>
      </c>
      <c r="N220" s="19">
        <v>0</v>
      </c>
      <c r="O220" s="19">
        <f t="shared" si="186"/>
        <v>0</v>
      </c>
      <c r="P220" s="88" t="s">
        <v>428</v>
      </c>
      <c r="Z220" s="19">
        <f t="shared" si="187"/>
        <v>0</v>
      </c>
      <c r="AB220" s="19">
        <f t="shared" si="188"/>
        <v>0</v>
      </c>
      <c r="AC220" s="19">
        <f t="shared" si="189"/>
        <v>0</v>
      </c>
      <c r="AD220" s="19">
        <f t="shared" si="190"/>
        <v>0</v>
      </c>
      <c r="AE220" s="19">
        <f t="shared" si="191"/>
        <v>0</v>
      </c>
      <c r="AF220" s="19">
        <f t="shared" si="192"/>
        <v>0</v>
      </c>
      <c r="AG220" s="19">
        <f t="shared" si="193"/>
        <v>0</v>
      </c>
      <c r="AH220" s="19">
        <f t="shared" si="194"/>
        <v>0</v>
      </c>
      <c r="AI220" s="16" t="s">
        <v>168</v>
      </c>
      <c r="AJ220" s="19">
        <f t="shared" si="195"/>
        <v>0</v>
      </c>
      <c r="AK220" s="19">
        <f t="shared" si="196"/>
        <v>0</v>
      </c>
      <c r="AL220" s="19">
        <f t="shared" si="197"/>
        <v>0</v>
      </c>
      <c r="AN220" s="19">
        <v>12</v>
      </c>
      <c r="AO220" s="19">
        <f>H220*0.5</f>
        <v>0</v>
      </c>
      <c r="AP220" s="19">
        <f>H220*(1-0.5)</f>
        <v>0</v>
      </c>
      <c r="AQ220" s="87" t="s">
        <v>429</v>
      </c>
      <c r="AV220" s="19">
        <f t="shared" si="198"/>
        <v>0</v>
      </c>
      <c r="AW220" s="19">
        <f t="shared" si="199"/>
        <v>0</v>
      </c>
      <c r="AX220" s="19">
        <f t="shared" si="200"/>
        <v>0</v>
      </c>
      <c r="AY220" s="87" t="s">
        <v>561</v>
      </c>
      <c r="AZ220" s="87" t="s">
        <v>592</v>
      </c>
      <c r="BA220" s="16" t="s">
        <v>593</v>
      </c>
      <c r="BC220" s="19">
        <f t="shared" si="201"/>
        <v>0</v>
      </c>
      <c r="BD220" s="19">
        <f t="shared" si="202"/>
        <v>0</v>
      </c>
      <c r="BE220" s="19">
        <v>0</v>
      </c>
      <c r="BF220" s="19">
        <f t="shared" si="203"/>
        <v>0</v>
      </c>
      <c r="BH220" s="19">
        <f t="shared" si="204"/>
        <v>0</v>
      </c>
      <c r="BI220" s="19">
        <f t="shared" si="205"/>
        <v>0</v>
      </c>
      <c r="BJ220" s="19">
        <f t="shared" si="206"/>
        <v>0</v>
      </c>
      <c r="BK220" s="19"/>
      <c r="BL220" s="19">
        <v>723</v>
      </c>
      <c r="BW220" s="19" t="str">
        <f t="shared" si="207"/>
        <v>12</v>
      </c>
      <c r="BX220" s="4" t="s">
        <v>161</v>
      </c>
    </row>
    <row r="221" spans="1:76" x14ac:dyDescent="0.25">
      <c r="A221" s="1" t="s">
        <v>619</v>
      </c>
      <c r="B221" s="2" t="s">
        <v>168</v>
      </c>
      <c r="C221" s="2" t="s">
        <v>162</v>
      </c>
      <c r="D221" s="108" t="s">
        <v>163</v>
      </c>
      <c r="E221" s="102"/>
      <c r="F221" s="2" t="s">
        <v>100</v>
      </c>
      <c r="G221" s="19">
        <f>'Rozpočet - vybrané sloupce'!J203</f>
        <v>3</v>
      </c>
      <c r="H221" s="19">
        <f>'Rozpočet - vybrané sloupce'!K203</f>
        <v>0</v>
      </c>
      <c r="I221" s="87" t="s">
        <v>427</v>
      </c>
      <c r="J221" s="19">
        <f t="shared" si="182"/>
        <v>0</v>
      </c>
      <c r="K221" s="19">
        <f t="shared" si="183"/>
        <v>0</v>
      </c>
      <c r="L221" s="19">
        <f t="shared" si="184"/>
        <v>0</v>
      </c>
      <c r="M221" s="19">
        <f t="shared" si="185"/>
        <v>0</v>
      </c>
      <c r="N221" s="19">
        <v>0</v>
      </c>
      <c r="O221" s="19">
        <f t="shared" si="186"/>
        <v>0</v>
      </c>
      <c r="P221" s="88" t="s">
        <v>428</v>
      </c>
      <c r="Z221" s="19">
        <f t="shared" si="187"/>
        <v>0</v>
      </c>
      <c r="AB221" s="19">
        <f t="shared" si="188"/>
        <v>0</v>
      </c>
      <c r="AC221" s="19">
        <f t="shared" si="189"/>
        <v>0</v>
      </c>
      <c r="AD221" s="19">
        <f t="shared" si="190"/>
        <v>0</v>
      </c>
      <c r="AE221" s="19">
        <f t="shared" si="191"/>
        <v>0</v>
      </c>
      <c r="AF221" s="19">
        <f t="shared" si="192"/>
        <v>0</v>
      </c>
      <c r="AG221" s="19">
        <f t="shared" si="193"/>
        <v>0</v>
      </c>
      <c r="AH221" s="19">
        <f t="shared" si="194"/>
        <v>0</v>
      </c>
      <c r="AI221" s="16" t="s">
        <v>168</v>
      </c>
      <c r="AJ221" s="19">
        <f t="shared" si="195"/>
        <v>0</v>
      </c>
      <c r="AK221" s="19">
        <f t="shared" si="196"/>
        <v>0</v>
      </c>
      <c r="AL221" s="19">
        <f t="shared" si="197"/>
        <v>0</v>
      </c>
      <c r="AN221" s="19">
        <v>12</v>
      </c>
      <c r="AO221" s="19">
        <f>H221*0.391304348</f>
        <v>0</v>
      </c>
      <c r="AP221" s="19">
        <f>H221*(1-0.391304348)</f>
        <v>0</v>
      </c>
      <c r="AQ221" s="87" t="s">
        <v>429</v>
      </c>
      <c r="AV221" s="19">
        <f t="shared" si="198"/>
        <v>0</v>
      </c>
      <c r="AW221" s="19">
        <f t="shared" si="199"/>
        <v>0</v>
      </c>
      <c r="AX221" s="19">
        <f t="shared" si="200"/>
        <v>0</v>
      </c>
      <c r="AY221" s="87" t="s">
        <v>561</v>
      </c>
      <c r="AZ221" s="87" t="s">
        <v>592</v>
      </c>
      <c r="BA221" s="16" t="s">
        <v>593</v>
      </c>
      <c r="BC221" s="19">
        <f t="shared" si="201"/>
        <v>0</v>
      </c>
      <c r="BD221" s="19">
        <f t="shared" si="202"/>
        <v>0</v>
      </c>
      <c r="BE221" s="19">
        <v>0</v>
      </c>
      <c r="BF221" s="19">
        <f t="shared" si="203"/>
        <v>0</v>
      </c>
      <c r="BH221" s="19">
        <f t="shared" si="204"/>
        <v>0</v>
      </c>
      <c r="BI221" s="19">
        <f t="shared" si="205"/>
        <v>0</v>
      </c>
      <c r="BJ221" s="19">
        <f t="shared" si="206"/>
        <v>0</v>
      </c>
      <c r="BK221" s="19"/>
      <c r="BL221" s="19">
        <v>723</v>
      </c>
      <c r="BW221" s="19" t="str">
        <f t="shared" si="207"/>
        <v>12</v>
      </c>
      <c r="BX221" s="4" t="s">
        <v>163</v>
      </c>
    </row>
    <row r="222" spans="1:76" x14ac:dyDescent="0.25">
      <c r="A222" s="1" t="s">
        <v>620</v>
      </c>
      <c r="B222" s="2" t="s">
        <v>168</v>
      </c>
      <c r="C222" s="2" t="s">
        <v>164</v>
      </c>
      <c r="D222" s="108" t="s">
        <v>165</v>
      </c>
      <c r="E222" s="102"/>
      <c r="F222" s="2" t="s">
        <v>95</v>
      </c>
      <c r="G222" s="19">
        <f>'Rozpočet - vybrané sloupce'!J204</f>
        <v>0.6</v>
      </c>
      <c r="H222" s="19">
        <f>'Rozpočet - vybrané sloupce'!K204</f>
        <v>0</v>
      </c>
      <c r="I222" s="87" t="s">
        <v>427</v>
      </c>
      <c r="J222" s="19">
        <f t="shared" si="182"/>
        <v>0</v>
      </c>
      <c r="K222" s="19">
        <f t="shared" si="183"/>
        <v>0</v>
      </c>
      <c r="L222" s="19">
        <f t="shared" si="184"/>
        <v>0</v>
      </c>
      <c r="M222" s="19">
        <f t="shared" si="185"/>
        <v>0</v>
      </c>
      <c r="N222" s="19">
        <v>0</v>
      </c>
      <c r="O222" s="19">
        <f t="shared" si="186"/>
        <v>0</v>
      </c>
      <c r="P222" s="88" t="s">
        <v>428</v>
      </c>
      <c r="Z222" s="19">
        <f t="shared" si="187"/>
        <v>0</v>
      </c>
      <c r="AB222" s="19">
        <f t="shared" si="188"/>
        <v>0</v>
      </c>
      <c r="AC222" s="19">
        <f t="shared" si="189"/>
        <v>0</v>
      </c>
      <c r="AD222" s="19">
        <f t="shared" si="190"/>
        <v>0</v>
      </c>
      <c r="AE222" s="19">
        <f t="shared" si="191"/>
        <v>0</v>
      </c>
      <c r="AF222" s="19">
        <f t="shared" si="192"/>
        <v>0</v>
      </c>
      <c r="AG222" s="19">
        <f t="shared" si="193"/>
        <v>0</v>
      </c>
      <c r="AH222" s="19">
        <f t="shared" si="194"/>
        <v>0</v>
      </c>
      <c r="AI222" s="16" t="s">
        <v>168</v>
      </c>
      <c r="AJ222" s="19">
        <f t="shared" si="195"/>
        <v>0</v>
      </c>
      <c r="AK222" s="19">
        <f t="shared" si="196"/>
        <v>0</v>
      </c>
      <c r="AL222" s="19">
        <f t="shared" si="197"/>
        <v>0</v>
      </c>
      <c r="AN222" s="19">
        <v>12</v>
      </c>
      <c r="AO222" s="19">
        <f>H222*0</f>
        <v>0</v>
      </c>
      <c r="AP222" s="19">
        <f>H222*(1-0)</f>
        <v>0</v>
      </c>
      <c r="AQ222" s="87" t="s">
        <v>429</v>
      </c>
      <c r="AV222" s="19">
        <f t="shared" si="198"/>
        <v>0</v>
      </c>
      <c r="AW222" s="19">
        <f t="shared" si="199"/>
        <v>0</v>
      </c>
      <c r="AX222" s="19">
        <f t="shared" si="200"/>
        <v>0</v>
      </c>
      <c r="AY222" s="87" t="s">
        <v>561</v>
      </c>
      <c r="AZ222" s="87" t="s">
        <v>592</v>
      </c>
      <c r="BA222" s="16" t="s">
        <v>593</v>
      </c>
      <c r="BC222" s="19">
        <f t="shared" si="201"/>
        <v>0</v>
      </c>
      <c r="BD222" s="19">
        <f t="shared" si="202"/>
        <v>0</v>
      </c>
      <c r="BE222" s="19">
        <v>0</v>
      </c>
      <c r="BF222" s="19">
        <f t="shared" si="203"/>
        <v>0</v>
      </c>
      <c r="BH222" s="19">
        <f t="shared" si="204"/>
        <v>0</v>
      </c>
      <c r="BI222" s="19">
        <f t="shared" si="205"/>
        <v>0</v>
      </c>
      <c r="BJ222" s="19">
        <f t="shared" si="206"/>
        <v>0</v>
      </c>
      <c r="BK222" s="19"/>
      <c r="BL222" s="19">
        <v>723</v>
      </c>
      <c r="BW222" s="19" t="str">
        <f t="shared" si="207"/>
        <v>12</v>
      </c>
      <c r="BX222" s="4" t="s">
        <v>165</v>
      </c>
    </row>
    <row r="223" spans="1:76" x14ac:dyDescent="0.25">
      <c r="A223" s="1" t="s">
        <v>621</v>
      </c>
      <c r="B223" s="2" t="s">
        <v>168</v>
      </c>
      <c r="C223" s="2" t="s">
        <v>166</v>
      </c>
      <c r="D223" s="108" t="s">
        <v>167</v>
      </c>
      <c r="E223" s="102"/>
      <c r="F223" s="2" t="s">
        <v>51</v>
      </c>
      <c r="G223" s="19">
        <f>'Rozpočet - vybrané sloupce'!J205</f>
        <v>3216</v>
      </c>
      <c r="H223" s="19">
        <f>'Rozpočet - vybrané sloupce'!K205</f>
        <v>0</v>
      </c>
      <c r="I223" s="87" t="s">
        <v>427</v>
      </c>
      <c r="J223" s="19">
        <f t="shared" si="182"/>
        <v>0</v>
      </c>
      <c r="K223" s="19">
        <f t="shared" si="183"/>
        <v>0</v>
      </c>
      <c r="L223" s="19">
        <f t="shared" si="184"/>
        <v>0</v>
      </c>
      <c r="M223" s="19">
        <f t="shared" si="185"/>
        <v>0</v>
      </c>
      <c r="N223" s="19">
        <v>0</v>
      </c>
      <c r="O223" s="19">
        <f t="shared" si="186"/>
        <v>0</v>
      </c>
      <c r="P223" s="88" t="s">
        <v>428</v>
      </c>
      <c r="Z223" s="19">
        <f t="shared" si="187"/>
        <v>0</v>
      </c>
      <c r="AB223" s="19">
        <f t="shared" si="188"/>
        <v>0</v>
      </c>
      <c r="AC223" s="19">
        <f t="shared" si="189"/>
        <v>0</v>
      </c>
      <c r="AD223" s="19">
        <f t="shared" si="190"/>
        <v>0</v>
      </c>
      <c r="AE223" s="19">
        <f t="shared" si="191"/>
        <v>0</v>
      </c>
      <c r="AF223" s="19">
        <f t="shared" si="192"/>
        <v>0</v>
      </c>
      <c r="AG223" s="19">
        <f t="shared" si="193"/>
        <v>0</v>
      </c>
      <c r="AH223" s="19">
        <f t="shared" si="194"/>
        <v>0</v>
      </c>
      <c r="AI223" s="16" t="s">
        <v>168</v>
      </c>
      <c r="AJ223" s="19">
        <f t="shared" si="195"/>
        <v>0</v>
      </c>
      <c r="AK223" s="19">
        <f t="shared" si="196"/>
        <v>0</v>
      </c>
      <c r="AL223" s="19">
        <f t="shared" si="197"/>
        <v>0</v>
      </c>
      <c r="AN223" s="19">
        <v>12</v>
      </c>
      <c r="AO223" s="19">
        <f>H223*0</f>
        <v>0</v>
      </c>
      <c r="AP223" s="19">
        <f>H223*(1-0)</f>
        <v>0</v>
      </c>
      <c r="AQ223" s="87" t="s">
        <v>436</v>
      </c>
      <c r="AV223" s="19">
        <f t="shared" si="198"/>
        <v>0</v>
      </c>
      <c r="AW223" s="19">
        <f t="shared" si="199"/>
        <v>0</v>
      </c>
      <c r="AX223" s="19">
        <f t="shared" si="200"/>
        <v>0</v>
      </c>
      <c r="AY223" s="87" t="s">
        <v>561</v>
      </c>
      <c r="AZ223" s="87" t="s">
        <v>592</v>
      </c>
      <c r="BA223" s="16" t="s">
        <v>593</v>
      </c>
      <c r="BC223" s="19">
        <f t="shared" si="201"/>
        <v>0</v>
      </c>
      <c r="BD223" s="19">
        <f t="shared" si="202"/>
        <v>0</v>
      </c>
      <c r="BE223" s="19">
        <v>0</v>
      </c>
      <c r="BF223" s="19">
        <f t="shared" si="203"/>
        <v>0</v>
      </c>
      <c r="BH223" s="19">
        <f t="shared" si="204"/>
        <v>0</v>
      </c>
      <c r="BI223" s="19">
        <f t="shared" si="205"/>
        <v>0</v>
      </c>
      <c r="BJ223" s="19">
        <f t="shared" si="206"/>
        <v>0</v>
      </c>
      <c r="BK223" s="19"/>
      <c r="BL223" s="19">
        <v>723</v>
      </c>
      <c r="BW223" s="19" t="str">
        <f t="shared" si="207"/>
        <v>12</v>
      </c>
      <c r="BX223" s="4" t="s">
        <v>167</v>
      </c>
    </row>
    <row r="224" spans="1:76" x14ac:dyDescent="0.25">
      <c r="A224" s="84" t="s">
        <v>25</v>
      </c>
      <c r="B224" s="15" t="s">
        <v>174</v>
      </c>
      <c r="C224" s="15" t="s">
        <v>25</v>
      </c>
      <c r="D224" s="115" t="s">
        <v>175</v>
      </c>
      <c r="E224" s="116"/>
      <c r="F224" s="85" t="s">
        <v>23</v>
      </c>
      <c r="G224" s="85" t="s">
        <v>23</v>
      </c>
      <c r="H224" s="85" t="s">
        <v>23</v>
      </c>
      <c r="I224" s="85" t="s">
        <v>23</v>
      </c>
      <c r="J224" s="60">
        <f>J225</f>
        <v>0</v>
      </c>
      <c r="K224" s="60">
        <f>K225</f>
        <v>0</v>
      </c>
      <c r="L224" s="60">
        <f>L225</f>
        <v>0</v>
      </c>
      <c r="M224" s="60">
        <f>M225</f>
        <v>0</v>
      </c>
      <c r="N224" s="16" t="s">
        <v>25</v>
      </c>
      <c r="O224" s="60">
        <f>O225</f>
        <v>1.0362800000000001</v>
      </c>
      <c r="P224" s="86" t="s">
        <v>25</v>
      </c>
    </row>
    <row r="225" spans="1:76" x14ac:dyDescent="0.25">
      <c r="A225" s="84" t="s">
        <v>25</v>
      </c>
      <c r="B225" s="15" t="s">
        <v>174</v>
      </c>
      <c r="C225" s="15" t="s">
        <v>111</v>
      </c>
      <c r="D225" s="115" t="s">
        <v>112</v>
      </c>
      <c r="E225" s="116"/>
      <c r="F225" s="85" t="s">
        <v>23</v>
      </c>
      <c r="G225" s="85" t="s">
        <v>23</v>
      </c>
      <c r="H225" s="85" t="s">
        <v>23</v>
      </c>
      <c r="I225" s="85" t="s">
        <v>23</v>
      </c>
      <c r="J225" s="60">
        <f>SUM(J226:J252)</f>
        <v>0</v>
      </c>
      <c r="K225" s="60">
        <f>SUM(K226:K252)</f>
        <v>0</v>
      </c>
      <c r="L225" s="60">
        <f>SUM(L226:L252)</f>
        <v>0</v>
      </c>
      <c r="M225" s="60">
        <f>SUM(M226:M252)</f>
        <v>0</v>
      </c>
      <c r="N225" s="16" t="s">
        <v>25</v>
      </c>
      <c r="O225" s="60">
        <f>SUM(O226:O252)</f>
        <v>1.0362800000000001</v>
      </c>
      <c r="P225" s="86" t="s">
        <v>25</v>
      </c>
      <c r="AI225" s="16" t="s">
        <v>174</v>
      </c>
      <c r="AS225" s="60">
        <f>SUM(AJ226:AJ252)</f>
        <v>0</v>
      </c>
      <c r="AT225" s="60">
        <f>SUM(AK226:AK252)</f>
        <v>0</v>
      </c>
      <c r="AU225" s="60">
        <f>SUM(AL226:AL252)</f>
        <v>0</v>
      </c>
    </row>
    <row r="226" spans="1:76" x14ac:dyDescent="0.25">
      <c r="A226" s="1" t="s">
        <v>622</v>
      </c>
      <c r="B226" s="2" t="s">
        <v>174</v>
      </c>
      <c r="C226" s="2" t="s">
        <v>113</v>
      </c>
      <c r="D226" s="108" t="s">
        <v>114</v>
      </c>
      <c r="E226" s="102"/>
      <c r="F226" s="2" t="s">
        <v>31</v>
      </c>
      <c r="G226" s="19">
        <f>'Rozpočet - vybrané sloupce'!J208</f>
        <v>95</v>
      </c>
      <c r="H226" s="19">
        <f>'Rozpočet - vybrané sloupce'!K208</f>
        <v>0</v>
      </c>
      <c r="I226" s="87" t="s">
        <v>427</v>
      </c>
      <c r="J226" s="19">
        <f t="shared" ref="J226:J252" si="208">G226*AO226</f>
        <v>0</v>
      </c>
      <c r="K226" s="19">
        <f t="shared" ref="K226:K252" si="209">G226*AP226</f>
        <v>0</v>
      </c>
      <c r="L226" s="19">
        <f t="shared" ref="L226:L252" si="210">G226*H226</f>
        <v>0</v>
      </c>
      <c r="M226" s="19">
        <f t="shared" ref="M226:M252" si="211">L226*(1+BW226/100)</f>
        <v>0</v>
      </c>
      <c r="N226" s="19">
        <v>3.81E-3</v>
      </c>
      <c r="O226" s="19">
        <f t="shared" ref="O226:O252" si="212">G226*N226</f>
        <v>0.36194999999999999</v>
      </c>
      <c r="P226" s="88" t="s">
        <v>428</v>
      </c>
      <c r="Z226" s="19">
        <f t="shared" ref="Z226:Z252" si="213">IF(AQ226="5",BJ226,0)</f>
        <v>0</v>
      </c>
      <c r="AB226" s="19">
        <f t="shared" ref="AB226:AB252" si="214">IF(AQ226="1",BH226,0)</f>
        <v>0</v>
      </c>
      <c r="AC226" s="19">
        <f t="shared" ref="AC226:AC252" si="215">IF(AQ226="1",BI226,0)</f>
        <v>0</v>
      </c>
      <c r="AD226" s="19">
        <f t="shared" ref="AD226:AD252" si="216">IF(AQ226="7",BH226,0)</f>
        <v>0</v>
      </c>
      <c r="AE226" s="19">
        <f t="shared" ref="AE226:AE252" si="217">IF(AQ226="7",BI226,0)</f>
        <v>0</v>
      </c>
      <c r="AF226" s="19">
        <f t="shared" ref="AF226:AF252" si="218">IF(AQ226="2",BH226,0)</f>
        <v>0</v>
      </c>
      <c r="AG226" s="19">
        <f t="shared" ref="AG226:AG252" si="219">IF(AQ226="2",BI226,0)</f>
        <v>0</v>
      </c>
      <c r="AH226" s="19">
        <f t="shared" ref="AH226:AH252" si="220">IF(AQ226="0",BJ226,0)</f>
        <v>0</v>
      </c>
      <c r="AI226" s="16" t="s">
        <v>174</v>
      </c>
      <c r="AJ226" s="19">
        <f t="shared" ref="AJ226:AJ252" si="221">IF(AN226=0,L226,0)</f>
        <v>0</v>
      </c>
      <c r="AK226" s="19">
        <f t="shared" ref="AK226:AK252" si="222">IF(AN226=12,L226,0)</f>
        <v>0</v>
      </c>
      <c r="AL226" s="19">
        <f t="shared" ref="AL226:AL252" si="223">IF(AN226=21,L226,0)</f>
        <v>0</v>
      </c>
      <c r="AN226" s="19">
        <v>12</v>
      </c>
      <c r="AO226" s="19">
        <f>H226*0.884461868</f>
        <v>0</v>
      </c>
      <c r="AP226" s="19">
        <f>H226*(1-0.884461868)</f>
        <v>0</v>
      </c>
      <c r="AQ226" s="87" t="s">
        <v>429</v>
      </c>
      <c r="AV226" s="19">
        <f t="shared" ref="AV226:AV252" si="224">AW226+AX226</f>
        <v>0</v>
      </c>
      <c r="AW226" s="19">
        <f t="shared" ref="AW226:AW252" si="225">G226*AO226</f>
        <v>0</v>
      </c>
      <c r="AX226" s="19">
        <f t="shared" ref="AX226:AX252" si="226">G226*AP226</f>
        <v>0</v>
      </c>
      <c r="AY226" s="87" t="s">
        <v>561</v>
      </c>
      <c r="AZ226" s="87" t="s">
        <v>623</v>
      </c>
      <c r="BA226" s="16" t="s">
        <v>624</v>
      </c>
      <c r="BC226" s="19">
        <f t="shared" ref="BC226:BC252" si="227">AW226+AX226</f>
        <v>0</v>
      </c>
      <c r="BD226" s="19">
        <f t="shared" ref="BD226:BD252" si="228">H226/(100-BE226)*100</f>
        <v>0</v>
      </c>
      <c r="BE226" s="19">
        <v>0</v>
      </c>
      <c r="BF226" s="19">
        <f t="shared" ref="BF226:BF252" si="229">O226</f>
        <v>0.36194999999999999</v>
      </c>
      <c r="BH226" s="19">
        <f t="shared" ref="BH226:BH252" si="230">G226*AO226</f>
        <v>0</v>
      </c>
      <c r="BI226" s="19">
        <f t="shared" ref="BI226:BI252" si="231">G226*AP226</f>
        <v>0</v>
      </c>
      <c r="BJ226" s="19">
        <f t="shared" ref="BJ226:BJ252" si="232">G226*H226</f>
        <v>0</v>
      </c>
      <c r="BK226" s="19"/>
      <c r="BL226" s="19">
        <v>723</v>
      </c>
      <c r="BW226" s="19" t="str">
        <f t="shared" ref="BW226:BW252" si="233">I226</f>
        <v>12</v>
      </c>
      <c r="BX226" s="4" t="s">
        <v>114</v>
      </c>
    </row>
    <row r="227" spans="1:76" x14ac:dyDescent="0.25">
      <c r="A227" s="1" t="s">
        <v>625</v>
      </c>
      <c r="B227" s="2" t="s">
        <v>174</v>
      </c>
      <c r="C227" s="2" t="s">
        <v>115</v>
      </c>
      <c r="D227" s="108" t="s">
        <v>116</v>
      </c>
      <c r="E227" s="102"/>
      <c r="F227" s="2" t="s">
        <v>31</v>
      </c>
      <c r="G227" s="19">
        <f>'Rozpočet - vybrané sloupce'!J209</f>
        <v>13</v>
      </c>
      <c r="H227" s="19">
        <f>'Rozpočet - vybrané sloupce'!K209</f>
        <v>0</v>
      </c>
      <c r="I227" s="87" t="s">
        <v>427</v>
      </c>
      <c r="J227" s="19">
        <f t="shared" si="208"/>
        <v>0</v>
      </c>
      <c r="K227" s="19">
        <f t="shared" si="209"/>
        <v>0</v>
      </c>
      <c r="L227" s="19">
        <f t="shared" si="210"/>
        <v>0</v>
      </c>
      <c r="M227" s="19">
        <f t="shared" si="211"/>
        <v>0</v>
      </c>
      <c r="N227" s="19">
        <v>8.6700000000000006E-3</v>
      </c>
      <c r="O227" s="19">
        <f t="shared" si="212"/>
        <v>0.11271</v>
      </c>
      <c r="P227" s="88" t="s">
        <v>428</v>
      </c>
      <c r="Z227" s="19">
        <f t="shared" si="213"/>
        <v>0</v>
      </c>
      <c r="AB227" s="19">
        <f t="shared" si="214"/>
        <v>0</v>
      </c>
      <c r="AC227" s="19">
        <f t="shared" si="215"/>
        <v>0</v>
      </c>
      <c r="AD227" s="19">
        <f t="shared" si="216"/>
        <v>0</v>
      </c>
      <c r="AE227" s="19">
        <f t="shared" si="217"/>
        <v>0</v>
      </c>
      <c r="AF227" s="19">
        <f t="shared" si="218"/>
        <v>0</v>
      </c>
      <c r="AG227" s="19">
        <f t="shared" si="219"/>
        <v>0</v>
      </c>
      <c r="AH227" s="19">
        <f t="shared" si="220"/>
        <v>0</v>
      </c>
      <c r="AI227" s="16" t="s">
        <v>174</v>
      </c>
      <c r="AJ227" s="19">
        <f t="shared" si="221"/>
        <v>0</v>
      </c>
      <c r="AK227" s="19">
        <f t="shared" si="222"/>
        <v>0</v>
      </c>
      <c r="AL227" s="19">
        <f t="shared" si="223"/>
        <v>0</v>
      </c>
      <c r="AN227" s="19">
        <v>12</v>
      </c>
      <c r="AO227" s="19">
        <f>H227*0.840706204</f>
        <v>0</v>
      </c>
      <c r="AP227" s="19">
        <f>H227*(1-0.840706204)</f>
        <v>0</v>
      </c>
      <c r="AQ227" s="87" t="s">
        <v>429</v>
      </c>
      <c r="AV227" s="19">
        <f t="shared" si="224"/>
        <v>0</v>
      </c>
      <c r="AW227" s="19">
        <f t="shared" si="225"/>
        <v>0</v>
      </c>
      <c r="AX227" s="19">
        <f t="shared" si="226"/>
        <v>0</v>
      </c>
      <c r="AY227" s="87" t="s">
        <v>561</v>
      </c>
      <c r="AZ227" s="87" t="s">
        <v>623</v>
      </c>
      <c r="BA227" s="16" t="s">
        <v>624</v>
      </c>
      <c r="BC227" s="19">
        <f t="shared" si="227"/>
        <v>0</v>
      </c>
      <c r="BD227" s="19">
        <f t="shared" si="228"/>
        <v>0</v>
      </c>
      <c r="BE227" s="19">
        <v>0</v>
      </c>
      <c r="BF227" s="19">
        <f t="shared" si="229"/>
        <v>0.11271</v>
      </c>
      <c r="BH227" s="19">
        <f t="shared" si="230"/>
        <v>0</v>
      </c>
      <c r="BI227" s="19">
        <f t="shared" si="231"/>
        <v>0</v>
      </c>
      <c r="BJ227" s="19">
        <f t="shared" si="232"/>
        <v>0</v>
      </c>
      <c r="BK227" s="19"/>
      <c r="BL227" s="19">
        <v>723</v>
      </c>
      <c r="BW227" s="19" t="str">
        <f t="shared" si="233"/>
        <v>12</v>
      </c>
      <c r="BX227" s="4" t="s">
        <v>116</v>
      </c>
    </row>
    <row r="228" spans="1:76" x14ac:dyDescent="0.25">
      <c r="A228" s="1" t="s">
        <v>626</v>
      </c>
      <c r="B228" s="2" t="s">
        <v>174</v>
      </c>
      <c r="C228" s="2" t="s">
        <v>117</v>
      </c>
      <c r="D228" s="108" t="s">
        <v>118</v>
      </c>
      <c r="E228" s="102"/>
      <c r="F228" s="2" t="s">
        <v>62</v>
      </c>
      <c r="G228" s="19">
        <f>'Rozpočet - vybrané sloupce'!J210</f>
        <v>1</v>
      </c>
      <c r="H228" s="19">
        <f>'Rozpočet - vybrané sloupce'!K210</f>
        <v>0</v>
      </c>
      <c r="I228" s="87" t="s">
        <v>427</v>
      </c>
      <c r="J228" s="19">
        <f t="shared" si="208"/>
        <v>0</v>
      </c>
      <c r="K228" s="19">
        <f t="shared" si="209"/>
        <v>0</v>
      </c>
      <c r="L228" s="19">
        <f t="shared" si="210"/>
        <v>0</v>
      </c>
      <c r="M228" s="19">
        <f t="shared" si="211"/>
        <v>0</v>
      </c>
      <c r="N228" s="19">
        <v>3.8300000000000001E-3</v>
      </c>
      <c r="O228" s="19">
        <f t="shared" si="212"/>
        <v>3.8300000000000001E-3</v>
      </c>
      <c r="P228" s="88" t="s">
        <v>428</v>
      </c>
      <c r="Z228" s="19">
        <f t="shared" si="213"/>
        <v>0</v>
      </c>
      <c r="AB228" s="19">
        <f t="shared" si="214"/>
        <v>0</v>
      </c>
      <c r="AC228" s="19">
        <f t="shared" si="215"/>
        <v>0</v>
      </c>
      <c r="AD228" s="19">
        <f t="shared" si="216"/>
        <v>0</v>
      </c>
      <c r="AE228" s="19">
        <f t="shared" si="217"/>
        <v>0</v>
      </c>
      <c r="AF228" s="19">
        <f t="shared" si="218"/>
        <v>0</v>
      </c>
      <c r="AG228" s="19">
        <f t="shared" si="219"/>
        <v>0</v>
      </c>
      <c r="AH228" s="19">
        <f t="shared" si="220"/>
        <v>0</v>
      </c>
      <c r="AI228" s="16" t="s">
        <v>174</v>
      </c>
      <c r="AJ228" s="19">
        <f t="shared" si="221"/>
        <v>0</v>
      </c>
      <c r="AK228" s="19">
        <f t="shared" si="222"/>
        <v>0</v>
      </c>
      <c r="AL228" s="19">
        <f t="shared" si="223"/>
        <v>0</v>
      </c>
      <c r="AN228" s="19">
        <v>12</v>
      </c>
      <c r="AO228" s="19">
        <f>H228*0.482934267</f>
        <v>0</v>
      </c>
      <c r="AP228" s="19">
        <f>H228*(1-0.482934267)</f>
        <v>0</v>
      </c>
      <c r="AQ228" s="87" t="s">
        <v>429</v>
      </c>
      <c r="AV228" s="19">
        <f t="shared" si="224"/>
        <v>0</v>
      </c>
      <c r="AW228" s="19">
        <f t="shared" si="225"/>
        <v>0</v>
      </c>
      <c r="AX228" s="19">
        <f t="shared" si="226"/>
        <v>0</v>
      </c>
      <c r="AY228" s="87" t="s">
        <v>561</v>
      </c>
      <c r="AZ228" s="87" t="s">
        <v>623</v>
      </c>
      <c r="BA228" s="16" t="s">
        <v>624</v>
      </c>
      <c r="BC228" s="19">
        <f t="shared" si="227"/>
        <v>0</v>
      </c>
      <c r="BD228" s="19">
        <f t="shared" si="228"/>
        <v>0</v>
      </c>
      <c r="BE228" s="19">
        <v>0</v>
      </c>
      <c r="BF228" s="19">
        <f t="shared" si="229"/>
        <v>3.8300000000000001E-3</v>
      </c>
      <c r="BH228" s="19">
        <f t="shared" si="230"/>
        <v>0</v>
      </c>
      <c r="BI228" s="19">
        <f t="shared" si="231"/>
        <v>0</v>
      </c>
      <c r="BJ228" s="19">
        <f t="shared" si="232"/>
        <v>0</v>
      </c>
      <c r="BK228" s="19"/>
      <c r="BL228" s="19">
        <v>723</v>
      </c>
      <c r="BW228" s="19" t="str">
        <f t="shared" si="233"/>
        <v>12</v>
      </c>
      <c r="BX228" s="4" t="s">
        <v>118</v>
      </c>
    </row>
    <row r="229" spans="1:76" x14ac:dyDescent="0.25">
      <c r="A229" s="1" t="s">
        <v>627</v>
      </c>
      <c r="B229" s="2" t="s">
        <v>174</v>
      </c>
      <c r="C229" s="2" t="s">
        <v>119</v>
      </c>
      <c r="D229" s="108" t="s">
        <v>120</v>
      </c>
      <c r="E229" s="102"/>
      <c r="F229" s="2" t="s">
        <v>31</v>
      </c>
      <c r="G229" s="19">
        <f>'Rozpočet - vybrané sloupce'!J211</f>
        <v>95</v>
      </c>
      <c r="H229" s="19">
        <f>'Rozpočet - vybrané sloupce'!K211</f>
        <v>0</v>
      </c>
      <c r="I229" s="87" t="s">
        <v>427</v>
      </c>
      <c r="J229" s="19">
        <f t="shared" si="208"/>
        <v>0</v>
      </c>
      <c r="K229" s="19">
        <f t="shared" si="209"/>
        <v>0</v>
      </c>
      <c r="L229" s="19">
        <f t="shared" si="210"/>
        <v>0</v>
      </c>
      <c r="M229" s="19">
        <f t="shared" si="211"/>
        <v>0</v>
      </c>
      <c r="N229" s="19">
        <v>1.66E-3</v>
      </c>
      <c r="O229" s="19">
        <f t="shared" si="212"/>
        <v>0.15770000000000001</v>
      </c>
      <c r="P229" s="88" t="s">
        <v>428</v>
      </c>
      <c r="Z229" s="19">
        <f t="shared" si="213"/>
        <v>0</v>
      </c>
      <c r="AB229" s="19">
        <f t="shared" si="214"/>
        <v>0</v>
      </c>
      <c r="AC229" s="19">
        <f t="shared" si="215"/>
        <v>0</v>
      </c>
      <c r="AD229" s="19">
        <f t="shared" si="216"/>
        <v>0</v>
      </c>
      <c r="AE229" s="19">
        <f t="shared" si="217"/>
        <v>0</v>
      </c>
      <c r="AF229" s="19">
        <f t="shared" si="218"/>
        <v>0</v>
      </c>
      <c r="AG229" s="19">
        <f t="shared" si="219"/>
        <v>0</v>
      </c>
      <c r="AH229" s="19">
        <f t="shared" si="220"/>
        <v>0</v>
      </c>
      <c r="AI229" s="16" t="s">
        <v>174</v>
      </c>
      <c r="AJ229" s="19">
        <f t="shared" si="221"/>
        <v>0</v>
      </c>
      <c r="AK229" s="19">
        <f t="shared" si="222"/>
        <v>0</v>
      </c>
      <c r="AL229" s="19">
        <f t="shared" si="223"/>
        <v>0</v>
      </c>
      <c r="AN229" s="19">
        <v>12</v>
      </c>
      <c r="AO229" s="19">
        <f>H229*0.758212625</f>
        <v>0</v>
      </c>
      <c r="AP229" s="19">
        <f>H229*(1-0.758212625)</f>
        <v>0</v>
      </c>
      <c r="AQ229" s="87" t="s">
        <v>429</v>
      </c>
      <c r="AV229" s="19">
        <f t="shared" si="224"/>
        <v>0</v>
      </c>
      <c r="AW229" s="19">
        <f t="shared" si="225"/>
        <v>0</v>
      </c>
      <c r="AX229" s="19">
        <f t="shared" si="226"/>
        <v>0</v>
      </c>
      <c r="AY229" s="87" t="s">
        <v>561</v>
      </c>
      <c r="AZ229" s="87" t="s">
        <v>623</v>
      </c>
      <c r="BA229" s="16" t="s">
        <v>624</v>
      </c>
      <c r="BC229" s="19">
        <f t="shared" si="227"/>
        <v>0</v>
      </c>
      <c r="BD229" s="19">
        <f t="shared" si="228"/>
        <v>0</v>
      </c>
      <c r="BE229" s="19">
        <v>0</v>
      </c>
      <c r="BF229" s="19">
        <f t="shared" si="229"/>
        <v>0.15770000000000001</v>
      </c>
      <c r="BH229" s="19">
        <f t="shared" si="230"/>
        <v>0</v>
      </c>
      <c r="BI229" s="19">
        <f t="shared" si="231"/>
        <v>0</v>
      </c>
      <c r="BJ229" s="19">
        <f t="shared" si="232"/>
        <v>0</v>
      </c>
      <c r="BK229" s="19"/>
      <c r="BL229" s="19">
        <v>723</v>
      </c>
      <c r="BW229" s="19" t="str">
        <f t="shared" si="233"/>
        <v>12</v>
      </c>
      <c r="BX229" s="4" t="s">
        <v>120</v>
      </c>
    </row>
    <row r="230" spans="1:76" x14ac:dyDescent="0.25">
      <c r="A230" s="1" t="s">
        <v>628</v>
      </c>
      <c r="B230" s="2" t="s">
        <v>174</v>
      </c>
      <c r="C230" s="2" t="s">
        <v>121</v>
      </c>
      <c r="D230" s="108" t="s">
        <v>122</v>
      </c>
      <c r="E230" s="102"/>
      <c r="F230" s="2" t="s">
        <v>31</v>
      </c>
      <c r="G230" s="19">
        <f>'Rozpočet - vybrané sloupce'!J212</f>
        <v>13.2</v>
      </c>
      <c r="H230" s="19">
        <f>'Rozpočet - vybrané sloupce'!K212</f>
        <v>0</v>
      </c>
      <c r="I230" s="87" t="s">
        <v>427</v>
      </c>
      <c r="J230" s="19">
        <f t="shared" si="208"/>
        <v>0</v>
      </c>
      <c r="K230" s="19">
        <f t="shared" si="209"/>
        <v>0</v>
      </c>
      <c r="L230" s="19">
        <f t="shared" si="210"/>
        <v>0</v>
      </c>
      <c r="M230" s="19">
        <f t="shared" si="211"/>
        <v>0</v>
      </c>
      <c r="N230" s="19">
        <v>2E-3</v>
      </c>
      <c r="O230" s="19">
        <f t="shared" si="212"/>
        <v>2.64E-2</v>
      </c>
      <c r="P230" s="88" t="s">
        <v>428</v>
      </c>
      <c r="Z230" s="19">
        <f t="shared" si="213"/>
        <v>0</v>
      </c>
      <c r="AB230" s="19">
        <f t="shared" si="214"/>
        <v>0</v>
      </c>
      <c r="AC230" s="19">
        <f t="shared" si="215"/>
        <v>0</v>
      </c>
      <c r="AD230" s="19">
        <f t="shared" si="216"/>
        <v>0</v>
      </c>
      <c r="AE230" s="19">
        <f t="shared" si="217"/>
        <v>0</v>
      </c>
      <c r="AF230" s="19">
        <f t="shared" si="218"/>
        <v>0</v>
      </c>
      <c r="AG230" s="19">
        <f t="shared" si="219"/>
        <v>0</v>
      </c>
      <c r="AH230" s="19">
        <f t="shared" si="220"/>
        <v>0</v>
      </c>
      <c r="AI230" s="16" t="s">
        <v>174</v>
      </c>
      <c r="AJ230" s="19">
        <f t="shared" si="221"/>
        <v>0</v>
      </c>
      <c r="AK230" s="19">
        <f t="shared" si="222"/>
        <v>0</v>
      </c>
      <c r="AL230" s="19">
        <f t="shared" si="223"/>
        <v>0</v>
      </c>
      <c r="AN230" s="19">
        <v>12</v>
      </c>
      <c r="AO230" s="19">
        <f>H230*0.801747301</f>
        <v>0</v>
      </c>
      <c r="AP230" s="19">
        <f>H230*(1-0.801747301)</f>
        <v>0</v>
      </c>
      <c r="AQ230" s="87" t="s">
        <v>429</v>
      </c>
      <c r="AV230" s="19">
        <f t="shared" si="224"/>
        <v>0</v>
      </c>
      <c r="AW230" s="19">
        <f t="shared" si="225"/>
        <v>0</v>
      </c>
      <c r="AX230" s="19">
        <f t="shared" si="226"/>
        <v>0</v>
      </c>
      <c r="AY230" s="87" t="s">
        <v>561</v>
      </c>
      <c r="AZ230" s="87" t="s">
        <v>623</v>
      </c>
      <c r="BA230" s="16" t="s">
        <v>624</v>
      </c>
      <c r="BC230" s="19">
        <f t="shared" si="227"/>
        <v>0</v>
      </c>
      <c r="BD230" s="19">
        <f t="shared" si="228"/>
        <v>0</v>
      </c>
      <c r="BE230" s="19">
        <v>0</v>
      </c>
      <c r="BF230" s="19">
        <f t="shared" si="229"/>
        <v>2.64E-2</v>
      </c>
      <c r="BH230" s="19">
        <f t="shared" si="230"/>
        <v>0</v>
      </c>
      <c r="BI230" s="19">
        <f t="shared" si="231"/>
        <v>0</v>
      </c>
      <c r="BJ230" s="19">
        <f t="shared" si="232"/>
        <v>0</v>
      </c>
      <c r="BK230" s="19"/>
      <c r="BL230" s="19">
        <v>723</v>
      </c>
      <c r="BW230" s="19" t="str">
        <f t="shared" si="233"/>
        <v>12</v>
      </c>
      <c r="BX230" s="4" t="s">
        <v>122</v>
      </c>
    </row>
    <row r="231" spans="1:76" x14ac:dyDescent="0.25">
      <c r="A231" s="1" t="s">
        <v>629</v>
      </c>
      <c r="B231" s="2" t="s">
        <v>174</v>
      </c>
      <c r="C231" s="2" t="s">
        <v>170</v>
      </c>
      <c r="D231" s="108" t="s">
        <v>171</v>
      </c>
      <c r="E231" s="102"/>
      <c r="F231" s="2" t="s">
        <v>31</v>
      </c>
      <c r="G231" s="19">
        <f>'Rozpočet - vybrané sloupce'!J213</f>
        <v>13</v>
      </c>
      <c r="H231" s="19">
        <f>'Rozpočet - vybrané sloupce'!K213</f>
        <v>0</v>
      </c>
      <c r="I231" s="87" t="s">
        <v>427</v>
      </c>
      <c r="J231" s="19">
        <f t="shared" si="208"/>
        <v>0</v>
      </c>
      <c r="K231" s="19">
        <f t="shared" si="209"/>
        <v>0</v>
      </c>
      <c r="L231" s="19">
        <f t="shared" si="210"/>
        <v>0</v>
      </c>
      <c r="M231" s="19">
        <f t="shared" si="211"/>
        <v>0</v>
      </c>
      <c r="N231" s="19">
        <v>2.0300000000000001E-3</v>
      </c>
      <c r="O231" s="19">
        <f t="shared" si="212"/>
        <v>2.639E-2</v>
      </c>
      <c r="P231" s="88" t="s">
        <v>428</v>
      </c>
      <c r="Z231" s="19">
        <f t="shared" si="213"/>
        <v>0</v>
      </c>
      <c r="AB231" s="19">
        <f t="shared" si="214"/>
        <v>0</v>
      </c>
      <c r="AC231" s="19">
        <f t="shared" si="215"/>
        <v>0</v>
      </c>
      <c r="AD231" s="19">
        <f t="shared" si="216"/>
        <v>0</v>
      </c>
      <c r="AE231" s="19">
        <f t="shared" si="217"/>
        <v>0</v>
      </c>
      <c r="AF231" s="19">
        <f t="shared" si="218"/>
        <v>0</v>
      </c>
      <c r="AG231" s="19">
        <f t="shared" si="219"/>
        <v>0</v>
      </c>
      <c r="AH231" s="19">
        <f t="shared" si="220"/>
        <v>0</v>
      </c>
      <c r="AI231" s="16" t="s">
        <v>174</v>
      </c>
      <c r="AJ231" s="19">
        <f t="shared" si="221"/>
        <v>0</v>
      </c>
      <c r="AK231" s="19">
        <f t="shared" si="222"/>
        <v>0</v>
      </c>
      <c r="AL231" s="19">
        <f t="shared" si="223"/>
        <v>0</v>
      </c>
      <c r="AN231" s="19">
        <v>12</v>
      </c>
      <c r="AO231" s="19">
        <f>H231*0.801750677</f>
        <v>0</v>
      </c>
      <c r="AP231" s="19">
        <f>H231*(1-0.801750677)</f>
        <v>0</v>
      </c>
      <c r="AQ231" s="87" t="s">
        <v>429</v>
      </c>
      <c r="AV231" s="19">
        <f t="shared" si="224"/>
        <v>0</v>
      </c>
      <c r="AW231" s="19">
        <f t="shared" si="225"/>
        <v>0</v>
      </c>
      <c r="AX231" s="19">
        <f t="shared" si="226"/>
        <v>0</v>
      </c>
      <c r="AY231" s="87" t="s">
        <v>561</v>
      </c>
      <c r="AZ231" s="87" t="s">
        <v>623</v>
      </c>
      <c r="BA231" s="16" t="s">
        <v>624</v>
      </c>
      <c r="BC231" s="19">
        <f t="shared" si="227"/>
        <v>0</v>
      </c>
      <c r="BD231" s="19">
        <f t="shared" si="228"/>
        <v>0</v>
      </c>
      <c r="BE231" s="19">
        <v>0</v>
      </c>
      <c r="BF231" s="19">
        <f t="shared" si="229"/>
        <v>2.639E-2</v>
      </c>
      <c r="BH231" s="19">
        <f t="shared" si="230"/>
        <v>0</v>
      </c>
      <c r="BI231" s="19">
        <f t="shared" si="231"/>
        <v>0</v>
      </c>
      <c r="BJ231" s="19">
        <f t="shared" si="232"/>
        <v>0</v>
      </c>
      <c r="BK231" s="19"/>
      <c r="BL231" s="19">
        <v>723</v>
      </c>
      <c r="BW231" s="19" t="str">
        <f t="shared" si="233"/>
        <v>12</v>
      </c>
      <c r="BX231" s="4" t="s">
        <v>171</v>
      </c>
    </row>
    <row r="232" spans="1:76" x14ac:dyDescent="0.25">
      <c r="A232" s="1" t="s">
        <v>630</v>
      </c>
      <c r="B232" s="2" t="s">
        <v>174</v>
      </c>
      <c r="C232" s="2" t="s">
        <v>172</v>
      </c>
      <c r="D232" s="108" t="s">
        <v>173</v>
      </c>
      <c r="E232" s="102"/>
      <c r="F232" s="2" t="s">
        <v>31</v>
      </c>
      <c r="G232" s="19">
        <f>'Rozpočet - vybrané sloupce'!J214</f>
        <v>0.8</v>
      </c>
      <c r="H232" s="19">
        <f>'Rozpočet - vybrané sloupce'!K214</f>
        <v>0</v>
      </c>
      <c r="I232" s="87" t="s">
        <v>427</v>
      </c>
      <c r="J232" s="19">
        <f t="shared" si="208"/>
        <v>0</v>
      </c>
      <c r="K232" s="19">
        <f t="shared" si="209"/>
        <v>0</v>
      </c>
      <c r="L232" s="19">
        <f t="shared" si="210"/>
        <v>0</v>
      </c>
      <c r="M232" s="19">
        <f t="shared" si="211"/>
        <v>0</v>
      </c>
      <c r="N232" s="19">
        <v>2.3500000000000001E-3</v>
      </c>
      <c r="O232" s="19">
        <f t="shared" si="212"/>
        <v>1.8800000000000002E-3</v>
      </c>
      <c r="P232" s="88" t="s">
        <v>428</v>
      </c>
      <c r="Z232" s="19">
        <f t="shared" si="213"/>
        <v>0</v>
      </c>
      <c r="AB232" s="19">
        <f t="shared" si="214"/>
        <v>0</v>
      </c>
      <c r="AC232" s="19">
        <f t="shared" si="215"/>
        <v>0</v>
      </c>
      <c r="AD232" s="19">
        <f t="shared" si="216"/>
        <v>0</v>
      </c>
      <c r="AE232" s="19">
        <f t="shared" si="217"/>
        <v>0</v>
      </c>
      <c r="AF232" s="19">
        <f t="shared" si="218"/>
        <v>0</v>
      </c>
      <c r="AG232" s="19">
        <f t="shared" si="219"/>
        <v>0</v>
      </c>
      <c r="AH232" s="19">
        <f t="shared" si="220"/>
        <v>0</v>
      </c>
      <c r="AI232" s="16" t="s">
        <v>174</v>
      </c>
      <c r="AJ232" s="19">
        <f t="shared" si="221"/>
        <v>0</v>
      </c>
      <c r="AK232" s="19">
        <f t="shared" si="222"/>
        <v>0</v>
      </c>
      <c r="AL232" s="19">
        <f t="shared" si="223"/>
        <v>0</v>
      </c>
      <c r="AN232" s="19">
        <v>12</v>
      </c>
      <c r="AO232" s="19">
        <f>H232*0.819148782</f>
        <v>0</v>
      </c>
      <c r="AP232" s="19">
        <f>H232*(1-0.819148782)</f>
        <v>0</v>
      </c>
      <c r="AQ232" s="87" t="s">
        <v>429</v>
      </c>
      <c r="AV232" s="19">
        <f t="shared" si="224"/>
        <v>0</v>
      </c>
      <c r="AW232" s="19">
        <f t="shared" si="225"/>
        <v>0</v>
      </c>
      <c r="AX232" s="19">
        <f t="shared" si="226"/>
        <v>0</v>
      </c>
      <c r="AY232" s="87" t="s">
        <v>561</v>
      </c>
      <c r="AZ232" s="87" t="s">
        <v>623</v>
      </c>
      <c r="BA232" s="16" t="s">
        <v>624</v>
      </c>
      <c r="BC232" s="19">
        <f t="shared" si="227"/>
        <v>0</v>
      </c>
      <c r="BD232" s="19">
        <f t="shared" si="228"/>
        <v>0</v>
      </c>
      <c r="BE232" s="19">
        <v>0</v>
      </c>
      <c r="BF232" s="19">
        <f t="shared" si="229"/>
        <v>1.8800000000000002E-3</v>
      </c>
      <c r="BH232" s="19">
        <f t="shared" si="230"/>
        <v>0</v>
      </c>
      <c r="BI232" s="19">
        <f t="shared" si="231"/>
        <v>0</v>
      </c>
      <c r="BJ232" s="19">
        <f t="shared" si="232"/>
        <v>0</v>
      </c>
      <c r="BK232" s="19"/>
      <c r="BL232" s="19">
        <v>723</v>
      </c>
      <c r="BW232" s="19" t="str">
        <f t="shared" si="233"/>
        <v>12</v>
      </c>
      <c r="BX232" s="4" t="s">
        <v>173</v>
      </c>
    </row>
    <row r="233" spans="1:76" x14ac:dyDescent="0.25">
      <c r="A233" s="1" t="s">
        <v>631</v>
      </c>
      <c r="B233" s="2" t="s">
        <v>174</v>
      </c>
      <c r="C233" s="2" t="s">
        <v>127</v>
      </c>
      <c r="D233" s="108" t="s">
        <v>128</v>
      </c>
      <c r="E233" s="102"/>
      <c r="F233" s="2" t="s">
        <v>62</v>
      </c>
      <c r="G233" s="19">
        <f>'Rozpočet - vybrané sloupce'!J215</f>
        <v>23</v>
      </c>
      <c r="H233" s="19">
        <f>'Rozpočet - vybrané sloupce'!K215</f>
        <v>0</v>
      </c>
      <c r="I233" s="87" t="s">
        <v>427</v>
      </c>
      <c r="J233" s="19">
        <f t="shared" si="208"/>
        <v>0</v>
      </c>
      <c r="K233" s="19">
        <f t="shared" si="209"/>
        <v>0</v>
      </c>
      <c r="L233" s="19">
        <f t="shared" si="210"/>
        <v>0</v>
      </c>
      <c r="M233" s="19">
        <f t="shared" si="211"/>
        <v>0</v>
      </c>
      <c r="N233" s="19">
        <v>2.3000000000000001E-4</v>
      </c>
      <c r="O233" s="19">
        <f t="shared" si="212"/>
        <v>5.2900000000000004E-3</v>
      </c>
      <c r="P233" s="88" t="s">
        <v>428</v>
      </c>
      <c r="Z233" s="19">
        <f t="shared" si="213"/>
        <v>0</v>
      </c>
      <c r="AB233" s="19">
        <f t="shared" si="214"/>
        <v>0</v>
      </c>
      <c r="AC233" s="19">
        <f t="shared" si="215"/>
        <v>0</v>
      </c>
      <c r="AD233" s="19">
        <f t="shared" si="216"/>
        <v>0</v>
      </c>
      <c r="AE233" s="19">
        <f t="shared" si="217"/>
        <v>0</v>
      </c>
      <c r="AF233" s="19">
        <f t="shared" si="218"/>
        <v>0</v>
      </c>
      <c r="AG233" s="19">
        <f t="shared" si="219"/>
        <v>0</v>
      </c>
      <c r="AH233" s="19">
        <f t="shared" si="220"/>
        <v>0</v>
      </c>
      <c r="AI233" s="16" t="s">
        <v>174</v>
      </c>
      <c r="AJ233" s="19">
        <f t="shared" si="221"/>
        <v>0</v>
      </c>
      <c r="AK233" s="19">
        <f t="shared" si="222"/>
        <v>0</v>
      </c>
      <c r="AL233" s="19">
        <f t="shared" si="223"/>
        <v>0</v>
      </c>
      <c r="AN233" s="19">
        <v>12</v>
      </c>
      <c r="AO233" s="19">
        <f>H233*0.759530861</f>
        <v>0</v>
      </c>
      <c r="AP233" s="19">
        <f>H233*(1-0.759530861)</f>
        <v>0</v>
      </c>
      <c r="AQ233" s="87" t="s">
        <v>429</v>
      </c>
      <c r="AV233" s="19">
        <f t="shared" si="224"/>
        <v>0</v>
      </c>
      <c r="AW233" s="19">
        <f t="shared" si="225"/>
        <v>0</v>
      </c>
      <c r="AX233" s="19">
        <f t="shared" si="226"/>
        <v>0</v>
      </c>
      <c r="AY233" s="87" t="s">
        <v>561</v>
      </c>
      <c r="AZ233" s="87" t="s">
        <v>623</v>
      </c>
      <c r="BA233" s="16" t="s">
        <v>624</v>
      </c>
      <c r="BC233" s="19">
        <f t="shared" si="227"/>
        <v>0</v>
      </c>
      <c r="BD233" s="19">
        <f t="shared" si="228"/>
        <v>0</v>
      </c>
      <c r="BE233" s="19">
        <v>0</v>
      </c>
      <c r="BF233" s="19">
        <f t="shared" si="229"/>
        <v>5.2900000000000004E-3</v>
      </c>
      <c r="BH233" s="19">
        <f t="shared" si="230"/>
        <v>0</v>
      </c>
      <c r="BI233" s="19">
        <f t="shared" si="231"/>
        <v>0</v>
      </c>
      <c r="BJ233" s="19">
        <f t="shared" si="232"/>
        <v>0</v>
      </c>
      <c r="BK233" s="19"/>
      <c r="BL233" s="19">
        <v>723</v>
      </c>
      <c r="BW233" s="19" t="str">
        <f t="shared" si="233"/>
        <v>12</v>
      </c>
      <c r="BX233" s="4" t="s">
        <v>128</v>
      </c>
    </row>
    <row r="234" spans="1:76" x14ac:dyDescent="0.25">
      <c r="A234" s="1" t="s">
        <v>632</v>
      </c>
      <c r="B234" s="2" t="s">
        <v>174</v>
      </c>
      <c r="C234" s="2" t="s">
        <v>129</v>
      </c>
      <c r="D234" s="108" t="s">
        <v>130</v>
      </c>
      <c r="E234" s="102"/>
      <c r="F234" s="2" t="s">
        <v>62</v>
      </c>
      <c r="G234" s="19">
        <f>'Rozpočet - vybrané sloupce'!J216</f>
        <v>26</v>
      </c>
      <c r="H234" s="19">
        <f>'Rozpočet - vybrané sloupce'!K216</f>
        <v>0</v>
      </c>
      <c r="I234" s="87" t="s">
        <v>427</v>
      </c>
      <c r="J234" s="19">
        <f t="shared" si="208"/>
        <v>0</v>
      </c>
      <c r="K234" s="19">
        <f t="shared" si="209"/>
        <v>0</v>
      </c>
      <c r="L234" s="19">
        <f t="shared" si="210"/>
        <v>0</v>
      </c>
      <c r="M234" s="19">
        <f t="shared" si="211"/>
        <v>0</v>
      </c>
      <c r="N234" s="19">
        <v>6.6E-4</v>
      </c>
      <c r="O234" s="19">
        <f t="shared" si="212"/>
        <v>1.7160000000000002E-2</v>
      </c>
      <c r="P234" s="88" t="s">
        <v>428</v>
      </c>
      <c r="Z234" s="19">
        <f t="shared" si="213"/>
        <v>0</v>
      </c>
      <c r="AB234" s="19">
        <f t="shared" si="214"/>
        <v>0</v>
      </c>
      <c r="AC234" s="19">
        <f t="shared" si="215"/>
        <v>0</v>
      </c>
      <c r="AD234" s="19">
        <f t="shared" si="216"/>
        <v>0</v>
      </c>
      <c r="AE234" s="19">
        <f t="shared" si="217"/>
        <v>0</v>
      </c>
      <c r="AF234" s="19">
        <f t="shared" si="218"/>
        <v>0</v>
      </c>
      <c r="AG234" s="19">
        <f t="shared" si="219"/>
        <v>0</v>
      </c>
      <c r="AH234" s="19">
        <f t="shared" si="220"/>
        <v>0</v>
      </c>
      <c r="AI234" s="16" t="s">
        <v>174</v>
      </c>
      <c r="AJ234" s="19">
        <f t="shared" si="221"/>
        <v>0</v>
      </c>
      <c r="AK234" s="19">
        <f t="shared" si="222"/>
        <v>0</v>
      </c>
      <c r="AL234" s="19">
        <f t="shared" si="223"/>
        <v>0</v>
      </c>
      <c r="AN234" s="19">
        <v>12</v>
      </c>
      <c r="AO234" s="19">
        <f>H234*0.843123682</f>
        <v>0</v>
      </c>
      <c r="AP234" s="19">
        <f>H234*(1-0.843123682)</f>
        <v>0</v>
      </c>
      <c r="AQ234" s="87" t="s">
        <v>429</v>
      </c>
      <c r="AV234" s="19">
        <f t="shared" si="224"/>
        <v>0</v>
      </c>
      <c r="AW234" s="19">
        <f t="shared" si="225"/>
        <v>0</v>
      </c>
      <c r="AX234" s="19">
        <f t="shared" si="226"/>
        <v>0</v>
      </c>
      <c r="AY234" s="87" t="s">
        <v>561</v>
      </c>
      <c r="AZ234" s="87" t="s">
        <v>623</v>
      </c>
      <c r="BA234" s="16" t="s">
        <v>624</v>
      </c>
      <c r="BC234" s="19">
        <f t="shared" si="227"/>
        <v>0</v>
      </c>
      <c r="BD234" s="19">
        <f t="shared" si="228"/>
        <v>0</v>
      </c>
      <c r="BE234" s="19">
        <v>0</v>
      </c>
      <c r="BF234" s="19">
        <f t="shared" si="229"/>
        <v>1.7160000000000002E-2</v>
      </c>
      <c r="BH234" s="19">
        <f t="shared" si="230"/>
        <v>0</v>
      </c>
      <c r="BI234" s="19">
        <f t="shared" si="231"/>
        <v>0</v>
      </c>
      <c r="BJ234" s="19">
        <f t="shared" si="232"/>
        <v>0</v>
      </c>
      <c r="BK234" s="19"/>
      <c r="BL234" s="19">
        <v>723</v>
      </c>
      <c r="BW234" s="19" t="str">
        <f t="shared" si="233"/>
        <v>12</v>
      </c>
      <c r="BX234" s="4" t="s">
        <v>130</v>
      </c>
    </row>
    <row r="235" spans="1:76" x14ac:dyDescent="0.25">
      <c r="A235" s="1" t="s">
        <v>633</v>
      </c>
      <c r="B235" s="2" t="s">
        <v>174</v>
      </c>
      <c r="C235" s="2" t="s">
        <v>176</v>
      </c>
      <c r="D235" s="108" t="s">
        <v>177</v>
      </c>
      <c r="E235" s="102"/>
      <c r="F235" s="2" t="s">
        <v>62</v>
      </c>
      <c r="G235" s="19">
        <f>'Rozpočet - vybrané sloupce'!J217</f>
        <v>1</v>
      </c>
      <c r="H235" s="19">
        <f>'Rozpočet - vybrané sloupce'!K217</f>
        <v>0</v>
      </c>
      <c r="I235" s="87" t="s">
        <v>427</v>
      </c>
      <c r="J235" s="19">
        <f t="shared" si="208"/>
        <v>0</v>
      </c>
      <c r="K235" s="19">
        <f t="shared" si="209"/>
        <v>0</v>
      </c>
      <c r="L235" s="19">
        <f t="shared" si="210"/>
        <v>0</v>
      </c>
      <c r="M235" s="19">
        <f t="shared" si="211"/>
        <v>0</v>
      </c>
      <c r="N235" s="19">
        <v>9.7000000000000005E-4</v>
      </c>
      <c r="O235" s="19">
        <f t="shared" si="212"/>
        <v>9.7000000000000005E-4</v>
      </c>
      <c r="P235" s="88" t="s">
        <v>428</v>
      </c>
      <c r="Z235" s="19">
        <f t="shared" si="213"/>
        <v>0</v>
      </c>
      <c r="AB235" s="19">
        <f t="shared" si="214"/>
        <v>0</v>
      </c>
      <c r="AC235" s="19">
        <f t="shared" si="215"/>
        <v>0</v>
      </c>
      <c r="AD235" s="19">
        <f t="shared" si="216"/>
        <v>0</v>
      </c>
      <c r="AE235" s="19">
        <f t="shared" si="217"/>
        <v>0</v>
      </c>
      <c r="AF235" s="19">
        <f t="shared" si="218"/>
        <v>0</v>
      </c>
      <c r="AG235" s="19">
        <f t="shared" si="219"/>
        <v>0</v>
      </c>
      <c r="AH235" s="19">
        <f t="shared" si="220"/>
        <v>0</v>
      </c>
      <c r="AI235" s="16" t="s">
        <v>174</v>
      </c>
      <c r="AJ235" s="19">
        <f t="shared" si="221"/>
        <v>0</v>
      </c>
      <c r="AK235" s="19">
        <f t="shared" si="222"/>
        <v>0</v>
      </c>
      <c r="AL235" s="19">
        <f t="shared" si="223"/>
        <v>0</v>
      </c>
      <c r="AN235" s="19">
        <v>12</v>
      </c>
      <c r="AO235" s="19">
        <f>H235*0.875801205</f>
        <v>0</v>
      </c>
      <c r="AP235" s="19">
        <f>H235*(1-0.875801205)</f>
        <v>0</v>
      </c>
      <c r="AQ235" s="87" t="s">
        <v>429</v>
      </c>
      <c r="AV235" s="19">
        <f t="shared" si="224"/>
        <v>0</v>
      </c>
      <c r="AW235" s="19">
        <f t="shared" si="225"/>
        <v>0</v>
      </c>
      <c r="AX235" s="19">
        <f t="shared" si="226"/>
        <v>0</v>
      </c>
      <c r="AY235" s="87" t="s">
        <v>561</v>
      </c>
      <c r="AZ235" s="87" t="s">
        <v>623</v>
      </c>
      <c r="BA235" s="16" t="s">
        <v>624</v>
      </c>
      <c r="BC235" s="19">
        <f t="shared" si="227"/>
        <v>0</v>
      </c>
      <c r="BD235" s="19">
        <f t="shared" si="228"/>
        <v>0</v>
      </c>
      <c r="BE235" s="19">
        <v>0</v>
      </c>
      <c r="BF235" s="19">
        <f t="shared" si="229"/>
        <v>9.7000000000000005E-4</v>
      </c>
      <c r="BH235" s="19">
        <f t="shared" si="230"/>
        <v>0</v>
      </c>
      <c r="BI235" s="19">
        <f t="shared" si="231"/>
        <v>0</v>
      </c>
      <c r="BJ235" s="19">
        <f t="shared" si="232"/>
        <v>0</v>
      </c>
      <c r="BK235" s="19"/>
      <c r="BL235" s="19">
        <v>723</v>
      </c>
      <c r="BW235" s="19" t="str">
        <f t="shared" si="233"/>
        <v>12</v>
      </c>
      <c r="BX235" s="4" t="s">
        <v>177</v>
      </c>
    </row>
    <row r="236" spans="1:76" x14ac:dyDescent="0.25">
      <c r="A236" s="1" t="s">
        <v>634</v>
      </c>
      <c r="B236" s="2" t="s">
        <v>174</v>
      </c>
      <c r="C236" s="2" t="s">
        <v>133</v>
      </c>
      <c r="D236" s="108" t="s">
        <v>134</v>
      </c>
      <c r="E236" s="102"/>
      <c r="F236" s="2" t="s">
        <v>31</v>
      </c>
      <c r="G236" s="19">
        <f>'Rozpočet - vybrané sloupce'!J218</f>
        <v>118</v>
      </c>
      <c r="H236" s="19">
        <f>'Rozpočet - vybrané sloupce'!K218</f>
        <v>0</v>
      </c>
      <c r="I236" s="87" t="s">
        <v>427</v>
      </c>
      <c r="J236" s="19">
        <f t="shared" si="208"/>
        <v>0</v>
      </c>
      <c r="K236" s="19">
        <f t="shared" si="209"/>
        <v>0</v>
      </c>
      <c r="L236" s="19">
        <f t="shared" si="210"/>
        <v>0</v>
      </c>
      <c r="M236" s="19">
        <f t="shared" si="211"/>
        <v>0</v>
      </c>
      <c r="N236" s="19">
        <v>0</v>
      </c>
      <c r="O236" s="19">
        <f t="shared" si="212"/>
        <v>0</v>
      </c>
      <c r="P236" s="88" t="s">
        <v>428</v>
      </c>
      <c r="Z236" s="19">
        <f t="shared" si="213"/>
        <v>0</v>
      </c>
      <c r="AB236" s="19">
        <f t="shared" si="214"/>
        <v>0</v>
      </c>
      <c r="AC236" s="19">
        <f t="shared" si="215"/>
        <v>0</v>
      </c>
      <c r="AD236" s="19">
        <f t="shared" si="216"/>
        <v>0</v>
      </c>
      <c r="AE236" s="19">
        <f t="shared" si="217"/>
        <v>0</v>
      </c>
      <c r="AF236" s="19">
        <f t="shared" si="218"/>
        <v>0</v>
      </c>
      <c r="AG236" s="19">
        <f t="shared" si="219"/>
        <v>0</v>
      </c>
      <c r="AH236" s="19">
        <f t="shared" si="220"/>
        <v>0</v>
      </c>
      <c r="AI236" s="16" t="s">
        <v>174</v>
      </c>
      <c r="AJ236" s="19">
        <f t="shared" si="221"/>
        <v>0</v>
      </c>
      <c r="AK236" s="19">
        <f t="shared" si="222"/>
        <v>0</v>
      </c>
      <c r="AL236" s="19">
        <f t="shared" si="223"/>
        <v>0</v>
      </c>
      <c r="AN236" s="19">
        <v>12</v>
      </c>
      <c r="AO236" s="19">
        <f>H236*0</f>
        <v>0</v>
      </c>
      <c r="AP236" s="19">
        <f>H236*(1-0)</f>
        <v>0</v>
      </c>
      <c r="AQ236" s="87" t="s">
        <v>429</v>
      </c>
      <c r="AV236" s="19">
        <f t="shared" si="224"/>
        <v>0</v>
      </c>
      <c r="AW236" s="19">
        <f t="shared" si="225"/>
        <v>0</v>
      </c>
      <c r="AX236" s="19">
        <f t="shared" si="226"/>
        <v>0</v>
      </c>
      <c r="AY236" s="87" t="s">
        <v>561</v>
      </c>
      <c r="AZ236" s="87" t="s">
        <v>623</v>
      </c>
      <c r="BA236" s="16" t="s">
        <v>624</v>
      </c>
      <c r="BC236" s="19">
        <f t="shared" si="227"/>
        <v>0</v>
      </c>
      <c r="BD236" s="19">
        <f t="shared" si="228"/>
        <v>0</v>
      </c>
      <c r="BE236" s="19">
        <v>0</v>
      </c>
      <c r="BF236" s="19">
        <f t="shared" si="229"/>
        <v>0</v>
      </c>
      <c r="BH236" s="19">
        <f t="shared" si="230"/>
        <v>0</v>
      </c>
      <c r="BI236" s="19">
        <f t="shared" si="231"/>
        <v>0</v>
      </c>
      <c r="BJ236" s="19">
        <f t="shared" si="232"/>
        <v>0</v>
      </c>
      <c r="BK236" s="19"/>
      <c r="BL236" s="19">
        <v>723</v>
      </c>
      <c r="BW236" s="19" t="str">
        <f t="shared" si="233"/>
        <v>12</v>
      </c>
      <c r="BX236" s="4" t="s">
        <v>134</v>
      </c>
    </row>
    <row r="237" spans="1:76" x14ac:dyDescent="0.25">
      <c r="A237" s="1" t="s">
        <v>635</v>
      </c>
      <c r="B237" s="2" t="s">
        <v>174</v>
      </c>
      <c r="C237" s="2" t="s">
        <v>135</v>
      </c>
      <c r="D237" s="108" t="s">
        <v>136</v>
      </c>
      <c r="E237" s="102"/>
      <c r="F237" s="2" t="s">
        <v>62</v>
      </c>
      <c r="G237" s="19">
        <f>'Rozpočet - vybrané sloupce'!J219</f>
        <v>4</v>
      </c>
      <c r="H237" s="19">
        <f>'Rozpočet - vybrané sloupce'!K219</f>
        <v>0</v>
      </c>
      <c r="I237" s="87" t="s">
        <v>427</v>
      </c>
      <c r="J237" s="19">
        <f t="shared" si="208"/>
        <v>0</v>
      </c>
      <c r="K237" s="19">
        <f t="shared" si="209"/>
        <v>0</v>
      </c>
      <c r="L237" s="19">
        <f t="shared" si="210"/>
        <v>0</v>
      </c>
      <c r="M237" s="19">
        <f t="shared" si="211"/>
        <v>0</v>
      </c>
      <c r="N237" s="19">
        <v>0</v>
      </c>
      <c r="O237" s="19">
        <f t="shared" si="212"/>
        <v>0</v>
      </c>
      <c r="P237" s="88" t="s">
        <v>428</v>
      </c>
      <c r="Z237" s="19">
        <f t="shared" si="213"/>
        <v>0</v>
      </c>
      <c r="AB237" s="19">
        <f t="shared" si="214"/>
        <v>0</v>
      </c>
      <c r="AC237" s="19">
        <f t="shared" si="215"/>
        <v>0</v>
      </c>
      <c r="AD237" s="19">
        <f t="shared" si="216"/>
        <v>0</v>
      </c>
      <c r="AE237" s="19">
        <f t="shared" si="217"/>
        <v>0</v>
      </c>
      <c r="AF237" s="19">
        <f t="shared" si="218"/>
        <v>0</v>
      </c>
      <c r="AG237" s="19">
        <f t="shared" si="219"/>
        <v>0</v>
      </c>
      <c r="AH237" s="19">
        <f t="shared" si="220"/>
        <v>0</v>
      </c>
      <c r="AI237" s="16" t="s">
        <v>174</v>
      </c>
      <c r="AJ237" s="19">
        <f t="shared" si="221"/>
        <v>0</v>
      </c>
      <c r="AK237" s="19">
        <f t="shared" si="222"/>
        <v>0</v>
      </c>
      <c r="AL237" s="19">
        <f t="shared" si="223"/>
        <v>0</v>
      </c>
      <c r="AN237" s="19">
        <v>12</v>
      </c>
      <c r="AO237" s="19">
        <f>H237*0</f>
        <v>0</v>
      </c>
      <c r="AP237" s="19">
        <f>H237*(1-0)</f>
        <v>0</v>
      </c>
      <c r="AQ237" s="87" t="s">
        <v>429</v>
      </c>
      <c r="AV237" s="19">
        <f t="shared" si="224"/>
        <v>0</v>
      </c>
      <c r="AW237" s="19">
        <f t="shared" si="225"/>
        <v>0</v>
      </c>
      <c r="AX237" s="19">
        <f t="shared" si="226"/>
        <v>0</v>
      </c>
      <c r="AY237" s="87" t="s">
        <v>561</v>
      </c>
      <c r="AZ237" s="87" t="s">
        <v>623</v>
      </c>
      <c r="BA237" s="16" t="s">
        <v>624</v>
      </c>
      <c r="BC237" s="19">
        <f t="shared" si="227"/>
        <v>0</v>
      </c>
      <c r="BD237" s="19">
        <f t="shared" si="228"/>
        <v>0</v>
      </c>
      <c r="BE237" s="19">
        <v>0</v>
      </c>
      <c r="BF237" s="19">
        <f t="shared" si="229"/>
        <v>0</v>
      </c>
      <c r="BH237" s="19">
        <f t="shared" si="230"/>
        <v>0</v>
      </c>
      <c r="BI237" s="19">
        <f t="shared" si="231"/>
        <v>0</v>
      </c>
      <c r="BJ237" s="19">
        <f t="shared" si="232"/>
        <v>0</v>
      </c>
      <c r="BK237" s="19"/>
      <c r="BL237" s="19">
        <v>723</v>
      </c>
      <c r="BW237" s="19" t="str">
        <f t="shared" si="233"/>
        <v>12</v>
      </c>
      <c r="BX237" s="4" t="s">
        <v>136</v>
      </c>
    </row>
    <row r="238" spans="1:76" x14ac:dyDescent="0.25">
      <c r="A238" s="1" t="s">
        <v>636</v>
      </c>
      <c r="B238" s="2" t="s">
        <v>174</v>
      </c>
      <c r="C238" s="2" t="s">
        <v>137</v>
      </c>
      <c r="D238" s="108" t="s">
        <v>138</v>
      </c>
      <c r="E238" s="102"/>
      <c r="F238" s="2" t="s">
        <v>62</v>
      </c>
      <c r="G238" s="19">
        <f>'Rozpočet - vybrané sloupce'!J220</f>
        <v>4</v>
      </c>
      <c r="H238" s="19">
        <f>'Rozpočet - vybrané sloupce'!K220</f>
        <v>0</v>
      </c>
      <c r="I238" s="87" t="s">
        <v>427</v>
      </c>
      <c r="J238" s="19">
        <f t="shared" si="208"/>
        <v>0</v>
      </c>
      <c r="K238" s="19">
        <f t="shared" si="209"/>
        <v>0</v>
      </c>
      <c r="L238" s="19">
        <f t="shared" si="210"/>
        <v>0</v>
      </c>
      <c r="M238" s="19">
        <f t="shared" si="211"/>
        <v>0</v>
      </c>
      <c r="N238" s="19">
        <v>0</v>
      </c>
      <c r="O238" s="19">
        <f t="shared" si="212"/>
        <v>0</v>
      </c>
      <c r="P238" s="88" t="s">
        <v>428</v>
      </c>
      <c r="Z238" s="19">
        <f t="shared" si="213"/>
        <v>0</v>
      </c>
      <c r="AB238" s="19">
        <f t="shared" si="214"/>
        <v>0</v>
      </c>
      <c r="AC238" s="19">
        <f t="shared" si="215"/>
        <v>0</v>
      </c>
      <c r="AD238" s="19">
        <f t="shared" si="216"/>
        <v>0</v>
      </c>
      <c r="AE238" s="19">
        <f t="shared" si="217"/>
        <v>0</v>
      </c>
      <c r="AF238" s="19">
        <f t="shared" si="218"/>
        <v>0</v>
      </c>
      <c r="AG238" s="19">
        <f t="shared" si="219"/>
        <v>0</v>
      </c>
      <c r="AH238" s="19">
        <f t="shared" si="220"/>
        <v>0</v>
      </c>
      <c r="AI238" s="16" t="s">
        <v>174</v>
      </c>
      <c r="AJ238" s="19">
        <f t="shared" si="221"/>
        <v>0</v>
      </c>
      <c r="AK238" s="19">
        <f t="shared" si="222"/>
        <v>0</v>
      </c>
      <c r="AL238" s="19">
        <f t="shared" si="223"/>
        <v>0</v>
      </c>
      <c r="AN238" s="19">
        <v>12</v>
      </c>
      <c r="AO238" s="19">
        <f>H238*0</f>
        <v>0</v>
      </c>
      <c r="AP238" s="19">
        <f>H238*(1-0)</f>
        <v>0</v>
      </c>
      <c r="AQ238" s="87" t="s">
        <v>429</v>
      </c>
      <c r="AV238" s="19">
        <f t="shared" si="224"/>
        <v>0</v>
      </c>
      <c r="AW238" s="19">
        <f t="shared" si="225"/>
        <v>0</v>
      </c>
      <c r="AX238" s="19">
        <f t="shared" si="226"/>
        <v>0</v>
      </c>
      <c r="AY238" s="87" t="s">
        <v>561</v>
      </c>
      <c r="AZ238" s="87" t="s">
        <v>623</v>
      </c>
      <c r="BA238" s="16" t="s">
        <v>624</v>
      </c>
      <c r="BC238" s="19">
        <f t="shared" si="227"/>
        <v>0</v>
      </c>
      <c r="BD238" s="19">
        <f t="shared" si="228"/>
        <v>0</v>
      </c>
      <c r="BE238" s="19">
        <v>0</v>
      </c>
      <c r="BF238" s="19">
        <f t="shared" si="229"/>
        <v>0</v>
      </c>
      <c r="BH238" s="19">
        <f t="shared" si="230"/>
        <v>0</v>
      </c>
      <c r="BI238" s="19">
        <f t="shared" si="231"/>
        <v>0</v>
      </c>
      <c r="BJ238" s="19">
        <f t="shared" si="232"/>
        <v>0</v>
      </c>
      <c r="BK238" s="19"/>
      <c r="BL238" s="19">
        <v>723</v>
      </c>
      <c r="BW238" s="19" t="str">
        <f t="shared" si="233"/>
        <v>12</v>
      </c>
      <c r="BX238" s="4" t="s">
        <v>138</v>
      </c>
    </row>
    <row r="239" spans="1:76" x14ac:dyDescent="0.25">
      <c r="A239" s="1" t="s">
        <v>637</v>
      </c>
      <c r="B239" s="2" t="s">
        <v>174</v>
      </c>
      <c r="C239" s="2" t="s">
        <v>139</v>
      </c>
      <c r="D239" s="108" t="s">
        <v>140</v>
      </c>
      <c r="E239" s="102"/>
      <c r="F239" s="2" t="s">
        <v>100</v>
      </c>
      <c r="G239" s="19">
        <f>'Rozpočet - vybrané sloupce'!J221</f>
        <v>4</v>
      </c>
      <c r="H239" s="19">
        <f>'Rozpočet - vybrané sloupce'!K221</f>
        <v>0</v>
      </c>
      <c r="I239" s="87" t="s">
        <v>427</v>
      </c>
      <c r="J239" s="19">
        <f t="shared" si="208"/>
        <v>0</v>
      </c>
      <c r="K239" s="19">
        <f t="shared" si="209"/>
        <v>0</v>
      </c>
      <c r="L239" s="19">
        <f t="shared" si="210"/>
        <v>0</v>
      </c>
      <c r="M239" s="19">
        <f t="shared" si="211"/>
        <v>0</v>
      </c>
      <c r="N239" s="19">
        <v>0</v>
      </c>
      <c r="O239" s="19">
        <f t="shared" si="212"/>
        <v>0</v>
      </c>
      <c r="P239" s="88" t="s">
        <v>428</v>
      </c>
      <c r="Z239" s="19">
        <f t="shared" si="213"/>
        <v>0</v>
      </c>
      <c r="AB239" s="19">
        <f t="shared" si="214"/>
        <v>0</v>
      </c>
      <c r="AC239" s="19">
        <f t="shared" si="215"/>
        <v>0</v>
      </c>
      <c r="AD239" s="19">
        <f t="shared" si="216"/>
        <v>0</v>
      </c>
      <c r="AE239" s="19">
        <f t="shared" si="217"/>
        <v>0</v>
      </c>
      <c r="AF239" s="19">
        <f t="shared" si="218"/>
        <v>0</v>
      </c>
      <c r="AG239" s="19">
        <f t="shared" si="219"/>
        <v>0</v>
      </c>
      <c r="AH239" s="19">
        <f t="shared" si="220"/>
        <v>0</v>
      </c>
      <c r="AI239" s="16" t="s">
        <v>174</v>
      </c>
      <c r="AJ239" s="19">
        <f t="shared" si="221"/>
        <v>0</v>
      </c>
      <c r="AK239" s="19">
        <f t="shared" si="222"/>
        <v>0</v>
      </c>
      <c r="AL239" s="19">
        <f t="shared" si="223"/>
        <v>0</v>
      </c>
      <c r="AN239" s="19">
        <v>12</v>
      </c>
      <c r="AO239" s="19">
        <f>H239*0</f>
        <v>0</v>
      </c>
      <c r="AP239" s="19">
        <f>H239*(1-0)</f>
        <v>0</v>
      </c>
      <c r="AQ239" s="87" t="s">
        <v>429</v>
      </c>
      <c r="AV239" s="19">
        <f t="shared" si="224"/>
        <v>0</v>
      </c>
      <c r="AW239" s="19">
        <f t="shared" si="225"/>
        <v>0</v>
      </c>
      <c r="AX239" s="19">
        <f t="shared" si="226"/>
        <v>0</v>
      </c>
      <c r="AY239" s="87" t="s">
        <v>561</v>
      </c>
      <c r="AZ239" s="87" t="s">
        <v>623</v>
      </c>
      <c r="BA239" s="16" t="s">
        <v>624</v>
      </c>
      <c r="BC239" s="19">
        <f t="shared" si="227"/>
        <v>0</v>
      </c>
      <c r="BD239" s="19">
        <f t="shared" si="228"/>
        <v>0</v>
      </c>
      <c r="BE239" s="19">
        <v>0</v>
      </c>
      <c r="BF239" s="19">
        <f t="shared" si="229"/>
        <v>0</v>
      </c>
      <c r="BH239" s="19">
        <f t="shared" si="230"/>
        <v>0</v>
      </c>
      <c r="BI239" s="19">
        <f t="shared" si="231"/>
        <v>0</v>
      </c>
      <c r="BJ239" s="19">
        <f t="shared" si="232"/>
        <v>0</v>
      </c>
      <c r="BK239" s="19"/>
      <c r="BL239" s="19">
        <v>723</v>
      </c>
      <c r="BW239" s="19" t="str">
        <f t="shared" si="233"/>
        <v>12</v>
      </c>
      <c r="BX239" s="4" t="s">
        <v>140</v>
      </c>
    </row>
    <row r="240" spans="1:76" x14ac:dyDescent="0.25">
      <c r="A240" s="1" t="s">
        <v>638</v>
      </c>
      <c r="B240" s="2" t="s">
        <v>174</v>
      </c>
      <c r="C240" s="2" t="s">
        <v>141</v>
      </c>
      <c r="D240" s="108" t="s">
        <v>142</v>
      </c>
      <c r="E240" s="102"/>
      <c r="F240" s="2" t="s">
        <v>62</v>
      </c>
      <c r="G240" s="19">
        <f>'Rozpočet - vybrané sloupce'!J222</f>
        <v>3</v>
      </c>
      <c r="H240" s="19">
        <f>'Rozpočet - vybrané sloupce'!K222</f>
        <v>0</v>
      </c>
      <c r="I240" s="87" t="s">
        <v>427</v>
      </c>
      <c r="J240" s="19">
        <f t="shared" si="208"/>
        <v>0</v>
      </c>
      <c r="K240" s="19">
        <f t="shared" si="209"/>
        <v>0</v>
      </c>
      <c r="L240" s="19">
        <f t="shared" si="210"/>
        <v>0</v>
      </c>
      <c r="M240" s="19">
        <f t="shared" si="211"/>
        <v>0</v>
      </c>
      <c r="N240" s="19">
        <v>0</v>
      </c>
      <c r="O240" s="19">
        <f t="shared" si="212"/>
        <v>0</v>
      </c>
      <c r="P240" s="88" t="s">
        <v>428</v>
      </c>
      <c r="Z240" s="19">
        <f t="shared" si="213"/>
        <v>0</v>
      </c>
      <c r="AB240" s="19">
        <f t="shared" si="214"/>
        <v>0</v>
      </c>
      <c r="AC240" s="19">
        <f t="shared" si="215"/>
        <v>0</v>
      </c>
      <c r="AD240" s="19">
        <f t="shared" si="216"/>
        <v>0</v>
      </c>
      <c r="AE240" s="19">
        <f t="shared" si="217"/>
        <v>0</v>
      </c>
      <c r="AF240" s="19">
        <f t="shared" si="218"/>
        <v>0</v>
      </c>
      <c r="AG240" s="19">
        <f t="shared" si="219"/>
        <v>0</v>
      </c>
      <c r="AH240" s="19">
        <f t="shared" si="220"/>
        <v>0</v>
      </c>
      <c r="AI240" s="16" t="s">
        <v>174</v>
      </c>
      <c r="AJ240" s="19">
        <f t="shared" si="221"/>
        <v>0</v>
      </c>
      <c r="AK240" s="19">
        <f t="shared" si="222"/>
        <v>0</v>
      </c>
      <c r="AL240" s="19">
        <f t="shared" si="223"/>
        <v>0</v>
      </c>
      <c r="AN240" s="19">
        <v>12</v>
      </c>
      <c r="AO240" s="19">
        <f>H240*0.133192389</f>
        <v>0</v>
      </c>
      <c r="AP240" s="19">
        <f>H240*(1-0.133192389)</f>
        <v>0</v>
      </c>
      <c r="AQ240" s="87" t="s">
        <v>429</v>
      </c>
      <c r="AV240" s="19">
        <f t="shared" si="224"/>
        <v>0</v>
      </c>
      <c r="AW240" s="19">
        <f t="shared" si="225"/>
        <v>0</v>
      </c>
      <c r="AX240" s="19">
        <f t="shared" si="226"/>
        <v>0</v>
      </c>
      <c r="AY240" s="87" t="s">
        <v>561</v>
      </c>
      <c r="AZ240" s="87" t="s">
        <v>623</v>
      </c>
      <c r="BA240" s="16" t="s">
        <v>624</v>
      </c>
      <c r="BC240" s="19">
        <f t="shared" si="227"/>
        <v>0</v>
      </c>
      <c r="BD240" s="19">
        <f t="shared" si="228"/>
        <v>0</v>
      </c>
      <c r="BE240" s="19">
        <v>0</v>
      </c>
      <c r="BF240" s="19">
        <f t="shared" si="229"/>
        <v>0</v>
      </c>
      <c r="BH240" s="19">
        <f t="shared" si="230"/>
        <v>0</v>
      </c>
      <c r="BI240" s="19">
        <f t="shared" si="231"/>
        <v>0</v>
      </c>
      <c r="BJ240" s="19">
        <f t="shared" si="232"/>
        <v>0</v>
      </c>
      <c r="BK240" s="19"/>
      <c r="BL240" s="19">
        <v>723</v>
      </c>
      <c r="BW240" s="19" t="str">
        <f t="shared" si="233"/>
        <v>12</v>
      </c>
      <c r="BX240" s="4" t="s">
        <v>142</v>
      </c>
    </row>
    <row r="241" spans="1:76" x14ac:dyDescent="0.25">
      <c r="A241" s="1" t="s">
        <v>639</v>
      </c>
      <c r="B241" s="2" t="s">
        <v>174</v>
      </c>
      <c r="C241" s="2" t="s">
        <v>143</v>
      </c>
      <c r="D241" s="108" t="s">
        <v>144</v>
      </c>
      <c r="E241" s="102"/>
      <c r="F241" s="2" t="s">
        <v>62</v>
      </c>
      <c r="G241" s="19">
        <f>'Rozpočet - vybrané sloupce'!J223</f>
        <v>23</v>
      </c>
      <c r="H241" s="19">
        <f>'Rozpočet - vybrané sloupce'!K223</f>
        <v>0</v>
      </c>
      <c r="I241" s="87" t="s">
        <v>427</v>
      </c>
      <c r="J241" s="19">
        <f t="shared" si="208"/>
        <v>0</v>
      </c>
      <c r="K241" s="19">
        <f t="shared" si="209"/>
        <v>0</v>
      </c>
      <c r="L241" s="19">
        <f t="shared" si="210"/>
        <v>0</v>
      </c>
      <c r="M241" s="19">
        <f t="shared" si="211"/>
        <v>0</v>
      </c>
      <c r="N241" s="19">
        <v>8.8999999999999995E-4</v>
      </c>
      <c r="O241" s="19">
        <f t="shared" si="212"/>
        <v>2.0469999999999999E-2</v>
      </c>
      <c r="P241" s="88" t="s">
        <v>428</v>
      </c>
      <c r="Z241" s="19">
        <f t="shared" si="213"/>
        <v>0</v>
      </c>
      <c r="AB241" s="19">
        <f t="shared" si="214"/>
        <v>0</v>
      </c>
      <c r="AC241" s="19">
        <f t="shared" si="215"/>
        <v>0</v>
      </c>
      <c r="AD241" s="19">
        <f t="shared" si="216"/>
        <v>0</v>
      </c>
      <c r="AE241" s="19">
        <f t="shared" si="217"/>
        <v>0</v>
      </c>
      <c r="AF241" s="19">
        <f t="shared" si="218"/>
        <v>0</v>
      </c>
      <c r="AG241" s="19">
        <f t="shared" si="219"/>
        <v>0</v>
      </c>
      <c r="AH241" s="19">
        <f t="shared" si="220"/>
        <v>0</v>
      </c>
      <c r="AI241" s="16" t="s">
        <v>174</v>
      </c>
      <c r="AJ241" s="19">
        <f t="shared" si="221"/>
        <v>0</v>
      </c>
      <c r="AK241" s="19">
        <f t="shared" si="222"/>
        <v>0</v>
      </c>
      <c r="AL241" s="19">
        <f t="shared" si="223"/>
        <v>0</v>
      </c>
      <c r="AN241" s="19">
        <v>12</v>
      </c>
      <c r="AO241" s="19">
        <f>H241*0</f>
        <v>0</v>
      </c>
      <c r="AP241" s="19">
        <f>H241*(1-0)</f>
        <v>0</v>
      </c>
      <c r="AQ241" s="87" t="s">
        <v>429</v>
      </c>
      <c r="AV241" s="19">
        <f t="shared" si="224"/>
        <v>0</v>
      </c>
      <c r="AW241" s="19">
        <f t="shared" si="225"/>
        <v>0</v>
      </c>
      <c r="AX241" s="19">
        <f t="shared" si="226"/>
        <v>0</v>
      </c>
      <c r="AY241" s="87" t="s">
        <v>561</v>
      </c>
      <c r="AZ241" s="87" t="s">
        <v>623</v>
      </c>
      <c r="BA241" s="16" t="s">
        <v>624</v>
      </c>
      <c r="BC241" s="19">
        <f t="shared" si="227"/>
        <v>0</v>
      </c>
      <c r="BD241" s="19">
        <f t="shared" si="228"/>
        <v>0</v>
      </c>
      <c r="BE241" s="19">
        <v>0</v>
      </c>
      <c r="BF241" s="19">
        <f t="shared" si="229"/>
        <v>2.0469999999999999E-2</v>
      </c>
      <c r="BH241" s="19">
        <f t="shared" si="230"/>
        <v>0</v>
      </c>
      <c r="BI241" s="19">
        <f t="shared" si="231"/>
        <v>0</v>
      </c>
      <c r="BJ241" s="19">
        <f t="shared" si="232"/>
        <v>0</v>
      </c>
      <c r="BK241" s="19"/>
      <c r="BL241" s="19">
        <v>723</v>
      </c>
      <c r="BW241" s="19" t="str">
        <f t="shared" si="233"/>
        <v>12</v>
      </c>
      <c r="BX241" s="4" t="s">
        <v>144</v>
      </c>
    </row>
    <row r="242" spans="1:76" x14ac:dyDescent="0.25">
      <c r="A242" s="1" t="s">
        <v>640</v>
      </c>
      <c r="B242" s="2" t="s">
        <v>174</v>
      </c>
      <c r="C242" s="2" t="s">
        <v>145</v>
      </c>
      <c r="D242" s="108" t="s">
        <v>146</v>
      </c>
      <c r="E242" s="102"/>
      <c r="F242" s="2" t="s">
        <v>147</v>
      </c>
      <c r="G242" s="19">
        <f>'Rozpočet - vybrané sloupce'!J224</f>
        <v>23</v>
      </c>
      <c r="H242" s="19">
        <f>'Rozpočet - vybrané sloupce'!K224</f>
        <v>0</v>
      </c>
      <c r="I242" s="87" t="s">
        <v>427</v>
      </c>
      <c r="J242" s="19">
        <f t="shared" si="208"/>
        <v>0</v>
      </c>
      <c r="K242" s="19">
        <f t="shared" si="209"/>
        <v>0</v>
      </c>
      <c r="L242" s="19">
        <f t="shared" si="210"/>
        <v>0</v>
      </c>
      <c r="M242" s="19">
        <f t="shared" si="211"/>
        <v>0</v>
      </c>
      <c r="N242" s="19">
        <v>5.13E-3</v>
      </c>
      <c r="O242" s="19">
        <f t="shared" si="212"/>
        <v>0.11799</v>
      </c>
      <c r="P242" s="88" t="s">
        <v>428</v>
      </c>
      <c r="Z242" s="19">
        <f t="shared" si="213"/>
        <v>0</v>
      </c>
      <c r="AB242" s="19">
        <f t="shared" si="214"/>
        <v>0</v>
      </c>
      <c r="AC242" s="19">
        <f t="shared" si="215"/>
        <v>0</v>
      </c>
      <c r="AD242" s="19">
        <f t="shared" si="216"/>
        <v>0</v>
      </c>
      <c r="AE242" s="19">
        <f t="shared" si="217"/>
        <v>0</v>
      </c>
      <c r="AF242" s="19">
        <f t="shared" si="218"/>
        <v>0</v>
      </c>
      <c r="AG242" s="19">
        <f t="shared" si="219"/>
        <v>0</v>
      </c>
      <c r="AH242" s="19">
        <f t="shared" si="220"/>
        <v>0</v>
      </c>
      <c r="AI242" s="16" t="s">
        <v>174</v>
      </c>
      <c r="AJ242" s="19">
        <f t="shared" si="221"/>
        <v>0</v>
      </c>
      <c r="AK242" s="19">
        <f t="shared" si="222"/>
        <v>0</v>
      </c>
      <c r="AL242" s="19">
        <f t="shared" si="223"/>
        <v>0</v>
      </c>
      <c r="AN242" s="19">
        <v>12</v>
      </c>
      <c r="AO242" s="19">
        <f>H242*0</f>
        <v>0</v>
      </c>
      <c r="AP242" s="19">
        <f>H242*(1-0)</f>
        <v>0</v>
      </c>
      <c r="AQ242" s="87" t="s">
        <v>429</v>
      </c>
      <c r="AV242" s="19">
        <f t="shared" si="224"/>
        <v>0</v>
      </c>
      <c r="AW242" s="19">
        <f t="shared" si="225"/>
        <v>0</v>
      </c>
      <c r="AX242" s="19">
        <f t="shared" si="226"/>
        <v>0</v>
      </c>
      <c r="AY242" s="87" t="s">
        <v>561</v>
      </c>
      <c r="AZ242" s="87" t="s">
        <v>623</v>
      </c>
      <c r="BA242" s="16" t="s">
        <v>624</v>
      </c>
      <c r="BC242" s="19">
        <f t="shared" si="227"/>
        <v>0</v>
      </c>
      <c r="BD242" s="19">
        <f t="shared" si="228"/>
        <v>0</v>
      </c>
      <c r="BE242" s="19">
        <v>0</v>
      </c>
      <c r="BF242" s="19">
        <f t="shared" si="229"/>
        <v>0.11799</v>
      </c>
      <c r="BH242" s="19">
        <f t="shared" si="230"/>
        <v>0</v>
      </c>
      <c r="BI242" s="19">
        <f t="shared" si="231"/>
        <v>0</v>
      </c>
      <c r="BJ242" s="19">
        <f t="shared" si="232"/>
        <v>0</v>
      </c>
      <c r="BK242" s="19"/>
      <c r="BL242" s="19">
        <v>723</v>
      </c>
      <c r="BW242" s="19" t="str">
        <f t="shared" si="233"/>
        <v>12</v>
      </c>
      <c r="BX242" s="4" t="s">
        <v>146</v>
      </c>
    </row>
    <row r="243" spans="1:76" x14ac:dyDescent="0.25">
      <c r="A243" s="1" t="s">
        <v>641</v>
      </c>
      <c r="B243" s="2" t="s">
        <v>174</v>
      </c>
      <c r="C243" s="2" t="s">
        <v>148</v>
      </c>
      <c r="D243" s="108" t="s">
        <v>149</v>
      </c>
      <c r="E243" s="102"/>
      <c r="F243" s="2" t="s">
        <v>100</v>
      </c>
      <c r="G243" s="19">
        <f>'Rozpočet - vybrané sloupce'!J225</f>
        <v>23</v>
      </c>
      <c r="H243" s="19">
        <f>'Rozpočet - vybrané sloupce'!K225</f>
        <v>0</v>
      </c>
      <c r="I243" s="87" t="s">
        <v>427</v>
      </c>
      <c r="J243" s="19">
        <f t="shared" si="208"/>
        <v>0</v>
      </c>
      <c r="K243" s="19">
        <f t="shared" si="209"/>
        <v>0</v>
      </c>
      <c r="L243" s="19">
        <f t="shared" si="210"/>
        <v>0</v>
      </c>
      <c r="M243" s="19">
        <f t="shared" si="211"/>
        <v>0</v>
      </c>
      <c r="N243" s="19">
        <v>1.8000000000000001E-4</v>
      </c>
      <c r="O243" s="19">
        <f t="shared" si="212"/>
        <v>4.1400000000000005E-3</v>
      </c>
      <c r="P243" s="88" t="s">
        <v>428</v>
      </c>
      <c r="Z243" s="19">
        <f t="shared" si="213"/>
        <v>0</v>
      </c>
      <c r="AB243" s="19">
        <f t="shared" si="214"/>
        <v>0</v>
      </c>
      <c r="AC243" s="19">
        <f t="shared" si="215"/>
        <v>0</v>
      </c>
      <c r="AD243" s="19">
        <f t="shared" si="216"/>
        <v>0</v>
      </c>
      <c r="AE243" s="19">
        <f t="shared" si="217"/>
        <v>0</v>
      </c>
      <c r="AF243" s="19">
        <f t="shared" si="218"/>
        <v>0</v>
      </c>
      <c r="AG243" s="19">
        <f t="shared" si="219"/>
        <v>0</v>
      </c>
      <c r="AH243" s="19">
        <f t="shared" si="220"/>
        <v>0</v>
      </c>
      <c r="AI243" s="16" t="s">
        <v>174</v>
      </c>
      <c r="AJ243" s="19">
        <f t="shared" si="221"/>
        <v>0</v>
      </c>
      <c r="AK243" s="19">
        <f t="shared" si="222"/>
        <v>0</v>
      </c>
      <c r="AL243" s="19">
        <f t="shared" si="223"/>
        <v>0</v>
      </c>
      <c r="AN243" s="19">
        <v>12</v>
      </c>
      <c r="AO243" s="19">
        <f>H243*0.062206897</f>
        <v>0</v>
      </c>
      <c r="AP243" s="19">
        <f>H243*(1-0.062206897)</f>
        <v>0</v>
      </c>
      <c r="AQ243" s="87" t="s">
        <v>429</v>
      </c>
      <c r="AV243" s="19">
        <f t="shared" si="224"/>
        <v>0</v>
      </c>
      <c r="AW243" s="19">
        <f t="shared" si="225"/>
        <v>0</v>
      </c>
      <c r="AX243" s="19">
        <f t="shared" si="226"/>
        <v>0</v>
      </c>
      <c r="AY243" s="87" t="s">
        <v>561</v>
      </c>
      <c r="AZ243" s="87" t="s">
        <v>623</v>
      </c>
      <c r="BA243" s="16" t="s">
        <v>624</v>
      </c>
      <c r="BC243" s="19">
        <f t="shared" si="227"/>
        <v>0</v>
      </c>
      <c r="BD243" s="19">
        <f t="shared" si="228"/>
        <v>0</v>
      </c>
      <c r="BE243" s="19">
        <v>0</v>
      </c>
      <c r="BF243" s="19">
        <f t="shared" si="229"/>
        <v>4.1400000000000005E-3</v>
      </c>
      <c r="BH243" s="19">
        <f t="shared" si="230"/>
        <v>0</v>
      </c>
      <c r="BI243" s="19">
        <f t="shared" si="231"/>
        <v>0</v>
      </c>
      <c r="BJ243" s="19">
        <f t="shared" si="232"/>
        <v>0</v>
      </c>
      <c r="BK243" s="19"/>
      <c r="BL243" s="19">
        <v>723</v>
      </c>
      <c r="BW243" s="19" t="str">
        <f t="shared" si="233"/>
        <v>12</v>
      </c>
      <c r="BX243" s="4" t="s">
        <v>149</v>
      </c>
    </row>
    <row r="244" spans="1:76" x14ac:dyDescent="0.25">
      <c r="A244" s="1" t="s">
        <v>642</v>
      </c>
      <c r="B244" s="2" t="s">
        <v>174</v>
      </c>
      <c r="C244" s="2" t="s">
        <v>150</v>
      </c>
      <c r="D244" s="108" t="s">
        <v>151</v>
      </c>
      <c r="E244" s="102"/>
      <c r="F244" s="2" t="s">
        <v>100</v>
      </c>
      <c r="G244" s="19">
        <f>'Rozpočet - vybrané sloupce'!J226</f>
        <v>23</v>
      </c>
      <c r="H244" s="19">
        <f>'Rozpočet - vybrané sloupce'!K226</f>
        <v>0</v>
      </c>
      <c r="I244" s="87" t="s">
        <v>427</v>
      </c>
      <c r="J244" s="19">
        <f t="shared" si="208"/>
        <v>0</v>
      </c>
      <c r="K244" s="19">
        <f t="shared" si="209"/>
        <v>0</v>
      </c>
      <c r="L244" s="19">
        <f t="shared" si="210"/>
        <v>0</v>
      </c>
      <c r="M244" s="19">
        <f t="shared" si="211"/>
        <v>0</v>
      </c>
      <c r="N244" s="19">
        <v>3.2499999999999999E-3</v>
      </c>
      <c r="O244" s="19">
        <f t="shared" si="212"/>
        <v>7.4749999999999997E-2</v>
      </c>
      <c r="P244" s="88" t="s">
        <v>428</v>
      </c>
      <c r="Z244" s="19">
        <f t="shared" si="213"/>
        <v>0</v>
      </c>
      <c r="AB244" s="19">
        <f t="shared" si="214"/>
        <v>0</v>
      </c>
      <c r="AC244" s="19">
        <f t="shared" si="215"/>
        <v>0</v>
      </c>
      <c r="AD244" s="19">
        <f t="shared" si="216"/>
        <v>0</v>
      </c>
      <c r="AE244" s="19">
        <f t="shared" si="217"/>
        <v>0</v>
      </c>
      <c r="AF244" s="19">
        <f t="shared" si="218"/>
        <v>0</v>
      </c>
      <c r="AG244" s="19">
        <f t="shared" si="219"/>
        <v>0</v>
      </c>
      <c r="AH244" s="19">
        <f t="shared" si="220"/>
        <v>0</v>
      </c>
      <c r="AI244" s="16" t="s">
        <v>174</v>
      </c>
      <c r="AJ244" s="19">
        <f t="shared" si="221"/>
        <v>0</v>
      </c>
      <c r="AK244" s="19">
        <f t="shared" si="222"/>
        <v>0</v>
      </c>
      <c r="AL244" s="19">
        <f t="shared" si="223"/>
        <v>0</v>
      </c>
      <c r="AN244" s="19">
        <v>12</v>
      </c>
      <c r="AO244" s="19">
        <f>H244*0.474438596</f>
        <v>0</v>
      </c>
      <c r="AP244" s="19">
        <f>H244*(1-0.474438596)</f>
        <v>0</v>
      </c>
      <c r="AQ244" s="87" t="s">
        <v>429</v>
      </c>
      <c r="AV244" s="19">
        <f t="shared" si="224"/>
        <v>0</v>
      </c>
      <c r="AW244" s="19">
        <f t="shared" si="225"/>
        <v>0</v>
      </c>
      <c r="AX244" s="19">
        <f t="shared" si="226"/>
        <v>0</v>
      </c>
      <c r="AY244" s="87" t="s">
        <v>561</v>
      </c>
      <c r="AZ244" s="87" t="s">
        <v>623</v>
      </c>
      <c r="BA244" s="16" t="s">
        <v>624</v>
      </c>
      <c r="BC244" s="19">
        <f t="shared" si="227"/>
        <v>0</v>
      </c>
      <c r="BD244" s="19">
        <f t="shared" si="228"/>
        <v>0</v>
      </c>
      <c r="BE244" s="19">
        <v>0</v>
      </c>
      <c r="BF244" s="19">
        <f t="shared" si="229"/>
        <v>7.4749999999999997E-2</v>
      </c>
      <c r="BH244" s="19">
        <f t="shared" si="230"/>
        <v>0</v>
      </c>
      <c r="BI244" s="19">
        <f t="shared" si="231"/>
        <v>0</v>
      </c>
      <c r="BJ244" s="19">
        <f t="shared" si="232"/>
        <v>0</v>
      </c>
      <c r="BK244" s="19"/>
      <c r="BL244" s="19">
        <v>723</v>
      </c>
      <c r="BW244" s="19" t="str">
        <f t="shared" si="233"/>
        <v>12</v>
      </c>
      <c r="BX244" s="4" t="s">
        <v>151</v>
      </c>
    </row>
    <row r="245" spans="1:76" x14ac:dyDescent="0.25">
      <c r="A245" s="1" t="s">
        <v>643</v>
      </c>
      <c r="B245" s="2" t="s">
        <v>174</v>
      </c>
      <c r="C245" s="2" t="s">
        <v>152</v>
      </c>
      <c r="D245" s="108" t="s">
        <v>153</v>
      </c>
      <c r="E245" s="102"/>
      <c r="F245" s="2" t="s">
        <v>62</v>
      </c>
      <c r="G245" s="19">
        <f>'Rozpočet - vybrané sloupce'!J227</f>
        <v>23</v>
      </c>
      <c r="H245" s="19">
        <f>'Rozpočet - vybrané sloupce'!K227</f>
        <v>0</v>
      </c>
      <c r="I245" s="87" t="s">
        <v>427</v>
      </c>
      <c r="J245" s="19">
        <f t="shared" si="208"/>
        <v>0</v>
      </c>
      <c r="K245" s="19">
        <f t="shared" si="209"/>
        <v>0</v>
      </c>
      <c r="L245" s="19">
        <f t="shared" si="210"/>
        <v>0</v>
      </c>
      <c r="M245" s="19">
        <f t="shared" si="211"/>
        <v>0</v>
      </c>
      <c r="N245" s="19">
        <v>4.3800000000000002E-3</v>
      </c>
      <c r="O245" s="19">
        <f t="shared" si="212"/>
        <v>0.10074000000000001</v>
      </c>
      <c r="P245" s="88" t="s">
        <v>428</v>
      </c>
      <c r="Z245" s="19">
        <f t="shared" si="213"/>
        <v>0</v>
      </c>
      <c r="AB245" s="19">
        <f t="shared" si="214"/>
        <v>0</v>
      </c>
      <c r="AC245" s="19">
        <f t="shared" si="215"/>
        <v>0</v>
      </c>
      <c r="AD245" s="19">
        <f t="shared" si="216"/>
        <v>0</v>
      </c>
      <c r="AE245" s="19">
        <f t="shared" si="217"/>
        <v>0</v>
      </c>
      <c r="AF245" s="19">
        <f t="shared" si="218"/>
        <v>0</v>
      </c>
      <c r="AG245" s="19">
        <f t="shared" si="219"/>
        <v>0</v>
      </c>
      <c r="AH245" s="19">
        <f t="shared" si="220"/>
        <v>0</v>
      </c>
      <c r="AI245" s="16" t="s">
        <v>174</v>
      </c>
      <c r="AJ245" s="19">
        <f t="shared" si="221"/>
        <v>0</v>
      </c>
      <c r="AK245" s="19">
        <f t="shared" si="222"/>
        <v>0</v>
      </c>
      <c r="AL245" s="19">
        <f t="shared" si="223"/>
        <v>0</v>
      </c>
      <c r="AN245" s="19">
        <v>12</v>
      </c>
      <c r="AO245" s="19">
        <f>H245*0.219754683</f>
        <v>0</v>
      </c>
      <c r="AP245" s="19">
        <f>H245*(1-0.219754683)</f>
        <v>0</v>
      </c>
      <c r="AQ245" s="87" t="s">
        <v>429</v>
      </c>
      <c r="AV245" s="19">
        <f t="shared" si="224"/>
        <v>0</v>
      </c>
      <c r="AW245" s="19">
        <f t="shared" si="225"/>
        <v>0</v>
      </c>
      <c r="AX245" s="19">
        <f t="shared" si="226"/>
        <v>0</v>
      </c>
      <c r="AY245" s="87" t="s">
        <v>561</v>
      </c>
      <c r="AZ245" s="87" t="s">
        <v>623</v>
      </c>
      <c r="BA245" s="16" t="s">
        <v>624</v>
      </c>
      <c r="BC245" s="19">
        <f t="shared" si="227"/>
        <v>0</v>
      </c>
      <c r="BD245" s="19">
        <f t="shared" si="228"/>
        <v>0</v>
      </c>
      <c r="BE245" s="19">
        <v>0</v>
      </c>
      <c r="BF245" s="19">
        <f t="shared" si="229"/>
        <v>0.10074000000000001</v>
      </c>
      <c r="BH245" s="19">
        <f t="shared" si="230"/>
        <v>0</v>
      </c>
      <c r="BI245" s="19">
        <f t="shared" si="231"/>
        <v>0</v>
      </c>
      <c r="BJ245" s="19">
        <f t="shared" si="232"/>
        <v>0</v>
      </c>
      <c r="BK245" s="19"/>
      <c r="BL245" s="19">
        <v>723</v>
      </c>
      <c r="BW245" s="19" t="str">
        <f t="shared" si="233"/>
        <v>12</v>
      </c>
      <c r="BX245" s="4" t="s">
        <v>153</v>
      </c>
    </row>
    <row r="246" spans="1:76" x14ac:dyDescent="0.25">
      <c r="A246" s="1" t="s">
        <v>644</v>
      </c>
      <c r="B246" s="2" t="s">
        <v>174</v>
      </c>
      <c r="C246" s="2" t="s">
        <v>154</v>
      </c>
      <c r="D246" s="108" t="s">
        <v>155</v>
      </c>
      <c r="E246" s="102"/>
      <c r="F246" s="2" t="s">
        <v>62</v>
      </c>
      <c r="G246" s="19">
        <f>'Rozpočet - vybrané sloupce'!J228</f>
        <v>23</v>
      </c>
      <c r="H246" s="19">
        <f>'Rozpočet - vybrané sloupce'!K228</f>
        <v>0</v>
      </c>
      <c r="I246" s="87" t="s">
        <v>427</v>
      </c>
      <c r="J246" s="19">
        <f t="shared" si="208"/>
        <v>0</v>
      </c>
      <c r="K246" s="19">
        <f t="shared" si="209"/>
        <v>0</v>
      </c>
      <c r="L246" s="19">
        <f t="shared" si="210"/>
        <v>0</v>
      </c>
      <c r="M246" s="19">
        <f t="shared" si="211"/>
        <v>0</v>
      </c>
      <c r="N246" s="19">
        <v>1.7000000000000001E-4</v>
      </c>
      <c r="O246" s="19">
        <f t="shared" si="212"/>
        <v>3.9100000000000003E-3</v>
      </c>
      <c r="P246" s="88" t="s">
        <v>428</v>
      </c>
      <c r="Z246" s="19">
        <f t="shared" si="213"/>
        <v>0</v>
      </c>
      <c r="AB246" s="19">
        <f t="shared" si="214"/>
        <v>0</v>
      </c>
      <c r="AC246" s="19">
        <f t="shared" si="215"/>
        <v>0</v>
      </c>
      <c r="AD246" s="19">
        <f t="shared" si="216"/>
        <v>0</v>
      </c>
      <c r="AE246" s="19">
        <f t="shared" si="217"/>
        <v>0</v>
      </c>
      <c r="AF246" s="19">
        <f t="shared" si="218"/>
        <v>0</v>
      </c>
      <c r="AG246" s="19">
        <f t="shared" si="219"/>
        <v>0</v>
      </c>
      <c r="AH246" s="19">
        <f t="shared" si="220"/>
        <v>0</v>
      </c>
      <c r="AI246" s="16" t="s">
        <v>174</v>
      </c>
      <c r="AJ246" s="19">
        <f t="shared" si="221"/>
        <v>0</v>
      </c>
      <c r="AK246" s="19">
        <f t="shared" si="222"/>
        <v>0</v>
      </c>
      <c r="AL246" s="19">
        <f t="shared" si="223"/>
        <v>0</v>
      </c>
      <c r="AN246" s="19">
        <v>12</v>
      </c>
      <c r="AO246" s="19">
        <f>H246*0.250098297</f>
        <v>0</v>
      </c>
      <c r="AP246" s="19">
        <f>H246*(1-0.250098297)</f>
        <v>0</v>
      </c>
      <c r="AQ246" s="87" t="s">
        <v>429</v>
      </c>
      <c r="AV246" s="19">
        <f t="shared" si="224"/>
        <v>0</v>
      </c>
      <c r="AW246" s="19">
        <f t="shared" si="225"/>
        <v>0</v>
      </c>
      <c r="AX246" s="19">
        <f t="shared" si="226"/>
        <v>0</v>
      </c>
      <c r="AY246" s="87" t="s">
        <v>561</v>
      </c>
      <c r="AZ246" s="87" t="s">
        <v>623</v>
      </c>
      <c r="BA246" s="16" t="s">
        <v>624</v>
      </c>
      <c r="BC246" s="19">
        <f t="shared" si="227"/>
        <v>0</v>
      </c>
      <c r="BD246" s="19">
        <f t="shared" si="228"/>
        <v>0</v>
      </c>
      <c r="BE246" s="19">
        <v>0</v>
      </c>
      <c r="BF246" s="19">
        <f t="shared" si="229"/>
        <v>3.9100000000000003E-3</v>
      </c>
      <c r="BH246" s="19">
        <f t="shared" si="230"/>
        <v>0</v>
      </c>
      <c r="BI246" s="19">
        <f t="shared" si="231"/>
        <v>0</v>
      </c>
      <c r="BJ246" s="19">
        <f t="shared" si="232"/>
        <v>0</v>
      </c>
      <c r="BK246" s="19"/>
      <c r="BL246" s="19">
        <v>723</v>
      </c>
      <c r="BW246" s="19" t="str">
        <f t="shared" si="233"/>
        <v>12</v>
      </c>
      <c r="BX246" s="4" t="s">
        <v>155</v>
      </c>
    </row>
    <row r="247" spans="1:76" x14ac:dyDescent="0.25">
      <c r="A247" s="1" t="s">
        <v>645</v>
      </c>
      <c r="B247" s="2" t="s">
        <v>174</v>
      </c>
      <c r="C247" s="2" t="s">
        <v>156</v>
      </c>
      <c r="D247" s="108" t="s">
        <v>157</v>
      </c>
      <c r="E247" s="102"/>
      <c r="F247" s="2" t="s">
        <v>62</v>
      </c>
      <c r="G247" s="19">
        <f>'Rozpočet - vybrané sloupce'!J229</f>
        <v>23</v>
      </c>
      <c r="H247" s="19">
        <f>'Rozpočet - vybrané sloupce'!K229</f>
        <v>0</v>
      </c>
      <c r="I247" s="87" t="s">
        <v>427</v>
      </c>
      <c r="J247" s="19">
        <f t="shared" si="208"/>
        <v>0</v>
      </c>
      <c r="K247" s="19">
        <f t="shared" si="209"/>
        <v>0</v>
      </c>
      <c r="L247" s="19">
        <f t="shared" si="210"/>
        <v>0</v>
      </c>
      <c r="M247" s="19">
        <f t="shared" si="211"/>
        <v>0</v>
      </c>
      <c r="N247" s="19">
        <v>0</v>
      </c>
      <c r="O247" s="19">
        <f t="shared" si="212"/>
        <v>0</v>
      </c>
      <c r="P247" s="88" t="s">
        <v>428</v>
      </c>
      <c r="Z247" s="19">
        <f t="shared" si="213"/>
        <v>0</v>
      </c>
      <c r="AB247" s="19">
        <f t="shared" si="214"/>
        <v>0</v>
      </c>
      <c r="AC247" s="19">
        <f t="shared" si="215"/>
        <v>0</v>
      </c>
      <c r="AD247" s="19">
        <f t="shared" si="216"/>
        <v>0</v>
      </c>
      <c r="AE247" s="19">
        <f t="shared" si="217"/>
        <v>0</v>
      </c>
      <c r="AF247" s="19">
        <f t="shared" si="218"/>
        <v>0</v>
      </c>
      <c r="AG247" s="19">
        <f t="shared" si="219"/>
        <v>0</v>
      </c>
      <c r="AH247" s="19">
        <f t="shared" si="220"/>
        <v>0</v>
      </c>
      <c r="AI247" s="16" t="s">
        <v>174</v>
      </c>
      <c r="AJ247" s="19">
        <f t="shared" si="221"/>
        <v>0</v>
      </c>
      <c r="AK247" s="19">
        <f t="shared" si="222"/>
        <v>0</v>
      </c>
      <c r="AL247" s="19">
        <f t="shared" si="223"/>
        <v>0</v>
      </c>
      <c r="AN247" s="19">
        <v>12</v>
      </c>
      <c r="AO247" s="19">
        <f>H247*0.125</f>
        <v>0</v>
      </c>
      <c r="AP247" s="19">
        <f>H247*(1-0.125)</f>
        <v>0</v>
      </c>
      <c r="AQ247" s="87" t="s">
        <v>429</v>
      </c>
      <c r="AV247" s="19">
        <f t="shared" si="224"/>
        <v>0</v>
      </c>
      <c r="AW247" s="19">
        <f t="shared" si="225"/>
        <v>0</v>
      </c>
      <c r="AX247" s="19">
        <f t="shared" si="226"/>
        <v>0</v>
      </c>
      <c r="AY247" s="87" t="s">
        <v>561</v>
      </c>
      <c r="AZ247" s="87" t="s">
        <v>623</v>
      </c>
      <c r="BA247" s="16" t="s">
        <v>624</v>
      </c>
      <c r="BC247" s="19">
        <f t="shared" si="227"/>
        <v>0</v>
      </c>
      <c r="BD247" s="19">
        <f t="shared" si="228"/>
        <v>0</v>
      </c>
      <c r="BE247" s="19">
        <v>0</v>
      </c>
      <c r="BF247" s="19">
        <f t="shared" si="229"/>
        <v>0</v>
      </c>
      <c r="BH247" s="19">
        <f t="shared" si="230"/>
        <v>0</v>
      </c>
      <c r="BI247" s="19">
        <f t="shared" si="231"/>
        <v>0</v>
      </c>
      <c r="BJ247" s="19">
        <f t="shared" si="232"/>
        <v>0</v>
      </c>
      <c r="BK247" s="19"/>
      <c r="BL247" s="19">
        <v>723</v>
      </c>
      <c r="BW247" s="19" t="str">
        <f t="shared" si="233"/>
        <v>12</v>
      </c>
      <c r="BX247" s="4" t="s">
        <v>157</v>
      </c>
    </row>
    <row r="248" spans="1:76" x14ac:dyDescent="0.25">
      <c r="A248" s="1" t="s">
        <v>646</v>
      </c>
      <c r="B248" s="2" t="s">
        <v>174</v>
      </c>
      <c r="C248" s="2" t="s">
        <v>158</v>
      </c>
      <c r="D248" s="108" t="s">
        <v>159</v>
      </c>
      <c r="E248" s="102"/>
      <c r="F248" s="2" t="s">
        <v>100</v>
      </c>
      <c r="G248" s="19">
        <f>'Rozpočet - vybrané sloupce'!J230</f>
        <v>23</v>
      </c>
      <c r="H248" s="19">
        <f>'Rozpočet - vybrané sloupce'!K230</f>
        <v>0</v>
      </c>
      <c r="I248" s="87" t="s">
        <v>427</v>
      </c>
      <c r="J248" s="19">
        <f t="shared" si="208"/>
        <v>0</v>
      </c>
      <c r="K248" s="19">
        <f t="shared" si="209"/>
        <v>0</v>
      </c>
      <c r="L248" s="19">
        <f t="shared" si="210"/>
        <v>0</v>
      </c>
      <c r="M248" s="19">
        <f t="shared" si="211"/>
        <v>0</v>
      </c>
      <c r="N248" s="19">
        <v>0</v>
      </c>
      <c r="O248" s="19">
        <f t="shared" si="212"/>
        <v>0</v>
      </c>
      <c r="P248" s="88" t="s">
        <v>428</v>
      </c>
      <c r="Z248" s="19">
        <f t="shared" si="213"/>
        <v>0</v>
      </c>
      <c r="AB248" s="19">
        <f t="shared" si="214"/>
        <v>0</v>
      </c>
      <c r="AC248" s="19">
        <f t="shared" si="215"/>
        <v>0</v>
      </c>
      <c r="AD248" s="19">
        <f t="shared" si="216"/>
        <v>0</v>
      </c>
      <c r="AE248" s="19">
        <f t="shared" si="217"/>
        <v>0</v>
      </c>
      <c r="AF248" s="19">
        <f t="shared" si="218"/>
        <v>0</v>
      </c>
      <c r="AG248" s="19">
        <f t="shared" si="219"/>
        <v>0</v>
      </c>
      <c r="AH248" s="19">
        <f t="shared" si="220"/>
        <v>0</v>
      </c>
      <c r="AI248" s="16" t="s">
        <v>174</v>
      </c>
      <c r="AJ248" s="19">
        <f t="shared" si="221"/>
        <v>0</v>
      </c>
      <c r="AK248" s="19">
        <f t="shared" si="222"/>
        <v>0</v>
      </c>
      <c r="AL248" s="19">
        <f t="shared" si="223"/>
        <v>0</v>
      </c>
      <c r="AN248" s="19">
        <v>12</v>
      </c>
      <c r="AO248" s="19">
        <f>H248*0.692285641</f>
        <v>0</v>
      </c>
      <c r="AP248" s="19">
        <f>H248*(1-0.692285641)</f>
        <v>0</v>
      </c>
      <c r="AQ248" s="87" t="s">
        <v>429</v>
      </c>
      <c r="AV248" s="19">
        <f t="shared" si="224"/>
        <v>0</v>
      </c>
      <c r="AW248" s="19">
        <f t="shared" si="225"/>
        <v>0</v>
      </c>
      <c r="AX248" s="19">
        <f t="shared" si="226"/>
        <v>0</v>
      </c>
      <c r="AY248" s="87" t="s">
        <v>561</v>
      </c>
      <c r="AZ248" s="87" t="s">
        <v>623</v>
      </c>
      <c r="BA248" s="16" t="s">
        <v>624</v>
      </c>
      <c r="BC248" s="19">
        <f t="shared" si="227"/>
        <v>0</v>
      </c>
      <c r="BD248" s="19">
        <f t="shared" si="228"/>
        <v>0</v>
      </c>
      <c r="BE248" s="19">
        <v>0</v>
      </c>
      <c r="BF248" s="19">
        <f t="shared" si="229"/>
        <v>0</v>
      </c>
      <c r="BH248" s="19">
        <f t="shared" si="230"/>
        <v>0</v>
      </c>
      <c r="BI248" s="19">
        <f t="shared" si="231"/>
        <v>0</v>
      </c>
      <c r="BJ248" s="19">
        <f t="shared" si="232"/>
        <v>0</v>
      </c>
      <c r="BK248" s="19"/>
      <c r="BL248" s="19">
        <v>723</v>
      </c>
      <c r="BW248" s="19" t="str">
        <f t="shared" si="233"/>
        <v>12</v>
      </c>
      <c r="BX248" s="4" t="s">
        <v>159</v>
      </c>
    </row>
    <row r="249" spans="1:76" x14ac:dyDescent="0.25">
      <c r="A249" s="1" t="s">
        <v>647</v>
      </c>
      <c r="B249" s="2" t="s">
        <v>174</v>
      </c>
      <c r="C249" s="2" t="s">
        <v>160</v>
      </c>
      <c r="D249" s="108" t="s">
        <v>161</v>
      </c>
      <c r="E249" s="102"/>
      <c r="F249" s="2" t="s">
        <v>31</v>
      </c>
      <c r="G249" s="19">
        <f>'Rozpočet - vybrané sloupce'!J231</f>
        <v>118</v>
      </c>
      <c r="H249" s="19">
        <f>'Rozpočet - vybrané sloupce'!K231</f>
        <v>0</v>
      </c>
      <c r="I249" s="87" t="s">
        <v>427</v>
      </c>
      <c r="J249" s="19">
        <f t="shared" si="208"/>
        <v>0</v>
      </c>
      <c r="K249" s="19">
        <f t="shared" si="209"/>
        <v>0</v>
      </c>
      <c r="L249" s="19">
        <f t="shared" si="210"/>
        <v>0</v>
      </c>
      <c r="M249" s="19">
        <f t="shared" si="211"/>
        <v>0</v>
      </c>
      <c r="N249" s="19">
        <v>0</v>
      </c>
      <c r="O249" s="19">
        <f t="shared" si="212"/>
        <v>0</v>
      </c>
      <c r="P249" s="88" t="s">
        <v>428</v>
      </c>
      <c r="Z249" s="19">
        <f t="shared" si="213"/>
        <v>0</v>
      </c>
      <c r="AB249" s="19">
        <f t="shared" si="214"/>
        <v>0</v>
      </c>
      <c r="AC249" s="19">
        <f t="shared" si="215"/>
        <v>0</v>
      </c>
      <c r="AD249" s="19">
        <f t="shared" si="216"/>
        <v>0</v>
      </c>
      <c r="AE249" s="19">
        <f t="shared" si="217"/>
        <v>0</v>
      </c>
      <c r="AF249" s="19">
        <f t="shared" si="218"/>
        <v>0</v>
      </c>
      <c r="AG249" s="19">
        <f t="shared" si="219"/>
        <v>0</v>
      </c>
      <c r="AH249" s="19">
        <f t="shared" si="220"/>
        <v>0</v>
      </c>
      <c r="AI249" s="16" t="s">
        <v>174</v>
      </c>
      <c r="AJ249" s="19">
        <f t="shared" si="221"/>
        <v>0</v>
      </c>
      <c r="AK249" s="19">
        <f t="shared" si="222"/>
        <v>0</v>
      </c>
      <c r="AL249" s="19">
        <f t="shared" si="223"/>
        <v>0</v>
      </c>
      <c r="AN249" s="19">
        <v>12</v>
      </c>
      <c r="AO249" s="19">
        <f>H249*0.5</f>
        <v>0</v>
      </c>
      <c r="AP249" s="19">
        <f>H249*(1-0.5)</f>
        <v>0</v>
      </c>
      <c r="AQ249" s="87" t="s">
        <v>429</v>
      </c>
      <c r="AV249" s="19">
        <f t="shared" si="224"/>
        <v>0</v>
      </c>
      <c r="AW249" s="19">
        <f t="shared" si="225"/>
        <v>0</v>
      </c>
      <c r="AX249" s="19">
        <f t="shared" si="226"/>
        <v>0</v>
      </c>
      <c r="AY249" s="87" t="s">
        <v>561</v>
      </c>
      <c r="AZ249" s="87" t="s">
        <v>623</v>
      </c>
      <c r="BA249" s="16" t="s">
        <v>624</v>
      </c>
      <c r="BC249" s="19">
        <f t="shared" si="227"/>
        <v>0</v>
      </c>
      <c r="BD249" s="19">
        <f t="shared" si="228"/>
        <v>0</v>
      </c>
      <c r="BE249" s="19">
        <v>0</v>
      </c>
      <c r="BF249" s="19">
        <f t="shared" si="229"/>
        <v>0</v>
      </c>
      <c r="BH249" s="19">
        <f t="shared" si="230"/>
        <v>0</v>
      </c>
      <c r="BI249" s="19">
        <f t="shared" si="231"/>
        <v>0</v>
      </c>
      <c r="BJ249" s="19">
        <f t="shared" si="232"/>
        <v>0</v>
      </c>
      <c r="BK249" s="19"/>
      <c r="BL249" s="19">
        <v>723</v>
      </c>
      <c r="BW249" s="19" t="str">
        <f t="shared" si="233"/>
        <v>12</v>
      </c>
      <c r="BX249" s="4" t="s">
        <v>161</v>
      </c>
    </row>
    <row r="250" spans="1:76" x14ac:dyDescent="0.25">
      <c r="A250" s="1" t="s">
        <v>648</v>
      </c>
      <c r="B250" s="2" t="s">
        <v>174</v>
      </c>
      <c r="C250" s="2" t="s">
        <v>162</v>
      </c>
      <c r="D250" s="108" t="s">
        <v>163</v>
      </c>
      <c r="E250" s="102"/>
      <c r="F250" s="2" t="s">
        <v>100</v>
      </c>
      <c r="G250" s="19">
        <f>'Rozpočet - vybrané sloupce'!J232</f>
        <v>3</v>
      </c>
      <c r="H250" s="19">
        <f>'Rozpočet - vybrané sloupce'!K232</f>
        <v>0</v>
      </c>
      <c r="I250" s="87" t="s">
        <v>427</v>
      </c>
      <c r="J250" s="19">
        <f t="shared" si="208"/>
        <v>0</v>
      </c>
      <c r="K250" s="19">
        <f t="shared" si="209"/>
        <v>0</v>
      </c>
      <c r="L250" s="19">
        <f t="shared" si="210"/>
        <v>0</v>
      </c>
      <c r="M250" s="19">
        <f t="shared" si="211"/>
        <v>0</v>
      </c>
      <c r="N250" s="19">
        <v>0</v>
      </c>
      <c r="O250" s="19">
        <f t="shared" si="212"/>
        <v>0</v>
      </c>
      <c r="P250" s="88" t="s">
        <v>428</v>
      </c>
      <c r="Z250" s="19">
        <f t="shared" si="213"/>
        <v>0</v>
      </c>
      <c r="AB250" s="19">
        <f t="shared" si="214"/>
        <v>0</v>
      </c>
      <c r="AC250" s="19">
        <f t="shared" si="215"/>
        <v>0</v>
      </c>
      <c r="AD250" s="19">
        <f t="shared" si="216"/>
        <v>0</v>
      </c>
      <c r="AE250" s="19">
        <f t="shared" si="217"/>
        <v>0</v>
      </c>
      <c r="AF250" s="19">
        <f t="shared" si="218"/>
        <v>0</v>
      </c>
      <c r="AG250" s="19">
        <f t="shared" si="219"/>
        <v>0</v>
      </c>
      <c r="AH250" s="19">
        <f t="shared" si="220"/>
        <v>0</v>
      </c>
      <c r="AI250" s="16" t="s">
        <v>174</v>
      </c>
      <c r="AJ250" s="19">
        <f t="shared" si="221"/>
        <v>0</v>
      </c>
      <c r="AK250" s="19">
        <f t="shared" si="222"/>
        <v>0</v>
      </c>
      <c r="AL250" s="19">
        <f t="shared" si="223"/>
        <v>0</v>
      </c>
      <c r="AN250" s="19">
        <v>12</v>
      </c>
      <c r="AO250" s="19">
        <f>H250*0.391304348</f>
        <v>0</v>
      </c>
      <c r="AP250" s="19">
        <f>H250*(1-0.391304348)</f>
        <v>0</v>
      </c>
      <c r="AQ250" s="87" t="s">
        <v>429</v>
      </c>
      <c r="AV250" s="19">
        <f t="shared" si="224"/>
        <v>0</v>
      </c>
      <c r="AW250" s="19">
        <f t="shared" si="225"/>
        <v>0</v>
      </c>
      <c r="AX250" s="19">
        <f t="shared" si="226"/>
        <v>0</v>
      </c>
      <c r="AY250" s="87" t="s">
        <v>561</v>
      </c>
      <c r="AZ250" s="87" t="s">
        <v>623</v>
      </c>
      <c r="BA250" s="16" t="s">
        <v>624</v>
      </c>
      <c r="BC250" s="19">
        <f t="shared" si="227"/>
        <v>0</v>
      </c>
      <c r="BD250" s="19">
        <f t="shared" si="228"/>
        <v>0</v>
      </c>
      <c r="BE250" s="19">
        <v>0</v>
      </c>
      <c r="BF250" s="19">
        <f t="shared" si="229"/>
        <v>0</v>
      </c>
      <c r="BH250" s="19">
        <f t="shared" si="230"/>
        <v>0</v>
      </c>
      <c r="BI250" s="19">
        <f t="shared" si="231"/>
        <v>0</v>
      </c>
      <c r="BJ250" s="19">
        <f t="shared" si="232"/>
        <v>0</v>
      </c>
      <c r="BK250" s="19"/>
      <c r="BL250" s="19">
        <v>723</v>
      </c>
      <c r="BW250" s="19" t="str">
        <f t="shared" si="233"/>
        <v>12</v>
      </c>
      <c r="BX250" s="4" t="s">
        <v>163</v>
      </c>
    </row>
    <row r="251" spans="1:76" x14ac:dyDescent="0.25">
      <c r="A251" s="1" t="s">
        <v>649</v>
      </c>
      <c r="B251" s="2" t="s">
        <v>174</v>
      </c>
      <c r="C251" s="2" t="s">
        <v>164</v>
      </c>
      <c r="D251" s="108" t="s">
        <v>165</v>
      </c>
      <c r="E251" s="102"/>
      <c r="F251" s="2" t="s">
        <v>95</v>
      </c>
      <c r="G251" s="19">
        <f>'Rozpočet - vybrané sloupce'!J233</f>
        <v>0.6</v>
      </c>
      <c r="H251" s="19">
        <f>'Rozpočet - vybrané sloupce'!K233</f>
        <v>0</v>
      </c>
      <c r="I251" s="87" t="s">
        <v>427</v>
      </c>
      <c r="J251" s="19">
        <f t="shared" si="208"/>
        <v>0</v>
      </c>
      <c r="K251" s="19">
        <f t="shared" si="209"/>
        <v>0</v>
      </c>
      <c r="L251" s="19">
        <f t="shared" si="210"/>
        <v>0</v>
      </c>
      <c r="M251" s="19">
        <f t="shared" si="211"/>
        <v>0</v>
      </c>
      <c r="N251" s="19">
        <v>0</v>
      </c>
      <c r="O251" s="19">
        <f t="shared" si="212"/>
        <v>0</v>
      </c>
      <c r="P251" s="88" t="s">
        <v>428</v>
      </c>
      <c r="Z251" s="19">
        <f t="shared" si="213"/>
        <v>0</v>
      </c>
      <c r="AB251" s="19">
        <f t="shared" si="214"/>
        <v>0</v>
      </c>
      <c r="AC251" s="19">
        <f t="shared" si="215"/>
        <v>0</v>
      </c>
      <c r="AD251" s="19">
        <f t="shared" si="216"/>
        <v>0</v>
      </c>
      <c r="AE251" s="19">
        <f t="shared" si="217"/>
        <v>0</v>
      </c>
      <c r="AF251" s="19">
        <f t="shared" si="218"/>
        <v>0</v>
      </c>
      <c r="AG251" s="19">
        <f t="shared" si="219"/>
        <v>0</v>
      </c>
      <c r="AH251" s="19">
        <f t="shared" si="220"/>
        <v>0</v>
      </c>
      <c r="AI251" s="16" t="s">
        <v>174</v>
      </c>
      <c r="AJ251" s="19">
        <f t="shared" si="221"/>
        <v>0</v>
      </c>
      <c r="AK251" s="19">
        <f t="shared" si="222"/>
        <v>0</v>
      </c>
      <c r="AL251" s="19">
        <f t="shared" si="223"/>
        <v>0</v>
      </c>
      <c r="AN251" s="19">
        <v>12</v>
      </c>
      <c r="AO251" s="19">
        <f>H251*0</f>
        <v>0</v>
      </c>
      <c r="AP251" s="19">
        <f>H251*(1-0)</f>
        <v>0</v>
      </c>
      <c r="AQ251" s="87" t="s">
        <v>429</v>
      </c>
      <c r="AV251" s="19">
        <f t="shared" si="224"/>
        <v>0</v>
      </c>
      <c r="AW251" s="19">
        <f t="shared" si="225"/>
        <v>0</v>
      </c>
      <c r="AX251" s="19">
        <f t="shared" si="226"/>
        <v>0</v>
      </c>
      <c r="AY251" s="87" t="s">
        <v>561</v>
      </c>
      <c r="AZ251" s="87" t="s">
        <v>623</v>
      </c>
      <c r="BA251" s="16" t="s">
        <v>624</v>
      </c>
      <c r="BC251" s="19">
        <f t="shared" si="227"/>
        <v>0</v>
      </c>
      <c r="BD251" s="19">
        <f t="shared" si="228"/>
        <v>0</v>
      </c>
      <c r="BE251" s="19">
        <v>0</v>
      </c>
      <c r="BF251" s="19">
        <f t="shared" si="229"/>
        <v>0</v>
      </c>
      <c r="BH251" s="19">
        <f t="shared" si="230"/>
        <v>0</v>
      </c>
      <c r="BI251" s="19">
        <f t="shared" si="231"/>
        <v>0</v>
      </c>
      <c r="BJ251" s="19">
        <f t="shared" si="232"/>
        <v>0</v>
      </c>
      <c r="BK251" s="19"/>
      <c r="BL251" s="19">
        <v>723</v>
      </c>
      <c r="BW251" s="19" t="str">
        <f t="shared" si="233"/>
        <v>12</v>
      </c>
      <c r="BX251" s="4" t="s">
        <v>165</v>
      </c>
    </row>
    <row r="252" spans="1:76" x14ac:dyDescent="0.25">
      <c r="A252" s="1" t="s">
        <v>650</v>
      </c>
      <c r="B252" s="2" t="s">
        <v>174</v>
      </c>
      <c r="C252" s="2" t="s">
        <v>166</v>
      </c>
      <c r="D252" s="108" t="s">
        <v>167</v>
      </c>
      <c r="E252" s="102"/>
      <c r="F252" s="2" t="s">
        <v>51</v>
      </c>
      <c r="G252" s="19">
        <f>'Rozpočet - vybrané sloupce'!J234</f>
        <v>2981</v>
      </c>
      <c r="H252" s="19">
        <f>'Rozpočet - vybrané sloupce'!K234</f>
        <v>0</v>
      </c>
      <c r="I252" s="87" t="s">
        <v>427</v>
      </c>
      <c r="J252" s="19">
        <f t="shared" si="208"/>
        <v>0</v>
      </c>
      <c r="K252" s="19">
        <f t="shared" si="209"/>
        <v>0</v>
      </c>
      <c r="L252" s="19">
        <f t="shared" si="210"/>
        <v>0</v>
      </c>
      <c r="M252" s="19">
        <f t="shared" si="211"/>
        <v>0</v>
      </c>
      <c r="N252" s="19">
        <v>0</v>
      </c>
      <c r="O252" s="19">
        <f t="shared" si="212"/>
        <v>0</v>
      </c>
      <c r="P252" s="88" t="s">
        <v>428</v>
      </c>
      <c r="Z252" s="19">
        <f t="shared" si="213"/>
        <v>0</v>
      </c>
      <c r="AB252" s="19">
        <f t="shared" si="214"/>
        <v>0</v>
      </c>
      <c r="AC252" s="19">
        <f t="shared" si="215"/>
        <v>0</v>
      </c>
      <c r="AD252" s="19">
        <f t="shared" si="216"/>
        <v>0</v>
      </c>
      <c r="AE252" s="19">
        <f t="shared" si="217"/>
        <v>0</v>
      </c>
      <c r="AF252" s="19">
        <f t="shared" si="218"/>
        <v>0</v>
      </c>
      <c r="AG252" s="19">
        <f t="shared" si="219"/>
        <v>0</v>
      </c>
      <c r="AH252" s="19">
        <f t="shared" si="220"/>
        <v>0</v>
      </c>
      <c r="AI252" s="16" t="s">
        <v>174</v>
      </c>
      <c r="AJ252" s="19">
        <f t="shared" si="221"/>
        <v>0</v>
      </c>
      <c r="AK252" s="19">
        <f t="shared" si="222"/>
        <v>0</v>
      </c>
      <c r="AL252" s="19">
        <f t="shared" si="223"/>
        <v>0</v>
      </c>
      <c r="AN252" s="19">
        <v>12</v>
      </c>
      <c r="AO252" s="19">
        <f>H252*0</f>
        <v>0</v>
      </c>
      <c r="AP252" s="19">
        <f>H252*(1-0)</f>
        <v>0</v>
      </c>
      <c r="AQ252" s="87" t="s">
        <v>436</v>
      </c>
      <c r="AV252" s="19">
        <f t="shared" si="224"/>
        <v>0</v>
      </c>
      <c r="AW252" s="19">
        <f t="shared" si="225"/>
        <v>0</v>
      </c>
      <c r="AX252" s="19">
        <f t="shared" si="226"/>
        <v>0</v>
      </c>
      <c r="AY252" s="87" t="s">
        <v>561</v>
      </c>
      <c r="AZ252" s="87" t="s">
        <v>623</v>
      </c>
      <c r="BA252" s="16" t="s">
        <v>624</v>
      </c>
      <c r="BC252" s="19">
        <f t="shared" si="227"/>
        <v>0</v>
      </c>
      <c r="BD252" s="19">
        <f t="shared" si="228"/>
        <v>0</v>
      </c>
      <c r="BE252" s="19">
        <v>0</v>
      </c>
      <c r="BF252" s="19">
        <f t="shared" si="229"/>
        <v>0</v>
      </c>
      <c r="BH252" s="19">
        <f t="shared" si="230"/>
        <v>0</v>
      </c>
      <c r="BI252" s="19">
        <f t="shared" si="231"/>
        <v>0</v>
      </c>
      <c r="BJ252" s="19">
        <f t="shared" si="232"/>
        <v>0</v>
      </c>
      <c r="BK252" s="19"/>
      <c r="BL252" s="19">
        <v>723</v>
      </c>
      <c r="BW252" s="19" t="str">
        <f t="shared" si="233"/>
        <v>12</v>
      </c>
      <c r="BX252" s="4" t="s">
        <v>167</v>
      </c>
    </row>
    <row r="253" spans="1:76" x14ac:dyDescent="0.25">
      <c r="A253" s="84" t="s">
        <v>25</v>
      </c>
      <c r="B253" s="15" t="s">
        <v>178</v>
      </c>
      <c r="C253" s="15" t="s">
        <v>25</v>
      </c>
      <c r="D253" s="115" t="s">
        <v>179</v>
      </c>
      <c r="E253" s="116"/>
      <c r="F253" s="85" t="s">
        <v>23</v>
      </c>
      <c r="G253" s="85" t="s">
        <v>23</v>
      </c>
      <c r="H253" s="85" t="s">
        <v>23</v>
      </c>
      <c r="I253" s="85" t="s">
        <v>23</v>
      </c>
      <c r="J253" s="60">
        <f>J254</f>
        <v>0</v>
      </c>
      <c r="K253" s="60">
        <f>K254</f>
        <v>0</v>
      </c>
      <c r="L253" s="60">
        <f>L254</f>
        <v>0</v>
      </c>
      <c r="M253" s="60">
        <f>M254</f>
        <v>0</v>
      </c>
      <c r="N253" s="16" t="s">
        <v>25</v>
      </c>
      <c r="O253" s="60">
        <f>O254</f>
        <v>1.8582500000000002</v>
      </c>
      <c r="P253" s="86" t="s">
        <v>25</v>
      </c>
    </row>
    <row r="254" spans="1:76" x14ac:dyDescent="0.25">
      <c r="A254" s="84" t="s">
        <v>25</v>
      </c>
      <c r="B254" s="15" t="s">
        <v>178</v>
      </c>
      <c r="C254" s="15" t="s">
        <v>111</v>
      </c>
      <c r="D254" s="115" t="s">
        <v>112</v>
      </c>
      <c r="E254" s="116"/>
      <c r="F254" s="85" t="s">
        <v>23</v>
      </c>
      <c r="G254" s="85" t="s">
        <v>23</v>
      </c>
      <c r="H254" s="85" t="s">
        <v>23</v>
      </c>
      <c r="I254" s="85" t="s">
        <v>23</v>
      </c>
      <c r="J254" s="60">
        <f>SUM(J255:J270)</f>
        <v>0</v>
      </c>
      <c r="K254" s="60">
        <f>SUM(K255:K270)</f>
        <v>0</v>
      </c>
      <c r="L254" s="60">
        <f>SUM(L255:L270)</f>
        <v>0</v>
      </c>
      <c r="M254" s="60">
        <f>SUM(M255:M270)</f>
        <v>0</v>
      </c>
      <c r="N254" s="16" t="s">
        <v>25</v>
      </c>
      <c r="O254" s="60">
        <f>SUM(O255:O270)</f>
        <v>1.8582500000000002</v>
      </c>
      <c r="P254" s="86" t="s">
        <v>25</v>
      </c>
      <c r="AI254" s="16" t="s">
        <v>178</v>
      </c>
      <c r="AS254" s="60">
        <f>SUM(AJ255:AJ270)</f>
        <v>0</v>
      </c>
      <c r="AT254" s="60">
        <f>SUM(AK255:AK270)</f>
        <v>0</v>
      </c>
      <c r="AU254" s="60">
        <f>SUM(AL255:AL270)</f>
        <v>0</v>
      </c>
    </row>
    <row r="255" spans="1:76" x14ac:dyDescent="0.25">
      <c r="A255" s="1" t="s">
        <v>651</v>
      </c>
      <c r="B255" s="2" t="s">
        <v>178</v>
      </c>
      <c r="C255" s="2" t="s">
        <v>180</v>
      </c>
      <c r="D255" s="108" t="s">
        <v>181</v>
      </c>
      <c r="E255" s="102"/>
      <c r="F255" s="2" t="s">
        <v>31</v>
      </c>
      <c r="G255" s="19">
        <f>'Rozpočet - vybrané sloupce'!J237</f>
        <v>80.5</v>
      </c>
      <c r="H255" s="19">
        <f>'Rozpočet - vybrané sloupce'!K237</f>
        <v>0</v>
      </c>
      <c r="I255" s="87" t="s">
        <v>427</v>
      </c>
      <c r="J255" s="19">
        <f>G255*AO255</f>
        <v>0</v>
      </c>
      <c r="K255" s="19">
        <f>G255*AP255</f>
        <v>0</v>
      </c>
      <c r="L255" s="19">
        <f>G255*H255</f>
        <v>0</v>
      </c>
      <c r="M255" s="19">
        <f>L255*(1+BW255/100)</f>
        <v>0</v>
      </c>
      <c r="N255" s="19">
        <v>2.2599999999999999E-3</v>
      </c>
      <c r="O255" s="19">
        <f>G255*N255</f>
        <v>0.18192999999999998</v>
      </c>
      <c r="P255" s="88" t="s">
        <v>428</v>
      </c>
      <c r="Z255" s="19">
        <f>IF(AQ255="5",BJ255,0)</f>
        <v>0</v>
      </c>
      <c r="AB255" s="19">
        <f>IF(AQ255="1",BH255,0)</f>
        <v>0</v>
      </c>
      <c r="AC255" s="19">
        <f>IF(AQ255="1",BI255,0)</f>
        <v>0</v>
      </c>
      <c r="AD255" s="19">
        <f>IF(AQ255="7",BH255,0)</f>
        <v>0</v>
      </c>
      <c r="AE255" s="19">
        <f>IF(AQ255="7",BI255,0)</f>
        <v>0</v>
      </c>
      <c r="AF255" s="19">
        <f>IF(AQ255="2",BH255,0)</f>
        <v>0</v>
      </c>
      <c r="AG255" s="19">
        <f>IF(AQ255="2",BI255,0)</f>
        <v>0</v>
      </c>
      <c r="AH255" s="19">
        <f>IF(AQ255="0",BJ255,0)</f>
        <v>0</v>
      </c>
      <c r="AI255" s="16" t="s">
        <v>178</v>
      </c>
      <c r="AJ255" s="19">
        <f>IF(AN255=0,L255,0)</f>
        <v>0</v>
      </c>
      <c r="AK255" s="19">
        <f>IF(AN255=12,L255,0)</f>
        <v>0</v>
      </c>
      <c r="AL255" s="19">
        <f>IF(AN255=21,L255,0)</f>
        <v>0</v>
      </c>
      <c r="AN255" s="19">
        <v>12</v>
      </c>
      <c r="AO255" s="19">
        <f>H255*0.767226923</f>
        <v>0</v>
      </c>
      <c r="AP255" s="19">
        <f>H255*(1-0.767226923)</f>
        <v>0</v>
      </c>
      <c r="AQ255" s="87" t="s">
        <v>429</v>
      </c>
      <c r="AV255" s="19">
        <f>AW255+AX255</f>
        <v>0</v>
      </c>
      <c r="AW255" s="19">
        <f>G255*AO255</f>
        <v>0</v>
      </c>
      <c r="AX255" s="19">
        <f>G255*AP255</f>
        <v>0</v>
      </c>
      <c r="AY255" s="87" t="s">
        <v>561</v>
      </c>
      <c r="AZ255" s="87" t="s">
        <v>652</v>
      </c>
      <c r="BA255" s="16" t="s">
        <v>653</v>
      </c>
      <c r="BC255" s="19">
        <f>AW255+AX255</f>
        <v>0</v>
      </c>
      <c r="BD255" s="19">
        <f>H255/(100-BE255)*100</f>
        <v>0</v>
      </c>
      <c r="BE255" s="19">
        <v>0</v>
      </c>
      <c r="BF255" s="19">
        <f>O255</f>
        <v>0.18192999999999998</v>
      </c>
      <c r="BH255" s="19">
        <f>G255*AO255</f>
        <v>0</v>
      </c>
      <c r="BI255" s="19">
        <f>G255*AP255</f>
        <v>0</v>
      </c>
      <c r="BJ255" s="19">
        <f>G255*H255</f>
        <v>0</v>
      </c>
      <c r="BK255" s="19"/>
      <c r="BL255" s="19">
        <v>723</v>
      </c>
      <c r="BW255" s="19" t="str">
        <f>I255</f>
        <v>12</v>
      </c>
      <c r="BX255" s="4" t="s">
        <v>181</v>
      </c>
    </row>
    <row r="256" spans="1:76" x14ac:dyDescent="0.25">
      <c r="A256" s="1" t="s">
        <v>654</v>
      </c>
      <c r="B256" s="2" t="s">
        <v>178</v>
      </c>
      <c r="C256" s="2" t="s">
        <v>182</v>
      </c>
      <c r="D256" s="108" t="s">
        <v>183</v>
      </c>
      <c r="E256" s="102"/>
      <c r="F256" s="2" t="s">
        <v>31</v>
      </c>
      <c r="G256" s="19">
        <f>'Rozpočet - vybrané sloupce'!J238</f>
        <v>80.5</v>
      </c>
      <c r="H256" s="19">
        <f>'Rozpočet - vybrané sloupce'!K238</f>
        <v>0</v>
      </c>
      <c r="I256" s="87" t="s">
        <v>427</v>
      </c>
      <c r="J256" s="19">
        <f>G256*AO256</f>
        <v>0</v>
      </c>
      <c r="K256" s="19">
        <f>G256*AP256</f>
        <v>0</v>
      </c>
      <c r="L256" s="19">
        <f>G256*H256</f>
        <v>0</v>
      </c>
      <c r="M256" s="19">
        <f>L256*(1+BW256/100)</f>
        <v>0</v>
      </c>
      <c r="N256" s="19">
        <v>7.9000000000000001E-4</v>
      </c>
      <c r="O256" s="19">
        <f>G256*N256</f>
        <v>6.3594999999999999E-2</v>
      </c>
      <c r="P256" s="88" t="s">
        <v>428</v>
      </c>
      <c r="Z256" s="19">
        <f>IF(AQ256="5",BJ256,0)</f>
        <v>0</v>
      </c>
      <c r="AB256" s="19">
        <f>IF(AQ256="1",BH256,0)</f>
        <v>0</v>
      </c>
      <c r="AC256" s="19">
        <f>IF(AQ256="1",BI256,0)</f>
        <v>0</v>
      </c>
      <c r="AD256" s="19">
        <f>IF(AQ256="7",BH256,0)</f>
        <v>0</v>
      </c>
      <c r="AE256" s="19">
        <f>IF(AQ256="7",BI256,0)</f>
        <v>0</v>
      </c>
      <c r="AF256" s="19">
        <f>IF(AQ256="2",BH256,0)</f>
        <v>0</v>
      </c>
      <c r="AG256" s="19">
        <f>IF(AQ256="2",BI256,0)</f>
        <v>0</v>
      </c>
      <c r="AH256" s="19">
        <f>IF(AQ256="0",BJ256,0)</f>
        <v>0</v>
      </c>
      <c r="AI256" s="16" t="s">
        <v>178</v>
      </c>
      <c r="AJ256" s="19">
        <f>IF(AN256=0,L256,0)</f>
        <v>0</v>
      </c>
      <c r="AK256" s="19">
        <f>IF(AN256=12,L256,0)</f>
        <v>0</v>
      </c>
      <c r="AL256" s="19">
        <f>IF(AN256=21,L256,0)</f>
        <v>0</v>
      </c>
      <c r="AN256" s="19">
        <v>12</v>
      </c>
      <c r="AO256" s="19">
        <f>H256*0.600585401</f>
        <v>0</v>
      </c>
      <c r="AP256" s="19">
        <f>H256*(1-0.600585401)</f>
        <v>0</v>
      </c>
      <c r="AQ256" s="87" t="s">
        <v>429</v>
      </c>
      <c r="AV256" s="19">
        <f>AW256+AX256</f>
        <v>0</v>
      </c>
      <c r="AW256" s="19">
        <f>G256*AO256</f>
        <v>0</v>
      </c>
      <c r="AX256" s="19">
        <f>G256*AP256</f>
        <v>0</v>
      </c>
      <c r="AY256" s="87" t="s">
        <v>561</v>
      </c>
      <c r="AZ256" s="87" t="s">
        <v>652</v>
      </c>
      <c r="BA256" s="16" t="s">
        <v>653</v>
      </c>
      <c r="BC256" s="19">
        <f>AW256+AX256</f>
        <v>0</v>
      </c>
      <c r="BD256" s="19">
        <f>H256/(100-BE256)*100</f>
        <v>0</v>
      </c>
      <c r="BE256" s="19">
        <v>0</v>
      </c>
      <c r="BF256" s="19">
        <f>O256</f>
        <v>6.3594999999999999E-2</v>
      </c>
      <c r="BH256" s="19">
        <f>G256*AO256</f>
        <v>0</v>
      </c>
      <c r="BI256" s="19">
        <f>G256*AP256</f>
        <v>0</v>
      </c>
      <c r="BJ256" s="19">
        <f>G256*H256</f>
        <v>0</v>
      </c>
      <c r="BK256" s="19"/>
      <c r="BL256" s="19">
        <v>723</v>
      </c>
      <c r="BW256" s="19" t="str">
        <f>I256</f>
        <v>12</v>
      </c>
      <c r="BX256" s="4" t="s">
        <v>183</v>
      </c>
    </row>
    <row r="257" spans="1:76" ht="25.5" x14ac:dyDescent="0.25">
      <c r="A257" s="89"/>
      <c r="C257" s="90" t="s">
        <v>437</v>
      </c>
      <c r="D257" s="187" t="s">
        <v>471</v>
      </c>
      <c r="E257" s="188"/>
      <c r="F257" s="188"/>
      <c r="G257" s="188"/>
      <c r="H257" s="188"/>
      <c r="I257" s="188"/>
      <c r="J257" s="188"/>
      <c r="K257" s="188"/>
      <c r="L257" s="188"/>
      <c r="M257" s="188"/>
      <c r="N257" s="188"/>
      <c r="O257" s="188"/>
      <c r="P257" s="189"/>
      <c r="BX257" s="91" t="s">
        <v>471</v>
      </c>
    </row>
    <row r="258" spans="1:76" x14ac:dyDescent="0.25">
      <c r="A258" s="1" t="s">
        <v>655</v>
      </c>
      <c r="B258" s="2" t="s">
        <v>178</v>
      </c>
      <c r="C258" s="2" t="s">
        <v>184</v>
      </c>
      <c r="D258" s="108" t="s">
        <v>185</v>
      </c>
      <c r="E258" s="102"/>
      <c r="F258" s="2" t="s">
        <v>31</v>
      </c>
      <c r="G258" s="19">
        <f>'Rozpočet - vybrané sloupce'!J239</f>
        <v>3.5</v>
      </c>
      <c r="H258" s="19">
        <f>'Rozpočet - vybrané sloupce'!K239</f>
        <v>0</v>
      </c>
      <c r="I258" s="87" t="s">
        <v>427</v>
      </c>
      <c r="J258" s="19">
        <f>G258*AO258</f>
        <v>0</v>
      </c>
      <c r="K258" s="19">
        <f>G258*AP258</f>
        <v>0</v>
      </c>
      <c r="L258" s="19">
        <f>G258*H258</f>
        <v>0</v>
      </c>
      <c r="M258" s="19">
        <f>L258*(1+BW258/100)</f>
        <v>0</v>
      </c>
      <c r="N258" s="19">
        <v>9.1E-4</v>
      </c>
      <c r="O258" s="19">
        <f>G258*N258</f>
        <v>3.1849999999999999E-3</v>
      </c>
      <c r="P258" s="88" t="s">
        <v>428</v>
      </c>
      <c r="Z258" s="19">
        <f>IF(AQ258="5",BJ258,0)</f>
        <v>0</v>
      </c>
      <c r="AB258" s="19">
        <f>IF(AQ258="1",BH258,0)</f>
        <v>0</v>
      </c>
      <c r="AC258" s="19">
        <f>IF(AQ258="1",BI258,0)</f>
        <v>0</v>
      </c>
      <c r="AD258" s="19">
        <f>IF(AQ258="7",BH258,0)</f>
        <v>0</v>
      </c>
      <c r="AE258" s="19">
        <f>IF(AQ258="7",BI258,0)</f>
        <v>0</v>
      </c>
      <c r="AF258" s="19">
        <f>IF(AQ258="2",BH258,0)</f>
        <v>0</v>
      </c>
      <c r="AG258" s="19">
        <f>IF(AQ258="2",BI258,0)</f>
        <v>0</v>
      </c>
      <c r="AH258" s="19">
        <f>IF(AQ258="0",BJ258,0)</f>
        <v>0</v>
      </c>
      <c r="AI258" s="16" t="s">
        <v>178</v>
      </c>
      <c r="AJ258" s="19">
        <f>IF(AN258=0,L258,0)</f>
        <v>0</v>
      </c>
      <c r="AK258" s="19">
        <f>IF(AN258=12,L258,0)</f>
        <v>0</v>
      </c>
      <c r="AL258" s="19">
        <f>IF(AN258=21,L258,0)</f>
        <v>0</v>
      </c>
      <c r="AN258" s="19">
        <v>12</v>
      </c>
      <c r="AO258" s="19">
        <f>H258*0.646416909</f>
        <v>0</v>
      </c>
      <c r="AP258" s="19">
        <f>H258*(1-0.646416909)</f>
        <v>0</v>
      </c>
      <c r="AQ258" s="87" t="s">
        <v>429</v>
      </c>
      <c r="AV258" s="19">
        <f>AW258+AX258</f>
        <v>0</v>
      </c>
      <c r="AW258" s="19">
        <f>G258*AO258</f>
        <v>0</v>
      </c>
      <c r="AX258" s="19">
        <f>G258*AP258</f>
        <v>0</v>
      </c>
      <c r="AY258" s="87" t="s">
        <v>561</v>
      </c>
      <c r="AZ258" s="87" t="s">
        <v>652</v>
      </c>
      <c r="BA258" s="16" t="s">
        <v>653</v>
      </c>
      <c r="BC258" s="19">
        <f>AW258+AX258</f>
        <v>0</v>
      </c>
      <c r="BD258" s="19">
        <f>H258/(100-BE258)*100</f>
        <v>0</v>
      </c>
      <c r="BE258" s="19">
        <v>0</v>
      </c>
      <c r="BF258" s="19">
        <f>O258</f>
        <v>3.1849999999999999E-3</v>
      </c>
      <c r="BH258" s="19">
        <f>G258*AO258</f>
        <v>0</v>
      </c>
      <c r="BI258" s="19">
        <f>G258*AP258</f>
        <v>0</v>
      </c>
      <c r="BJ258" s="19">
        <f>G258*H258</f>
        <v>0</v>
      </c>
      <c r="BK258" s="19"/>
      <c r="BL258" s="19">
        <v>723</v>
      </c>
      <c r="BW258" s="19" t="str">
        <f>I258</f>
        <v>12</v>
      </c>
      <c r="BX258" s="4" t="s">
        <v>185</v>
      </c>
    </row>
    <row r="259" spans="1:76" ht="25.5" x14ac:dyDescent="0.25">
      <c r="A259" s="89"/>
      <c r="C259" s="90" t="s">
        <v>437</v>
      </c>
      <c r="D259" s="187" t="s">
        <v>471</v>
      </c>
      <c r="E259" s="188"/>
      <c r="F259" s="188"/>
      <c r="G259" s="188"/>
      <c r="H259" s="188"/>
      <c r="I259" s="188"/>
      <c r="J259" s="188"/>
      <c r="K259" s="188"/>
      <c r="L259" s="188"/>
      <c r="M259" s="188"/>
      <c r="N259" s="188"/>
      <c r="O259" s="188"/>
      <c r="P259" s="189"/>
      <c r="BX259" s="91" t="s">
        <v>471</v>
      </c>
    </row>
    <row r="260" spans="1:76" x14ac:dyDescent="0.25">
      <c r="A260" s="1" t="s">
        <v>656</v>
      </c>
      <c r="B260" s="2" t="s">
        <v>178</v>
      </c>
      <c r="C260" s="2" t="s">
        <v>186</v>
      </c>
      <c r="D260" s="108" t="s">
        <v>187</v>
      </c>
      <c r="E260" s="102"/>
      <c r="F260" s="2" t="s">
        <v>62</v>
      </c>
      <c r="G260" s="19">
        <f>'Rozpočet - vybrané sloupce'!J240</f>
        <v>23</v>
      </c>
      <c r="H260" s="19">
        <f>'Rozpočet - vybrané sloupce'!K240</f>
        <v>0</v>
      </c>
      <c r="I260" s="87" t="s">
        <v>427</v>
      </c>
      <c r="J260" s="19">
        <f t="shared" ref="J260:J268" si="234">G260*AO260</f>
        <v>0</v>
      </c>
      <c r="K260" s="19">
        <f t="shared" ref="K260:K268" si="235">G260*AP260</f>
        <v>0</v>
      </c>
      <c r="L260" s="19">
        <f t="shared" ref="L260:L268" si="236">G260*H260</f>
        <v>0</v>
      </c>
      <c r="M260" s="19">
        <f t="shared" ref="M260:M268" si="237">L260*(1+BW260/100)</f>
        <v>0</v>
      </c>
      <c r="N260" s="19">
        <v>9.3000000000000005E-4</v>
      </c>
      <c r="O260" s="19">
        <f t="shared" ref="O260:O268" si="238">G260*N260</f>
        <v>2.1390000000000003E-2</v>
      </c>
      <c r="P260" s="88" t="s">
        <v>428</v>
      </c>
      <c r="Z260" s="19">
        <f t="shared" ref="Z260:Z268" si="239">IF(AQ260="5",BJ260,0)</f>
        <v>0</v>
      </c>
      <c r="AB260" s="19">
        <f t="shared" ref="AB260:AB268" si="240">IF(AQ260="1",BH260,0)</f>
        <v>0</v>
      </c>
      <c r="AC260" s="19">
        <f t="shared" ref="AC260:AC268" si="241">IF(AQ260="1",BI260,0)</f>
        <v>0</v>
      </c>
      <c r="AD260" s="19">
        <f t="shared" ref="AD260:AD268" si="242">IF(AQ260="7",BH260,0)</f>
        <v>0</v>
      </c>
      <c r="AE260" s="19">
        <f t="shared" ref="AE260:AE268" si="243">IF(AQ260="7",BI260,0)</f>
        <v>0</v>
      </c>
      <c r="AF260" s="19">
        <f t="shared" ref="AF260:AF268" si="244">IF(AQ260="2",BH260,0)</f>
        <v>0</v>
      </c>
      <c r="AG260" s="19">
        <f t="shared" ref="AG260:AG268" si="245">IF(AQ260="2",BI260,0)</f>
        <v>0</v>
      </c>
      <c r="AH260" s="19">
        <f t="shared" ref="AH260:AH268" si="246">IF(AQ260="0",BJ260,0)</f>
        <v>0</v>
      </c>
      <c r="AI260" s="16" t="s">
        <v>178</v>
      </c>
      <c r="AJ260" s="19">
        <f t="shared" ref="AJ260:AJ268" si="247">IF(AN260=0,L260,0)</f>
        <v>0</v>
      </c>
      <c r="AK260" s="19">
        <f t="shared" ref="AK260:AK268" si="248">IF(AN260=12,L260,0)</f>
        <v>0</v>
      </c>
      <c r="AL260" s="19">
        <f t="shared" ref="AL260:AL268" si="249">IF(AN260=21,L260,0)</f>
        <v>0</v>
      </c>
      <c r="AN260" s="19">
        <v>12</v>
      </c>
      <c r="AO260" s="19">
        <f>H260*0.373581628</f>
        <v>0</v>
      </c>
      <c r="AP260" s="19">
        <f>H260*(1-0.373581628)</f>
        <v>0</v>
      </c>
      <c r="AQ260" s="87" t="s">
        <v>429</v>
      </c>
      <c r="AV260" s="19">
        <f t="shared" ref="AV260:AV268" si="250">AW260+AX260</f>
        <v>0</v>
      </c>
      <c r="AW260" s="19">
        <f t="shared" ref="AW260:AW268" si="251">G260*AO260</f>
        <v>0</v>
      </c>
      <c r="AX260" s="19">
        <f t="shared" ref="AX260:AX268" si="252">G260*AP260</f>
        <v>0</v>
      </c>
      <c r="AY260" s="87" t="s">
        <v>561</v>
      </c>
      <c r="AZ260" s="87" t="s">
        <v>652</v>
      </c>
      <c r="BA260" s="16" t="s">
        <v>653</v>
      </c>
      <c r="BC260" s="19">
        <f t="shared" ref="BC260:BC268" si="253">AW260+AX260</f>
        <v>0</v>
      </c>
      <c r="BD260" s="19">
        <f t="shared" ref="BD260:BD268" si="254">H260/(100-BE260)*100</f>
        <v>0</v>
      </c>
      <c r="BE260" s="19">
        <v>0</v>
      </c>
      <c r="BF260" s="19">
        <f t="shared" ref="BF260:BF268" si="255">O260</f>
        <v>2.1390000000000003E-2</v>
      </c>
      <c r="BH260" s="19">
        <f t="shared" ref="BH260:BH268" si="256">G260*AO260</f>
        <v>0</v>
      </c>
      <c r="BI260" s="19">
        <f t="shared" ref="BI260:BI268" si="257">G260*AP260</f>
        <v>0</v>
      </c>
      <c r="BJ260" s="19">
        <f t="shared" ref="BJ260:BJ268" si="258">G260*H260</f>
        <v>0</v>
      </c>
      <c r="BK260" s="19"/>
      <c r="BL260" s="19">
        <v>723</v>
      </c>
      <c r="BW260" s="19" t="str">
        <f t="shared" ref="BW260:BW268" si="259">I260</f>
        <v>12</v>
      </c>
      <c r="BX260" s="4" t="s">
        <v>187</v>
      </c>
    </row>
    <row r="261" spans="1:76" x14ac:dyDescent="0.25">
      <c r="A261" s="1" t="s">
        <v>657</v>
      </c>
      <c r="B261" s="2" t="s">
        <v>178</v>
      </c>
      <c r="C261" s="2" t="s">
        <v>135</v>
      </c>
      <c r="D261" s="108" t="s">
        <v>136</v>
      </c>
      <c r="E261" s="102"/>
      <c r="F261" s="2" t="s">
        <v>62</v>
      </c>
      <c r="G261" s="19">
        <f>'Rozpočet - vybrané sloupce'!J241</f>
        <v>23</v>
      </c>
      <c r="H261" s="19">
        <f>'Rozpočet - vybrané sloupce'!K241</f>
        <v>0</v>
      </c>
      <c r="I261" s="87" t="s">
        <v>427</v>
      </c>
      <c r="J261" s="19">
        <f t="shared" si="234"/>
        <v>0</v>
      </c>
      <c r="K261" s="19">
        <f t="shared" si="235"/>
        <v>0</v>
      </c>
      <c r="L261" s="19">
        <f t="shared" si="236"/>
        <v>0</v>
      </c>
      <c r="M261" s="19">
        <f t="shared" si="237"/>
        <v>0</v>
      </c>
      <c r="N261" s="19">
        <v>0</v>
      </c>
      <c r="O261" s="19">
        <f t="shared" si="238"/>
        <v>0</v>
      </c>
      <c r="P261" s="88" t="s">
        <v>428</v>
      </c>
      <c r="Z261" s="19">
        <f t="shared" si="239"/>
        <v>0</v>
      </c>
      <c r="AB261" s="19">
        <f t="shared" si="240"/>
        <v>0</v>
      </c>
      <c r="AC261" s="19">
        <f t="shared" si="241"/>
        <v>0</v>
      </c>
      <c r="AD261" s="19">
        <f t="shared" si="242"/>
        <v>0</v>
      </c>
      <c r="AE261" s="19">
        <f t="shared" si="243"/>
        <v>0</v>
      </c>
      <c r="AF261" s="19">
        <f t="shared" si="244"/>
        <v>0</v>
      </c>
      <c r="AG261" s="19">
        <f t="shared" si="245"/>
        <v>0</v>
      </c>
      <c r="AH261" s="19">
        <f t="shared" si="246"/>
        <v>0</v>
      </c>
      <c r="AI261" s="16" t="s">
        <v>178</v>
      </c>
      <c r="AJ261" s="19">
        <f t="shared" si="247"/>
        <v>0</v>
      </c>
      <c r="AK261" s="19">
        <f t="shared" si="248"/>
        <v>0</v>
      </c>
      <c r="AL261" s="19">
        <f t="shared" si="249"/>
        <v>0</v>
      </c>
      <c r="AN261" s="19">
        <v>12</v>
      </c>
      <c r="AO261" s="19">
        <f>H261*0</f>
        <v>0</v>
      </c>
      <c r="AP261" s="19">
        <f>H261*(1-0)</f>
        <v>0</v>
      </c>
      <c r="AQ261" s="87" t="s">
        <v>429</v>
      </c>
      <c r="AV261" s="19">
        <f t="shared" si="250"/>
        <v>0</v>
      </c>
      <c r="AW261" s="19">
        <f t="shared" si="251"/>
        <v>0</v>
      </c>
      <c r="AX261" s="19">
        <f t="shared" si="252"/>
        <v>0</v>
      </c>
      <c r="AY261" s="87" t="s">
        <v>561</v>
      </c>
      <c r="AZ261" s="87" t="s">
        <v>652</v>
      </c>
      <c r="BA261" s="16" t="s">
        <v>653</v>
      </c>
      <c r="BC261" s="19">
        <f t="shared" si="253"/>
        <v>0</v>
      </c>
      <c r="BD261" s="19">
        <f t="shared" si="254"/>
        <v>0</v>
      </c>
      <c r="BE261" s="19">
        <v>0</v>
      </c>
      <c r="BF261" s="19">
        <f t="shared" si="255"/>
        <v>0</v>
      </c>
      <c r="BH261" s="19">
        <f t="shared" si="256"/>
        <v>0</v>
      </c>
      <c r="BI261" s="19">
        <f t="shared" si="257"/>
        <v>0</v>
      </c>
      <c r="BJ261" s="19">
        <f t="shared" si="258"/>
        <v>0</v>
      </c>
      <c r="BK261" s="19"/>
      <c r="BL261" s="19">
        <v>723</v>
      </c>
      <c r="BW261" s="19" t="str">
        <f t="shared" si="259"/>
        <v>12</v>
      </c>
      <c r="BX261" s="4" t="s">
        <v>136</v>
      </c>
    </row>
    <row r="262" spans="1:76" x14ac:dyDescent="0.25">
      <c r="A262" s="1" t="s">
        <v>658</v>
      </c>
      <c r="B262" s="2" t="s">
        <v>178</v>
      </c>
      <c r="C262" s="2" t="s">
        <v>133</v>
      </c>
      <c r="D262" s="108" t="s">
        <v>134</v>
      </c>
      <c r="E262" s="102"/>
      <c r="F262" s="2" t="s">
        <v>31</v>
      </c>
      <c r="G262" s="19">
        <f>'Rozpočet - vybrané sloupce'!J242</f>
        <v>80.5</v>
      </c>
      <c r="H262" s="19">
        <f>'Rozpočet - vybrané sloupce'!K242</f>
        <v>0</v>
      </c>
      <c r="I262" s="87" t="s">
        <v>427</v>
      </c>
      <c r="J262" s="19">
        <f t="shared" si="234"/>
        <v>0</v>
      </c>
      <c r="K262" s="19">
        <f t="shared" si="235"/>
        <v>0</v>
      </c>
      <c r="L262" s="19">
        <f t="shared" si="236"/>
        <v>0</v>
      </c>
      <c r="M262" s="19">
        <f t="shared" si="237"/>
        <v>0</v>
      </c>
      <c r="N262" s="19">
        <v>0</v>
      </c>
      <c r="O262" s="19">
        <f t="shared" si="238"/>
        <v>0</v>
      </c>
      <c r="P262" s="88" t="s">
        <v>428</v>
      </c>
      <c r="Z262" s="19">
        <f t="shared" si="239"/>
        <v>0</v>
      </c>
      <c r="AB262" s="19">
        <f t="shared" si="240"/>
        <v>0</v>
      </c>
      <c r="AC262" s="19">
        <f t="shared" si="241"/>
        <v>0</v>
      </c>
      <c r="AD262" s="19">
        <f t="shared" si="242"/>
        <v>0</v>
      </c>
      <c r="AE262" s="19">
        <f t="shared" si="243"/>
        <v>0</v>
      </c>
      <c r="AF262" s="19">
        <f t="shared" si="244"/>
        <v>0</v>
      </c>
      <c r="AG262" s="19">
        <f t="shared" si="245"/>
        <v>0</v>
      </c>
      <c r="AH262" s="19">
        <f t="shared" si="246"/>
        <v>0</v>
      </c>
      <c r="AI262" s="16" t="s">
        <v>178</v>
      </c>
      <c r="AJ262" s="19">
        <f t="shared" si="247"/>
        <v>0</v>
      </c>
      <c r="AK262" s="19">
        <f t="shared" si="248"/>
        <v>0</v>
      </c>
      <c r="AL262" s="19">
        <f t="shared" si="249"/>
        <v>0</v>
      </c>
      <c r="AN262" s="19">
        <v>12</v>
      </c>
      <c r="AO262" s="19">
        <f>H262*0</f>
        <v>0</v>
      </c>
      <c r="AP262" s="19">
        <f>H262*(1-0)</f>
        <v>0</v>
      </c>
      <c r="AQ262" s="87" t="s">
        <v>429</v>
      </c>
      <c r="AV262" s="19">
        <f t="shared" si="250"/>
        <v>0</v>
      </c>
      <c r="AW262" s="19">
        <f t="shared" si="251"/>
        <v>0</v>
      </c>
      <c r="AX262" s="19">
        <f t="shared" si="252"/>
        <v>0</v>
      </c>
      <c r="AY262" s="87" t="s">
        <v>561</v>
      </c>
      <c r="AZ262" s="87" t="s">
        <v>652</v>
      </c>
      <c r="BA262" s="16" t="s">
        <v>653</v>
      </c>
      <c r="BC262" s="19">
        <f t="shared" si="253"/>
        <v>0</v>
      </c>
      <c r="BD262" s="19">
        <f t="shared" si="254"/>
        <v>0</v>
      </c>
      <c r="BE262" s="19">
        <v>0</v>
      </c>
      <c r="BF262" s="19">
        <f t="shared" si="255"/>
        <v>0</v>
      </c>
      <c r="BH262" s="19">
        <f t="shared" si="256"/>
        <v>0</v>
      </c>
      <c r="BI262" s="19">
        <f t="shared" si="257"/>
        <v>0</v>
      </c>
      <c r="BJ262" s="19">
        <f t="shared" si="258"/>
        <v>0</v>
      </c>
      <c r="BK262" s="19"/>
      <c r="BL262" s="19">
        <v>723</v>
      </c>
      <c r="BW262" s="19" t="str">
        <f t="shared" si="259"/>
        <v>12</v>
      </c>
      <c r="BX262" s="4" t="s">
        <v>134</v>
      </c>
    </row>
    <row r="263" spans="1:76" x14ac:dyDescent="0.25">
      <c r="A263" s="1" t="s">
        <v>659</v>
      </c>
      <c r="B263" s="2" t="s">
        <v>178</v>
      </c>
      <c r="C263" s="2" t="s">
        <v>137</v>
      </c>
      <c r="D263" s="108" t="s">
        <v>138</v>
      </c>
      <c r="E263" s="102"/>
      <c r="F263" s="2" t="s">
        <v>62</v>
      </c>
      <c r="G263" s="19">
        <f>'Rozpočet - vybrané sloupce'!J243</f>
        <v>23</v>
      </c>
      <c r="H263" s="19">
        <f>'Rozpočet - vybrané sloupce'!K243</f>
        <v>0</v>
      </c>
      <c r="I263" s="87" t="s">
        <v>427</v>
      </c>
      <c r="J263" s="19">
        <f t="shared" si="234"/>
        <v>0</v>
      </c>
      <c r="K263" s="19">
        <f t="shared" si="235"/>
        <v>0</v>
      </c>
      <c r="L263" s="19">
        <f t="shared" si="236"/>
        <v>0</v>
      </c>
      <c r="M263" s="19">
        <f t="shared" si="237"/>
        <v>0</v>
      </c>
      <c r="N263" s="19">
        <v>0</v>
      </c>
      <c r="O263" s="19">
        <f t="shared" si="238"/>
        <v>0</v>
      </c>
      <c r="P263" s="88" t="s">
        <v>428</v>
      </c>
      <c r="Z263" s="19">
        <f t="shared" si="239"/>
        <v>0</v>
      </c>
      <c r="AB263" s="19">
        <f t="shared" si="240"/>
        <v>0</v>
      </c>
      <c r="AC263" s="19">
        <f t="shared" si="241"/>
        <v>0</v>
      </c>
      <c r="AD263" s="19">
        <f t="shared" si="242"/>
        <v>0</v>
      </c>
      <c r="AE263" s="19">
        <f t="shared" si="243"/>
        <v>0</v>
      </c>
      <c r="AF263" s="19">
        <f t="shared" si="244"/>
        <v>0</v>
      </c>
      <c r="AG263" s="19">
        <f t="shared" si="245"/>
        <v>0</v>
      </c>
      <c r="AH263" s="19">
        <f t="shared" si="246"/>
        <v>0</v>
      </c>
      <c r="AI263" s="16" t="s">
        <v>178</v>
      </c>
      <c r="AJ263" s="19">
        <f t="shared" si="247"/>
        <v>0</v>
      </c>
      <c r="AK263" s="19">
        <f t="shared" si="248"/>
        <v>0</v>
      </c>
      <c r="AL263" s="19">
        <f t="shared" si="249"/>
        <v>0</v>
      </c>
      <c r="AN263" s="19">
        <v>12</v>
      </c>
      <c r="AO263" s="19">
        <f>H263*0</f>
        <v>0</v>
      </c>
      <c r="AP263" s="19">
        <f>H263*(1-0)</f>
        <v>0</v>
      </c>
      <c r="AQ263" s="87" t="s">
        <v>429</v>
      </c>
      <c r="AV263" s="19">
        <f t="shared" si="250"/>
        <v>0</v>
      </c>
      <c r="AW263" s="19">
        <f t="shared" si="251"/>
        <v>0</v>
      </c>
      <c r="AX263" s="19">
        <f t="shared" si="252"/>
        <v>0</v>
      </c>
      <c r="AY263" s="87" t="s">
        <v>561</v>
      </c>
      <c r="AZ263" s="87" t="s">
        <v>652</v>
      </c>
      <c r="BA263" s="16" t="s">
        <v>653</v>
      </c>
      <c r="BC263" s="19">
        <f t="shared" si="253"/>
        <v>0</v>
      </c>
      <c r="BD263" s="19">
        <f t="shared" si="254"/>
        <v>0</v>
      </c>
      <c r="BE263" s="19">
        <v>0</v>
      </c>
      <c r="BF263" s="19">
        <f t="shared" si="255"/>
        <v>0</v>
      </c>
      <c r="BH263" s="19">
        <f t="shared" si="256"/>
        <v>0</v>
      </c>
      <c r="BI263" s="19">
        <f t="shared" si="257"/>
        <v>0</v>
      </c>
      <c r="BJ263" s="19">
        <f t="shared" si="258"/>
        <v>0</v>
      </c>
      <c r="BK263" s="19"/>
      <c r="BL263" s="19">
        <v>723</v>
      </c>
      <c r="BW263" s="19" t="str">
        <f t="shared" si="259"/>
        <v>12</v>
      </c>
      <c r="BX263" s="4" t="s">
        <v>138</v>
      </c>
    </row>
    <row r="264" spans="1:76" x14ac:dyDescent="0.25">
      <c r="A264" s="1" t="s">
        <v>660</v>
      </c>
      <c r="B264" s="2" t="s">
        <v>178</v>
      </c>
      <c r="C264" s="2" t="s">
        <v>188</v>
      </c>
      <c r="D264" s="108" t="s">
        <v>189</v>
      </c>
      <c r="E264" s="102"/>
      <c r="F264" s="2" t="s">
        <v>100</v>
      </c>
      <c r="G264" s="19">
        <f>'Rozpočet - vybrané sloupce'!J244</f>
        <v>23</v>
      </c>
      <c r="H264" s="19">
        <f>'Rozpočet - vybrané sloupce'!K244</f>
        <v>0</v>
      </c>
      <c r="I264" s="87" t="s">
        <v>427</v>
      </c>
      <c r="J264" s="19">
        <f t="shared" si="234"/>
        <v>0</v>
      </c>
      <c r="K264" s="19">
        <f t="shared" si="235"/>
        <v>0</v>
      </c>
      <c r="L264" s="19">
        <f t="shared" si="236"/>
        <v>0</v>
      </c>
      <c r="M264" s="19">
        <f t="shared" si="237"/>
        <v>0</v>
      </c>
      <c r="N264" s="19">
        <v>6.7000000000000004E-2</v>
      </c>
      <c r="O264" s="19">
        <f t="shared" si="238"/>
        <v>1.5410000000000001</v>
      </c>
      <c r="P264" s="88" t="s">
        <v>428</v>
      </c>
      <c r="Z264" s="19">
        <f t="shared" si="239"/>
        <v>0</v>
      </c>
      <c r="AB264" s="19">
        <f t="shared" si="240"/>
        <v>0</v>
      </c>
      <c r="AC264" s="19">
        <f t="shared" si="241"/>
        <v>0</v>
      </c>
      <c r="AD264" s="19">
        <f t="shared" si="242"/>
        <v>0</v>
      </c>
      <c r="AE264" s="19">
        <f t="shared" si="243"/>
        <v>0</v>
      </c>
      <c r="AF264" s="19">
        <f t="shared" si="244"/>
        <v>0</v>
      </c>
      <c r="AG264" s="19">
        <f t="shared" si="245"/>
        <v>0</v>
      </c>
      <c r="AH264" s="19">
        <f t="shared" si="246"/>
        <v>0</v>
      </c>
      <c r="AI264" s="16" t="s">
        <v>178</v>
      </c>
      <c r="AJ264" s="19">
        <f t="shared" si="247"/>
        <v>0</v>
      </c>
      <c r="AK264" s="19">
        <f t="shared" si="248"/>
        <v>0</v>
      </c>
      <c r="AL264" s="19">
        <f t="shared" si="249"/>
        <v>0</v>
      </c>
      <c r="AN264" s="19">
        <v>12</v>
      </c>
      <c r="AO264" s="19">
        <f>H264*0</f>
        <v>0</v>
      </c>
      <c r="AP264" s="19">
        <f>H264*(1-0)</f>
        <v>0</v>
      </c>
      <c r="AQ264" s="87" t="s">
        <v>429</v>
      </c>
      <c r="AV264" s="19">
        <f t="shared" si="250"/>
        <v>0</v>
      </c>
      <c r="AW264" s="19">
        <f t="shared" si="251"/>
        <v>0</v>
      </c>
      <c r="AX264" s="19">
        <f t="shared" si="252"/>
        <v>0</v>
      </c>
      <c r="AY264" s="87" t="s">
        <v>561</v>
      </c>
      <c r="AZ264" s="87" t="s">
        <v>652</v>
      </c>
      <c r="BA264" s="16" t="s">
        <v>653</v>
      </c>
      <c r="BC264" s="19">
        <f t="shared" si="253"/>
        <v>0</v>
      </c>
      <c r="BD264" s="19">
        <f t="shared" si="254"/>
        <v>0</v>
      </c>
      <c r="BE264" s="19">
        <v>0</v>
      </c>
      <c r="BF264" s="19">
        <f t="shared" si="255"/>
        <v>1.5410000000000001</v>
      </c>
      <c r="BH264" s="19">
        <f t="shared" si="256"/>
        <v>0</v>
      </c>
      <c r="BI264" s="19">
        <f t="shared" si="257"/>
        <v>0</v>
      </c>
      <c r="BJ264" s="19">
        <f t="shared" si="258"/>
        <v>0</v>
      </c>
      <c r="BK264" s="19"/>
      <c r="BL264" s="19">
        <v>723</v>
      </c>
      <c r="BW264" s="19" t="str">
        <f t="shared" si="259"/>
        <v>12</v>
      </c>
      <c r="BX264" s="4" t="s">
        <v>189</v>
      </c>
    </row>
    <row r="265" spans="1:76" x14ac:dyDescent="0.25">
      <c r="A265" s="1" t="s">
        <v>661</v>
      </c>
      <c r="B265" s="2" t="s">
        <v>178</v>
      </c>
      <c r="C265" s="2" t="s">
        <v>190</v>
      </c>
      <c r="D265" s="108" t="s">
        <v>191</v>
      </c>
      <c r="E265" s="102"/>
      <c r="F265" s="2" t="s">
        <v>62</v>
      </c>
      <c r="G265" s="19">
        <f>'Rozpočet - vybrané sloupce'!J245</f>
        <v>23</v>
      </c>
      <c r="H265" s="19">
        <f>'Rozpočet - vybrané sloupce'!K245</f>
        <v>0</v>
      </c>
      <c r="I265" s="87" t="s">
        <v>427</v>
      </c>
      <c r="J265" s="19">
        <f t="shared" si="234"/>
        <v>0</v>
      </c>
      <c r="K265" s="19">
        <f t="shared" si="235"/>
        <v>0</v>
      </c>
      <c r="L265" s="19">
        <f t="shared" si="236"/>
        <v>0</v>
      </c>
      <c r="M265" s="19">
        <f t="shared" si="237"/>
        <v>0</v>
      </c>
      <c r="N265" s="19">
        <v>5.0000000000000002E-5</v>
      </c>
      <c r="O265" s="19">
        <f t="shared" si="238"/>
        <v>1.15E-3</v>
      </c>
      <c r="P265" s="88" t="s">
        <v>428</v>
      </c>
      <c r="Z265" s="19">
        <f t="shared" si="239"/>
        <v>0</v>
      </c>
      <c r="AB265" s="19">
        <f t="shared" si="240"/>
        <v>0</v>
      </c>
      <c r="AC265" s="19">
        <f t="shared" si="241"/>
        <v>0</v>
      </c>
      <c r="AD265" s="19">
        <f t="shared" si="242"/>
        <v>0</v>
      </c>
      <c r="AE265" s="19">
        <f t="shared" si="243"/>
        <v>0</v>
      </c>
      <c r="AF265" s="19">
        <f t="shared" si="244"/>
        <v>0</v>
      </c>
      <c r="AG265" s="19">
        <f t="shared" si="245"/>
        <v>0</v>
      </c>
      <c r="AH265" s="19">
        <f t="shared" si="246"/>
        <v>0</v>
      </c>
      <c r="AI265" s="16" t="s">
        <v>178</v>
      </c>
      <c r="AJ265" s="19">
        <f t="shared" si="247"/>
        <v>0</v>
      </c>
      <c r="AK265" s="19">
        <f t="shared" si="248"/>
        <v>0</v>
      </c>
      <c r="AL265" s="19">
        <f t="shared" si="249"/>
        <v>0</v>
      </c>
      <c r="AN265" s="19">
        <v>12</v>
      </c>
      <c r="AO265" s="19">
        <f>H265*0.039517449</f>
        <v>0</v>
      </c>
      <c r="AP265" s="19">
        <f>H265*(1-0.039517449)</f>
        <v>0</v>
      </c>
      <c r="AQ265" s="87" t="s">
        <v>429</v>
      </c>
      <c r="AV265" s="19">
        <f t="shared" si="250"/>
        <v>0</v>
      </c>
      <c r="AW265" s="19">
        <f t="shared" si="251"/>
        <v>0</v>
      </c>
      <c r="AX265" s="19">
        <f t="shared" si="252"/>
        <v>0</v>
      </c>
      <c r="AY265" s="87" t="s">
        <v>561</v>
      </c>
      <c r="AZ265" s="87" t="s">
        <v>652</v>
      </c>
      <c r="BA265" s="16" t="s">
        <v>653</v>
      </c>
      <c r="BC265" s="19">
        <f t="shared" si="253"/>
        <v>0</v>
      </c>
      <c r="BD265" s="19">
        <f t="shared" si="254"/>
        <v>0</v>
      </c>
      <c r="BE265" s="19">
        <v>0</v>
      </c>
      <c r="BF265" s="19">
        <f t="shared" si="255"/>
        <v>1.15E-3</v>
      </c>
      <c r="BH265" s="19">
        <f t="shared" si="256"/>
        <v>0</v>
      </c>
      <c r="BI265" s="19">
        <f t="shared" si="257"/>
        <v>0</v>
      </c>
      <c r="BJ265" s="19">
        <f t="shared" si="258"/>
        <v>0</v>
      </c>
      <c r="BK265" s="19"/>
      <c r="BL265" s="19">
        <v>723</v>
      </c>
      <c r="BW265" s="19" t="str">
        <f t="shared" si="259"/>
        <v>12</v>
      </c>
      <c r="BX265" s="4" t="s">
        <v>191</v>
      </c>
    </row>
    <row r="266" spans="1:76" ht="25.5" x14ac:dyDescent="0.25">
      <c r="A266" s="1" t="s">
        <v>662</v>
      </c>
      <c r="B266" s="2" t="s">
        <v>178</v>
      </c>
      <c r="C266" s="2" t="s">
        <v>192</v>
      </c>
      <c r="D266" s="108" t="s">
        <v>193</v>
      </c>
      <c r="E266" s="102"/>
      <c r="F266" s="2" t="s">
        <v>100</v>
      </c>
      <c r="G266" s="19">
        <f>'Rozpočet - vybrané sloupce'!J246</f>
        <v>23</v>
      </c>
      <c r="H266" s="19">
        <f>'Rozpočet - vybrané sloupce'!K246</f>
        <v>0</v>
      </c>
      <c r="I266" s="87" t="s">
        <v>427</v>
      </c>
      <c r="J266" s="19">
        <f t="shared" si="234"/>
        <v>0</v>
      </c>
      <c r="K266" s="19">
        <f t="shared" si="235"/>
        <v>0</v>
      </c>
      <c r="L266" s="19">
        <f t="shared" si="236"/>
        <v>0</v>
      </c>
      <c r="M266" s="19">
        <f t="shared" si="237"/>
        <v>0</v>
      </c>
      <c r="N266" s="19">
        <v>2E-3</v>
      </c>
      <c r="O266" s="19">
        <f t="shared" si="238"/>
        <v>4.5999999999999999E-2</v>
      </c>
      <c r="P266" s="88" t="s">
        <v>428</v>
      </c>
      <c r="Z266" s="19">
        <f t="shared" si="239"/>
        <v>0</v>
      </c>
      <c r="AB266" s="19">
        <f t="shared" si="240"/>
        <v>0</v>
      </c>
      <c r="AC266" s="19">
        <f t="shared" si="241"/>
        <v>0</v>
      </c>
      <c r="AD266" s="19">
        <f t="shared" si="242"/>
        <v>0</v>
      </c>
      <c r="AE266" s="19">
        <f t="shared" si="243"/>
        <v>0</v>
      </c>
      <c r="AF266" s="19">
        <f t="shared" si="244"/>
        <v>0</v>
      </c>
      <c r="AG266" s="19">
        <f t="shared" si="245"/>
        <v>0</v>
      </c>
      <c r="AH266" s="19">
        <f t="shared" si="246"/>
        <v>0</v>
      </c>
      <c r="AI266" s="16" t="s">
        <v>178</v>
      </c>
      <c r="AJ266" s="19">
        <f t="shared" si="247"/>
        <v>0</v>
      </c>
      <c r="AK266" s="19">
        <f t="shared" si="248"/>
        <v>0</v>
      </c>
      <c r="AL266" s="19">
        <f t="shared" si="249"/>
        <v>0</v>
      </c>
      <c r="AN266" s="19">
        <v>12</v>
      </c>
      <c r="AO266" s="19">
        <f>H266*1</f>
        <v>0</v>
      </c>
      <c r="AP266" s="19">
        <f>H266*(1-1)</f>
        <v>0</v>
      </c>
      <c r="AQ266" s="87" t="s">
        <v>429</v>
      </c>
      <c r="AV266" s="19">
        <f t="shared" si="250"/>
        <v>0</v>
      </c>
      <c r="AW266" s="19">
        <f t="shared" si="251"/>
        <v>0</v>
      </c>
      <c r="AX266" s="19">
        <f t="shared" si="252"/>
        <v>0</v>
      </c>
      <c r="AY266" s="87" t="s">
        <v>561</v>
      </c>
      <c r="AZ266" s="87" t="s">
        <v>652</v>
      </c>
      <c r="BA266" s="16" t="s">
        <v>653</v>
      </c>
      <c r="BC266" s="19">
        <f t="shared" si="253"/>
        <v>0</v>
      </c>
      <c r="BD266" s="19">
        <f t="shared" si="254"/>
        <v>0</v>
      </c>
      <c r="BE266" s="19">
        <v>0</v>
      </c>
      <c r="BF266" s="19">
        <f t="shared" si="255"/>
        <v>4.5999999999999999E-2</v>
      </c>
      <c r="BH266" s="19">
        <f t="shared" si="256"/>
        <v>0</v>
      </c>
      <c r="BI266" s="19">
        <f t="shared" si="257"/>
        <v>0</v>
      </c>
      <c r="BJ266" s="19">
        <f t="shared" si="258"/>
        <v>0</v>
      </c>
      <c r="BK266" s="19"/>
      <c r="BL266" s="19">
        <v>723</v>
      </c>
      <c r="BW266" s="19" t="str">
        <f t="shared" si="259"/>
        <v>12</v>
      </c>
      <c r="BX266" s="4" t="s">
        <v>193</v>
      </c>
    </row>
    <row r="267" spans="1:76" x14ac:dyDescent="0.25">
      <c r="A267" s="1" t="s">
        <v>663</v>
      </c>
      <c r="B267" s="2" t="s">
        <v>178</v>
      </c>
      <c r="C267" s="2" t="s">
        <v>195</v>
      </c>
      <c r="D267" s="108" t="s">
        <v>196</v>
      </c>
      <c r="E267" s="102"/>
      <c r="F267" s="2" t="s">
        <v>100</v>
      </c>
      <c r="G267" s="19">
        <f>'Rozpočet - vybrané sloupce'!J247</f>
        <v>23</v>
      </c>
      <c r="H267" s="19">
        <f>'Rozpočet - vybrané sloupce'!K247</f>
        <v>0</v>
      </c>
      <c r="I267" s="87" t="s">
        <v>427</v>
      </c>
      <c r="J267" s="19">
        <f t="shared" si="234"/>
        <v>0</v>
      </c>
      <c r="K267" s="19">
        <f t="shared" si="235"/>
        <v>0</v>
      </c>
      <c r="L267" s="19">
        <f t="shared" si="236"/>
        <v>0</v>
      </c>
      <c r="M267" s="19">
        <f t="shared" si="237"/>
        <v>0</v>
      </c>
      <c r="N267" s="19">
        <v>0</v>
      </c>
      <c r="O267" s="19">
        <f t="shared" si="238"/>
        <v>0</v>
      </c>
      <c r="P267" s="88" t="s">
        <v>428</v>
      </c>
      <c r="Z267" s="19">
        <f t="shared" si="239"/>
        <v>0</v>
      </c>
      <c r="AB267" s="19">
        <f t="shared" si="240"/>
        <v>0</v>
      </c>
      <c r="AC267" s="19">
        <f t="shared" si="241"/>
        <v>0</v>
      </c>
      <c r="AD267" s="19">
        <f t="shared" si="242"/>
        <v>0</v>
      </c>
      <c r="AE267" s="19">
        <f t="shared" si="243"/>
        <v>0</v>
      </c>
      <c r="AF267" s="19">
        <f t="shared" si="244"/>
        <v>0</v>
      </c>
      <c r="AG267" s="19">
        <f t="shared" si="245"/>
        <v>0</v>
      </c>
      <c r="AH267" s="19">
        <f t="shared" si="246"/>
        <v>0</v>
      </c>
      <c r="AI267" s="16" t="s">
        <v>178</v>
      </c>
      <c r="AJ267" s="19">
        <f t="shared" si="247"/>
        <v>0</v>
      </c>
      <c r="AK267" s="19">
        <f t="shared" si="248"/>
        <v>0</v>
      </c>
      <c r="AL267" s="19">
        <f t="shared" si="249"/>
        <v>0</v>
      </c>
      <c r="AN267" s="19">
        <v>12</v>
      </c>
      <c r="AO267" s="19">
        <f>H267*0</f>
        <v>0</v>
      </c>
      <c r="AP267" s="19">
        <f>H267*(1-0)</f>
        <v>0</v>
      </c>
      <c r="AQ267" s="87" t="s">
        <v>429</v>
      </c>
      <c r="AV267" s="19">
        <f t="shared" si="250"/>
        <v>0</v>
      </c>
      <c r="AW267" s="19">
        <f t="shared" si="251"/>
        <v>0</v>
      </c>
      <c r="AX267" s="19">
        <f t="shared" si="252"/>
        <v>0</v>
      </c>
      <c r="AY267" s="87" t="s">
        <v>561</v>
      </c>
      <c r="AZ267" s="87" t="s">
        <v>652</v>
      </c>
      <c r="BA267" s="16" t="s">
        <v>653</v>
      </c>
      <c r="BC267" s="19">
        <f t="shared" si="253"/>
        <v>0</v>
      </c>
      <c r="BD267" s="19">
        <f t="shared" si="254"/>
        <v>0</v>
      </c>
      <c r="BE267" s="19">
        <v>0</v>
      </c>
      <c r="BF267" s="19">
        <f t="shared" si="255"/>
        <v>0</v>
      </c>
      <c r="BH267" s="19">
        <f t="shared" si="256"/>
        <v>0</v>
      </c>
      <c r="BI267" s="19">
        <f t="shared" si="257"/>
        <v>0</v>
      </c>
      <c r="BJ267" s="19">
        <f t="shared" si="258"/>
        <v>0</v>
      </c>
      <c r="BK267" s="19"/>
      <c r="BL267" s="19">
        <v>723</v>
      </c>
      <c r="BW267" s="19" t="str">
        <f t="shared" si="259"/>
        <v>12</v>
      </c>
      <c r="BX267" s="4" t="s">
        <v>196</v>
      </c>
    </row>
    <row r="268" spans="1:76" x14ac:dyDescent="0.25">
      <c r="A268" s="1" t="s">
        <v>664</v>
      </c>
      <c r="B268" s="2" t="s">
        <v>178</v>
      </c>
      <c r="C268" s="2" t="s">
        <v>164</v>
      </c>
      <c r="D268" s="108" t="s">
        <v>165</v>
      </c>
      <c r="E268" s="102"/>
      <c r="F268" s="2" t="s">
        <v>95</v>
      </c>
      <c r="G268" s="19">
        <f>'Rozpočet - vybrané sloupce'!J248</f>
        <v>0.2</v>
      </c>
      <c r="H268" s="19">
        <f>'Rozpočet - vybrané sloupce'!K248</f>
        <v>0</v>
      </c>
      <c r="I268" s="87" t="s">
        <v>427</v>
      </c>
      <c r="J268" s="19">
        <f t="shared" si="234"/>
        <v>0</v>
      </c>
      <c r="K268" s="19">
        <f t="shared" si="235"/>
        <v>0</v>
      </c>
      <c r="L268" s="19">
        <f t="shared" si="236"/>
        <v>0</v>
      </c>
      <c r="M268" s="19">
        <f t="shared" si="237"/>
        <v>0</v>
      </c>
      <c r="N268" s="19">
        <v>0</v>
      </c>
      <c r="O268" s="19">
        <f t="shared" si="238"/>
        <v>0</v>
      </c>
      <c r="P268" s="88" t="s">
        <v>428</v>
      </c>
      <c r="Z268" s="19">
        <f t="shared" si="239"/>
        <v>0</v>
      </c>
      <c r="AB268" s="19">
        <f t="shared" si="240"/>
        <v>0</v>
      </c>
      <c r="AC268" s="19">
        <f t="shared" si="241"/>
        <v>0</v>
      </c>
      <c r="AD268" s="19">
        <f t="shared" si="242"/>
        <v>0</v>
      </c>
      <c r="AE268" s="19">
        <f t="shared" si="243"/>
        <v>0</v>
      </c>
      <c r="AF268" s="19">
        <f t="shared" si="244"/>
        <v>0</v>
      </c>
      <c r="AG268" s="19">
        <f t="shared" si="245"/>
        <v>0</v>
      </c>
      <c r="AH268" s="19">
        <f t="shared" si="246"/>
        <v>0</v>
      </c>
      <c r="AI268" s="16" t="s">
        <v>178</v>
      </c>
      <c r="AJ268" s="19">
        <f t="shared" si="247"/>
        <v>0</v>
      </c>
      <c r="AK268" s="19">
        <f t="shared" si="248"/>
        <v>0</v>
      </c>
      <c r="AL268" s="19">
        <f t="shared" si="249"/>
        <v>0</v>
      </c>
      <c r="AN268" s="19">
        <v>12</v>
      </c>
      <c r="AO268" s="19">
        <f>H268*0</f>
        <v>0</v>
      </c>
      <c r="AP268" s="19">
        <f>H268*(1-0)</f>
        <v>0</v>
      </c>
      <c r="AQ268" s="87" t="s">
        <v>429</v>
      </c>
      <c r="AV268" s="19">
        <f t="shared" si="250"/>
        <v>0</v>
      </c>
      <c r="AW268" s="19">
        <f t="shared" si="251"/>
        <v>0</v>
      </c>
      <c r="AX268" s="19">
        <f t="shared" si="252"/>
        <v>0</v>
      </c>
      <c r="AY268" s="87" t="s">
        <v>561</v>
      </c>
      <c r="AZ268" s="87" t="s">
        <v>652</v>
      </c>
      <c r="BA268" s="16" t="s">
        <v>653</v>
      </c>
      <c r="BC268" s="19">
        <f t="shared" si="253"/>
        <v>0</v>
      </c>
      <c r="BD268" s="19">
        <f t="shared" si="254"/>
        <v>0</v>
      </c>
      <c r="BE268" s="19">
        <v>0</v>
      </c>
      <c r="BF268" s="19">
        <f t="shared" si="255"/>
        <v>0</v>
      </c>
      <c r="BH268" s="19">
        <f t="shared" si="256"/>
        <v>0</v>
      </c>
      <c r="BI268" s="19">
        <f t="shared" si="257"/>
        <v>0</v>
      </c>
      <c r="BJ268" s="19">
        <f t="shared" si="258"/>
        <v>0</v>
      </c>
      <c r="BK268" s="19"/>
      <c r="BL268" s="19">
        <v>723</v>
      </c>
      <c r="BW268" s="19" t="str">
        <f t="shared" si="259"/>
        <v>12</v>
      </c>
      <c r="BX268" s="4" t="s">
        <v>165</v>
      </c>
    </row>
    <row r="269" spans="1:76" x14ac:dyDescent="0.25">
      <c r="A269" s="89"/>
      <c r="C269" s="90" t="s">
        <v>437</v>
      </c>
      <c r="D269" s="187" t="s">
        <v>494</v>
      </c>
      <c r="E269" s="188"/>
      <c r="F269" s="188"/>
      <c r="G269" s="188"/>
      <c r="H269" s="188"/>
      <c r="I269" s="188"/>
      <c r="J269" s="188"/>
      <c r="K269" s="188"/>
      <c r="L269" s="188"/>
      <c r="M269" s="188"/>
      <c r="N269" s="188"/>
      <c r="O269" s="188"/>
      <c r="P269" s="189"/>
      <c r="BX269" s="91" t="s">
        <v>494</v>
      </c>
    </row>
    <row r="270" spans="1:76" x14ac:dyDescent="0.25">
      <c r="A270" s="1" t="s">
        <v>665</v>
      </c>
      <c r="B270" s="2" t="s">
        <v>178</v>
      </c>
      <c r="C270" s="2" t="s">
        <v>166</v>
      </c>
      <c r="D270" s="108" t="s">
        <v>167</v>
      </c>
      <c r="E270" s="102"/>
      <c r="F270" s="2" t="s">
        <v>51</v>
      </c>
      <c r="G270" s="19">
        <f>'Rozpočet - vybrané sloupce'!J249</f>
        <v>2262</v>
      </c>
      <c r="H270" s="19">
        <f>'Rozpočet - vybrané sloupce'!K249</f>
        <v>0</v>
      </c>
      <c r="I270" s="87" t="s">
        <v>427</v>
      </c>
      <c r="J270" s="19">
        <f>G270*AO270</f>
        <v>0</v>
      </c>
      <c r="K270" s="19">
        <f>G270*AP270</f>
        <v>0</v>
      </c>
      <c r="L270" s="19">
        <f>G270*H270</f>
        <v>0</v>
      </c>
      <c r="M270" s="19">
        <f>L270*(1+BW270/100)</f>
        <v>0</v>
      </c>
      <c r="N270" s="19">
        <v>0</v>
      </c>
      <c r="O270" s="19">
        <f>G270*N270</f>
        <v>0</v>
      </c>
      <c r="P270" s="88" t="s">
        <v>428</v>
      </c>
      <c r="Z270" s="19">
        <f>IF(AQ270="5",BJ270,0)</f>
        <v>0</v>
      </c>
      <c r="AB270" s="19">
        <f>IF(AQ270="1",BH270,0)</f>
        <v>0</v>
      </c>
      <c r="AC270" s="19">
        <f>IF(AQ270="1",BI270,0)</f>
        <v>0</v>
      </c>
      <c r="AD270" s="19">
        <f>IF(AQ270="7",BH270,0)</f>
        <v>0</v>
      </c>
      <c r="AE270" s="19">
        <f>IF(AQ270="7",BI270,0)</f>
        <v>0</v>
      </c>
      <c r="AF270" s="19">
        <f>IF(AQ270="2",BH270,0)</f>
        <v>0</v>
      </c>
      <c r="AG270" s="19">
        <f>IF(AQ270="2",BI270,0)</f>
        <v>0</v>
      </c>
      <c r="AH270" s="19">
        <f>IF(AQ270="0",BJ270,0)</f>
        <v>0</v>
      </c>
      <c r="AI270" s="16" t="s">
        <v>178</v>
      </c>
      <c r="AJ270" s="19">
        <f>IF(AN270=0,L270,0)</f>
        <v>0</v>
      </c>
      <c r="AK270" s="19">
        <f>IF(AN270=12,L270,0)</f>
        <v>0</v>
      </c>
      <c r="AL270" s="19">
        <f>IF(AN270=21,L270,0)</f>
        <v>0</v>
      </c>
      <c r="AN270" s="19">
        <v>12</v>
      </c>
      <c r="AO270" s="19">
        <f>H270*0</f>
        <v>0</v>
      </c>
      <c r="AP270" s="19">
        <f>H270*(1-0)</f>
        <v>0</v>
      </c>
      <c r="AQ270" s="87" t="s">
        <v>436</v>
      </c>
      <c r="AV270" s="19">
        <f>AW270+AX270</f>
        <v>0</v>
      </c>
      <c r="AW270" s="19">
        <f>G270*AO270</f>
        <v>0</v>
      </c>
      <c r="AX270" s="19">
        <f>G270*AP270</f>
        <v>0</v>
      </c>
      <c r="AY270" s="87" t="s">
        <v>561</v>
      </c>
      <c r="AZ270" s="87" t="s">
        <v>652</v>
      </c>
      <c r="BA270" s="16" t="s">
        <v>653</v>
      </c>
      <c r="BC270" s="19">
        <f>AW270+AX270</f>
        <v>0</v>
      </c>
      <c r="BD270" s="19">
        <f>H270/(100-BE270)*100</f>
        <v>0</v>
      </c>
      <c r="BE270" s="19">
        <v>0</v>
      </c>
      <c r="BF270" s="19">
        <f>O270</f>
        <v>0</v>
      </c>
      <c r="BH270" s="19">
        <f>G270*AO270</f>
        <v>0</v>
      </c>
      <c r="BI270" s="19">
        <f>G270*AP270</f>
        <v>0</v>
      </c>
      <c r="BJ270" s="19">
        <f>G270*H270</f>
        <v>0</v>
      </c>
      <c r="BK270" s="19"/>
      <c r="BL270" s="19">
        <v>723</v>
      </c>
      <c r="BW270" s="19" t="str">
        <f>I270</f>
        <v>12</v>
      </c>
      <c r="BX270" s="4" t="s">
        <v>167</v>
      </c>
    </row>
    <row r="271" spans="1:76" x14ac:dyDescent="0.25">
      <c r="A271" s="84" t="s">
        <v>25</v>
      </c>
      <c r="B271" s="15" t="s">
        <v>197</v>
      </c>
      <c r="C271" s="15" t="s">
        <v>25</v>
      </c>
      <c r="D271" s="115" t="s">
        <v>198</v>
      </c>
      <c r="E271" s="116"/>
      <c r="F271" s="85" t="s">
        <v>23</v>
      </c>
      <c r="G271" s="85" t="s">
        <v>23</v>
      </c>
      <c r="H271" s="85" t="s">
        <v>23</v>
      </c>
      <c r="I271" s="85" t="s">
        <v>23</v>
      </c>
      <c r="J271" s="60">
        <f>J272</f>
        <v>0</v>
      </c>
      <c r="K271" s="60">
        <f>K272</f>
        <v>0</v>
      </c>
      <c r="L271" s="60">
        <f>L272</f>
        <v>0</v>
      </c>
      <c r="M271" s="60">
        <f>M272</f>
        <v>0</v>
      </c>
      <c r="N271" s="16" t="s">
        <v>25</v>
      </c>
      <c r="O271" s="60">
        <f>O272</f>
        <v>1.8582500000000002</v>
      </c>
      <c r="P271" s="86" t="s">
        <v>25</v>
      </c>
    </row>
    <row r="272" spans="1:76" x14ac:dyDescent="0.25">
      <c r="A272" s="84" t="s">
        <v>25</v>
      </c>
      <c r="B272" s="15" t="s">
        <v>197</v>
      </c>
      <c r="C272" s="15" t="s">
        <v>111</v>
      </c>
      <c r="D272" s="115" t="s">
        <v>112</v>
      </c>
      <c r="E272" s="116"/>
      <c r="F272" s="85" t="s">
        <v>23</v>
      </c>
      <c r="G272" s="85" t="s">
        <v>23</v>
      </c>
      <c r="H272" s="85" t="s">
        <v>23</v>
      </c>
      <c r="I272" s="85" t="s">
        <v>23</v>
      </c>
      <c r="J272" s="60">
        <f>SUM(J273:J285)</f>
        <v>0</v>
      </c>
      <c r="K272" s="60">
        <f>SUM(K273:K285)</f>
        <v>0</v>
      </c>
      <c r="L272" s="60">
        <f>SUM(L273:L285)</f>
        <v>0</v>
      </c>
      <c r="M272" s="60">
        <f>SUM(M273:M285)</f>
        <v>0</v>
      </c>
      <c r="N272" s="16" t="s">
        <v>25</v>
      </c>
      <c r="O272" s="60">
        <f>SUM(O273:O285)</f>
        <v>1.8582500000000002</v>
      </c>
      <c r="P272" s="86" t="s">
        <v>25</v>
      </c>
      <c r="AI272" s="16" t="s">
        <v>197</v>
      </c>
      <c r="AS272" s="60">
        <f>SUM(AJ273:AJ285)</f>
        <v>0</v>
      </c>
      <c r="AT272" s="60">
        <f>SUM(AK273:AK285)</f>
        <v>0</v>
      </c>
      <c r="AU272" s="60">
        <f>SUM(AL273:AL285)</f>
        <v>0</v>
      </c>
    </row>
    <row r="273" spans="1:76" x14ac:dyDescent="0.25">
      <c r="A273" s="1" t="s">
        <v>666</v>
      </c>
      <c r="B273" s="2" t="s">
        <v>197</v>
      </c>
      <c r="C273" s="2" t="s">
        <v>180</v>
      </c>
      <c r="D273" s="108" t="s">
        <v>181</v>
      </c>
      <c r="E273" s="102"/>
      <c r="F273" s="2" t="s">
        <v>31</v>
      </c>
      <c r="G273" s="19">
        <f>'Rozpočet - vybrané sloupce'!J252</f>
        <v>80.5</v>
      </c>
      <c r="H273" s="19">
        <f>'Rozpočet - vybrané sloupce'!K252</f>
        <v>0</v>
      </c>
      <c r="I273" s="87" t="s">
        <v>427</v>
      </c>
      <c r="J273" s="19">
        <f t="shared" ref="J273:J285" si="260">G273*AO273</f>
        <v>0</v>
      </c>
      <c r="K273" s="19">
        <f t="shared" ref="K273:K285" si="261">G273*AP273</f>
        <v>0</v>
      </c>
      <c r="L273" s="19">
        <f t="shared" ref="L273:L285" si="262">G273*H273</f>
        <v>0</v>
      </c>
      <c r="M273" s="19">
        <f t="shared" ref="M273:M285" si="263">L273*(1+BW273/100)</f>
        <v>0</v>
      </c>
      <c r="N273" s="19">
        <v>2.2599999999999999E-3</v>
      </c>
      <c r="O273" s="19">
        <f t="shared" ref="O273:O285" si="264">G273*N273</f>
        <v>0.18192999999999998</v>
      </c>
      <c r="P273" s="88" t="s">
        <v>428</v>
      </c>
      <c r="Z273" s="19">
        <f t="shared" ref="Z273:Z285" si="265">IF(AQ273="5",BJ273,0)</f>
        <v>0</v>
      </c>
      <c r="AB273" s="19">
        <f t="shared" ref="AB273:AB285" si="266">IF(AQ273="1",BH273,0)</f>
        <v>0</v>
      </c>
      <c r="AC273" s="19">
        <f t="shared" ref="AC273:AC285" si="267">IF(AQ273="1",BI273,0)</f>
        <v>0</v>
      </c>
      <c r="AD273" s="19">
        <f t="shared" ref="AD273:AD285" si="268">IF(AQ273="7",BH273,0)</f>
        <v>0</v>
      </c>
      <c r="AE273" s="19">
        <f t="shared" ref="AE273:AE285" si="269">IF(AQ273="7",BI273,0)</f>
        <v>0</v>
      </c>
      <c r="AF273" s="19">
        <f t="shared" ref="AF273:AF285" si="270">IF(AQ273="2",BH273,0)</f>
        <v>0</v>
      </c>
      <c r="AG273" s="19">
        <f t="shared" ref="AG273:AG285" si="271">IF(AQ273="2",BI273,0)</f>
        <v>0</v>
      </c>
      <c r="AH273" s="19">
        <f t="shared" ref="AH273:AH285" si="272">IF(AQ273="0",BJ273,0)</f>
        <v>0</v>
      </c>
      <c r="AI273" s="16" t="s">
        <v>197</v>
      </c>
      <c r="AJ273" s="19">
        <f t="shared" ref="AJ273:AJ285" si="273">IF(AN273=0,L273,0)</f>
        <v>0</v>
      </c>
      <c r="AK273" s="19">
        <f t="shared" ref="AK273:AK285" si="274">IF(AN273=12,L273,0)</f>
        <v>0</v>
      </c>
      <c r="AL273" s="19">
        <f t="shared" ref="AL273:AL285" si="275">IF(AN273=21,L273,0)</f>
        <v>0</v>
      </c>
      <c r="AN273" s="19">
        <v>12</v>
      </c>
      <c r="AO273" s="19">
        <f>H273*0.767226923</f>
        <v>0</v>
      </c>
      <c r="AP273" s="19">
        <f>H273*(1-0.767226923)</f>
        <v>0</v>
      </c>
      <c r="AQ273" s="87" t="s">
        <v>429</v>
      </c>
      <c r="AV273" s="19">
        <f t="shared" ref="AV273:AV285" si="276">AW273+AX273</f>
        <v>0</v>
      </c>
      <c r="AW273" s="19">
        <f t="shared" ref="AW273:AW285" si="277">G273*AO273</f>
        <v>0</v>
      </c>
      <c r="AX273" s="19">
        <f t="shared" ref="AX273:AX285" si="278">G273*AP273</f>
        <v>0</v>
      </c>
      <c r="AY273" s="87" t="s">
        <v>561</v>
      </c>
      <c r="AZ273" s="87" t="s">
        <v>667</v>
      </c>
      <c r="BA273" s="16" t="s">
        <v>668</v>
      </c>
      <c r="BC273" s="19">
        <f t="shared" ref="BC273:BC285" si="279">AW273+AX273</f>
        <v>0</v>
      </c>
      <c r="BD273" s="19">
        <f t="shared" ref="BD273:BD285" si="280">H273/(100-BE273)*100</f>
        <v>0</v>
      </c>
      <c r="BE273" s="19">
        <v>0</v>
      </c>
      <c r="BF273" s="19">
        <f t="shared" ref="BF273:BF285" si="281">O273</f>
        <v>0.18192999999999998</v>
      </c>
      <c r="BH273" s="19">
        <f t="shared" ref="BH273:BH285" si="282">G273*AO273</f>
        <v>0</v>
      </c>
      <c r="BI273" s="19">
        <f t="shared" ref="BI273:BI285" si="283">G273*AP273</f>
        <v>0</v>
      </c>
      <c r="BJ273" s="19">
        <f t="shared" ref="BJ273:BJ285" si="284">G273*H273</f>
        <v>0</v>
      </c>
      <c r="BK273" s="19"/>
      <c r="BL273" s="19">
        <v>723</v>
      </c>
      <c r="BW273" s="19" t="str">
        <f t="shared" ref="BW273:BW285" si="285">I273</f>
        <v>12</v>
      </c>
      <c r="BX273" s="4" t="s">
        <v>181</v>
      </c>
    </row>
    <row r="274" spans="1:76" x14ac:dyDescent="0.25">
      <c r="A274" s="1" t="s">
        <v>669</v>
      </c>
      <c r="B274" s="2" t="s">
        <v>197</v>
      </c>
      <c r="C274" s="2" t="s">
        <v>182</v>
      </c>
      <c r="D274" s="108" t="s">
        <v>183</v>
      </c>
      <c r="E274" s="102"/>
      <c r="F274" s="2" t="s">
        <v>31</v>
      </c>
      <c r="G274" s="19">
        <f>'Rozpočet - vybrané sloupce'!J253</f>
        <v>80.5</v>
      </c>
      <c r="H274" s="19">
        <f>'Rozpočet - vybrané sloupce'!K253</f>
        <v>0</v>
      </c>
      <c r="I274" s="87" t="s">
        <v>427</v>
      </c>
      <c r="J274" s="19">
        <f t="shared" si="260"/>
        <v>0</v>
      </c>
      <c r="K274" s="19">
        <f t="shared" si="261"/>
        <v>0</v>
      </c>
      <c r="L274" s="19">
        <f t="shared" si="262"/>
        <v>0</v>
      </c>
      <c r="M274" s="19">
        <f t="shared" si="263"/>
        <v>0</v>
      </c>
      <c r="N274" s="19">
        <v>7.9000000000000001E-4</v>
      </c>
      <c r="O274" s="19">
        <f t="shared" si="264"/>
        <v>6.3594999999999999E-2</v>
      </c>
      <c r="P274" s="88" t="s">
        <v>428</v>
      </c>
      <c r="Z274" s="19">
        <f t="shared" si="265"/>
        <v>0</v>
      </c>
      <c r="AB274" s="19">
        <f t="shared" si="266"/>
        <v>0</v>
      </c>
      <c r="AC274" s="19">
        <f t="shared" si="267"/>
        <v>0</v>
      </c>
      <c r="AD274" s="19">
        <f t="shared" si="268"/>
        <v>0</v>
      </c>
      <c r="AE274" s="19">
        <f t="shared" si="269"/>
        <v>0</v>
      </c>
      <c r="AF274" s="19">
        <f t="shared" si="270"/>
        <v>0</v>
      </c>
      <c r="AG274" s="19">
        <f t="shared" si="271"/>
        <v>0</v>
      </c>
      <c r="AH274" s="19">
        <f t="shared" si="272"/>
        <v>0</v>
      </c>
      <c r="AI274" s="16" t="s">
        <v>197</v>
      </c>
      <c r="AJ274" s="19">
        <f t="shared" si="273"/>
        <v>0</v>
      </c>
      <c r="AK274" s="19">
        <f t="shared" si="274"/>
        <v>0</v>
      </c>
      <c r="AL274" s="19">
        <f t="shared" si="275"/>
        <v>0</v>
      </c>
      <c r="AN274" s="19">
        <v>12</v>
      </c>
      <c r="AO274" s="19">
        <f>H274*0.600585401</f>
        <v>0</v>
      </c>
      <c r="AP274" s="19">
        <f>H274*(1-0.600585401)</f>
        <v>0</v>
      </c>
      <c r="AQ274" s="87" t="s">
        <v>429</v>
      </c>
      <c r="AV274" s="19">
        <f t="shared" si="276"/>
        <v>0</v>
      </c>
      <c r="AW274" s="19">
        <f t="shared" si="277"/>
        <v>0</v>
      </c>
      <c r="AX274" s="19">
        <f t="shared" si="278"/>
        <v>0</v>
      </c>
      <c r="AY274" s="87" t="s">
        <v>561</v>
      </c>
      <c r="AZ274" s="87" t="s">
        <v>667</v>
      </c>
      <c r="BA274" s="16" t="s">
        <v>668</v>
      </c>
      <c r="BC274" s="19">
        <f t="shared" si="279"/>
        <v>0</v>
      </c>
      <c r="BD274" s="19">
        <f t="shared" si="280"/>
        <v>0</v>
      </c>
      <c r="BE274" s="19">
        <v>0</v>
      </c>
      <c r="BF274" s="19">
        <f t="shared" si="281"/>
        <v>6.3594999999999999E-2</v>
      </c>
      <c r="BH274" s="19">
        <f t="shared" si="282"/>
        <v>0</v>
      </c>
      <c r="BI274" s="19">
        <f t="shared" si="283"/>
        <v>0</v>
      </c>
      <c r="BJ274" s="19">
        <f t="shared" si="284"/>
        <v>0</v>
      </c>
      <c r="BK274" s="19"/>
      <c r="BL274" s="19">
        <v>723</v>
      </c>
      <c r="BW274" s="19" t="str">
        <f t="shared" si="285"/>
        <v>12</v>
      </c>
      <c r="BX274" s="4" t="s">
        <v>183</v>
      </c>
    </row>
    <row r="275" spans="1:76" x14ac:dyDescent="0.25">
      <c r="A275" s="1" t="s">
        <v>670</v>
      </c>
      <c r="B275" s="2" t="s">
        <v>197</v>
      </c>
      <c r="C275" s="2" t="s">
        <v>184</v>
      </c>
      <c r="D275" s="108" t="s">
        <v>185</v>
      </c>
      <c r="E275" s="102"/>
      <c r="F275" s="2" t="s">
        <v>31</v>
      </c>
      <c r="G275" s="19">
        <f>'Rozpočet - vybrané sloupce'!J254</f>
        <v>3.5</v>
      </c>
      <c r="H275" s="19">
        <f>'Rozpočet - vybrané sloupce'!K254</f>
        <v>0</v>
      </c>
      <c r="I275" s="87" t="s">
        <v>427</v>
      </c>
      <c r="J275" s="19">
        <f t="shared" si="260"/>
        <v>0</v>
      </c>
      <c r="K275" s="19">
        <f t="shared" si="261"/>
        <v>0</v>
      </c>
      <c r="L275" s="19">
        <f t="shared" si="262"/>
        <v>0</v>
      </c>
      <c r="M275" s="19">
        <f t="shared" si="263"/>
        <v>0</v>
      </c>
      <c r="N275" s="19">
        <v>9.1E-4</v>
      </c>
      <c r="O275" s="19">
        <f t="shared" si="264"/>
        <v>3.1849999999999999E-3</v>
      </c>
      <c r="P275" s="88" t="s">
        <v>428</v>
      </c>
      <c r="Z275" s="19">
        <f t="shared" si="265"/>
        <v>0</v>
      </c>
      <c r="AB275" s="19">
        <f t="shared" si="266"/>
        <v>0</v>
      </c>
      <c r="AC275" s="19">
        <f t="shared" si="267"/>
        <v>0</v>
      </c>
      <c r="AD275" s="19">
        <f t="shared" si="268"/>
        <v>0</v>
      </c>
      <c r="AE275" s="19">
        <f t="shared" si="269"/>
        <v>0</v>
      </c>
      <c r="AF275" s="19">
        <f t="shared" si="270"/>
        <v>0</v>
      </c>
      <c r="AG275" s="19">
        <f t="shared" si="271"/>
        <v>0</v>
      </c>
      <c r="AH275" s="19">
        <f t="shared" si="272"/>
        <v>0</v>
      </c>
      <c r="AI275" s="16" t="s">
        <v>197</v>
      </c>
      <c r="AJ275" s="19">
        <f t="shared" si="273"/>
        <v>0</v>
      </c>
      <c r="AK275" s="19">
        <f t="shared" si="274"/>
        <v>0</v>
      </c>
      <c r="AL275" s="19">
        <f t="shared" si="275"/>
        <v>0</v>
      </c>
      <c r="AN275" s="19">
        <v>12</v>
      </c>
      <c r="AO275" s="19">
        <f>H275*0.646416909</f>
        <v>0</v>
      </c>
      <c r="AP275" s="19">
        <f>H275*(1-0.646416909)</f>
        <v>0</v>
      </c>
      <c r="AQ275" s="87" t="s">
        <v>429</v>
      </c>
      <c r="AV275" s="19">
        <f t="shared" si="276"/>
        <v>0</v>
      </c>
      <c r="AW275" s="19">
        <f t="shared" si="277"/>
        <v>0</v>
      </c>
      <c r="AX275" s="19">
        <f t="shared" si="278"/>
        <v>0</v>
      </c>
      <c r="AY275" s="87" t="s">
        <v>561</v>
      </c>
      <c r="AZ275" s="87" t="s">
        <v>667</v>
      </c>
      <c r="BA275" s="16" t="s">
        <v>668</v>
      </c>
      <c r="BC275" s="19">
        <f t="shared" si="279"/>
        <v>0</v>
      </c>
      <c r="BD275" s="19">
        <f t="shared" si="280"/>
        <v>0</v>
      </c>
      <c r="BE275" s="19">
        <v>0</v>
      </c>
      <c r="BF275" s="19">
        <f t="shared" si="281"/>
        <v>3.1849999999999999E-3</v>
      </c>
      <c r="BH275" s="19">
        <f t="shared" si="282"/>
        <v>0</v>
      </c>
      <c r="BI275" s="19">
        <f t="shared" si="283"/>
        <v>0</v>
      </c>
      <c r="BJ275" s="19">
        <f t="shared" si="284"/>
        <v>0</v>
      </c>
      <c r="BK275" s="19"/>
      <c r="BL275" s="19">
        <v>723</v>
      </c>
      <c r="BW275" s="19" t="str">
        <f t="shared" si="285"/>
        <v>12</v>
      </c>
      <c r="BX275" s="4" t="s">
        <v>185</v>
      </c>
    </row>
    <row r="276" spans="1:76" x14ac:dyDescent="0.25">
      <c r="A276" s="1" t="s">
        <v>671</v>
      </c>
      <c r="B276" s="2" t="s">
        <v>197</v>
      </c>
      <c r="C276" s="2" t="s">
        <v>186</v>
      </c>
      <c r="D276" s="108" t="s">
        <v>187</v>
      </c>
      <c r="E276" s="102"/>
      <c r="F276" s="2" t="s">
        <v>62</v>
      </c>
      <c r="G276" s="19">
        <f>'Rozpočet - vybrané sloupce'!J255</f>
        <v>23</v>
      </c>
      <c r="H276" s="19">
        <f>'Rozpočet - vybrané sloupce'!K255</f>
        <v>0</v>
      </c>
      <c r="I276" s="87" t="s">
        <v>427</v>
      </c>
      <c r="J276" s="19">
        <f t="shared" si="260"/>
        <v>0</v>
      </c>
      <c r="K276" s="19">
        <f t="shared" si="261"/>
        <v>0</v>
      </c>
      <c r="L276" s="19">
        <f t="shared" si="262"/>
        <v>0</v>
      </c>
      <c r="M276" s="19">
        <f t="shared" si="263"/>
        <v>0</v>
      </c>
      <c r="N276" s="19">
        <v>9.3000000000000005E-4</v>
      </c>
      <c r="O276" s="19">
        <f t="shared" si="264"/>
        <v>2.1390000000000003E-2</v>
      </c>
      <c r="P276" s="88" t="s">
        <v>428</v>
      </c>
      <c r="Z276" s="19">
        <f t="shared" si="265"/>
        <v>0</v>
      </c>
      <c r="AB276" s="19">
        <f t="shared" si="266"/>
        <v>0</v>
      </c>
      <c r="AC276" s="19">
        <f t="shared" si="267"/>
        <v>0</v>
      </c>
      <c r="AD276" s="19">
        <f t="shared" si="268"/>
        <v>0</v>
      </c>
      <c r="AE276" s="19">
        <f t="shared" si="269"/>
        <v>0</v>
      </c>
      <c r="AF276" s="19">
        <f t="shared" si="270"/>
        <v>0</v>
      </c>
      <c r="AG276" s="19">
        <f t="shared" si="271"/>
        <v>0</v>
      </c>
      <c r="AH276" s="19">
        <f t="shared" si="272"/>
        <v>0</v>
      </c>
      <c r="AI276" s="16" t="s">
        <v>197</v>
      </c>
      <c r="AJ276" s="19">
        <f t="shared" si="273"/>
        <v>0</v>
      </c>
      <c r="AK276" s="19">
        <f t="shared" si="274"/>
        <v>0</v>
      </c>
      <c r="AL276" s="19">
        <f t="shared" si="275"/>
        <v>0</v>
      </c>
      <c r="AN276" s="19">
        <v>12</v>
      </c>
      <c r="AO276" s="19">
        <f>H276*0.373581628</f>
        <v>0</v>
      </c>
      <c r="AP276" s="19">
        <f>H276*(1-0.373581628)</f>
        <v>0</v>
      </c>
      <c r="AQ276" s="87" t="s">
        <v>429</v>
      </c>
      <c r="AV276" s="19">
        <f t="shared" si="276"/>
        <v>0</v>
      </c>
      <c r="AW276" s="19">
        <f t="shared" si="277"/>
        <v>0</v>
      </c>
      <c r="AX276" s="19">
        <f t="shared" si="278"/>
        <v>0</v>
      </c>
      <c r="AY276" s="87" t="s">
        <v>561</v>
      </c>
      <c r="AZ276" s="87" t="s">
        <v>667</v>
      </c>
      <c r="BA276" s="16" t="s">
        <v>668</v>
      </c>
      <c r="BC276" s="19">
        <f t="shared" si="279"/>
        <v>0</v>
      </c>
      <c r="BD276" s="19">
        <f t="shared" si="280"/>
        <v>0</v>
      </c>
      <c r="BE276" s="19">
        <v>0</v>
      </c>
      <c r="BF276" s="19">
        <f t="shared" si="281"/>
        <v>2.1390000000000003E-2</v>
      </c>
      <c r="BH276" s="19">
        <f t="shared" si="282"/>
        <v>0</v>
      </c>
      <c r="BI276" s="19">
        <f t="shared" si="283"/>
        <v>0</v>
      </c>
      <c r="BJ276" s="19">
        <f t="shared" si="284"/>
        <v>0</v>
      </c>
      <c r="BK276" s="19"/>
      <c r="BL276" s="19">
        <v>723</v>
      </c>
      <c r="BW276" s="19" t="str">
        <f t="shared" si="285"/>
        <v>12</v>
      </c>
      <c r="BX276" s="4" t="s">
        <v>187</v>
      </c>
    </row>
    <row r="277" spans="1:76" x14ac:dyDescent="0.25">
      <c r="A277" s="1" t="s">
        <v>672</v>
      </c>
      <c r="B277" s="2" t="s">
        <v>197</v>
      </c>
      <c r="C277" s="2" t="s">
        <v>135</v>
      </c>
      <c r="D277" s="108" t="s">
        <v>136</v>
      </c>
      <c r="E277" s="102"/>
      <c r="F277" s="2" t="s">
        <v>62</v>
      </c>
      <c r="G277" s="19">
        <f>'Rozpočet - vybrané sloupce'!J256</f>
        <v>23</v>
      </c>
      <c r="H277" s="19">
        <f>'Rozpočet - vybrané sloupce'!K256</f>
        <v>0</v>
      </c>
      <c r="I277" s="87" t="s">
        <v>427</v>
      </c>
      <c r="J277" s="19">
        <f t="shared" si="260"/>
        <v>0</v>
      </c>
      <c r="K277" s="19">
        <f t="shared" si="261"/>
        <v>0</v>
      </c>
      <c r="L277" s="19">
        <f t="shared" si="262"/>
        <v>0</v>
      </c>
      <c r="M277" s="19">
        <f t="shared" si="263"/>
        <v>0</v>
      </c>
      <c r="N277" s="19">
        <v>0</v>
      </c>
      <c r="O277" s="19">
        <f t="shared" si="264"/>
        <v>0</v>
      </c>
      <c r="P277" s="88" t="s">
        <v>428</v>
      </c>
      <c r="Z277" s="19">
        <f t="shared" si="265"/>
        <v>0</v>
      </c>
      <c r="AB277" s="19">
        <f t="shared" si="266"/>
        <v>0</v>
      </c>
      <c r="AC277" s="19">
        <f t="shared" si="267"/>
        <v>0</v>
      </c>
      <c r="AD277" s="19">
        <f t="shared" si="268"/>
        <v>0</v>
      </c>
      <c r="AE277" s="19">
        <f t="shared" si="269"/>
        <v>0</v>
      </c>
      <c r="AF277" s="19">
        <f t="shared" si="270"/>
        <v>0</v>
      </c>
      <c r="AG277" s="19">
        <f t="shared" si="271"/>
        <v>0</v>
      </c>
      <c r="AH277" s="19">
        <f t="shared" si="272"/>
        <v>0</v>
      </c>
      <c r="AI277" s="16" t="s">
        <v>197</v>
      </c>
      <c r="AJ277" s="19">
        <f t="shared" si="273"/>
        <v>0</v>
      </c>
      <c r="AK277" s="19">
        <f t="shared" si="274"/>
        <v>0</v>
      </c>
      <c r="AL277" s="19">
        <f t="shared" si="275"/>
        <v>0</v>
      </c>
      <c r="AN277" s="19">
        <v>12</v>
      </c>
      <c r="AO277" s="19">
        <f>H277*0</f>
        <v>0</v>
      </c>
      <c r="AP277" s="19">
        <f>H277*(1-0)</f>
        <v>0</v>
      </c>
      <c r="AQ277" s="87" t="s">
        <v>429</v>
      </c>
      <c r="AV277" s="19">
        <f t="shared" si="276"/>
        <v>0</v>
      </c>
      <c r="AW277" s="19">
        <f t="shared" si="277"/>
        <v>0</v>
      </c>
      <c r="AX277" s="19">
        <f t="shared" si="278"/>
        <v>0</v>
      </c>
      <c r="AY277" s="87" t="s">
        <v>561</v>
      </c>
      <c r="AZ277" s="87" t="s">
        <v>667</v>
      </c>
      <c r="BA277" s="16" t="s">
        <v>668</v>
      </c>
      <c r="BC277" s="19">
        <f t="shared" si="279"/>
        <v>0</v>
      </c>
      <c r="BD277" s="19">
        <f t="shared" si="280"/>
        <v>0</v>
      </c>
      <c r="BE277" s="19">
        <v>0</v>
      </c>
      <c r="BF277" s="19">
        <f t="shared" si="281"/>
        <v>0</v>
      </c>
      <c r="BH277" s="19">
        <f t="shared" si="282"/>
        <v>0</v>
      </c>
      <c r="BI277" s="19">
        <f t="shared" si="283"/>
        <v>0</v>
      </c>
      <c r="BJ277" s="19">
        <f t="shared" si="284"/>
        <v>0</v>
      </c>
      <c r="BK277" s="19"/>
      <c r="BL277" s="19">
        <v>723</v>
      </c>
      <c r="BW277" s="19" t="str">
        <f t="shared" si="285"/>
        <v>12</v>
      </c>
      <c r="BX277" s="4" t="s">
        <v>136</v>
      </c>
    </row>
    <row r="278" spans="1:76" x14ac:dyDescent="0.25">
      <c r="A278" s="1" t="s">
        <v>673</v>
      </c>
      <c r="B278" s="2" t="s">
        <v>197</v>
      </c>
      <c r="C278" s="2" t="s">
        <v>133</v>
      </c>
      <c r="D278" s="108" t="s">
        <v>134</v>
      </c>
      <c r="E278" s="102"/>
      <c r="F278" s="2" t="s">
        <v>31</v>
      </c>
      <c r="G278" s="19">
        <f>'Rozpočet - vybrané sloupce'!J257</f>
        <v>80.5</v>
      </c>
      <c r="H278" s="19">
        <f>'Rozpočet - vybrané sloupce'!K257</f>
        <v>0</v>
      </c>
      <c r="I278" s="87" t="s">
        <v>427</v>
      </c>
      <c r="J278" s="19">
        <f t="shared" si="260"/>
        <v>0</v>
      </c>
      <c r="K278" s="19">
        <f t="shared" si="261"/>
        <v>0</v>
      </c>
      <c r="L278" s="19">
        <f t="shared" si="262"/>
        <v>0</v>
      </c>
      <c r="M278" s="19">
        <f t="shared" si="263"/>
        <v>0</v>
      </c>
      <c r="N278" s="19">
        <v>0</v>
      </c>
      <c r="O278" s="19">
        <f t="shared" si="264"/>
        <v>0</v>
      </c>
      <c r="P278" s="88" t="s">
        <v>428</v>
      </c>
      <c r="Z278" s="19">
        <f t="shared" si="265"/>
        <v>0</v>
      </c>
      <c r="AB278" s="19">
        <f t="shared" si="266"/>
        <v>0</v>
      </c>
      <c r="AC278" s="19">
        <f t="shared" si="267"/>
        <v>0</v>
      </c>
      <c r="AD278" s="19">
        <f t="shared" si="268"/>
        <v>0</v>
      </c>
      <c r="AE278" s="19">
        <f t="shared" si="269"/>
        <v>0</v>
      </c>
      <c r="AF278" s="19">
        <f t="shared" si="270"/>
        <v>0</v>
      </c>
      <c r="AG278" s="19">
        <f t="shared" si="271"/>
        <v>0</v>
      </c>
      <c r="AH278" s="19">
        <f t="shared" si="272"/>
        <v>0</v>
      </c>
      <c r="AI278" s="16" t="s">
        <v>197</v>
      </c>
      <c r="AJ278" s="19">
        <f t="shared" si="273"/>
        <v>0</v>
      </c>
      <c r="AK278" s="19">
        <f t="shared" si="274"/>
        <v>0</v>
      </c>
      <c r="AL278" s="19">
        <f t="shared" si="275"/>
        <v>0</v>
      </c>
      <c r="AN278" s="19">
        <v>12</v>
      </c>
      <c r="AO278" s="19">
        <f>H278*0</f>
        <v>0</v>
      </c>
      <c r="AP278" s="19">
        <f>H278*(1-0)</f>
        <v>0</v>
      </c>
      <c r="AQ278" s="87" t="s">
        <v>429</v>
      </c>
      <c r="AV278" s="19">
        <f t="shared" si="276"/>
        <v>0</v>
      </c>
      <c r="AW278" s="19">
        <f t="shared" si="277"/>
        <v>0</v>
      </c>
      <c r="AX278" s="19">
        <f t="shared" si="278"/>
        <v>0</v>
      </c>
      <c r="AY278" s="87" t="s">
        <v>561</v>
      </c>
      <c r="AZ278" s="87" t="s">
        <v>667</v>
      </c>
      <c r="BA278" s="16" t="s">
        <v>668</v>
      </c>
      <c r="BC278" s="19">
        <f t="shared" si="279"/>
        <v>0</v>
      </c>
      <c r="BD278" s="19">
        <f t="shared" si="280"/>
        <v>0</v>
      </c>
      <c r="BE278" s="19">
        <v>0</v>
      </c>
      <c r="BF278" s="19">
        <f t="shared" si="281"/>
        <v>0</v>
      </c>
      <c r="BH278" s="19">
        <f t="shared" si="282"/>
        <v>0</v>
      </c>
      <c r="BI278" s="19">
        <f t="shared" si="283"/>
        <v>0</v>
      </c>
      <c r="BJ278" s="19">
        <f t="shared" si="284"/>
        <v>0</v>
      </c>
      <c r="BK278" s="19"/>
      <c r="BL278" s="19">
        <v>723</v>
      </c>
      <c r="BW278" s="19" t="str">
        <f t="shared" si="285"/>
        <v>12</v>
      </c>
      <c r="BX278" s="4" t="s">
        <v>134</v>
      </c>
    </row>
    <row r="279" spans="1:76" x14ac:dyDescent="0.25">
      <c r="A279" s="1" t="s">
        <v>674</v>
      </c>
      <c r="B279" s="2" t="s">
        <v>197</v>
      </c>
      <c r="C279" s="2" t="s">
        <v>137</v>
      </c>
      <c r="D279" s="108" t="s">
        <v>138</v>
      </c>
      <c r="E279" s="102"/>
      <c r="F279" s="2" t="s">
        <v>62</v>
      </c>
      <c r="G279" s="19">
        <f>'Rozpočet - vybrané sloupce'!J258</f>
        <v>23</v>
      </c>
      <c r="H279" s="19">
        <f>'Rozpočet - vybrané sloupce'!K258</f>
        <v>0</v>
      </c>
      <c r="I279" s="87" t="s">
        <v>427</v>
      </c>
      <c r="J279" s="19">
        <f t="shared" si="260"/>
        <v>0</v>
      </c>
      <c r="K279" s="19">
        <f t="shared" si="261"/>
        <v>0</v>
      </c>
      <c r="L279" s="19">
        <f t="shared" si="262"/>
        <v>0</v>
      </c>
      <c r="M279" s="19">
        <f t="shared" si="263"/>
        <v>0</v>
      </c>
      <c r="N279" s="19">
        <v>0</v>
      </c>
      <c r="O279" s="19">
        <f t="shared" si="264"/>
        <v>0</v>
      </c>
      <c r="P279" s="88" t="s">
        <v>428</v>
      </c>
      <c r="Z279" s="19">
        <f t="shared" si="265"/>
        <v>0</v>
      </c>
      <c r="AB279" s="19">
        <f t="shared" si="266"/>
        <v>0</v>
      </c>
      <c r="AC279" s="19">
        <f t="shared" si="267"/>
        <v>0</v>
      </c>
      <c r="AD279" s="19">
        <f t="shared" si="268"/>
        <v>0</v>
      </c>
      <c r="AE279" s="19">
        <f t="shared" si="269"/>
        <v>0</v>
      </c>
      <c r="AF279" s="19">
        <f t="shared" si="270"/>
        <v>0</v>
      </c>
      <c r="AG279" s="19">
        <f t="shared" si="271"/>
        <v>0</v>
      </c>
      <c r="AH279" s="19">
        <f t="shared" si="272"/>
        <v>0</v>
      </c>
      <c r="AI279" s="16" t="s">
        <v>197</v>
      </c>
      <c r="AJ279" s="19">
        <f t="shared" si="273"/>
        <v>0</v>
      </c>
      <c r="AK279" s="19">
        <f t="shared" si="274"/>
        <v>0</v>
      </c>
      <c r="AL279" s="19">
        <f t="shared" si="275"/>
        <v>0</v>
      </c>
      <c r="AN279" s="19">
        <v>12</v>
      </c>
      <c r="AO279" s="19">
        <f>H279*0</f>
        <v>0</v>
      </c>
      <c r="AP279" s="19">
        <f>H279*(1-0)</f>
        <v>0</v>
      </c>
      <c r="AQ279" s="87" t="s">
        <v>429</v>
      </c>
      <c r="AV279" s="19">
        <f t="shared" si="276"/>
        <v>0</v>
      </c>
      <c r="AW279" s="19">
        <f t="shared" si="277"/>
        <v>0</v>
      </c>
      <c r="AX279" s="19">
        <f t="shared" si="278"/>
        <v>0</v>
      </c>
      <c r="AY279" s="87" t="s">
        <v>561</v>
      </c>
      <c r="AZ279" s="87" t="s">
        <v>667</v>
      </c>
      <c r="BA279" s="16" t="s">
        <v>668</v>
      </c>
      <c r="BC279" s="19">
        <f t="shared" si="279"/>
        <v>0</v>
      </c>
      <c r="BD279" s="19">
        <f t="shared" si="280"/>
        <v>0</v>
      </c>
      <c r="BE279" s="19">
        <v>0</v>
      </c>
      <c r="BF279" s="19">
        <f t="shared" si="281"/>
        <v>0</v>
      </c>
      <c r="BH279" s="19">
        <f t="shared" si="282"/>
        <v>0</v>
      </c>
      <c r="BI279" s="19">
        <f t="shared" si="283"/>
        <v>0</v>
      </c>
      <c r="BJ279" s="19">
        <f t="shared" si="284"/>
        <v>0</v>
      </c>
      <c r="BK279" s="19"/>
      <c r="BL279" s="19">
        <v>723</v>
      </c>
      <c r="BW279" s="19" t="str">
        <f t="shared" si="285"/>
        <v>12</v>
      </c>
      <c r="BX279" s="4" t="s">
        <v>138</v>
      </c>
    </row>
    <row r="280" spans="1:76" x14ac:dyDescent="0.25">
      <c r="A280" s="1" t="s">
        <v>675</v>
      </c>
      <c r="B280" s="2" t="s">
        <v>197</v>
      </c>
      <c r="C280" s="2" t="s">
        <v>188</v>
      </c>
      <c r="D280" s="108" t="s">
        <v>189</v>
      </c>
      <c r="E280" s="102"/>
      <c r="F280" s="2" t="s">
        <v>100</v>
      </c>
      <c r="G280" s="19">
        <f>'Rozpočet - vybrané sloupce'!J259</f>
        <v>23</v>
      </c>
      <c r="H280" s="19">
        <f>'Rozpočet - vybrané sloupce'!K259</f>
        <v>0</v>
      </c>
      <c r="I280" s="87" t="s">
        <v>427</v>
      </c>
      <c r="J280" s="19">
        <f t="shared" si="260"/>
        <v>0</v>
      </c>
      <c r="K280" s="19">
        <f t="shared" si="261"/>
        <v>0</v>
      </c>
      <c r="L280" s="19">
        <f t="shared" si="262"/>
        <v>0</v>
      </c>
      <c r="M280" s="19">
        <f t="shared" si="263"/>
        <v>0</v>
      </c>
      <c r="N280" s="19">
        <v>6.7000000000000004E-2</v>
      </c>
      <c r="O280" s="19">
        <f t="shared" si="264"/>
        <v>1.5410000000000001</v>
      </c>
      <c r="P280" s="88" t="s">
        <v>428</v>
      </c>
      <c r="Z280" s="19">
        <f t="shared" si="265"/>
        <v>0</v>
      </c>
      <c r="AB280" s="19">
        <f t="shared" si="266"/>
        <v>0</v>
      </c>
      <c r="AC280" s="19">
        <f t="shared" si="267"/>
        <v>0</v>
      </c>
      <c r="AD280" s="19">
        <f t="shared" si="268"/>
        <v>0</v>
      </c>
      <c r="AE280" s="19">
        <f t="shared" si="269"/>
        <v>0</v>
      </c>
      <c r="AF280" s="19">
        <f t="shared" si="270"/>
        <v>0</v>
      </c>
      <c r="AG280" s="19">
        <f t="shared" si="271"/>
        <v>0</v>
      </c>
      <c r="AH280" s="19">
        <f t="shared" si="272"/>
        <v>0</v>
      </c>
      <c r="AI280" s="16" t="s">
        <v>197</v>
      </c>
      <c r="AJ280" s="19">
        <f t="shared" si="273"/>
        <v>0</v>
      </c>
      <c r="AK280" s="19">
        <f t="shared" si="274"/>
        <v>0</v>
      </c>
      <c r="AL280" s="19">
        <f t="shared" si="275"/>
        <v>0</v>
      </c>
      <c r="AN280" s="19">
        <v>12</v>
      </c>
      <c r="AO280" s="19">
        <f>H280*0</f>
        <v>0</v>
      </c>
      <c r="AP280" s="19">
        <f>H280*(1-0)</f>
        <v>0</v>
      </c>
      <c r="AQ280" s="87" t="s">
        <v>429</v>
      </c>
      <c r="AV280" s="19">
        <f t="shared" si="276"/>
        <v>0</v>
      </c>
      <c r="AW280" s="19">
        <f t="shared" si="277"/>
        <v>0</v>
      </c>
      <c r="AX280" s="19">
        <f t="shared" si="278"/>
        <v>0</v>
      </c>
      <c r="AY280" s="87" t="s">
        <v>561</v>
      </c>
      <c r="AZ280" s="87" t="s">
        <v>667</v>
      </c>
      <c r="BA280" s="16" t="s">
        <v>668</v>
      </c>
      <c r="BC280" s="19">
        <f t="shared" si="279"/>
        <v>0</v>
      </c>
      <c r="BD280" s="19">
        <f t="shared" si="280"/>
        <v>0</v>
      </c>
      <c r="BE280" s="19">
        <v>0</v>
      </c>
      <c r="BF280" s="19">
        <f t="shared" si="281"/>
        <v>1.5410000000000001</v>
      </c>
      <c r="BH280" s="19">
        <f t="shared" si="282"/>
        <v>0</v>
      </c>
      <c r="BI280" s="19">
        <f t="shared" si="283"/>
        <v>0</v>
      </c>
      <c r="BJ280" s="19">
        <f t="shared" si="284"/>
        <v>0</v>
      </c>
      <c r="BK280" s="19"/>
      <c r="BL280" s="19">
        <v>723</v>
      </c>
      <c r="BW280" s="19" t="str">
        <f t="shared" si="285"/>
        <v>12</v>
      </c>
      <c r="BX280" s="4" t="s">
        <v>189</v>
      </c>
    </row>
    <row r="281" spans="1:76" x14ac:dyDescent="0.25">
      <c r="A281" s="1" t="s">
        <v>676</v>
      </c>
      <c r="B281" s="2" t="s">
        <v>197</v>
      </c>
      <c r="C281" s="2" t="s">
        <v>190</v>
      </c>
      <c r="D281" s="108" t="s">
        <v>191</v>
      </c>
      <c r="E281" s="102"/>
      <c r="F281" s="2" t="s">
        <v>62</v>
      </c>
      <c r="G281" s="19">
        <f>'Rozpočet - vybrané sloupce'!J260</f>
        <v>23</v>
      </c>
      <c r="H281" s="19">
        <f>'Rozpočet - vybrané sloupce'!K260</f>
        <v>0</v>
      </c>
      <c r="I281" s="87" t="s">
        <v>427</v>
      </c>
      <c r="J281" s="19">
        <f t="shared" si="260"/>
        <v>0</v>
      </c>
      <c r="K281" s="19">
        <f t="shared" si="261"/>
        <v>0</v>
      </c>
      <c r="L281" s="19">
        <f t="shared" si="262"/>
        <v>0</v>
      </c>
      <c r="M281" s="19">
        <f t="shared" si="263"/>
        <v>0</v>
      </c>
      <c r="N281" s="19">
        <v>5.0000000000000002E-5</v>
      </c>
      <c r="O281" s="19">
        <f t="shared" si="264"/>
        <v>1.15E-3</v>
      </c>
      <c r="P281" s="88" t="s">
        <v>428</v>
      </c>
      <c r="Z281" s="19">
        <f t="shared" si="265"/>
        <v>0</v>
      </c>
      <c r="AB281" s="19">
        <f t="shared" si="266"/>
        <v>0</v>
      </c>
      <c r="AC281" s="19">
        <f t="shared" si="267"/>
        <v>0</v>
      </c>
      <c r="AD281" s="19">
        <f t="shared" si="268"/>
        <v>0</v>
      </c>
      <c r="AE281" s="19">
        <f t="shared" si="269"/>
        <v>0</v>
      </c>
      <c r="AF281" s="19">
        <f t="shared" si="270"/>
        <v>0</v>
      </c>
      <c r="AG281" s="19">
        <f t="shared" si="271"/>
        <v>0</v>
      </c>
      <c r="AH281" s="19">
        <f t="shared" si="272"/>
        <v>0</v>
      </c>
      <c r="AI281" s="16" t="s">
        <v>197</v>
      </c>
      <c r="AJ281" s="19">
        <f t="shared" si="273"/>
        <v>0</v>
      </c>
      <c r="AK281" s="19">
        <f t="shared" si="274"/>
        <v>0</v>
      </c>
      <c r="AL281" s="19">
        <f t="shared" si="275"/>
        <v>0</v>
      </c>
      <c r="AN281" s="19">
        <v>12</v>
      </c>
      <c r="AO281" s="19">
        <f>H281*0.039517449</f>
        <v>0</v>
      </c>
      <c r="AP281" s="19">
        <f>H281*(1-0.039517449)</f>
        <v>0</v>
      </c>
      <c r="AQ281" s="87" t="s">
        <v>429</v>
      </c>
      <c r="AV281" s="19">
        <f t="shared" si="276"/>
        <v>0</v>
      </c>
      <c r="AW281" s="19">
        <f t="shared" si="277"/>
        <v>0</v>
      </c>
      <c r="AX281" s="19">
        <f t="shared" si="278"/>
        <v>0</v>
      </c>
      <c r="AY281" s="87" t="s">
        <v>561</v>
      </c>
      <c r="AZ281" s="87" t="s">
        <v>667</v>
      </c>
      <c r="BA281" s="16" t="s">
        <v>668</v>
      </c>
      <c r="BC281" s="19">
        <f t="shared" si="279"/>
        <v>0</v>
      </c>
      <c r="BD281" s="19">
        <f t="shared" si="280"/>
        <v>0</v>
      </c>
      <c r="BE281" s="19">
        <v>0</v>
      </c>
      <c r="BF281" s="19">
        <f t="shared" si="281"/>
        <v>1.15E-3</v>
      </c>
      <c r="BH281" s="19">
        <f t="shared" si="282"/>
        <v>0</v>
      </c>
      <c r="BI281" s="19">
        <f t="shared" si="283"/>
        <v>0</v>
      </c>
      <c r="BJ281" s="19">
        <f t="shared" si="284"/>
        <v>0</v>
      </c>
      <c r="BK281" s="19"/>
      <c r="BL281" s="19">
        <v>723</v>
      </c>
      <c r="BW281" s="19" t="str">
        <f t="shared" si="285"/>
        <v>12</v>
      </c>
      <c r="BX281" s="4" t="s">
        <v>191</v>
      </c>
    </row>
    <row r="282" spans="1:76" ht="25.5" x14ac:dyDescent="0.25">
      <c r="A282" s="1" t="s">
        <v>677</v>
      </c>
      <c r="B282" s="2" t="s">
        <v>197</v>
      </c>
      <c r="C282" s="2" t="s">
        <v>192</v>
      </c>
      <c r="D282" s="108" t="s">
        <v>193</v>
      </c>
      <c r="E282" s="102"/>
      <c r="F282" s="2" t="s">
        <v>100</v>
      </c>
      <c r="G282" s="19">
        <f>'Rozpočet - vybrané sloupce'!J261</f>
        <v>23</v>
      </c>
      <c r="H282" s="19">
        <f>'Rozpočet - vybrané sloupce'!K261</f>
        <v>0</v>
      </c>
      <c r="I282" s="87" t="s">
        <v>427</v>
      </c>
      <c r="J282" s="19">
        <f t="shared" si="260"/>
        <v>0</v>
      </c>
      <c r="K282" s="19">
        <f t="shared" si="261"/>
        <v>0</v>
      </c>
      <c r="L282" s="19">
        <f t="shared" si="262"/>
        <v>0</v>
      </c>
      <c r="M282" s="19">
        <f t="shared" si="263"/>
        <v>0</v>
      </c>
      <c r="N282" s="19">
        <v>2E-3</v>
      </c>
      <c r="O282" s="19">
        <f t="shared" si="264"/>
        <v>4.5999999999999999E-2</v>
      </c>
      <c r="P282" s="88" t="s">
        <v>428</v>
      </c>
      <c r="Z282" s="19">
        <f t="shared" si="265"/>
        <v>0</v>
      </c>
      <c r="AB282" s="19">
        <f t="shared" si="266"/>
        <v>0</v>
      </c>
      <c r="AC282" s="19">
        <f t="shared" si="267"/>
        <v>0</v>
      </c>
      <c r="AD282" s="19">
        <f t="shared" si="268"/>
        <v>0</v>
      </c>
      <c r="AE282" s="19">
        <f t="shared" si="269"/>
        <v>0</v>
      </c>
      <c r="AF282" s="19">
        <f t="shared" si="270"/>
        <v>0</v>
      </c>
      <c r="AG282" s="19">
        <f t="shared" si="271"/>
        <v>0</v>
      </c>
      <c r="AH282" s="19">
        <f t="shared" si="272"/>
        <v>0</v>
      </c>
      <c r="AI282" s="16" t="s">
        <v>197</v>
      </c>
      <c r="AJ282" s="19">
        <f t="shared" si="273"/>
        <v>0</v>
      </c>
      <c r="AK282" s="19">
        <f t="shared" si="274"/>
        <v>0</v>
      </c>
      <c r="AL282" s="19">
        <f t="shared" si="275"/>
        <v>0</v>
      </c>
      <c r="AN282" s="19">
        <v>12</v>
      </c>
      <c r="AO282" s="19">
        <f>H282*1</f>
        <v>0</v>
      </c>
      <c r="AP282" s="19">
        <f>H282*(1-1)</f>
        <v>0</v>
      </c>
      <c r="AQ282" s="87" t="s">
        <v>429</v>
      </c>
      <c r="AV282" s="19">
        <f t="shared" si="276"/>
        <v>0</v>
      </c>
      <c r="AW282" s="19">
        <f t="shared" si="277"/>
        <v>0</v>
      </c>
      <c r="AX282" s="19">
        <f t="shared" si="278"/>
        <v>0</v>
      </c>
      <c r="AY282" s="87" t="s">
        <v>561</v>
      </c>
      <c r="AZ282" s="87" t="s">
        <v>667</v>
      </c>
      <c r="BA282" s="16" t="s">
        <v>668</v>
      </c>
      <c r="BC282" s="19">
        <f t="shared" si="279"/>
        <v>0</v>
      </c>
      <c r="BD282" s="19">
        <f t="shared" si="280"/>
        <v>0</v>
      </c>
      <c r="BE282" s="19">
        <v>0</v>
      </c>
      <c r="BF282" s="19">
        <f t="shared" si="281"/>
        <v>4.5999999999999999E-2</v>
      </c>
      <c r="BH282" s="19">
        <f t="shared" si="282"/>
        <v>0</v>
      </c>
      <c r="BI282" s="19">
        <f t="shared" si="283"/>
        <v>0</v>
      </c>
      <c r="BJ282" s="19">
        <f t="shared" si="284"/>
        <v>0</v>
      </c>
      <c r="BK282" s="19"/>
      <c r="BL282" s="19">
        <v>723</v>
      </c>
      <c r="BW282" s="19" t="str">
        <f t="shared" si="285"/>
        <v>12</v>
      </c>
      <c r="BX282" s="4" t="s">
        <v>193</v>
      </c>
    </row>
    <row r="283" spans="1:76" x14ac:dyDescent="0.25">
      <c r="A283" s="1" t="s">
        <v>678</v>
      </c>
      <c r="B283" s="2" t="s">
        <v>197</v>
      </c>
      <c r="C283" s="2" t="s">
        <v>195</v>
      </c>
      <c r="D283" s="108" t="s">
        <v>196</v>
      </c>
      <c r="E283" s="102"/>
      <c r="F283" s="2" t="s">
        <v>100</v>
      </c>
      <c r="G283" s="19">
        <f>'Rozpočet - vybrané sloupce'!J262</f>
        <v>23</v>
      </c>
      <c r="H283" s="19">
        <f>'Rozpočet - vybrané sloupce'!K262</f>
        <v>0</v>
      </c>
      <c r="I283" s="87" t="s">
        <v>427</v>
      </c>
      <c r="J283" s="19">
        <f t="shared" si="260"/>
        <v>0</v>
      </c>
      <c r="K283" s="19">
        <f t="shared" si="261"/>
        <v>0</v>
      </c>
      <c r="L283" s="19">
        <f t="shared" si="262"/>
        <v>0</v>
      </c>
      <c r="M283" s="19">
        <f t="shared" si="263"/>
        <v>0</v>
      </c>
      <c r="N283" s="19">
        <v>0</v>
      </c>
      <c r="O283" s="19">
        <f t="shared" si="264"/>
        <v>0</v>
      </c>
      <c r="P283" s="88" t="s">
        <v>428</v>
      </c>
      <c r="Z283" s="19">
        <f t="shared" si="265"/>
        <v>0</v>
      </c>
      <c r="AB283" s="19">
        <f t="shared" si="266"/>
        <v>0</v>
      </c>
      <c r="AC283" s="19">
        <f t="shared" si="267"/>
        <v>0</v>
      </c>
      <c r="AD283" s="19">
        <f t="shared" si="268"/>
        <v>0</v>
      </c>
      <c r="AE283" s="19">
        <f t="shared" si="269"/>
        <v>0</v>
      </c>
      <c r="AF283" s="19">
        <f t="shared" si="270"/>
        <v>0</v>
      </c>
      <c r="AG283" s="19">
        <f t="shared" si="271"/>
        <v>0</v>
      </c>
      <c r="AH283" s="19">
        <f t="shared" si="272"/>
        <v>0</v>
      </c>
      <c r="AI283" s="16" t="s">
        <v>197</v>
      </c>
      <c r="AJ283" s="19">
        <f t="shared" si="273"/>
        <v>0</v>
      </c>
      <c r="AK283" s="19">
        <f t="shared" si="274"/>
        <v>0</v>
      </c>
      <c r="AL283" s="19">
        <f t="shared" si="275"/>
        <v>0</v>
      </c>
      <c r="AN283" s="19">
        <v>12</v>
      </c>
      <c r="AO283" s="19">
        <f>H283*0</f>
        <v>0</v>
      </c>
      <c r="AP283" s="19">
        <f>H283*(1-0)</f>
        <v>0</v>
      </c>
      <c r="AQ283" s="87" t="s">
        <v>429</v>
      </c>
      <c r="AV283" s="19">
        <f t="shared" si="276"/>
        <v>0</v>
      </c>
      <c r="AW283" s="19">
        <f t="shared" si="277"/>
        <v>0</v>
      </c>
      <c r="AX283" s="19">
        <f t="shared" si="278"/>
        <v>0</v>
      </c>
      <c r="AY283" s="87" t="s">
        <v>561</v>
      </c>
      <c r="AZ283" s="87" t="s">
        <v>667</v>
      </c>
      <c r="BA283" s="16" t="s">
        <v>668</v>
      </c>
      <c r="BC283" s="19">
        <f t="shared" si="279"/>
        <v>0</v>
      </c>
      <c r="BD283" s="19">
        <f t="shared" si="280"/>
        <v>0</v>
      </c>
      <c r="BE283" s="19">
        <v>0</v>
      </c>
      <c r="BF283" s="19">
        <f t="shared" si="281"/>
        <v>0</v>
      </c>
      <c r="BH283" s="19">
        <f t="shared" si="282"/>
        <v>0</v>
      </c>
      <c r="BI283" s="19">
        <f t="shared" si="283"/>
        <v>0</v>
      </c>
      <c r="BJ283" s="19">
        <f t="shared" si="284"/>
        <v>0</v>
      </c>
      <c r="BK283" s="19"/>
      <c r="BL283" s="19">
        <v>723</v>
      </c>
      <c r="BW283" s="19" t="str">
        <f t="shared" si="285"/>
        <v>12</v>
      </c>
      <c r="BX283" s="4" t="s">
        <v>196</v>
      </c>
    </row>
    <row r="284" spans="1:76" x14ac:dyDescent="0.25">
      <c r="A284" s="1" t="s">
        <v>679</v>
      </c>
      <c r="B284" s="2" t="s">
        <v>197</v>
      </c>
      <c r="C284" s="2" t="s">
        <v>164</v>
      </c>
      <c r="D284" s="108" t="s">
        <v>165</v>
      </c>
      <c r="E284" s="102"/>
      <c r="F284" s="2" t="s">
        <v>95</v>
      </c>
      <c r="G284" s="19">
        <f>'Rozpočet - vybrané sloupce'!J263</f>
        <v>0.2</v>
      </c>
      <c r="H284" s="19">
        <f>'Rozpočet - vybrané sloupce'!K263</f>
        <v>0</v>
      </c>
      <c r="I284" s="87" t="s">
        <v>427</v>
      </c>
      <c r="J284" s="19">
        <f t="shared" si="260"/>
        <v>0</v>
      </c>
      <c r="K284" s="19">
        <f t="shared" si="261"/>
        <v>0</v>
      </c>
      <c r="L284" s="19">
        <f t="shared" si="262"/>
        <v>0</v>
      </c>
      <c r="M284" s="19">
        <f t="shared" si="263"/>
        <v>0</v>
      </c>
      <c r="N284" s="19">
        <v>0</v>
      </c>
      <c r="O284" s="19">
        <f t="shared" si="264"/>
        <v>0</v>
      </c>
      <c r="P284" s="88" t="s">
        <v>428</v>
      </c>
      <c r="Z284" s="19">
        <f t="shared" si="265"/>
        <v>0</v>
      </c>
      <c r="AB284" s="19">
        <f t="shared" si="266"/>
        <v>0</v>
      </c>
      <c r="AC284" s="19">
        <f t="shared" si="267"/>
        <v>0</v>
      </c>
      <c r="AD284" s="19">
        <f t="shared" si="268"/>
        <v>0</v>
      </c>
      <c r="AE284" s="19">
        <f t="shared" si="269"/>
        <v>0</v>
      </c>
      <c r="AF284" s="19">
        <f t="shared" si="270"/>
        <v>0</v>
      </c>
      <c r="AG284" s="19">
        <f t="shared" si="271"/>
        <v>0</v>
      </c>
      <c r="AH284" s="19">
        <f t="shared" si="272"/>
        <v>0</v>
      </c>
      <c r="AI284" s="16" t="s">
        <v>197</v>
      </c>
      <c r="AJ284" s="19">
        <f t="shared" si="273"/>
        <v>0</v>
      </c>
      <c r="AK284" s="19">
        <f t="shared" si="274"/>
        <v>0</v>
      </c>
      <c r="AL284" s="19">
        <f t="shared" si="275"/>
        <v>0</v>
      </c>
      <c r="AN284" s="19">
        <v>12</v>
      </c>
      <c r="AO284" s="19">
        <f>H284*0</f>
        <v>0</v>
      </c>
      <c r="AP284" s="19">
        <f>H284*(1-0)</f>
        <v>0</v>
      </c>
      <c r="AQ284" s="87" t="s">
        <v>429</v>
      </c>
      <c r="AV284" s="19">
        <f t="shared" si="276"/>
        <v>0</v>
      </c>
      <c r="AW284" s="19">
        <f t="shared" si="277"/>
        <v>0</v>
      </c>
      <c r="AX284" s="19">
        <f t="shared" si="278"/>
        <v>0</v>
      </c>
      <c r="AY284" s="87" t="s">
        <v>561</v>
      </c>
      <c r="AZ284" s="87" t="s">
        <v>667</v>
      </c>
      <c r="BA284" s="16" t="s">
        <v>668</v>
      </c>
      <c r="BC284" s="19">
        <f t="shared" si="279"/>
        <v>0</v>
      </c>
      <c r="BD284" s="19">
        <f t="shared" si="280"/>
        <v>0</v>
      </c>
      <c r="BE284" s="19">
        <v>0</v>
      </c>
      <c r="BF284" s="19">
        <f t="shared" si="281"/>
        <v>0</v>
      </c>
      <c r="BH284" s="19">
        <f t="shared" si="282"/>
        <v>0</v>
      </c>
      <c r="BI284" s="19">
        <f t="shared" si="283"/>
        <v>0</v>
      </c>
      <c r="BJ284" s="19">
        <f t="shared" si="284"/>
        <v>0</v>
      </c>
      <c r="BK284" s="19"/>
      <c r="BL284" s="19">
        <v>723</v>
      </c>
      <c r="BW284" s="19" t="str">
        <f t="shared" si="285"/>
        <v>12</v>
      </c>
      <c r="BX284" s="4" t="s">
        <v>165</v>
      </c>
    </row>
    <row r="285" spans="1:76" x14ac:dyDescent="0.25">
      <c r="A285" s="1" t="s">
        <v>680</v>
      </c>
      <c r="B285" s="2" t="s">
        <v>197</v>
      </c>
      <c r="C285" s="2" t="s">
        <v>166</v>
      </c>
      <c r="D285" s="108" t="s">
        <v>167</v>
      </c>
      <c r="E285" s="102"/>
      <c r="F285" s="2" t="s">
        <v>51</v>
      </c>
      <c r="G285" s="19">
        <f>'Rozpočet - vybrané sloupce'!J264</f>
        <v>2262</v>
      </c>
      <c r="H285" s="19">
        <f>'Rozpočet - vybrané sloupce'!K264</f>
        <v>0</v>
      </c>
      <c r="I285" s="87" t="s">
        <v>427</v>
      </c>
      <c r="J285" s="19">
        <f t="shared" si="260"/>
        <v>0</v>
      </c>
      <c r="K285" s="19">
        <f t="shared" si="261"/>
        <v>0</v>
      </c>
      <c r="L285" s="19">
        <f t="shared" si="262"/>
        <v>0</v>
      </c>
      <c r="M285" s="19">
        <f t="shared" si="263"/>
        <v>0</v>
      </c>
      <c r="N285" s="19">
        <v>0</v>
      </c>
      <c r="O285" s="19">
        <f t="shared" si="264"/>
        <v>0</v>
      </c>
      <c r="P285" s="88" t="s">
        <v>428</v>
      </c>
      <c r="Z285" s="19">
        <f t="shared" si="265"/>
        <v>0</v>
      </c>
      <c r="AB285" s="19">
        <f t="shared" si="266"/>
        <v>0</v>
      </c>
      <c r="AC285" s="19">
        <f t="shared" si="267"/>
        <v>0</v>
      </c>
      <c r="AD285" s="19">
        <f t="shared" si="268"/>
        <v>0</v>
      </c>
      <c r="AE285" s="19">
        <f t="shared" si="269"/>
        <v>0</v>
      </c>
      <c r="AF285" s="19">
        <f t="shared" si="270"/>
        <v>0</v>
      </c>
      <c r="AG285" s="19">
        <f t="shared" si="271"/>
        <v>0</v>
      </c>
      <c r="AH285" s="19">
        <f t="shared" si="272"/>
        <v>0</v>
      </c>
      <c r="AI285" s="16" t="s">
        <v>197</v>
      </c>
      <c r="AJ285" s="19">
        <f t="shared" si="273"/>
        <v>0</v>
      </c>
      <c r="AK285" s="19">
        <f t="shared" si="274"/>
        <v>0</v>
      </c>
      <c r="AL285" s="19">
        <f t="shared" si="275"/>
        <v>0</v>
      </c>
      <c r="AN285" s="19">
        <v>12</v>
      </c>
      <c r="AO285" s="19">
        <f>H285*0</f>
        <v>0</v>
      </c>
      <c r="AP285" s="19">
        <f>H285*(1-0)</f>
        <v>0</v>
      </c>
      <c r="AQ285" s="87" t="s">
        <v>436</v>
      </c>
      <c r="AV285" s="19">
        <f t="shared" si="276"/>
        <v>0</v>
      </c>
      <c r="AW285" s="19">
        <f t="shared" si="277"/>
        <v>0</v>
      </c>
      <c r="AX285" s="19">
        <f t="shared" si="278"/>
        <v>0</v>
      </c>
      <c r="AY285" s="87" t="s">
        <v>561</v>
      </c>
      <c r="AZ285" s="87" t="s">
        <v>667</v>
      </c>
      <c r="BA285" s="16" t="s">
        <v>668</v>
      </c>
      <c r="BC285" s="19">
        <f t="shared" si="279"/>
        <v>0</v>
      </c>
      <c r="BD285" s="19">
        <f t="shared" si="280"/>
        <v>0</v>
      </c>
      <c r="BE285" s="19">
        <v>0</v>
      </c>
      <c r="BF285" s="19">
        <f t="shared" si="281"/>
        <v>0</v>
      </c>
      <c r="BH285" s="19">
        <f t="shared" si="282"/>
        <v>0</v>
      </c>
      <c r="BI285" s="19">
        <f t="shared" si="283"/>
        <v>0</v>
      </c>
      <c r="BJ285" s="19">
        <f t="shared" si="284"/>
        <v>0</v>
      </c>
      <c r="BK285" s="19"/>
      <c r="BL285" s="19">
        <v>723</v>
      </c>
      <c r="BW285" s="19" t="str">
        <f t="shared" si="285"/>
        <v>12</v>
      </c>
      <c r="BX285" s="4" t="s">
        <v>167</v>
      </c>
    </row>
    <row r="286" spans="1:76" x14ac:dyDescent="0.25">
      <c r="A286" s="84" t="s">
        <v>25</v>
      </c>
      <c r="B286" s="15" t="s">
        <v>199</v>
      </c>
      <c r="C286" s="15" t="s">
        <v>25</v>
      </c>
      <c r="D286" s="115" t="s">
        <v>200</v>
      </c>
      <c r="E286" s="116"/>
      <c r="F286" s="85" t="s">
        <v>23</v>
      </c>
      <c r="G286" s="85" t="s">
        <v>23</v>
      </c>
      <c r="H286" s="85" t="s">
        <v>23</v>
      </c>
      <c r="I286" s="85" t="s">
        <v>23</v>
      </c>
      <c r="J286" s="60">
        <f>J287</f>
        <v>0</v>
      </c>
      <c r="K286" s="60">
        <f>K287</f>
        <v>0</v>
      </c>
      <c r="L286" s="60">
        <f>L287</f>
        <v>0</v>
      </c>
      <c r="M286" s="60">
        <f>M287</f>
        <v>0</v>
      </c>
      <c r="N286" s="16" t="s">
        <v>25</v>
      </c>
      <c r="O286" s="60">
        <f>O287</f>
        <v>1.8582500000000002</v>
      </c>
      <c r="P286" s="86" t="s">
        <v>25</v>
      </c>
    </row>
    <row r="287" spans="1:76" x14ac:dyDescent="0.25">
      <c r="A287" s="84" t="s">
        <v>25</v>
      </c>
      <c r="B287" s="15" t="s">
        <v>199</v>
      </c>
      <c r="C287" s="15" t="s">
        <v>111</v>
      </c>
      <c r="D287" s="115" t="s">
        <v>112</v>
      </c>
      <c r="E287" s="116"/>
      <c r="F287" s="85" t="s">
        <v>23</v>
      </c>
      <c r="G287" s="85" t="s">
        <v>23</v>
      </c>
      <c r="H287" s="85" t="s">
        <v>23</v>
      </c>
      <c r="I287" s="85" t="s">
        <v>23</v>
      </c>
      <c r="J287" s="60">
        <f>SUM(J288:J300)</f>
        <v>0</v>
      </c>
      <c r="K287" s="60">
        <f>SUM(K288:K300)</f>
        <v>0</v>
      </c>
      <c r="L287" s="60">
        <f>SUM(L288:L300)</f>
        <v>0</v>
      </c>
      <c r="M287" s="60">
        <f>SUM(M288:M300)</f>
        <v>0</v>
      </c>
      <c r="N287" s="16" t="s">
        <v>25</v>
      </c>
      <c r="O287" s="60">
        <f>SUM(O288:O300)</f>
        <v>1.8582500000000002</v>
      </c>
      <c r="P287" s="86" t="s">
        <v>25</v>
      </c>
      <c r="AI287" s="16" t="s">
        <v>199</v>
      </c>
      <c r="AS287" s="60">
        <f>SUM(AJ288:AJ300)</f>
        <v>0</v>
      </c>
      <c r="AT287" s="60">
        <f>SUM(AK288:AK300)</f>
        <v>0</v>
      </c>
      <c r="AU287" s="60">
        <f>SUM(AL288:AL300)</f>
        <v>0</v>
      </c>
    </row>
    <row r="288" spans="1:76" x14ac:dyDescent="0.25">
      <c r="A288" s="1" t="s">
        <v>681</v>
      </c>
      <c r="B288" s="2" t="s">
        <v>199</v>
      </c>
      <c r="C288" s="2" t="s">
        <v>180</v>
      </c>
      <c r="D288" s="108" t="s">
        <v>181</v>
      </c>
      <c r="E288" s="102"/>
      <c r="F288" s="2" t="s">
        <v>31</v>
      </c>
      <c r="G288" s="19">
        <f>'Rozpočet - vybrané sloupce'!J267</f>
        <v>80.5</v>
      </c>
      <c r="H288" s="19">
        <f>'Rozpočet - vybrané sloupce'!K267</f>
        <v>0</v>
      </c>
      <c r="I288" s="87" t="s">
        <v>427</v>
      </c>
      <c r="J288" s="19">
        <f t="shared" ref="J288:J300" si="286">G288*AO288</f>
        <v>0</v>
      </c>
      <c r="K288" s="19">
        <f t="shared" ref="K288:K300" si="287">G288*AP288</f>
        <v>0</v>
      </c>
      <c r="L288" s="19">
        <f t="shared" ref="L288:L300" si="288">G288*H288</f>
        <v>0</v>
      </c>
      <c r="M288" s="19">
        <f t="shared" ref="M288:M300" si="289">L288*(1+BW288/100)</f>
        <v>0</v>
      </c>
      <c r="N288" s="19">
        <v>2.2599999999999999E-3</v>
      </c>
      <c r="O288" s="19">
        <f t="shared" ref="O288:O300" si="290">G288*N288</f>
        <v>0.18192999999999998</v>
      </c>
      <c r="P288" s="88" t="s">
        <v>428</v>
      </c>
      <c r="Z288" s="19">
        <f t="shared" ref="Z288:Z300" si="291">IF(AQ288="5",BJ288,0)</f>
        <v>0</v>
      </c>
      <c r="AB288" s="19">
        <f t="shared" ref="AB288:AB300" si="292">IF(AQ288="1",BH288,0)</f>
        <v>0</v>
      </c>
      <c r="AC288" s="19">
        <f t="shared" ref="AC288:AC300" si="293">IF(AQ288="1",BI288,0)</f>
        <v>0</v>
      </c>
      <c r="AD288" s="19">
        <f t="shared" ref="AD288:AD300" si="294">IF(AQ288="7",BH288,0)</f>
        <v>0</v>
      </c>
      <c r="AE288" s="19">
        <f t="shared" ref="AE288:AE300" si="295">IF(AQ288="7",BI288,0)</f>
        <v>0</v>
      </c>
      <c r="AF288" s="19">
        <f t="shared" ref="AF288:AF300" si="296">IF(AQ288="2",BH288,0)</f>
        <v>0</v>
      </c>
      <c r="AG288" s="19">
        <f t="shared" ref="AG288:AG300" si="297">IF(AQ288="2",BI288,0)</f>
        <v>0</v>
      </c>
      <c r="AH288" s="19">
        <f t="shared" ref="AH288:AH300" si="298">IF(AQ288="0",BJ288,0)</f>
        <v>0</v>
      </c>
      <c r="AI288" s="16" t="s">
        <v>199</v>
      </c>
      <c r="AJ288" s="19">
        <f t="shared" ref="AJ288:AJ300" si="299">IF(AN288=0,L288,0)</f>
        <v>0</v>
      </c>
      <c r="AK288" s="19">
        <f t="shared" ref="AK288:AK300" si="300">IF(AN288=12,L288,0)</f>
        <v>0</v>
      </c>
      <c r="AL288" s="19">
        <f t="shared" ref="AL288:AL300" si="301">IF(AN288=21,L288,0)</f>
        <v>0</v>
      </c>
      <c r="AN288" s="19">
        <v>12</v>
      </c>
      <c r="AO288" s="19">
        <f>H288*0.767226923</f>
        <v>0</v>
      </c>
      <c r="AP288" s="19">
        <f>H288*(1-0.767226923)</f>
        <v>0</v>
      </c>
      <c r="AQ288" s="87" t="s">
        <v>429</v>
      </c>
      <c r="AV288" s="19">
        <f t="shared" ref="AV288:AV300" si="302">AW288+AX288</f>
        <v>0</v>
      </c>
      <c r="AW288" s="19">
        <f t="shared" ref="AW288:AW300" si="303">G288*AO288</f>
        <v>0</v>
      </c>
      <c r="AX288" s="19">
        <f t="shared" ref="AX288:AX300" si="304">G288*AP288</f>
        <v>0</v>
      </c>
      <c r="AY288" s="87" t="s">
        <v>561</v>
      </c>
      <c r="AZ288" s="87" t="s">
        <v>682</v>
      </c>
      <c r="BA288" s="16" t="s">
        <v>683</v>
      </c>
      <c r="BC288" s="19">
        <f t="shared" ref="BC288:BC300" si="305">AW288+AX288</f>
        <v>0</v>
      </c>
      <c r="BD288" s="19">
        <f t="shared" ref="BD288:BD300" si="306">H288/(100-BE288)*100</f>
        <v>0</v>
      </c>
      <c r="BE288" s="19">
        <v>0</v>
      </c>
      <c r="BF288" s="19">
        <f t="shared" ref="BF288:BF300" si="307">O288</f>
        <v>0.18192999999999998</v>
      </c>
      <c r="BH288" s="19">
        <f t="shared" ref="BH288:BH300" si="308">G288*AO288</f>
        <v>0</v>
      </c>
      <c r="BI288" s="19">
        <f t="shared" ref="BI288:BI300" si="309">G288*AP288</f>
        <v>0</v>
      </c>
      <c r="BJ288" s="19">
        <f t="shared" ref="BJ288:BJ300" si="310">G288*H288</f>
        <v>0</v>
      </c>
      <c r="BK288" s="19"/>
      <c r="BL288" s="19">
        <v>723</v>
      </c>
      <c r="BW288" s="19" t="str">
        <f t="shared" ref="BW288:BW300" si="311">I288</f>
        <v>12</v>
      </c>
      <c r="BX288" s="4" t="s">
        <v>181</v>
      </c>
    </row>
    <row r="289" spans="1:76" x14ac:dyDescent="0.25">
      <c r="A289" s="1" t="s">
        <v>684</v>
      </c>
      <c r="B289" s="2" t="s">
        <v>199</v>
      </c>
      <c r="C289" s="2" t="s">
        <v>182</v>
      </c>
      <c r="D289" s="108" t="s">
        <v>183</v>
      </c>
      <c r="E289" s="102"/>
      <c r="F289" s="2" t="s">
        <v>31</v>
      </c>
      <c r="G289" s="19">
        <f>'Rozpočet - vybrané sloupce'!J268</f>
        <v>80.5</v>
      </c>
      <c r="H289" s="19">
        <f>'Rozpočet - vybrané sloupce'!K268</f>
        <v>0</v>
      </c>
      <c r="I289" s="87" t="s">
        <v>427</v>
      </c>
      <c r="J289" s="19">
        <f t="shared" si="286"/>
        <v>0</v>
      </c>
      <c r="K289" s="19">
        <f t="shared" si="287"/>
        <v>0</v>
      </c>
      <c r="L289" s="19">
        <f t="shared" si="288"/>
        <v>0</v>
      </c>
      <c r="M289" s="19">
        <f t="shared" si="289"/>
        <v>0</v>
      </c>
      <c r="N289" s="19">
        <v>7.9000000000000001E-4</v>
      </c>
      <c r="O289" s="19">
        <f t="shared" si="290"/>
        <v>6.3594999999999999E-2</v>
      </c>
      <c r="P289" s="88" t="s">
        <v>428</v>
      </c>
      <c r="Z289" s="19">
        <f t="shared" si="291"/>
        <v>0</v>
      </c>
      <c r="AB289" s="19">
        <f t="shared" si="292"/>
        <v>0</v>
      </c>
      <c r="AC289" s="19">
        <f t="shared" si="293"/>
        <v>0</v>
      </c>
      <c r="AD289" s="19">
        <f t="shared" si="294"/>
        <v>0</v>
      </c>
      <c r="AE289" s="19">
        <f t="shared" si="295"/>
        <v>0</v>
      </c>
      <c r="AF289" s="19">
        <f t="shared" si="296"/>
        <v>0</v>
      </c>
      <c r="AG289" s="19">
        <f t="shared" si="297"/>
        <v>0</v>
      </c>
      <c r="AH289" s="19">
        <f t="shared" si="298"/>
        <v>0</v>
      </c>
      <c r="AI289" s="16" t="s">
        <v>199</v>
      </c>
      <c r="AJ289" s="19">
        <f t="shared" si="299"/>
        <v>0</v>
      </c>
      <c r="AK289" s="19">
        <f t="shared" si="300"/>
        <v>0</v>
      </c>
      <c r="AL289" s="19">
        <f t="shared" si="301"/>
        <v>0</v>
      </c>
      <c r="AN289" s="19">
        <v>12</v>
      </c>
      <c r="AO289" s="19">
        <f>H289*0.600585401</f>
        <v>0</v>
      </c>
      <c r="AP289" s="19">
        <f>H289*(1-0.600585401)</f>
        <v>0</v>
      </c>
      <c r="AQ289" s="87" t="s">
        <v>429</v>
      </c>
      <c r="AV289" s="19">
        <f t="shared" si="302"/>
        <v>0</v>
      </c>
      <c r="AW289" s="19">
        <f t="shared" si="303"/>
        <v>0</v>
      </c>
      <c r="AX289" s="19">
        <f t="shared" si="304"/>
        <v>0</v>
      </c>
      <c r="AY289" s="87" t="s">
        <v>561</v>
      </c>
      <c r="AZ289" s="87" t="s">
        <v>682</v>
      </c>
      <c r="BA289" s="16" t="s">
        <v>683</v>
      </c>
      <c r="BC289" s="19">
        <f t="shared" si="305"/>
        <v>0</v>
      </c>
      <c r="BD289" s="19">
        <f t="shared" si="306"/>
        <v>0</v>
      </c>
      <c r="BE289" s="19">
        <v>0</v>
      </c>
      <c r="BF289" s="19">
        <f t="shared" si="307"/>
        <v>6.3594999999999999E-2</v>
      </c>
      <c r="BH289" s="19">
        <f t="shared" si="308"/>
        <v>0</v>
      </c>
      <c r="BI289" s="19">
        <f t="shared" si="309"/>
        <v>0</v>
      </c>
      <c r="BJ289" s="19">
        <f t="shared" si="310"/>
        <v>0</v>
      </c>
      <c r="BK289" s="19"/>
      <c r="BL289" s="19">
        <v>723</v>
      </c>
      <c r="BW289" s="19" t="str">
        <f t="shared" si="311"/>
        <v>12</v>
      </c>
      <c r="BX289" s="4" t="s">
        <v>183</v>
      </c>
    </row>
    <row r="290" spans="1:76" x14ac:dyDescent="0.25">
      <c r="A290" s="1" t="s">
        <v>685</v>
      </c>
      <c r="B290" s="2" t="s">
        <v>199</v>
      </c>
      <c r="C290" s="2" t="s">
        <v>184</v>
      </c>
      <c r="D290" s="108" t="s">
        <v>185</v>
      </c>
      <c r="E290" s="102"/>
      <c r="F290" s="2" t="s">
        <v>31</v>
      </c>
      <c r="G290" s="19">
        <f>'Rozpočet - vybrané sloupce'!J269</f>
        <v>3.5</v>
      </c>
      <c r="H290" s="19">
        <f>'Rozpočet - vybrané sloupce'!K269</f>
        <v>0</v>
      </c>
      <c r="I290" s="87" t="s">
        <v>427</v>
      </c>
      <c r="J290" s="19">
        <f t="shared" si="286"/>
        <v>0</v>
      </c>
      <c r="K290" s="19">
        <f t="shared" si="287"/>
        <v>0</v>
      </c>
      <c r="L290" s="19">
        <f t="shared" si="288"/>
        <v>0</v>
      </c>
      <c r="M290" s="19">
        <f t="shared" si="289"/>
        <v>0</v>
      </c>
      <c r="N290" s="19">
        <v>9.1E-4</v>
      </c>
      <c r="O290" s="19">
        <f t="shared" si="290"/>
        <v>3.1849999999999999E-3</v>
      </c>
      <c r="P290" s="88" t="s">
        <v>428</v>
      </c>
      <c r="Z290" s="19">
        <f t="shared" si="291"/>
        <v>0</v>
      </c>
      <c r="AB290" s="19">
        <f t="shared" si="292"/>
        <v>0</v>
      </c>
      <c r="AC290" s="19">
        <f t="shared" si="293"/>
        <v>0</v>
      </c>
      <c r="AD290" s="19">
        <f t="shared" si="294"/>
        <v>0</v>
      </c>
      <c r="AE290" s="19">
        <f t="shared" si="295"/>
        <v>0</v>
      </c>
      <c r="AF290" s="19">
        <f t="shared" si="296"/>
        <v>0</v>
      </c>
      <c r="AG290" s="19">
        <f t="shared" si="297"/>
        <v>0</v>
      </c>
      <c r="AH290" s="19">
        <f t="shared" si="298"/>
        <v>0</v>
      </c>
      <c r="AI290" s="16" t="s">
        <v>199</v>
      </c>
      <c r="AJ290" s="19">
        <f t="shared" si="299"/>
        <v>0</v>
      </c>
      <c r="AK290" s="19">
        <f t="shared" si="300"/>
        <v>0</v>
      </c>
      <c r="AL290" s="19">
        <f t="shared" si="301"/>
        <v>0</v>
      </c>
      <c r="AN290" s="19">
        <v>12</v>
      </c>
      <c r="AO290" s="19">
        <f>H290*0.646416909</f>
        <v>0</v>
      </c>
      <c r="AP290" s="19">
        <f>H290*(1-0.646416909)</f>
        <v>0</v>
      </c>
      <c r="AQ290" s="87" t="s">
        <v>429</v>
      </c>
      <c r="AV290" s="19">
        <f t="shared" si="302"/>
        <v>0</v>
      </c>
      <c r="AW290" s="19">
        <f t="shared" si="303"/>
        <v>0</v>
      </c>
      <c r="AX290" s="19">
        <f t="shared" si="304"/>
        <v>0</v>
      </c>
      <c r="AY290" s="87" t="s">
        <v>561</v>
      </c>
      <c r="AZ290" s="87" t="s">
        <v>682</v>
      </c>
      <c r="BA290" s="16" t="s">
        <v>683</v>
      </c>
      <c r="BC290" s="19">
        <f t="shared" si="305"/>
        <v>0</v>
      </c>
      <c r="BD290" s="19">
        <f t="shared" si="306"/>
        <v>0</v>
      </c>
      <c r="BE290" s="19">
        <v>0</v>
      </c>
      <c r="BF290" s="19">
        <f t="shared" si="307"/>
        <v>3.1849999999999999E-3</v>
      </c>
      <c r="BH290" s="19">
        <f t="shared" si="308"/>
        <v>0</v>
      </c>
      <c r="BI290" s="19">
        <f t="shared" si="309"/>
        <v>0</v>
      </c>
      <c r="BJ290" s="19">
        <f t="shared" si="310"/>
        <v>0</v>
      </c>
      <c r="BK290" s="19"/>
      <c r="BL290" s="19">
        <v>723</v>
      </c>
      <c r="BW290" s="19" t="str">
        <f t="shared" si="311"/>
        <v>12</v>
      </c>
      <c r="BX290" s="4" t="s">
        <v>185</v>
      </c>
    </row>
    <row r="291" spans="1:76" x14ac:dyDescent="0.25">
      <c r="A291" s="1" t="s">
        <v>686</v>
      </c>
      <c r="B291" s="2" t="s">
        <v>199</v>
      </c>
      <c r="C291" s="2" t="s">
        <v>186</v>
      </c>
      <c r="D291" s="108" t="s">
        <v>187</v>
      </c>
      <c r="E291" s="102"/>
      <c r="F291" s="2" t="s">
        <v>62</v>
      </c>
      <c r="G291" s="19">
        <f>'Rozpočet - vybrané sloupce'!J270</f>
        <v>23</v>
      </c>
      <c r="H291" s="19">
        <f>'Rozpočet - vybrané sloupce'!K270</f>
        <v>0</v>
      </c>
      <c r="I291" s="87" t="s">
        <v>427</v>
      </c>
      <c r="J291" s="19">
        <f t="shared" si="286"/>
        <v>0</v>
      </c>
      <c r="K291" s="19">
        <f t="shared" si="287"/>
        <v>0</v>
      </c>
      <c r="L291" s="19">
        <f t="shared" si="288"/>
        <v>0</v>
      </c>
      <c r="M291" s="19">
        <f t="shared" si="289"/>
        <v>0</v>
      </c>
      <c r="N291" s="19">
        <v>9.3000000000000005E-4</v>
      </c>
      <c r="O291" s="19">
        <f t="shared" si="290"/>
        <v>2.1390000000000003E-2</v>
      </c>
      <c r="P291" s="88" t="s">
        <v>428</v>
      </c>
      <c r="Z291" s="19">
        <f t="shared" si="291"/>
        <v>0</v>
      </c>
      <c r="AB291" s="19">
        <f t="shared" si="292"/>
        <v>0</v>
      </c>
      <c r="AC291" s="19">
        <f t="shared" si="293"/>
        <v>0</v>
      </c>
      <c r="AD291" s="19">
        <f t="shared" si="294"/>
        <v>0</v>
      </c>
      <c r="AE291" s="19">
        <f t="shared" si="295"/>
        <v>0</v>
      </c>
      <c r="AF291" s="19">
        <f t="shared" si="296"/>
        <v>0</v>
      </c>
      <c r="AG291" s="19">
        <f t="shared" si="297"/>
        <v>0</v>
      </c>
      <c r="AH291" s="19">
        <f t="shared" si="298"/>
        <v>0</v>
      </c>
      <c r="AI291" s="16" t="s">
        <v>199</v>
      </c>
      <c r="AJ291" s="19">
        <f t="shared" si="299"/>
        <v>0</v>
      </c>
      <c r="AK291" s="19">
        <f t="shared" si="300"/>
        <v>0</v>
      </c>
      <c r="AL291" s="19">
        <f t="shared" si="301"/>
        <v>0</v>
      </c>
      <c r="AN291" s="19">
        <v>12</v>
      </c>
      <c r="AO291" s="19">
        <f>H291*0.373581628</f>
        <v>0</v>
      </c>
      <c r="AP291" s="19">
        <f>H291*(1-0.373581628)</f>
        <v>0</v>
      </c>
      <c r="AQ291" s="87" t="s">
        <v>429</v>
      </c>
      <c r="AV291" s="19">
        <f t="shared" si="302"/>
        <v>0</v>
      </c>
      <c r="AW291" s="19">
        <f t="shared" si="303"/>
        <v>0</v>
      </c>
      <c r="AX291" s="19">
        <f t="shared" si="304"/>
        <v>0</v>
      </c>
      <c r="AY291" s="87" t="s">
        <v>561</v>
      </c>
      <c r="AZ291" s="87" t="s">
        <v>682</v>
      </c>
      <c r="BA291" s="16" t="s">
        <v>683</v>
      </c>
      <c r="BC291" s="19">
        <f t="shared" si="305"/>
        <v>0</v>
      </c>
      <c r="BD291" s="19">
        <f t="shared" si="306"/>
        <v>0</v>
      </c>
      <c r="BE291" s="19">
        <v>0</v>
      </c>
      <c r="BF291" s="19">
        <f t="shared" si="307"/>
        <v>2.1390000000000003E-2</v>
      </c>
      <c r="BH291" s="19">
        <f t="shared" si="308"/>
        <v>0</v>
      </c>
      <c r="BI291" s="19">
        <f t="shared" si="309"/>
        <v>0</v>
      </c>
      <c r="BJ291" s="19">
        <f t="shared" si="310"/>
        <v>0</v>
      </c>
      <c r="BK291" s="19"/>
      <c r="BL291" s="19">
        <v>723</v>
      </c>
      <c r="BW291" s="19" t="str">
        <f t="shared" si="311"/>
        <v>12</v>
      </c>
      <c r="BX291" s="4" t="s">
        <v>187</v>
      </c>
    </row>
    <row r="292" spans="1:76" x14ac:dyDescent="0.25">
      <c r="A292" s="1" t="s">
        <v>687</v>
      </c>
      <c r="B292" s="2" t="s">
        <v>199</v>
      </c>
      <c r="C292" s="2" t="s">
        <v>135</v>
      </c>
      <c r="D292" s="108" t="s">
        <v>136</v>
      </c>
      <c r="E292" s="102"/>
      <c r="F292" s="2" t="s">
        <v>62</v>
      </c>
      <c r="G292" s="19">
        <f>'Rozpočet - vybrané sloupce'!J271</f>
        <v>23</v>
      </c>
      <c r="H292" s="19">
        <f>'Rozpočet - vybrané sloupce'!K271</f>
        <v>0</v>
      </c>
      <c r="I292" s="87" t="s">
        <v>427</v>
      </c>
      <c r="J292" s="19">
        <f t="shared" si="286"/>
        <v>0</v>
      </c>
      <c r="K292" s="19">
        <f t="shared" si="287"/>
        <v>0</v>
      </c>
      <c r="L292" s="19">
        <f t="shared" si="288"/>
        <v>0</v>
      </c>
      <c r="M292" s="19">
        <f t="shared" si="289"/>
        <v>0</v>
      </c>
      <c r="N292" s="19">
        <v>0</v>
      </c>
      <c r="O292" s="19">
        <f t="shared" si="290"/>
        <v>0</v>
      </c>
      <c r="P292" s="88" t="s">
        <v>428</v>
      </c>
      <c r="Z292" s="19">
        <f t="shared" si="291"/>
        <v>0</v>
      </c>
      <c r="AB292" s="19">
        <f t="shared" si="292"/>
        <v>0</v>
      </c>
      <c r="AC292" s="19">
        <f t="shared" si="293"/>
        <v>0</v>
      </c>
      <c r="AD292" s="19">
        <f t="shared" si="294"/>
        <v>0</v>
      </c>
      <c r="AE292" s="19">
        <f t="shared" si="295"/>
        <v>0</v>
      </c>
      <c r="AF292" s="19">
        <f t="shared" si="296"/>
        <v>0</v>
      </c>
      <c r="AG292" s="19">
        <f t="shared" si="297"/>
        <v>0</v>
      </c>
      <c r="AH292" s="19">
        <f t="shared" si="298"/>
        <v>0</v>
      </c>
      <c r="AI292" s="16" t="s">
        <v>199</v>
      </c>
      <c r="AJ292" s="19">
        <f t="shared" si="299"/>
        <v>0</v>
      </c>
      <c r="AK292" s="19">
        <f t="shared" si="300"/>
        <v>0</v>
      </c>
      <c r="AL292" s="19">
        <f t="shared" si="301"/>
        <v>0</v>
      </c>
      <c r="AN292" s="19">
        <v>12</v>
      </c>
      <c r="AO292" s="19">
        <f>H292*0</f>
        <v>0</v>
      </c>
      <c r="AP292" s="19">
        <f>H292*(1-0)</f>
        <v>0</v>
      </c>
      <c r="AQ292" s="87" t="s">
        <v>429</v>
      </c>
      <c r="AV292" s="19">
        <f t="shared" si="302"/>
        <v>0</v>
      </c>
      <c r="AW292" s="19">
        <f t="shared" si="303"/>
        <v>0</v>
      </c>
      <c r="AX292" s="19">
        <f t="shared" si="304"/>
        <v>0</v>
      </c>
      <c r="AY292" s="87" t="s">
        <v>561</v>
      </c>
      <c r="AZ292" s="87" t="s">
        <v>682</v>
      </c>
      <c r="BA292" s="16" t="s">
        <v>683</v>
      </c>
      <c r="BC292" s="19">
        <f t="shared" si="305"/>
        <v>0</v>
      </c>
      <c r="BD292" s="19">
        <f t="shared" si="306"/>
        <v>0</v>
      </c>
      <c r="BE292" s="19">
        <v>0</v>
      </c>
      <c r="BF292" s="19">
        <f t="shared" si="307"/>
        <v>0</v>
      </c>
      <c r="BH292" s="19">
        <f t="shared" si="308"/>
        <v>0</v>
      </c>
      <c r="BI292" s="19">
        <f t="shared" si="309"/>
        <v>0</v>
      </c>
      <c r="BJ292" s="19">
        <f t="shared" si="310"/>
        <v>0</v>
      </c>
      <c r="BK292" s="19"/>
      <c r="BL292" s="19">
        <v>723</v>
      </c>
      <c r="BW292" s="19" t="str">
        <f t="shared" si="311"/>
        <v>12</v>
      </c>
      <c r="BX292" s="4" t="s">
        <v>136</v>
      </c>
    </row>
    <row r="293" spans="1:76" x14ac:dyDescent="0.25">
      <c r="A293" s="1" t="s">
        <v>688</v>
      </c>
      <c r="B293" s="2" t="s">
        <v>199</v>
      </c>
      <c r="C293" s="2" t="s">
        <v>133</v>
      </c>
      <c r="D293" s="108" t="s">
        <v>134</v>
      </c>
      <c r="E293" s="102"/>
      <c r="F293" s="2" t="s">
        <v>31</v>
      </c>
      <c r="G293" s="19">
        <f>'Rozpočet - vybrané sloupce'!J272</f>
        <v>80.5</v>
      </c>
      <c r="H293" s="19">
        <f>'Rozpočet - vybrané sloupce'!K272</f>
        <v>0</v>
      </c>
      <c r="I293" s="87" t="s">
        <v>427</v>
      </c>
      <c r="J293" s="19">
        <f t="shared" si="286"/>
        <v>0</v>
      </c>
      <c r="K293" s="19">
        <f t="shared" si="287"/>
        <v>0</v>
      </c>
      <c r="L293" s="19">
        <f t="shared" si="288"/>
        <v>0</v>
      </c>
      <c r="M293" s="19">
        <f t="shared" si="289"/>
        <v>0</v>
      </c>
      <c r="N293" s="19">
        <v>0</v>
      </c>
      <c r="O293" s="19">
        <f t="shared" si="290"/>
        <v>0</v>
      </c>
      <c r="P293" s="88" t="s">
        <v>428</v>
      </c>
      <c r="Z293" s="19">
        <f t="shared" si="291"/>
        <v>0</v>
      </c>
      <c r="AB293" s="19">
        <f t="shared" si="292"/>
        <v>0</v>
      </c>
      <c r="AC293" s="19">
        <f t="shared" si="293"/>
        <v>0</v>
      </c>
      <c r="AD293" s="19">
        <f t="shared" si="294"/>
        <v>0</v>
      </c>
      <c r="AE293" s="19">
        <f t="shared" si="295"/>
        <v>0</v>
      </c>
      <c r="AF293" s="19">
        <f t="shared" si="296"/>
        <v>0</v>
      </c>
      <c r="AG293" s="19">
        <f t="shared" si="297"/>
        <v>0</v>
      </c>
      <c r="AH293" s="19">
        <f t="shared" si="298"/>
        <v>0</v>
      </c>
      <c r="AI293" s="16" t="s">
        <v>199</v>
      </c>
      <c r="AJ293" s="19">
        <f t="shared" si="299"/>
        <v>0</v>
      </c>
      <c r="AK293" s="19">
        <f t="shared" si="300"/>
        <v>0</v>
      </c>
      <c r="AL293" s="19">
        <f t="shared" si="301"/>
        <v>0</v>
      </c>
      <c r="AN293" s="19">
        <v>12</v>
      </c>
      <c r="AO293" s="19">
        <f>H293*0</f>
        <v>0</v>
      </c>
      <c r="AP293" s="19">
        <f>H293*(1-0)</f>
        <v>0</v>
      </c>
      <c r="AQ293" s="87" t="s">
        <v>429</v>
      </c>
      <c r="AV293" s="19">
        <f t="shared" si="302"/>
        <v>0</v>
      </c>
      <c r="AW293" s="19">
        <f t="shared" si="303"/>
        <v>0</v>
      </c>
      <c r="AX293" s="19">
        <f t="shared" si="304"/>
        <v>0</v>
      </c>
      <c r="AY293" s="87" t="s">
        <v>561</v>
      </c>
      <c r="AZ293" s="87" t="s">
        <v>682</v>
      </c>
      <c r="BA293" s="16" t="s">
        <v>683</v>
      </c>
      <c r="BC293" s="19">
        <f t="shared" si="305"/>
        <v>0</v>
      </c>
      <c r="BD293" s="19">
        <f t="shared" si="306"/>
        <v>0</v>
      </c>
      <c r="BE293" s="19">
        <v>0</v>
      </c>
      <c r="BF293" s="19">
        <f t="shared" si="307"/>
        <v>0</v>
      </c>
      <c r="BH293" s="19">
        <f t="shared" si="308"/>
        <v>0</v>
      </c>
      <c r="BI293" s="19">
        <f t="shared" si="309"/>
        <v>0</v>
      </c>
      <c r="BJ293" s="19">
        <f t="shared" si="310"/>
        <v>0</v>
      </c>
      <c r="BK293" s="19"/>
      <c r="BL293" s="19">
        <v>723</v>
      </c>
      <c r="BW293" s="19" t="str">
        <f t="shared" si="311"/>
        <v>12</v>
      </c>
      <c r="BX293" s="4" t="s">
        <v>134</v>
      </c>
    </row>
    <row r="294" spans="1:76" x14ac:dyDescent="0.25">
      <c r="A294" s="1" t="s">
        <v>689</v>
      </c>
      <c r="B294" s="2" t="s">
        <v>199</v>
      </c>
      <c r="C294" s="2" t="s">
        <v>137</v>
      </c>
      <c r="D294" s="108" t="s">
        <v>138</v>
      </c>
      <c r="E294" s="102"/>
      <c r="F294" s="2" t="s">
        <v>62</v>
      </c>
      <c r="G294" s="19">
        <f>'Rozpočet - vybrané sloupce'!J273</f>
        <v>23</v>
      </c>
      <c r="H294" s="19">
        <f>'Rozpočet - vybrané sloupce'!K273</f>
        <v>0</v>
      </c>
      <c r="I294" s="87" t="s">
        <v>427</v>
      </c>
      <c r="J294" s="19">
        <f t="shared" si="286"/>
        <v>0</v>
      </c>
      <c r="K294" s="19">
        <f t="shared" si="287"/>
        <v>0</v>
      </c>
      <c r="L294" s="19">
        <f t="shared" si="288"/>
        <v>0</v>
      </c>
      <c r="M294" s="19">
        <f t="shared" si="289"/>
        <v>0</v>
      </c>
      <c r="N294" s="19">
        <v>0</v>
      </c>
      <c r="O294" s="19">
        <f t="shared" si="290"/>
        <v>0</v>
      </c>
      <c r="P294" s="88" t="s">
        <v>428</v>
      </c>
      <c r="Z294" s="19">
        <f t="shared" si="291"/>
        <v>0</v>
      </c>
      <c r="AB294" s="19">
        <f t="shared" si="292"/>
        <v>0</v>
      </c>
      <c r="AC294" s="19">
        <f t="shared" si="293"/>
        <v>0</v>
      </c>
      <c r="AD294" s="19">
        <f t="shared" si="294"/>
        <v>0</v>
      </c>
      <c r="AE294" s="19">
        <f t="shared" si="295"/>
        <v>0</v>
      </c>
      <c r="AF294" s="19">
        <f t="shared" si="296"/>
        <v>0</v>
      </c>
      <c r="AG294" s="19">
        <f t="shared" si="297"/>
        <v>0</v>
      </c>
      <c r="AH294" s="19">
        <f t="shared" si="298"/>
        <v>0</v>
      </c>
      <c r="AI294" s="16" t="s">
        <v>199</v>
      </c>
      <c r="AJ294" s="19">
        <f t="shared" si="299"/>
        <v>0</v>
      </c>
      <c r="AK294" s="19">
        <f t="shared" si="300"/>
        <v>0</v>
      </c>
      <c r="AL294" s="19">
        <f t="shared" si="301"/>
        <v>0</v>
      </c>
      <c r="AN294" s="19">
        <v>12</v>
      </c>
      <c r="AO294" s="19">
        <f>H294*0</f>
        <v>0</v>
      </c>
      <c r="AP294" s="19">
        <f>H294*(1-0)</f>
        <v>0</v>
      </c>
      <c r="AQ294" s="87" t="s">
        <v>429</v>
      </c>
      <c r="AV294" s="19">
        <f t="shared" si="302"/>
        <v>0</v>
      </c>
      <c r="AW294" s="19">
        <f t="shared" si="303"/>
        <v>0</v>
      </c>
      <c r="AX294" s="19">
        <f t="shared" si="304"/>
        <v>0</v>
      </c>
      <c r="AY294" s="87" t="s">
        <v>561</v>
      </c>
      <c r="AZ294" s="87" t="s">
        <v>682</v>
      </c>
      <c r="BA294" s="16" t="s">
        <v>683</v>
      </c>
      <c r="BC294" s="19">
        <f t="shared" si="305"/>
        <v>0</v>
      </c>
      <c r="BD294" s="19">
        <f t="shared" si="306"/>
        <v>0</v>
      </c>
      <c r="BE294" s="19">
        <v>0</v>
      </c>
      <c r="BF294" s="19">
        <f t="shared" si="307"/>
        <v>0</v>
      </c>
      <c r="BH294" s="19">
        <f t="shared" si="308"/>
        <v>0</v>
      </c>
      <c r="BI294" s="19">
        <f t="shared" si="309"/>
        <v>0</v>
      </c>
      <c r="BJ294" s="19">
        <f t="shared" si="310"/>
        <v>0</v>
      </c>
      <c r="BK294" s="19"/>
      <c r="BL294" s="19">
        <v>723</v>
      </c>
      <c r="BW294" s="19" t="str">
        <f t="shared" si="311"/>
        <v>12</v>
      </c>
      <c r="BX294" s="4" t="s">
        <v>138</v>
      </c>
    </row>
    <row r="295" spans="1:76" x14ac:dyDescent="0.25">
      <c r="A295" s="1" t="s">
        <v>690</v>
      </c>
      <c r="B295" s="2" t="s">
        <v>199</v>
      </c>
      <c r="C295" s="2" t="s">
        <v>188</v>
      </c>
      <c r="D295" s="108" t="s">
        <v>189</v>
      </c>
      <c r="E295" s="102"/>
      <c r="F295" s="2" t="s">
        <v>100</v>
      </c>
      <c r="G295" s="19">
        <f>'Rozpočet - vybrané sloupce'!J274</f>
        <v>23</v>
      </c>
      <c r="H295" s="19">
        <f>'Rozpočet - vybrané sloupce'!K274</f>
        <v>0</v>
      </c>
      <c r="I295" s="87" t="s">
        <v>427</v>
      </c>
      <c r="J295" s="19">
        <f t="shared" si="286"/>
        <v>0</v>
      </c>
      <c r="K295" s="19">
        <f t="shared" si="287"/>
        <v>0</v>
      </c>
      <c r="L295" s="19">
        <f t="shared" si="288"/>
        <v>0</v>
      </c>
      <c r="M295" s="19">
        <f t="shared" si="289"/>
        <v>0</v>
      </c>
      <c r="N295" s="19">
        <v>6.7000000000000004E-2</v>
      </c>
      <c r="O295" s="19">
        <f t="shared" si="290"/>
        <v>1.5410000000000001</v>
      </c>
      <c r="P295" s="88" t="s">
        <v>428</v>
      </c>
      <c r="Z295" s="19">
        <f t="shared" si="291"/>
        <v>0</v>
      </c>
      <c r="AB295" s="19">
        <f t="shared" si="292"/>
        <v>0</v>
      </c>
      <c r="AC295" s="19">
        <f t="shared" si="293"/>
        <v>0</v>
      </c>
      <c r="AD295" s="19">
        <f t="shared" si="294"/>
        <v>0</v>
      </c>
      <c r="AE295" s="19">
        <f t="shared" si="295"/>
        <v>0</v>
      </c>
      <c r="AF295" s="19">
        <f t="shared" si="296"/>
        <v>0</v>
      </c>
      <c r="AG295" s="19">
        <f t="shared" si="297"/>
        <v>0</v>
      </c>
      <c r="AH295" s="19">
        <f t="shared" si="298"/>
        <v>0</v>
      </c>
      <c r="AI295" s="16" t="s">
        <v>199</v>
      </c>
      <c r="AJ295" s="19">
        <f t="shared" si="299"/>
        <v>0</v>
      </c>
      <c r="AK295" s="19">
        <f t="shared" si="300"/>
        <v>0</v>
      </c>
      <c r="AL295" s="19">
        <f t="shared" si="301"/>
        <v>0</v>
      </c>
      <c r="AN295" s="19">
        <v>12</v>
      </c>
      <c r="AO295" s="19">
        <f>H295*0</f>
        <v>0</v>
      </c>
      <c r="AP295" s="19">
        <f>H295*(1-0)</f>
        <v>0</v>
      </c>
      <c r="AQ295" s="87" t="s">
        <v>429</v>
      </c>
      <c r="AV295" s="19">
        <f t="shared" si="302"/>
        <v>0</v>
      </c>
      <c r="AW295" s="19">
        <f t="shared" si="303"/>
        <v>0</v>
      </c>
      <c r="AX295" s="19">
        <f t="shared" si="304"/>
        <v>0</v>
      </c>
      <c r="AY295" s="87" t="s">
        <v>561</v>
      </c>
      <c r="AZ295" s="87" t="s">
        <v>682</v>
      </c>
      <c r="BA295" s="16" t="s">
        <v>683</v>
      </c>
      <c r="BC295" s="19">
        <f t="shared" si="305"/>
        <v>0</v>
      </c>
      <c r="BD295" s="19">
        <f t="shared" si="306"/>
        <v>0</v>
      </c>
      <c r="BE295" s="19">
        <v>0</v>
      </c>
      <c r="BF295" s="19">
        <f t="shared" si="307"/>
        <v>1.5410000000000001</v>
      </c>
      <c r="BH295" s="19">
        <f t="shared" si="308"/>
        <v>0</v>
      </c>
      <c r="BI295" s="19">
        <f t="shared" si="309"/>
        <v>0</v>
      </c>
      <c r="BJ295" s="19">
        <f t="shared" si="310"/>
        <v>0</v>
      </c>
      <c r="BK295" s="19"/>
      <c r="BL295" s="19">
        <v>723</v>
      </c>
      <c r="BW295" s="19" t="str">
        <f t="shared" si="311"/>
        <v>12</v>
      </c>
      <c r="BX295" s="4" t="s">
        <v>189</v>
      </c>
    </row>
    <row r="296" spans="1:76" x14ac:dyDescent="0.25">
      <c r="A296" s="1" t="s">
        <v>691</v>
      </c>
      <c r="B296" s="2" t="s">
        <v>199</v>
      </c>
      <c r="C296" s="2" t="s">
        <v>190</v>
      </c>
      <c r="D296" s="108" t="s">
        <v>191</v>
      </c>
      <c r="E296" s="102"/>
      <c r="F296" s="2" t="s">
        <v>62</v>
      </c>
      <c r="G296" s="19">
        <f>'Rozpočet - vybrané sloupce'!J275</f>
        <v>23</v>
      </c>
      <c r="H296" s="19">
        <f>'Rozpočet - vybrané sloupce'!K275</f>
        <v>0</v>
      </c>
      <c r="I296" s="87" t="s">
        <v>427</v>
      </c>
      <c r="J296" s="19">
        <f t="shared" si="286"/>
        <v>0</v>
      </c>
      <c r="K296" s="19">
        <f t="shared" si="287"/>
        <v>0</v>
      </c>
      <c r="L296" s="19">
        <f t="shared" si="288"/>
        <v>0</v>
      </c>
      <c r="M296" s="19">
        <f t="shared" si="289"/>
        <v>0</v>
      </c>
      <c r="N296" s="19">
        <v>5.0000000000000002E-5</v>
      </c>
      <c r="O296" s="19">
        <f t="shared" si="290"/>
        <v>1.15E-3</v>
      </c>
      <c r="P296" s="88" t="s">
        <v>428</v>
      </c>
      <c r="Z296" s="19">
        <f t="shared" si="291"/>
        <v>0</v>
      </c>
      <c r="AB296" s="19">
        <f t="shared" si="292"/>
        <v>0</v>
      </c>
      <c r="AC296" s="19">
        <f t="shared" si="293"/>
        <v>0</v>
      </c>
      <c r="AD296" s="19">
        <f t="shared" si="294"/>
        <v>0</v>
      </c>
      <c r="AE296" s="19">
        <f t="shared" si="295"/>
        <v>0</v>
      </c>
      <c r="AF296" s="19">
        <f t="shared" si="296"/>
        <v>0</v>
      </c>
      <c r="AG296" s="19">
        <f t="shared" si="297"/>
        <v>0</v>
      </c>
      <c r="AH296" s="19">
        <f t="shared" si="298"/>
        <v>0</v>
      </c>
      <c r="AI296" s="16" t="s">
        <v>199</v>
      </c>
      <c r="AJ296" s="19">
        <f t="shared" si="299"/>
        <v>0</v>
      </c>
      <c r="AK296" s="19">
        <f t="shared" si="300"/>
        <v>0</v>
      </c>
      <c r="AL296" s="19">
        <f t="shared" si="301"/>
        <v>0</v>
      </c>
      <c r="AN296" s="19">
        <v>12</v>
      </c>
      <c r="AO296" s="19">
        <f>H296*0.039517449</f>
        <v>0</v>
      </c>
      <c r="AP296" s="19">
        <f>H296*(1-0.039517449)</f>
        <v>0</v>
      </c>
      <c r="AQ296" s="87" t="s">
        <v>429</v>
      </c>
      <c r="AV296" s="19">
        <f t="shared" si="302"/>
        <v>0</v>
      </c>
      <c r="AW296" s="19">
        <f t="shared" si="303"/>
        <v>0</v>
      </c>
      <c r="AX296" s="19">
        <f t="shared" si="304"/>
        <v>0</v>
      </c>
      <c r="AY296" s="87" t="s">
        <v>561</v>
      </c>
      <c r="AZ296" s="87" t="s">
        <v>682</v>
      </c>
      <c r="BA296" s="16" t="s">
        <v>683</v>
      </c>
      <c r="BC296" s="19">
        <f t="shared" si="305"/>
        <v>0</v>
      </c>
      <c r="BD296" s="19">
        <f t="shared" si="306"/>
        <v>0</v>
      </c>
      <c r="BE296" s="19">
        <v>0</v>
      </c>
      <c r="BF296" s="19">
        <f t="shared" si="307"/>
        <v>1.15E-3</v>
      </c>
      <c r="BH296" s="19">
        <f t="shared" si="308"/>
        <v>0</v>
      </c>
      <c r="BI296" s="19">
        <f t="shared" si="309"/>
        <v>0</v>
      </c>
      <c r="BJ296" s="19">
        <f t="shared" si="310"/>
        <v>0</v>
      </c>
      <c r="BK296" s="19"/>
      <c r="BL296" s="19">
        <v>723</v>
      </c>
      <c r="BW296" s="19" t="str">
        <f t="shared" si="311"/>
        <v>12</v>
      </c>
      <c r="BX296" s="4" t="s">
        <v>191</v>
      </c>
    </row>
    <row r="297" spans="1:76" ht="25.5" x14ac:dyDescent="0.25">
      <c r="A297" s="1" t="s">
        <v>692</v>
      </c>
      <c r="B297" s="2" t="s">
        <v>199</v>
      </c>
      <c r="C297" s="2" t="s">
        <v>192</v>
      </c>
      <c r="D297" s="108" t="s">
        <v>193</v>
      </c>
      <c r="E297" s="102"/>
      <c r="F297" s="2" t="s">
        <v>100</v>
      </c>
      <c r="G297" s="19">
        <f>'Rozpočet - vybrané sloupce'!J276</f>
        <v>23</v>
      </c>
      <c r="H297" s="19">
        <f>'Rozpočet - vybrané sloupce'!K276</f>
        <v>0</v>
      </c>
      <c r="I297" s="87" t="s">
        <v>427</v>
      </c>
      <c r="J297" s="19">
        <f t="shared" si="286"/>
        <v>0</v>
      </c>
      <c r="K297" s="19">
        <f t="shared" si="287"/>
        <v>0</v>
      </c>
      <c r="L297" s="19">
        <f t="shared" si="288"/>
        <v>0</v>
      </c>
      <c r="M297" s="19">
        <f t="shared" si="289"/>
        <v>0</v>
      </c>
      <c r="N297" s="19">
        <v>2E-3</v>
      </c>
      <c r="O297" s="19">
        <f t="shared" si="290"/>
        <v>4.5999999999999999E-2</v>
      </c>
      <c r="P297" s="88" t="s">
        <v>428</v>
      </c>
      <c r="Z297" s="19">
        <f t="shared" si="291"/>
        <v>0</v>
      </c>
      <c r="AB297" s="19">
        <f t="shared" si="292"/>
        <v>0</v>
      </c>
      <c r="AC297" s="19">
        <f t="shared" si="293"/>
        <v>0</v>
      </c>
      <c r="AD297" s="19">
        <f t="shared" si="294"/>
        <v>0</v>
      </c>
      <c r="AE297" s="19">
        <f t="shared" si="295"/>
        <v>0</v>
      </c>
      <c r="AF297" s="19">
        <f t="shared" si="296"/>
        <v>0</v>
      </c>
      <c r="AG297" s="19">
        <f t="shared" si="297"/>
        <v>0</v>
      </c>
      <c r="AH297" s="19">
        <f t="shared" si="298"/>
        <v>0</v>
      </c>
      <c r="AI297" s="16" t="s">
        <v>199</v>
      </c>
      <c r="AJ297" s="19">
        <f t="shared" si="299"/>
        <v>0</v>
      </c>
      <c r="AK297" s="19">
        <f t="shared" si="300"/>
        <v>0</v>
      </c>
      <c r="AL297" s="19">
        <f t="shared" si="301"/>
        <v>0</v>
      </c>
      <c r="AN297" s="19">
        <v>12</v>
      </c>
      <c r="AO297" s="19">
        <f>H297*1</f>
        <v>0</v>
      </c>
      <c r="AP297" s="19">
        <f>H297*(1-1)</f>
        <v>0</v>
      </c>
      <c r="AQ297" s="87" t="s">
        <v>429</v>
      </c>
      <c r="AV297" s="19">
        <f t="shared" si="302"/>
        <v>0</v>
      </c>
      <c r="AW297" s="19">
        <f t="shared" si="303"/>
        <v>0</v>
      </c>
      <c r="AX297" s="19">
        <f t="shared" si="304"/>
        <v>0</v>
      </c>
      <c r="AY297" s="87" t="s">
        <v>561</v>
      </c>
      <c r="AZ297" s="87" t="s">
        <v>682</v>
      </c>
      <c r="BA297" s="16" t="s">
        <v>683</v>
      </c>
      <c r="BC297" s="19">
        <f t="shared" si="305"/>
        <v>0</v>
      </c>
      <c r="BD297" s="19">
        <f t="shared" si="306"/>
        <v>0</v>
      </c>
      <c r="BE297" s="19">
        <v>0</v>
      </c>
      <c r="BF297" s="19">
        <f t="shared" si="307"/>
        <v>4.5999999999999999E-2</v>
      </c>
      <c r="BH297" s="19">
        <f t="shared" si="308"/>
        <v>0</v>
      </c>
      <c r="BI297" s="19">
        <f t="shared" si="309"/>
        <v>0</v>
      </c>
      <c r="BJ297" s="19">
        <f t="shared" si="310"/>
        <v>0</v>
      </c>
      <c r="BK297" s="19"/>
      <c r="BL297" s="19">
        <v>723</v>
      </c>
      <c r="BW297" s="19" t="str">
        <f t="shared" si="311"/>
        <v>12</v>
      </c>
      <c r="BX297" s="4" t="s">
        <v>193</v>
      </c>
    </row>
    <row r="298" spans="1:76" x14ac:dyDescent="0.25">
      <c r="A298" s="1" t="s">
        <v>693</v>
      </c>
      <c r="B298" s="2" t="s">
        <v>199</v>
      </c>
      <c r="C298" s="2" t="s">
        <v>195</v>
      </c>
      <c r="D298" s="108" t="s">
        <v>196</v>
      </c>
      <c r="E298" s="102"/>
      <c r="F298" s="2" t="s">
        <v>100</v>
      </c>
      <c r="G298" s="19">
        <f>'Rozpočet - vybrané sloupce'!J277</f>
        <v>23</v>
      </c>
      <c r="H298" s="19">
        <f>'Rozpočet - vybrané sloupce'!K277</f>
        <v>0</v>
      </c>
      <c r="I298" s="87" t="s">
        <v>427</v>
      </c>
      <c r="J298" s="19">
        <f t="shared" si="286"/>
        <v>0</v>
      </c>
      <c r="K298" s="19">
        <f t="shared" si="287"/>
        <v>0</v>
      </c>
      <c r="L298" s="19">
        <f t="shared" si="288"/>
        <v>0</v>
      </c>
      <c r="M298" s="19">
        <f t="shared" si="289"/>
        <v>0</v>
      </c>
      <c r="N298" s="19">
        <v>0</v>
      </c>
      <c r="O298" s="19">
        <f t="shared" si="290"/>
        <v>0</v>
      </c>
      <c r="P298" s="88" t="s">
        <v>428</v>
      </c>
      <c r="Z298" s="19">
        <f t="shared" si="291"/>
        <v>0</v>
      </c>
      <c r="AB298" s="19">
        <f t="shared" si="292"/>
        <v>0</v>
      </c>
      <c r="AC298" s="19">
        <f t="shared" si="293"/>
        <v>0</v>
      </c>
      <c r="AD298" s="19">
        <f t="shared" si="294"/>
        <v>0</v>
      </c>
      <c r="AE298" s="19">
        <f t="shared" si="295"/>
        <v>0</v>
      </c>
      <c r="AF298" s="19">
        <f t="shared" si="296"/>
        <v>0</v>
      </c>
      <c r="AG298" s="19">
        <f t="shared" si="297"/>
        <v>0</v>
      </c>
      <c r="AH298" s="19">
        <f t="shared" si="298"/>
        <v>0</v>
      </c>
      <c r="AI298" s="16" t="s">
        <v>199</v>
      </c>
      <c r="AJ298" s="19">
        <f t="shared" si="299"/>
        <v>0</v>
      </c>
      <c r="AK298" s="19">
        <f t="shared" si="300"/>
        <v>0</v>
      </c>
      <c r="AL298" s="19">
        <f t="shared" si="301"/>
        <v>0</v>
      </c>
      <c r="AN298" s="19">
        <v>12</v>
      </c>
      <c r="AO298" s="19">
        <f>H298*0</f>
        <v>0</v>
      </c>
      <c r="AP298" s="19">
        <f>H298*(1-0)</f>
        <v>0</v>
      </c>
      <c r="AQ298" s="87" t="s">
        <v>429</v>
      </c>
      <c r="AV298" s="19">
        <f t="shared" si="302"/>
        <v>0</v>
      </c>
      <c r="AW298" s="19">
        <f t="shared" si="303"/>
        <v>0</v>
      </c>
      <c r="AX298" s="19">
        <f t="shared" si="304"/>
        <v>0</v>
      </c>
      <c r="AY298" s="87" t="s">
        <v>561</v>
      </c>
      <c r="AZ298" s="87" t="s">
        <v>682</v>
      </c>
      <c r="BA298" s="16" t="s">
        <v>683</v>
      </c>
      <c r="BC298" s="19">
        <f t="shared" si="305"/>
        <v>0</v>
      </c>
      <c r="BD298" s="19">
        <f t="shared" si="306"/>
        <v>0</v>
      </c>
      <c r="BE298" s="19">
        <v>0</v>
      </c>
      <c r="BF298" s="19">
        <f t="shared" si="307"/>
        <v>0</v>
      </c>
      <c r="BH298" s="19">
        <f t="shared" si="308"/>
        <v>0</v>
      </c>
      <c r="BI298" s="19">
        <f t="shared" si="309"/>
        <v>0</v>
      </c>
      <c r="BJ298" s="19">
        <f t="shared" si="310"/>
        <v>0</v>
      </c>
      <c r="BK298" s="19"/>
      <c r="BL298" s="19">
        <v>723</v>
      </c>
      <c r="BW298" s="19" t="str">
        <f t="shared" si="311"/>
        <v>12</v>
      </c>
      <c r="BX298" s="4" t="s">
        <v>196</v>
      </c>
    </row>
    <row r="299" spans="1:76" x14ac:dyDescent="0.25">
      <c r="A299" s="1" t="s">
        <v>694</v>
      </c>
      <c r="B299" s="2" t="s">
        <v>199</v>
      </c>
      <c r="C299" s="2" t="s">
        <v>164</v>
      </c>
      <c r="D299" s="108" t="s">
        <v>165</v>
      </c>
      <c r="E299" s="102"/>
      <c r="F299" s="2" t="s">
        <v>95</v>
      </c>
      <c r="G299" s="19">
        <f>'Rozpočet - vybrané sloupce'!J278</f>
        <v>0.2</v>
      </c>
      <c r="H299" s="19">
        <f>'Rozpočet - vybrané sloupce'!K278</f>
        <v>0</v>
      </c>
      <c r="I299" s="87" t="s">
        <v>427</v>
      </c>
      <c r="J299" s="19">
        <f t="shared" si="286"/>
        <v>0</v>
      </c>
      <c r="K299" s="19">
        <f t="shared" si="287"/>
        <v>0</v>
      </c>
      <c r="L299" s="19">
        <f t="shared" si="288"/>
        <v>0</v>
      </c>
      <c r="M299" s="19">
        <f t="shared" si="289"/>
        <v>0</v>
      </c>
      <c r="N299" s="19">
        <v>0</v>
      </c>
      <c r="O299" s="19">
        <f t="shared" si="290"/>
        <v>0</v>
      </c>
      <c r="P299" s="88" t="s">
        <v>428</v>
      </c>
      <c r="Z299" s="19">
        <f t="shared" si="291"/>
        <v>0</v>
      </c>
      <c r="AB299" s="19">
        <f t="shared" si="292"/>
        <v>0</v>
      </c>
      <c r="AC299" s="19">
        <f t="shared" si="293"/>
        <v>0</v>
      </c>
      <c r="AD299" s="19">
        <f t="shared" si="294"/>
        <v>0</v>
      </c>
      <c r="AE299" s="19">
        <f t="shared" si="295"/>
        <v>0</v>
      </c>
      <c r="AF299" s="19">
        <f t="shared" si="296"/>
        <v>0</v>
      </c>
      <c r="AG299" s="19">
        <f t="shared" si="297"/>
        <v>0</v>
      </c>
      <c r="AH299" s="19">
        <f t="shared" si="298"/>
        <v>0</v>
      </c>
      <c r="AI299" s="16" t="s">
        <v>199</v>
      </c>
      <c r="AJ299" s="19">
        <f t="shared" si="299"/>
        <v>0</v>
      </c>
      <c r="AK299" s="19">
        <f t="shared" si="300"/>
        <v>0</v>
      </c>
      <c r="AL299" s="19">
        <f t="shared" si="301"/>
        <v>0</v>
      </c>
      <c r="AN299" s="19">
        <v>12</v>
      </c>
      <c r="AO299" s="19">
        <f>H299*0</f>
        <v>0</v>
      </c>
      <c r="AP299" s="19">
        <f>H299*(1-0)</f>
        <v>0</v>
      </c>
      <c r="AQ299" s="87" t="s">
        <v>429</v>
      </c>
      <c r="AV299" s="19">
        <f t="shared" si="302"/>
        <v>0</v>
      </c>
      <c r="AW299" s="19">
        <f t="shared" si="303"/>
        <v>0</v>
      </c>
      <c r="AX299" s="19">
        <f t="shared" si="304"/>
        <v>0</v>
      </c>
      <c r="AY299" s="87" t="s">
        <v>561</v>
      </c>
      <c r="AZ299" s="87" t="s">
        <v>682</v>
      </c>
      <c r="BA299" s="16" t="s">
        <v>683</v>
      </c>
      <c r="BC299" s="19">
        <f t="shared" si="305"/>
        <v>0</v>
      </c>
      <c r="BD299" s="19">
        <f t="shared" si="306"/>
        <v>0</v>
      </c>
      <c r="BE299" s="19">
        <v>0</v>
      </c>
      <c r="BF299" s="19">
        <f t="shared" si="307"/>
        <v>0</v>
      </c>
      <c r="BH299" s="19">
        <f t="shared" si="308"/>
        <v>0</v>
      </c>
      <c r="BI299" s="19">
        <f t="shared" si="309"/>
        <v>0</v>
      </c>
      <c r="BJ299" s="19">
        <f t="shared" si="310"/>
        <v>0</v>
      </c>
      <c r="BK299" s="19"/>
      <c r="BL299" s="19">
        <v>723</v>
      </c>
      <c r="BW299" s="19" t="str">
        <f t="shared" si="311"/>
        <v>12</v>
      </c>
      <c r="BX299" s="4" t="s">
        <v>165</v>
      </c>
    </row>
    <row r="300" spans="1:76" x14ac:dyDescent="0.25">
      <c r="A300" s="1" t="s">
        <v>695</v>
      </c>
      <c r="B300" s="2" t="s">
        <v>199</v>
      </c>
      <c r="C300" s="2" t="s">
        <v>166</v>
      </c>
      <c r="D300" s="108" t="s">
        <v>167</v>
      </c>
      <c r="E300" s="102"/>
      <c r="F300" s="2" t="s">
        <v>51</v>
      </c>
      <c r="G300" s="19">
        <f>'Rozpočet - vybrané sloupce'!J279</f>
        <v>2262</v>
      </c>
      <c r="H300" s="19">
        <f>'Rozpočet - vybrané sloupce'!K279</f>
        <v>0</v>
      </c>
      <c r="I300" s="87" t="s">
        <v>427</v>
      </c>
      <c r="J300" s="19">
        <f t="shared" si="286"/>
        <v>0</v>
      </c>
      <c r="K300" s="19">
        <f t="shared" si="287"/>
        <v>0</v>
      </c>
      <c r="L300" s="19">
        <f t="shared" si="288"/>
        <v>0</v>
      </c>
      <c r="M300" s="19">
        <f t="shared" si="289"/>
        <v>0</v>
      </c>
      <c r="N300" s="19">
        <v>0</v>
      </c>
      <c r="O300" s="19">
        <f t="shared" si="290"/>
        <v>0</v>
      </c>
      <c r="P300" s="88" t="s">
        <v>428</v>
      </c>
      <c r="Z300" s="19">
        <f t="shared" si="291"/>
        <v>0</v>
      </c>
      <c r="AB300" s="19">
        <f t="shared" si="292"/>
        <v>0</v>
      </c>
      <c r="AC300" s="19">
        <f t="shared" si="293"/>
        <v>0</v>
      </c>
      <c r="AD300" s="19">
        <f t="shared" si="294"/>
        <v>0</v>
      </c>
      <c r="AE300" s="19">
        <f t="shared" si="295"/>
        <v>0</v>
      </c>
      <c r="AF300" s="19">
        <f t="shared" si="296"/>
        <v>0</v>
      </c>
      <c r="AG300" s="19">
        <f t="shared" si="297"/>
        <v>0</v>
      </c>
      <c r="AH300" s="19">
        <f t="shared" si="298"/>
        <v>0</v>
      </c>
      <c r="AI300" s="16" t="s">
        <v>199</v>
      </c>
      <c r="AJ300" s="19">
        <f t="shared" si="299"/>
        <v>0</v>
      </c>
      <c r="AK300" s="19">
        <f t="shared" si="300"/>
        <v>0</v>
      </c>
      <c r="AL300" s="19">
        <f t="shared" si="301"/>
        <v>0</v>
      </c>
      <c r="AN300" s="19">
        <v>12</v>
      </c>
      <c r="AO300" s="19">
        <f>H300*0</f>
        <v>0</v>
      </c>
      <c r="AP300" s="19">
        <f>H300*(1-0)</f>
        <v>0</v>
      </c>
      <c r="AQ300" s="87" t="s">
        <v>436</v>
      </c>
      <c r="AV300" s="19">
        <f t="shared" si="302"/>
        <v>0</v>
      </c>
      <c r="AW300" s="19">
        <f t="shared" si="303"/>
        <v>0</v>
      </c>
      <c r="AX300" s="19">
        <f t="shared" si="304"/>
        <v>0</v>
      </c>
      <c r="AY300" s="87" t="s">
        <v>561</v>
      </c>
      <c r="AZ300" s="87" t="s">
        <v>682</v>
      </c>
      <c r="BA300" s="16" t="s">
        <v>683</v>
      </c>
      <c r="BC300" s="19">
        <f t="shared" si="305"/>
        <v>0</v>
      </c>
      <c r="BD300" s="19">
        <f t="shared" si="306"/>
        <v>0</v>
      </c>
      <c r="BE300" s="19">
        <v>0</v>
      </c>
      <c r="BF300" s="19">
        <f t="shared" si="307"/>
        <v>0</v>
      </c>
      <c r="BH300" s="19">
        <f t="shared" si="308"/>
        <v>0</v>
      </c>
      <c r="BI300" s="19">
        <f t="shared" si="309"/>
        <v>0</v>
      </c>
      <c r="BJ300" s="19">
        <f t="shared" si="310"/>
        <v>0</v>
      </c>
      <c r="BK300" s="19"/>
      <c r="BL300" s="19">
        <v>723</v>
      </c>
      <c r="BW300" s="19" t="str">
        <f t="shared" si="311"/>
        <v>12</v>
      </c>
      <c r="BX300" s="4" t="s">
        <v>167</v>
      </c>
    </row>
    <row r="301" spans="1:76" x14ac:dyDescent="0.25">
      <c r="A301" s="84" t="s">
        <v>25</v>
      </c>
      <c r="B301" s="15" t="s">
        <v>201</v>
      </c>
      <c r="C301" s="15" t="s">
        <v>25</v>
      </c>
      <c r="D301" s="115" t="s">
        <v>202</v>
      </c>
      <c r="E301" s="116"/>
      <c r="F301" s="85" t="s">
        <v>23</v>
      </c>
      <c r="G301" s="85" t="s">
        <v>23</v>
      </c>
      <c r="H301" s="85" t="s">
        <v>23</v>
      </c>
      <c r="I301" s="85" t="s">
        <v>23</v>
      </c>
      <c r="J301" s="60">
        <f>J302+J312+J314+J316+J321+J330+J333+J335+J337+J339+J349</f>
        <v>0</v>
      </c>
      <c r="K301" s="60">
        <f>K302+K312+K314+K316+K321+K330+K333+K335+K337+K339+K349</f>
        <v>0</v>
      </c>
      <c r="L301" s="60">
        <f>L302+L312+L314+L316+L321+L330+L333+L335+L337+L339+L349</f>
        <v>0</v>
      </c>
      <c r="M301" s="60">
        <f>M302+M312+M314+M316+M321+M330+M333+M335+M337+M339+M349</f>
        <v>0</v>
      </c>
      <c r="N301" s="16" t="s">
        <v>25</v>
      </c>
      <c r="O301" s="60">
        <f>O302+O312+O314+O316+O321+O330+O333+O335+O337+O339+O349</f>
        <v>10.346058000000001</v>
      </c>
      <c r="P301" s="86" t="s">
        <v>25</v>
      </c>
    </row>
    <row r="302" spans="1:76" x14ac:dyDescent="0.25">
      <c r="A302" s="84" t="s">
        <v>25</v>
      </c>
      <c r="B302" s="15" t="s">
        <v>201</v>
      </c>
      <c r="C302" s="15" t="s">
        <v>203</v>
      </c>
      <c r="D302" s="115" t="s">
        <v>204</v>
      </c>
      <c r="E302" s="116"/>
      <c r="F302" s="85" t="s">
        <v>23</v>
      </c>
      <c r="G302" s="85" t="s">
        <v>23</v>
      </c>
      <c r="H302" s="85" t="s">
        <v>23</v>
      </c>
      <c r="I302" s="85" t="s">
        <v>23</v>
      </c>
      <c r="J302" s="60">
        <f>SUM(J303:J311)</f>
        <v>0</v>
      </c>
      <c r="K302" s="60">
        <f>SUM(K303:K311)</f>
        <v>0</v>
      </c>
      <c r="L302" s="60">
        <f>SUM(L303:L311)</f>
        <v>0</v>
      </c>
      <c r="M302" s="60">
        <f>SUM(M303:M311)</f>
        <v>0</v>
      </c>
      <c r="N302" s="16" t="s">
        <v>25</v>
      </c>
      <c r="O302" s="60">
        <f>SUM(O303:O311)</f>
        <v>0.62731199999999998</v>
      </c>
      <c r="P302" s="86" t="s">
        <v>25</v>
      </c>
      <c r="AI302" s="16" t="s">
        <v>201</v>
      </c>
      <c r="AS302" s="60">
        <f>SUM(AJ303:AJ311)</f>
        <v>0</v>
      </c>
      <c r="AT302" s="60">
        <f>SUM(AK303:AK311)</f>
        <v>0</v>
      </c>
      <c r="AU302" s="60">
        <f>SUM(AL303:AL311)</f>
        <v>0</v>
      </c>
    </row>
    <row r="303" spans="1:76" x14ac:dyDescent="0.25">
      <c r="A303" s="1" t="s">
        <v>696</v>
      </c>
      <c r="B303" s="2" t="s">
        <v>201</v>
      </c>
      <c r="C303" s="2" t="s">
        <v>205</v>
      </c>
      <c r="D303" s="108" t="s">
        <v>206</v>
      </c>
      <c r="E303" s="102"/>
      <c r="F303" s="2" t="s">
        <v>100</v>
      </c>
      <c r="G303" s="19">
        <f>'Rozpočet - vybrané sloupce'!J282</f>
        <v>24</v>
      </c>
      <c r="H303" s="19">
        <f>'Rozpočet - vybrané sloupce'!K282</f>
        <v>0</v>
      </c>
      <c r="I303" s="87" t="s">
        <v>427</v>
      </c>
      <c r="J303" s="19">
        <f>G303*AO303</f>
        <v>0</v>
      </c>
      <c r="K303" s="19">
        <f>G303*AP303</f>
        <v>0</v>
      </c>
      <c r="L303" s="19">
        <f>G303*H303</f>
        <v>0</v>
      </c>
      <c r="M303" s="19">
        <f>L303*(1+BW303/100)</f>
        <v>0</v>
      </c>
      <c r="N303" s="19">
        <v>0</v>
      </c>
      <c r="O303" s="19">
        <f>G303*N303</f>
        <v>0</v>
      </c>
      <c r="P303" s="88" t="s">
        <v>697</v>
      </c>
      <c r="Z303" s="19">
        <f>IF(AQ303="5",BJ303,0)</f>
        <v>0</v>
      </c>
      <c r="AB303" s="19">
        <f>IF(AQ303="1",BH303,0)</f>
        <v>0</v>
      </c>
      <c r="AC303" s="19">
        <f>IF(AQ303="1",BI303,0)</f>
        <v>0</v>
      </c>
      <c r="AD303" s="19">
        <f>IF(AQ303="7",BH303,0)</f>
        <v>0</v>
      </c>
      <c r="AE303" s="19">
        <f>IF(AQ303="7",BI303,0)</f>
        <v>0</v>
      </c>
      <c r="AF303" s="19">
        <f>IF(AQ303="2",BH303,0)</f>
        <v>0</v>
      </c>
      <c r="AG303" s="19">
        <f>IF(AQ303="2",BI303,0)</f>
        <v>0</v>
      </c>
      <c r="AH303" s="19">
        <f>IF(AQ303="0",BJ303,0)</f>
        <v>0</v>
      </c>
      <c r="AI303" s="16" t="s">
        <v>201</v>
      </c>
      <c r="AJ303" s="19">
        <f>IF(AN303=0,L303,0)</f>
        <v>0</v>
      </c>
      <c r="AK303" s="19">
        <f>IF(AN303=12,L303,0)</f>
        <v>0</v>
      </c>
      <c r="AL303" s="19">
        <f>IF(AN303=21,L303,0)</f>
        <v>0</v>
      </c>
      <c r="AN303" s="19">
        <v>12</v>
      </c>
      <c r="AO303" s="19">
        <f>H303*0</f>
        <v>0</v>
      </c>
      <c r="AP303" s="19">
        <f>H303*(1-0)</f>
        <v>0</v>
      </c>
      <c r="AQ303" s="87" t="s">
        <v>426</v>
      </c>
      <c r="AV303" s="19">
        <f>AW303+AX303</f>
        <v>0</v>
      </c>
      <c r="AW303" s="19">
        <f>G303*AO303</f>
        <v>0</v>
      </c>
      <c r="AX303" s="19">
        <f>G303*AP303</f>
        <v>0</v>
      </c>
      <c r="AY303" s="87" t="s">
        <v>698</v>
      </c>
      <c r="AZ303" s="87" t="s">
        <v>699</v>
      </c>
      <c r="BA303" s="16" t="s">
        <v>700</v>
      </c>
      <c r="BC303" s="19">
        <f>AW303+AX303</f>
        <v>0</v>
      </c>
      <c r="BD303" s="19">
        <f>H303/(100-BE303)*100</f>
        <v>0</v>
      </c>
      <c r="BE303" s="19">
        <v>0</v>
      </c>
      <c r="BF303" s="19">
        <f>O303</f>
        <v>0</v>
      </c>
      <c r="BH303" s="19">
        <f>G303*AO303</f>
        <v>0</v>
      </c>
      <c r="BI303" s="19">
        <f>G303*AP303</f>
        <v>0</v>
      </c>
      <c r="BJ303" s="19">
        <f>G303*H303</f>
        <v>0</v>
      </c>
      <c r="BK303" s="19"/>
      <c r="BL303" s="19">
        <v>34</v>
      </c>
      <c r="BW303" s="19" t="str">
        <f>I303</f>
        <v>12</v>
      </c>
      <c r="BX303" s="4" t="s">
        <v>206</v>
      </c>
    </row>
    <row r="304" spans="1:76" x14ac:dyDescent="0.25">
      <c r="A304" s="1" t="s">
        <v>701</v>
      </c>
      <c r="B304" s="2" t="s">
        <v>201</v>
      </c>
      <c r="C304" s="2" t="s">
        <v>207</v>
      </c>
      <c r="D304" s="108" t="s">
        <v>208</v>
      </c>
      <c r="E304" s="102"/>
      <c r="F304" s="2" t="s">
        <v>100</v>
      </c>
      <c r="G304" s="19">
        <f>'Rozpočet - vybrané sloupce'!J283</f>
        <v>24</v>
      </c>
      <c r="H304" s="19">
        <f>'Rozpočet - vybrané sloupce'!K283</f>
        <v>0</v>
      </c>
      <c r="I304" s="87" t="s">
        <v>427</v>
      </c>
      <c r="J304" s="19">
        <f>G304*AO304</f>
        <v>0</v>
      </c>
      <c r="K304" s="19">
        <f>G304*AP304</f>
        <v>0</v>
      </c>
      <c r="L304" s="19">
        <f>G304*H304</f>
        <v>0</v>
      </c>
      <c r="M304" s="19">
        <f>L304*(1+BW304/100)</f>
        <v>0</v>
      </c>
      <c r="N304" s="19">
        <v>0</v>
      </c>
      <c r="O304" s="19">
        <f>G304*N304</f>
        <v>0</v>
      </c>
      <c r="P304" s="88" t="s">
        <v>428</v>
      </c>
      <c r="Z304" s="19">
        <f>IF(AQ304="5",BJ304,0)</f>
        <v>0</v>
      </c>
      <c r="AB304" s="19">
        <f>IF(AQ304="1",BH304,0)</f>
        <v>0</v>
      </c>
      <c r="AC304" s="19">
        <f>IF(AQ304="1",BI304,0)</f>
        <v>0</v>
      </c>
      <c r="AD304" s="19">
        <f>IF(AQ304="7",BH304,0)</f>
        <v>0</v>
      </c>
      <c r="AE304" s="19">
        <f>IF(AQ304="7",BI304,0)</f>
        <v>0</v>
      </c>
      <c r="AF304" s="19">
        <f>IF(AQ304="2",BH304,0)</f>
        <v>0</v>
      </c>
      <c r="AG304" s="19">
        <f>IF(AQ304="2",BI304,0)</f>
        <v>0</v>
      </c>
      <c r="AH304" s="19">
        <f>IF(AQ304="0",BJ304,0)</f>
        <v>0</v>
      </c>
      <c r="AI304" s="16" t="s">
        <v>201</v>
      </c>
      <c r="AJ304" s="19">
        <f>IF(AN304=0,L304,0)</f>
        <v>0</v>
      </c>
      <c r="AK304" s="19">
        <f>IF(AN304=12,L304,0)</f>
        <v>0</v>
      </c>
      <c r="AL304" s="19">
        <f>IF(AN304=21,L304,0)</f>
        <v>0</v>
      </c>
      <c r="AN304" s="19">
        <v>12</v>
      </c>
      <c r="AO304" s="19">
        <f>H304*0</f>
        <v>0</v>
      </c>
      <c r="AP304" s="19">
        <f>H304*(1-0)</f>
        <v>0</v>
      </c>
      <c r="AQ304" s="87" t="s">
        <v>426</v>
      </c>
      <c r="AV304" s="19">
        <f>AW304+AX304</f>
        <v>0</v>
      </c>
      <c r="AW304" s="19">
        <f>G304*AO304</f>
        <v>0</v>
      </c>
      <c r="AX304" s="19">
        <f>G304*AP304</f>
        <v>0</v>
      </c>
      <c r="AY304" s="87" t="s">
        <v>698</v>
      </c>
      <c r="AZ304" s="87" t="s">
        <v>699</v>
      </c>
      <c r="BA304" s="16" t="s">
        <v>700</v>
      </c>
      <c r="BC304" s="19">
        <f>AW304+AX304</f>
        <v>0</v>
      </c>
      <c r="BD304" s="19">
        <f>H304/(100-BE304)*100</f>
        <v>0</v>
      </c>
      <c r="BE304" s="19">
        <v>0</v>
      </c>
      <c r="BF304" s="19">
        <f>O304</f>
        <v>0</v>
      </c>
      <c r="BH304" s="19">
        <f>G304*AO304</f>
        <v>0</v>
      </c>
      <c r="BI304" s="19">
        <f>G304*AP304</f>
        <v>0</v>
      </c>
      <c r="BJ304" s="19">
        <f>G304*H304</f>
        <v>0</v>
      </c>
      <c r="BK304" s="19"/>
      <c r="BL304" s="19">
        <v>34</v>
      </c>
      <c r="BW304" s="19" t="str">
        <f>I304</f>
        <v>12</v>
      </c>
      <c r="BX304" s="4" t="s">
        <v>208</v>
      </c>
    </row>
    <row r="305" spans="1:76" x14ac:dyDescent="0.25">
      <c r="A305" s="1" t="s">
        <v>702</v>
      </c>
      <c r="B305" s="2" t="s">
        <v>201</v>
      </c>
      <c r="C305" s="2" t="s">
        <v>209</v>
      </c>
      <c r="D305" s="108" t="s">
        <v>210</v>
      </c>
      <c r="E305" s="102"/>
      <c r="F305" s="2" t="s">
        <v>62</v>
      </c>
      <c r="G305" s="19">
        <f>'Rozpočet - vybrané sloupce'!J284</f>
        <v>24</v>
      </c>
      <c r="H305" s="19">
        <f>'Rozpočet - vybrané sloupce'!K284</f>
        <v>0</v>
      </c>
      <c r="I305" s="87" t="s">
        <v>427</v>
      </c>
      <c r="J305" s="19">
        <f>G305*AO305</f>
        <v>0</v>
      </c>
      <c r="K305" s="19">
        <f>G305*AP305</f>
        <v>0</v>
      </c>
      <c r="L305" s="19">
        <f>G305*H305</f>
        <v>0</v>
      </c>
      <c r="M305" s="19">
        <f>L305*(1+BW305/100)</f>
        <v>0</v>
      </c>
      <c r="N305" s="19">
        <v>0</v>
      </c>
      <c r="O305" s="19">
        <f>G305*N305</f>
        <v>0</v>
      </c>
      <c r="P305" s="88" t="s">
        <v>428</v>
      </c>
      <c r="Z305" s="19">
        <f>IF(AQ305="5",BJ305,0)</f>
        <v>0</v>
      </c>
      <c r="AB305" s="19">
        <f>IF(AQ305="1",BH305,0)</f>
        <v>0</v>
      </c>
      <c r="AC305" s="19">
        <f>IF(AQ305="1",BI305,0)</f>
        <v>0</v>
      </c>
      <c r="AD305" s="19">
        <f>IF(AQ305="7",BH305,0)</f>
        <v>0</v>
      </c>
      <c r="AE305" s="19">
        <f>IF(AQ305="7",BI305,0)</f>
        <v>0</v>
      </c>
      <c r="AF305" s="19">
        <f>IF(AQ305="2",BH305,0)</f>
        <v>0</v>
      </c>
      <c r="AG305" s="19">
        <f>IF(AQ305="2",BI305,0)</f>
        <v>0</v>
      </c>
      <c r="AH305" s="19">
        <f>IF(AQ305="0",BJ305,0)</f>
        <v>0</v>
      </c>
      <c r="AI305" s="16" t="s">
        <v>201</v>
      </c>
      <c r="AJ305" s="19">
        <f>IF(AN305=0,L305,0)</f>
        <v>0</v>
      </c>
      <c r="AK305" s="19">
        <f>IF(AN305=12,L305,0)</f>
        <v>0</v>
      </c>
      <c r="AL305" s="19">
        <f>IF(AN305=21,L305,0)</f>
        <v>0</v>
      </c>
      <c r="AN305" s="19">
        <v>12</v>
      </c>
      <c r="AO305" s="19">
        <f>H305*1</f>
        <v>0</v>
      </c>
      <c r="AP305" s="19">
        <f>H305*(1-1)</f>
        <v>0</v>
      </c>
      <c r="AQ305" s="87" t="s">
        <v>426</v>
      </c>
      <c r="AV305" s="19">
        <f>AW305+AX305</f>
        <v>0</v>
      </c>
      <c r="AW305" s="19">
        <f>G305*AO305</f>
        <v>0</v>
      </c>
      <c r="AX305" s="19">
        <f>G305*AP305</f>
        <v>0</v>
      </c>
      <c r="AY305" s="87" t="s">
        <v>698</v>
      </c>
      <c r="AZ305" s="87" t="s">
        <v>699</v>
      </c>
      <c r="BA305" s="16" t="s">
        <v>700</v>
      </c>
      <c r="BC305" s="19">
        <f>AW305+AX305</f>
        <v>0</v>
      </c>
      <c r="BD305" s="19">
        <f>H305/(100-BE305)*100</f>
        <v>0</v>
      </c>
      <c r="BE305" s="19">
        <v>0</v>
      </c>
      <c r="BF305" s="19">
        <f>O305</f>
        <v>0</v>
      </c>
      <c r="BH305" s="19">
        <f>G305*AO305</f>
        <v>0</v>
      </c>
      <c r="BI305" s="19">
        <f>G305*AP305</f>
        <v>0</v>
      </c>
      <c r="BJ305" s="19">
        <f>G305*H305</f>
        <v>0</v>
      </c>
      <c r="BK305" s="19"/>
      <c r="BL305" s="19">
        <v>34</v>
      </c>
      <c r="BW305" s="19" t="str">
        <f>I305</f>
        <v>12</v>
      </c>
      <c r="BX305" s="4" t="s">
        <v>210</v>
      </c>
    </row>
    <row r="306" spans="1:76" x14ac:dyDescent="0.25">
      <c r="A306" s="1" t="s">
        <v>703</v>
      </c>
      <c r="B306" s="2" t="s">
        <v>201</v>
      </c>
      <c r="C306" s="2" t="s">
        <v>211</v>
      </c>
      <c r="D306" s="108" t="s">
        <v>212</v>
      </c>
      <c r="E306" s="102"/>
      <c r="F306" s="2" t="s">
        <v>62</v>
      </c>
      <c r="G306" s="19">
        <f>'Rozpočet - vybrané sloupce'!J285</f>
        <v>24</v>
      </c>
      <c r="H306" s="19">
        <f>'Rozpočet - vybrané sloupce'!K285</f>
        <v>0</v>
      </c>
      <c r="I306" s="87" t="s">
        <v>427</v>
      </c>
      <c r="J306" s="19">
        <f>G306*AO306</f>
        <v>0</v>
      </c>
      <c r="K306" s="19">
        <f>G306*AP306</f>
        <v>0</v>
      </c>
      <c r="L306" s="19">
        <f>G306*H306</f>
        <v>0</v>
      </c>
      <c r="M306" s="19">
        <f>L306*(1+BW306/100)</f>
        <v>0</v>
      </c>
      <c r="N306" s="19">
        <v>2.4000000000000001E-4</v>
      </c>
      <c r="O306" s="19">
        <f>G306*N306</f>
        <v>5.7600000000000004E-3</v>
      </c>
      <c r="P306" s="88" t="s">
        <v>428</v>
      </c>
      <c r="Z306" s="19">
        <f>IF(AQ306="5",BJ306,0)</f>
        <v>0</v>
      </c>
      <c r="AB306" s="19">
        <f>IF(AQ306="1",BH306,0)</f>
        <v>0</v>
      </c>
      <c r="AC306" s="19">
        <f>IF(AQ306="1",BI306,0)</f>
        <v>0</v>
      </c>
      <c r="AD306" s="19">
        <f>IF(AQ306="7",BH306,0)</f>
        <v>0</v>
      </c>
      <c r="AE306" s="19">
        <f>IF(AQ306="7",BI306,0)</f>
        <v>0</v>
      </c>
      <c r="AF306" s="19">
        <f>IF(AQ306="2",BH306,0)</f>
        <v>0</v>
      </c>
      <c r="AG306" s="19">
        <f>IF(AQ306="2",BI306,0)</f>
        <v>0</v>
      </c>
      <c r="AH306" s="19">
        <f>IF(AQ306="0",BJ306,0)</f>
        <v>0</v>
      </c>
      <c r="AI306" s="16" t="s">
        <v>201</v>
      </c>
      <c r="AJ306" s="19">
        <f>IF(AN306=0,L306,0)</f>
        <v>0</v>
      </c>
      <c r="AK306" s="19">
        <f>IF(AN306=12,L306,0)</f>
        <v>0</v>
      </c>
      <c r="AL306" s="19">
        <f>IF(AN306=21,L306,0)</f>
        <v>0</v>
      </c>
      <c r="AN306" s="19">
        <v>12</v>
      </c>
      <c r="AO306" s="19">
        <f>H306*0.022541149</f>
        <v>0</v>
      </c>
      <c r="AP306" s="19">
        <f>H306*(1-0.022541149)</f>
        <v>0</v>
      </c>
      <c r="AQ306" s="87" t="s">
        <v>426</v>
      </c>
      <c r="AV306" s="19">
        <f>AW306+AX306</f>
        <v>0</v>
      </c>
      <c r="AW306" s="19">
        <f>G306*AO306</f>
        <v>0</v>
      </c>
      <c r="AX306" s="19">
        <f>G306*AP306</f>
        <v>0</v>
      </c>
      <c r="AY306" s="87" t="s">
        <v>698</v>
      </c>
      <c r="AZ306" s="87" t="s">
        <v>699</v>
      </c>
      <c r="BA306" s="16" t="s">
        <v>700</v>
      </c>
      <c r="BC306" s="19">
        <f>AW306+AX306</f>
        <v>0</v>
      </c>
      <c r="BD306" s="19">
        <f>H306/(100-BE306)*100</f>
        <v>0</v>
      </c>
      <c r="BE306" s="19">
        <v>0</v>
      </c>
      <c r="BF306" s="19">
        <f>O306</f>
        <v>5.7600000000000004E-3</v>
      </c>
      <c r="BH306" s="19">
        <f>G306*AO306</f>
        <v>0</v>
      </c>
      <c r="BI306" s="19">
        <f>G306*AP306</f>
        <v>0</v>
      </c>
      <c r="BJ306" s="19">
        <f>G306*H306</f>
        <v>0</v>
      </c>
      <c r="BK306" s="19"/>
      <c r="BL306" s="19">
        <v>34</v>
      </c>
      <c r="BW306" s="19" t="str">
        <f>I306</f>
        <v>12</v>
      </c>
      <c r="BX306" s="4" t="s">
        <v>212</v>
      </c>
    </row>
    <row r="307" spans="1:76" ht="38.25" x14ac:dyDescent="0.25">
      <c r="A307" s="89"/>
      <c r="C307" s="90" t="s">
        <v>437</v>
      </c>
      <c r="D307" s="187" t="s">
        <v>704</v>
      </c>
      <c r="E307" s="188"/>
      <c r="F307" s="188"/>
      <c r="G307" s="188"/>
      <c r="H307" s="188"/>
      <c r="I307" s="188"/>
      <c r="J307" s="188"/>
      <c r="K307" s="188"/>
      <c r="L307" s="188"/>
      <c r="M307" s="188"/>
      <c r="N307" s="188"/>
      <c r="O307" s="188"/>
      <c r="P307" s="189"/>
      <c r="BX307" s="91" t="s">
        <v>704</v>
      </c>
    </row>
    <row r="308" spans="1:76" x14ac:dyDescent="0.25">
      <c r="A308" s="1" t="s">
        <v>705</v>
      </c>
      <c r="B308" s="2" t="s">
        <v>201</v>
      </c>
      <c r="C308" s="2" t="s">
        <v>213</v>
      </c>
      <c r="D308" s="108" t="s">
        <v>214</v>
      </c>
      <c r="E308" s="102"/>
      <c r="F308" s="2" t="s">
        <v>62</v>
      </c>
      <c r="G308" s="19">
        <f>'Rozpočet - vybrané sloupce'!J286</f>
        <v>24</v>
      </c>
      <c r="H308" s="19">
        <f>'Rozpočet - vybrané sloupce'!K286</f>
        <v>0</v>
      </c>
      <c r="I308" s="87" t="s">
        <v>427</v>
      </c>
      <c r="J308" s="19">
        <f>G308*AO308</f>
        <v>0</v>
      </c>
      <c r="K308" s="19">
        <f>G308*AP308</f>
        <v>0</v>
      </c>
      <c r="L308" s="19">
        <f>G308*H308</f>
        <v>0</v>
      </c>
      <c r="M308" s="19">
        <f>L308*(1+BW308/100)</f>
        <v>0</v>
      </c>
      <c r="N308" s="19">
        <v>0</v>
      </c>
      <c r="O308" s="19">
        <f>G308*N308</f>
        <v>0</v>
      </c>
      <c r="P308" s="88" t="s">
        <v>428</v>
      </c>
      <c r="Z308" s="19">
        <f>IF(AQ308="5",BJ308,0)</f>
        <v>0</v>
      </c>
      <c r="AB308" s="19">
        <f>IF(AQ308="1",BH308,0)</f>
        <v>0</v>
      </c>
      <c r="AC308" s="19">
        <f>IF(AQ308="1",BI308,0)</f>
        <v>0</v>
      </c>
      <c r="AD308" s="19">
        <f>IF(AQ308="7",BH308,0)</f>
        <v>0</v>
      </c>
      <c r="AE308" s="19">
        <f>IF(AQ308="7",BI308,0)</f>
        <v>0</v>
      </c>
      <c r="AF308" s="19">
        <f>IF(AQ308="2",BH308,0)</f>
        <v>0</v>
      </c>
      <c r="AG308" s="19">
        <f>IF(AQ308="2",BI308,0)</f>
        <v>0</v>
      </c>
      <c r="AH308" s="19">
        <f>IF(AQ308="0",BJ308,0)</f>
        <v>0</v>
      </c>
      <c r="AI308" s="16" t="s">
        <v>201</v>
      </c>
      <c r="AJ308" s="19">
        <f>IF(AN308=0,L308,0)</f>
        <v>0</v>
      </c>
      <c r="AK308" s="19">
        <f>IF(AN308=12,L308,0)</f>
        <v>0</v>
      </c>
      <c r="AL308" s="19">
        <f>IF(AN308=21,L308,0)</f>
        <v>0</v>
      </c>
      <c r="AN308" s="19">
        <v>12</v>
      </c>
      <c r="AO308" s="19">
        <f>H308*1</f>
        <v>0</v>
      </c>
      <c r="AP308" s="19">
        <f>H308*(1-1)</f>
        <v>0</v>
      </c>
      <c r="AQ308" s="87" t="s">
        <v>426</v>
      </c>
      <c r="AV308" s="19">
        <f>AW308+AX308</f>
        <v>0</v>
      </c>
      <c r="AW308" s="19">
        <f>G308*AO308</f>
        <v>0</v>
      </c>
      <c r="AX308" s="19">
        <f>G308*AP308</f>
        <v>0</v>
      </c>
      <c r="AY308" s="87" t="s">
        <v>698</v>
      </c>
      <c r="AZ308" s="87" t="s">
        <v>699</v>
      </c>
      <c r="BA308" s="16" t="s">
        <v>700</v>
      </c>
      <c r="BC308" s="19">
        <f>AW308+AX308</f>
        <v>0</v>
      </c>
      <c r="BD308" s="19">
        <f>H308/(100-BE308)*100</f>
        <v>0</v>
      </c>
      <c r="BE308" s="19">
        <v>0</v>
      </c>
      <c r="BF308" s="19">
        <f>O308</f>
        <v>0</v>
      </c>
      <c r="BH308" s="19">
        <f>G308*AO308</f>
        <v>0</v>
      </c>
      <c r="BI308" s="19">
        <f>G308*AP308</f>
        <v>0</v>
      </c>
      <c r="BJ308" s="19">
        <f>G308*H308</f>
        <v>0</v>
      </c>
      <c r="BK308" s="19"/>
      <c r="BL308" s="19">
        <v>34</v>
      </c>
      <c r="BW308" s="19" t="str">
        <f>I308</f>
        <v>12</v>
      </c>
      <c r="BX308" s="4" t="s">
        <v>214</v>
      </c>
    </row>
    <row r="309" spans="1:76" x14ac:dyDescent="0.25">
      <c r="A309" s="1" t="s">
        <v>706</v>
      </c>
      <c r="B309" s="2" t="s">
        <v>201</v>
      </c>
      <c r="C309" s="2" t="s">
        <v>215</v>
      </c>
      <c r="D309" s="108" t="s">
        <v>216</v>
      </c>
      <c r="E309" s="102"/>
      <c r="F309" s="2" t="s">
        <v>217</v>
      </c>
      <c r="G309" s="19">
        <f>'Rozpočet - vybrané sloupce'!J287</f>
        <v>2.4</v>
      </c>
      <c r="H309" s="19">
        <f>'Rozpočet - vybrané sloupce'!K287</f>
        <v>0</v>
      </c>
      <c r="I309" s="87" t="s">
        <v>427</v>
      </c>
      <c r="J309" s="19">
        <f>G309*AO309</f>
        <v>0</v>
      </c>
      <c r="K309" s="19">
        <f>G309*AP309</f>
        <v>0</v>
      </c>
      <c r="L309" s="19">
        <f>G309*H309</f>
        <v>0</v>
      </c>
      <c r="M309" s="19">
        <f>L309*(1+BW309/100)</f>
        <v>0</v>
      </c>
      <c r="N309" s="19">
        <v>0.25897999999999999</v>
      </c>
      <c r="O309" s="19">
        <f>G309*N309</f>
        <v>0.62155199999999999</v>
      </c>
      <c r="P309" s="88" t="s">
        <v>428</v>
      </c>
      <c r="Z309" s="19">
        <f>IF(AQ309="5",BJ309,0)</f>
        <v>0</v>
      </c>
      <c r="AB309" s="19">
        <f>IF(AQ309="1",BH309,0)</f>
        <v>0</v>
      </c>
      <c r="AC309" s="19">
        <f>IF(AQ309="1",BI309,0)</f>
        <v>0</v>
      </c>
      <c r="AD309" s="19">
        <f>IF(AQ309="7",BH309,0)</f>
        <v>0</v>
      </c>
      <c r="AE309" s="19">
        <f>IF(AQ309="7",BI309,0)</f>
        <v>0</v>
      </c>
      <c r="AF309" s="19">
        <f>IF(AQ309="2",BH309,0)</f>
        <v>0</v>
      </c>
      <c r="AG309" s="19">
        <f>IF(AQ309="2",BI309,0)</f>
        <v>0</v>
      </c>
      <c r="AH309" s="19">
        <f>IF(AQ309="0",BJ309,0)</f>
        <v>0</v>
      </c>
      <c r="AI309" s="16" t="s">
        <v>201</v>
      </c>
      <c r="AJ309" s="19">
        <f>IF(AN309=0,L309,0)</f>
        <v>0</v>
      </c>
      <c r="AK309" s="19">
        <f>IF(AN309=12,L309,0)</f>
        <v>0</v>
      </c>
      <c r="AL309" s="19">
        <f>IF(AN309=21,L309,0)</f>
        <v>0</v>
      </c>
      <c r="AN309" s="19">
        <v>12</v>
      </c>
      <c r="AO309" s="19">
        <f>H309*0.488679715</f>
        <v>0</v>
      </c>
      <c r="AP309" s="19">
        <f>H309*(1-0.488679715)</f>
        <v>0</v>
      </c>
      <c r="AQ309" s="87" t="s">
        <v>426</v>
      </c>
      <c r="AV309" s="19">
        <f>AW309+AX309</f>
        <v>0</v>
      </c>
      <c r="AW309" s="19">
        <f>G309*AO309</f>
        <v>0</v>
      </c>
      <c r="AX309" s="19">
        <f>G309*AP309</f>
        <v>0</v>
      </c>
      <c r="AY309" s="87" t="s">
        <v>698</v>
      </c>
      <c r="AZ309" s="87" t="s">
        <v>699</v>
      </c>
      <c r="BA309" s="16" t="s">
        <v>700</v>
      </c>
      <c r="BC309" s="19">
        <f>AW309+AX309</f>
        <v>0</v>
      </c>
      <c r="BD309" s="19">
        <f>H309/(100-BE309)*100</f>
        <v>0</v>
      </c>
      <c r="BE309" s="19">
        <v>0</v>
      </c>
      <c r="BF309" s="19">
        <f>O309</f>
        <v>0.62155199999999999</v>
      </c>
      <c r="BH309" s="19">
        <f>G309*AO309</f>
        <v>0</v>
      </c>
      <c r="BI309" s="19">
        <f>G309*AP309</f>
        <v>0</v>
      </c>
      <c r="BJ309" s="19">
        <f>G309*H309</f>
        <v>0</v>
      </c>
      <c r="BK309" s="19"/>
      <c r="BL309" s="19">
        <v>34</v>
      </c>
      <c r="BW309" s="19" t="str">
        <f>I309</f>
        <v>12</v>
      </c>
      <c r="BX309" s="4" t="s">
        <v>216</v>
      </c>
    </row>
    <row r="310" spans="1:76" ht="25.5" x14ac:dyDescent="0.25">
      <c r="A310" s="89"/>
      <c r="C310" s="90" t="s">
        <v>437</v>
      </c>
      <c r="D310" s="187" t="s">
        <v>707</v>
      </c>
      <c r="E310" s="188"/>
      <c r="F310" s="188"/>
      <c r="G310" s="188"/>
      <c r="H310" s="188"/>
      <c r="I310" s="188"/>
      <c r="J310" s="188"/>
      <c r="K310" s="188"/>
      <c r="L310" s="188"/>
      <c r="M310" s="188"/>
      <c r="N310" s="188"/>
      <c r="O310" s="188"/>
      <c r="P310" s="189"/>
      <c r="BX310" s="91" t="s">
        <v>707</v>
      </c>
    </row>
    <row r="311" spans="1:76" x14ac:dyDescent="0.25">
      <c r="A311" s="1" t="s">
        <v>708</v>
      </c>
      <c r="B311" s="2" t="s">
        <v>201</v>
      </c>
      <c r="C311" s="2" t="s">
        <v>218</v>
      </c>
      <c r="D311" s="108" t="s">
        <v>219</v>
      </c>
      <c r="E311" s="102"/>
      <c r="F311" s="2" t="s">
        <v>95</v>
      </c>
      <c r="G311" s="19">
        <f>'Rozpočet - vybrané sloupce'!J288</f>
        <v>0.8</v>
      </c>
      <c r="H311" s="19">
        <f>'Rozpočet - vybrané sloupce'!K288</f>
        <v>0</v>
      </c>
      <c r="I311" s="87" t="s">
        <v>427</v>
      </c>
      <c r="J311" s="19">
        <f>G311*AO311</f>
        <v>0</v>
      </c>
      <c r="K311" s="19">
        <f>G311*AP311</f>
        <v>0</v>
      </c>
      <c r="L311" s="19">
        <f>G311*H311</f>
        <v>0</v>
      </c>
      <c r="M311" s="19">
        <f>L311*(1+BW311/100)</f>
        <v>0</v>
      </c>
      <c r="N311" s="19">
        <v>0</v>
      </c>
      <c r="O311" s="19">
        <f>G311*N311</f>
        <v>0</v>
      </c>
      <c r="P311" s="88" t="s">
        <v>428</v>
      </c>
      <c r="Z311" s="19">
        <f>IF(AQ311="5",BJ311,0)</f>
        <v>0</v>
      </c>
      <c r="AB311" s="19">
        <f>IF(AQ311="1",BH311,0)</f>
        <v>0</v>
      </c>
      <c r="AC311" s="19">
        <f>IF(AQ311="1",BI311,0)</f>
        <v>0</v>
      </c>
      <c r="AD311" s="19">
        <f>IF(AQ311="7",BH311,0)</f>
        <v>0</v>
      </c>
      <c r="AE311" s="19">
        <f>IF(AQ311="7",BI311,0)</f>
        <v>0</v>
      </c>
      <c r="AF311" s="19">
        <f>IF(AQ311="2",BH311,0)</f>
        <v>0</v>
      </c>
      <c r="AG311" s="19">
        <f>IF(AQ311="2",BI311,0)</f>
        <v>0</v>
      </c>
      <c r="AH311" s="19">
        <f>IF(AQ311="0",BJ311,0)</f>
        <v>0</v>
      </c>
      <c r="AI311" s="16" t="s">
        <v>201</v>
      </c>
      <c r="AJ311" s="19">
        <f>IF(AN311=0,L311,0)</f>
        <v>0</v>
      </c>
      <c r="AK311" s="19">
        <f>IF(AN311=12,L311,0)</f>
        <v>0</v>
      </c>
      <c r="AL311" s="19">
        <f>IF(AN311=21,L311,0)</f>
        <v>0</v>
      </c>
      <c r="AN311" s="19">
        <v>12</v>
      </c>
      <c r="AO311" s="19">
        <f>H311*0</f>
        <v>0</v>
      </c>
      <c r="AP311" s="19">
        <f>H311*(1-0)</f>
        <v>0</v>
      </c>
      <c r="AQ311" s="87" t="s">
        <v>436</v>
      </c>
      <c r="AV311" s="19">
        <f>AW311+AX311</f>
        <v>0</v>
      </c>
      <c r="AW311" s="19">
        <f>G311*AO311</f>
        <v>0</v>
      </c>
      <c r="AX311" s="19">
        <f>G311*AP311</f>
        <v>0</v>
      </c>
      <c r="AY311" s="87" t="s">
        <v>698</v>
      </c>
      <c r="AZ311" s="87" t="s">
        <v>699</v>
      </c>
      <c r="BA311" s="16" t="s">
        <v>700</v>
      </c>
      <c r="BC311" s="19">
        <f>AW311+AX311</f>
        <v>0</v>
      </c>
      <c r="BD311" s="19">
        <f>H311/(100-BE311)*100</f>
        <v>0</v>
      </c>
      <c r="BE311" s="19">
        <v>0</v>
      </c>
      <c r="BF311" s="19">
        <f>O311</f>
        <v>0</v>
      </c>
      <c r="BH311" s="19">
        <f>G311*AO311</f>
        <v>0</v>
      </c>
      <c r="BI311" s="19">
        <f>G311*AP311</f>
        <v>0</v>
      </c>
      <c r="BJ311" s="19">
        <f>G311*H311</f>
        <v>0</v>
      </c>
      <c r="BK311" s="19"/>
      <c r="BL311" s="19">
        <v>34</v>
      </c>
      <c r="BW311" s="19" t="str">
        <f>I311</f>
        <v>12</v>
      </c>
      <c r="BX311" s="4" t="s">
        <v>219</v>
      </c>
    </row>
    <row r="312" spans="1:76" x14ac:dyDescent="0.25">
      <c r="A312" s="84" t="s">
        <v>25</v>
      </c>
      <c r="B312" s="15" t="s">
        <v>201</v>
      </c>
      <c r="C312" s="15" t="s">
        <v>220</v>
      </c>
      <c r="D312" s="115" t="s">
        <v>221</v>
      </c>
      <c r="E312" s="116"/>
      <c r="F312" s="85" t="s">
        <v>23</v>
      </c>
      <c r="G312" s="85" t="s">
        <v>23</v>
      </c>
      <c r="H312" s="85" t="s">
        <v>23</v>
      </c>
      <c r="I312" s="85" t="s">
        <v>23</v>
      </c>
      <c r="J312" s="60">
        <f>SUM(J313:J313)</f>
        <v>0</v>
      </c>
      <c r="K312" s="60">
        <f>SUM(K313:K313)</f>
        <v>0</v>
      </c>
      <c r="L312" s="60">
        <f>SUM(L313:L313)</f>
        <v>0</v>
      </c>
      <c r="M312" s="60">
        <f>SUM(M313:M313)</f>
        <v>0</v>
      </c>
      <c r="N312" s="16" t="s">
        <v>25</v>
      </c>
      <c r="O312" s="60">
        <f>SUM(O313:O313)</f>
        <v>0</v>
      </c>
      <c r="P312" s="86" t="s">
        <v>25</v>
      </c>
      <c r="AI312" s="16" t="s">
        <v>201</v>
      </c>
      <c r="AS312" s="60">
        <f>SUM(AJ313:AJ313)</f>
        <v>0</v>
      </c>
      <c r="AT312" s="60">
        <f>SUM(AK313:AK313)</f>
        <v>0</v>
      </c>
      <c r="AU312" s="60">
        <f>SUM(AL313:AL313)</f>
        <v>0</v>
      </c>
    </row>
    <row r="313" spans="1:76" ht="25.5" x14ac:dyDescent="0.25">
      <c r="A313" s="1" t="s">
        <v>709</v>
      </c>
      <c r="B313" s="2" t="s">
        <v>201</v>
      </c>
      <c r="C313" s="2" t="s">
        <v>222</v>
      </c>
      <c r="D313" s="108" t="s">
        <v>223</v>
      </c>
      <c r="E313" s="102"/>
      <c r="F313" s="2" t="s">
        <v>62</v>
      </c>
      <c r="G313" s="19">
        <f>'Rozpočet - vybrané sloupce'!J290</f>
        <v>24</v>
      </c>
      <c r="H313" s="19">
        <f>'Rozpočet - vybrané sloupce'!K290</f>
        <v>0</v>
      </c>
      <c r="I313" s="87" t="s">
        <v>427</v>
      </c>
      <c r="J313" s="19">
        <f>G313*AO313</f>
        <v>0</v>
      </c>
      <c r="K313" s="19">
        <f>G313*AP313</f>
        <v>0</v>
      </c>
      <c r="L313" s="19">
        <f>G313*H313</f>
        <v>0</v>
      </c>
      <c r="M313" s="19">
        <f>L313*(1+BW313/100)</f>
        <v>0</v>
      </c>
      <c r="N313" s="19">
        <v>0</v>
      </c>
      <c r="O313" s="19">
        <f>G313*N313</f>
        <v>0</v>
      </c>
      <c r="P313" s="88" t="s">
        <v>428</v>
      </c>
      <c r="Z313" s="19">
        <f>IF(AQ313="5",BJ313,0)</f>
        <v>0</v>
      </c>
      <c r="AB313" s="19">
        <f>IF(AQ313="1",BH313,0)</f>
        <v>0</v>
      </c>
      <c r="AC313" s="19">
        <f>IF(AQ313="1",BI313,0)</f>
        <v>0</v>
      </c>
      <c r="AD313" s="19">
        <f>IF(AQ313="7",BH313,0)</f>
        <v>0</v>
      </c>
      <c r="AE313" s="19">
        <f>IF(AQ313="7",BI313,0)</f>
        <v>0</v>
      </c>
      <c r="AF313" s="19">
        <f>IF(AQ313="2",BH313,0)</f>
        <v>0</v>
      </c>
      <c r="AG313" s="19">
        <f>IF(AQ313="2",BI313,0)</f>
        <v>0</v>
      </c>
      <c r="AH313" s="19">
        <f>IF(AQ313="0",BJ313,0)</f>
        <v>0</v>
      </c>
      <c r="AI313" s="16" t="s">
        <v>201</v>
      </c>
      <c r="AJ313" s="19">
        <f>IF(AN313=0,L313,0)</f>
        <v>0</v>
      </c>
      <c r="AK313" s="19">
        <f>IF(AN313=12,L313,0)</f>
        <v>0</v>
      </c>
      <c r="AL313" s="19">
        <f>IF(AN313=21,L313,0)</f>
        <v>0</v>
      </c>
      <c r="AN313" s="19">
        <v>12</v>
      </c>
      <c r="AO313" s="19">
        <f>H313*0.542372881</f>
        <v>0</v>
      </c>
      <c r="AP313" s="19">
        <f>H313*(1-0.542372881)</f>
        <v>0</v>
      </c>
      <c r="AQ313" s="87" t="s">
        <v>426</v>
      </c>
      <c r="AV313" s="19">
        <f>AW313+AX313</f>
        <v>0</v>
      </c>
      <c r="AW313" s="19">
        <f>G313*AO313</f>
        <v>0</v>
      </c>
      <c r="AX313" s="19">
        <f>G313*AP313</f>
        <v>0</v>
      </c>
      <c r="AY313" s="87" t="s">
        <v>710</v>
      </c>
      <c r="AZ313" s="87" t="s">
        <v>711</v>
      </c>
      <c r="BA313" s="16" t="s">
        <v>700</v>
      </c>
      <c r="BC313" s="19">
        <f>AW313+AX313</f>
        <v>0</v>
      </c>
      <c r="BD313" s="19">
        <f>H313/(100-BE313)*100</f>
        <v>0</v>
      </c>
      <c r="BE313" s="19">
        <v>0</v>
      </c>
      <c r="BF313" s="19">
        <f>O313</f>
        <v>0</v>
      </c>
      <c r="BH313" s="19">
        <f>G313*AO313</f>
        <v>0</v>
      </c>
      <c r="BI313" s="19">
        <f>G313*AP313</f>
        <v>0</v>
      </c>
      <c r="BJ313" s="19">
        <f>G313*H313</f>
        <v>0</v>
      </c>
      <c r="BK313" s="19"/>
      <c r="BL313" s="19">
        <v>411</v>
      </c>
      <c r="BW313" s="19" t="str">
        <f>I313</f>
        <v>12</v>
      </c>
      <c r="BX313" s="4" t="s">
        <v>223</v>
      </c>
    </row>
    <row r="314" spans="1:76" x14ac:dyDescent="0.25">
      <c r="A314" s="84" t="s">
        <v>25</v>
      </c>
      <c r="B314" s="15" t="s">
        <v>201</v>
      </c>
      <c r="C314" s="15" t="s">
        <v>224</v>
      </c>
      <c r="D314" s="115" t="s">
        <v>225</v>
      </c>
      <c r="E314" s="116"/>
      <c r="F314" s="85" t="s">
        <v>23</v>
      </c>
      <c r="G314" s="85" t="s">
        <v>23</v>
      </c>
      <c r="H314" s="85" t="s">
        <v>23</v>
      </c>
      <c r="I314" s="85" t="s">
        <v>23</v>
      </c>
      <c r="J314" s="60">
        <f>SUM(J315:J315)</f>
        <v>0</v>
      </c>
      <c r="K314" s="60">
        <f>SUM(K315:K315)</f>
        <v>0</v>
      </c>
      <c r="L314" s="60">
        <f>SUM(L315:L315)</f>
        <v>0</v>
      </c>
      <c r="M314" s="60">
        <f>SUM(M315:M315)</f>
        <v>0</v>
      </c>
      <c r="N314" s="16" t="s">
        <v>25</v>
      </c>
      <c r="O314" s="60">
        <f>SUM(O315:O315)</f>
        <v>0</v>
      </c>
      <c r="P314" s="86" t="s">
        <v>25</v>
      </c>
      <c r="AI314" s="16" t="s">
        <v>201</v>
      </c>
      <c r="AS314" s="60">
        <f>SUM(AJ315:AJ315)</f>
        <v>0</v>
      </c>
      <c r="AT314" s="60">
        <f>SUM(AK315:AK315)</f>
        <v>0</v>
      </c>
      <c r="AU314" s="60">
        <f>SUM(AL315:AL315)</f>
        <v>0</v>
      </c>
    </row>
    <row r="315" spans="1:76" x14ac:dyDescent="0.25">
      <c r="A315" s="1" t="s">
        <v>712</v>
      </c>
      <c r="B315" s="2" t="s">
        <v>201</v>
      </c>
      <c r="C315" s="2" t="s">
        <v>226</v>
      </c>
      <c r="D315" s="108" t="s">
        <v>227</v>
      </c>
      <c r="E315" s="102"/>
      <c r="F315" s="2" t="s">
        <v>100</v>
      </c>
      <c r="G315" s="19">
        <f>'Rozpočet - vybrané sloupce'!J292</f>
        <v>24</v>
      </c>
      <c r="H315" s="19">
        <f>'Rozpočet - vybrané sloupce'!K292</f>
        <v>0</v>
      </c>
      <c r="I315" s="87" t="s">
        <v>427</v>
      </c>
      <c r="J315" s="19">
        <f>G315*AO315</f>
        <v>0</v>
      </c>
      <c r="K315" s="19">
        <f>G315*AP315</f>
        <v>0</v>
      </c>
      <c r="L315" s="19">
        <f>G315*H315</f>
        <v>0</v>
      </c>
      <c r="M315" s="19">
        <f>L315*(1+BW315/100)</f>
        <v>0</v>
      </c>
      <c r="N315" s="19">
        <v>0</v>
      </c>
      <c r="O315" s="19">
        <f>G315*N315</f>
        <v>0</v>
      </c>
      <c r="P315" s="88" t="s">
        <v>428</v>
      </c>
      <c r="Z315" s="19">
        <f>IF(AQ315="5",BJ315,0)</f>
        <v>0</v>
      </c>
      <c r="AB315" s="19">
        <f>IF(AQ315="1",BH315,0)</f>
        <v>0</v>
      </c>
      <c r="AC315" s="19">
        <f>IF(AQ315="1",BI315,0)</f>
        <v>0</v>
      </c>
      <c r="AD315" s="19">
        <f>IF(AQ315="7",BH315,0)</f>
        <v>0</v>
      </c>
      <c r="AE315" s="19">
        <f>IF(AQ315="7",BI315,0)</f>
        <v>0</v>
      </c>
      <c r="AF315" s="19">
        <f>IF(AQ315="2",BH315,0)</f>
        <v>0</v>
      </c>
      <c r="AG315" s="19">
        <f>IF(AQ315="2",BI315,0)</f>
        <v>0</v>
      </c>
      <c r="AH315" s="19">
        <f>IF(AQ315="0",BJ315,0)</f>
        <v>0</v>
      </c>
      <c r="AI315" s="16" t="s">
        <v>201</v>
      </c>
      <c r="AJ315" s="19">
        <f>IF(AN315=0,L315,0)</f>
        <v>0</v>
      </c>
      <c r="AK315" s="19">
        <f>IF(AN315=12,L315,0)</f>
        <v>0</v>
      </c>
      <c r="AL315" s="19">
        <f>IF(AN315=21,L315,0)</f>
        <v>0</v>
      </c>
      <c r="AN315" s="19">
        <v>12</v>
      </c>
      <c r="AO315" s="19">
        <f>H315*0.5</f>
        <v>0</v>
      </c>
      <c r="AP315" s="19">
        <f>H315*(1-0.5)</f>
        <v>0</v>
      </c>
      <c r="AQ315" s="87" t="s">
        <v>429</v>
      </c>
      <c r="AV315" s="19">
        <f>AW315+AX315</f>
        <v>0</v>
      </c>
      <c r="AW315" s="19">
        <f>G315*AO315</f>
        <v>0</v>
      </c>
      <c r="AX315" s="19">
        <f>G315*AP315</f>
        <v>0</v>
      </c>
      <c r="AY315" s="87" t="s">
        <v>713</v>
      </c>
      <c r="AZ315" s="87" t="s">
        <v>714</v>
      </c>
      <c r="BA315" s="16" t="s">
        <v>700</v>
      </c>
      <c r="BC315" s="19">
        <f>AW315+AX315</f>
        <v>0</v>
      </c>
      <c r="BD315" s="19">
        <f>H315/(100-BE315)*100</f>
        <v>0</v>
      </c>
      <c r="BE315" s="19">
        <v>0</v>
      </c>
      <c r="BF315" s="19">
        <f>O315</f>
        <v>0</v>
      </c>
      <c r="BH315" s="19">
        <f>G315*AO315</f>
        <v>0</v>
      </c>
      <c r="BI315" s="19">
        <f>G315*AP315</f>
        <v>0</v>
      </c>
      <c r="BJ315" s="19">
        <f>G315*H315</f>
        <v>0</v>
      </c>
      <c r="BK315" s="19"/>
      <c r="BL315" s="19">
        <v>74</v>
      </c>
      <c r="BW315" s="19" t="str">
        <f>I315</f>
        <v>12</v>
      </c>
      <c r="BX315" s="4" t="s">
        <v>227</v>
      </c>
    </row>
    <row r="316" spans="1:76" x14ac:dyDescent="0.25">
      <c r="A316" s="84" t="s">
        <v>25</v>
      </c>
      <c r="B316" s="15" t="s">
        <v>201</v>
      </c>
      <c r="C316" s="15" t="s">
        <v>228</v>
      </c>
      <c r="D316" s="115" t="s">
        <v>229</v>
      </c>
      <c r="E316" s="116"/>
      <c r="F316" s="85" t="s">
        <v>23</v>
      </c>
      <c r="G316" s="85" t="s">
        <v>23</v>
      </c>
      <c r="H316" s="85" t="s">
        <v>23</v>
      </c>
      <c r="I316" s="85" t="s">
        <v>23</v>
      </c>
      <c r="J316" s="60">
        <f>SUM(J317:J320)</f>
        <v>0</v>
      </c>
      <c r="K316" s="60">
        <f>SUM(K317:K320)</f>
        <v>0</v>
      </c>
      <c r="L316" s="60">
        <f>SUM(L317:L320)</f>
        <v>0</v>
      </c>
      <c r="M316" s="60">
        <f>SUM(M317:M320)</f>
        <v>0</v>
      </c>
      <c r="N316" s="16" t="s">
        <v>25</v>
      </c>
      <c r="O316" s="60">
        <f>SUM(O317:O320)</f>
        <v>1.1520000000000001E-2</v>
      </c>
      <c r="P316" s="86" t="s">
        <v>25</v>
      </c>
      <c r="AI316" s="16" t="s">
        <v>201</v>
      </c>
      <c r="AS316" s="60">
        <f>SUM(AJ317:AJ320)</f>
        <v>0</v>
      </c>
      <c r="AT316" s="60">
        <f>SUM(AK317:AK320)</f>
        <v>0</v>
      </c>
      <c r="AU316" s="60">
        <f>SUM(AL317:AL320)</f>
        <v>0</v>
      </c>
    </row>
    <row r="317" spans="1:76" x14ac:dyDescent="0.25">
      <c r="A317" s="1" t="s">
        <v>715</v>
      </c>
      <c r="B317" s="2" t="s">
        <v>201</v>
      </c>
      <c r="C317" s="2" t="s">
        <v>230</v>
      </c>
      <c r="D317" s="108" t="s">
        <v>231</v>
      </c>
      <c r="E317" s="102"/>
      <c r="F317" s="2" t="s">
        <v>232</v>
      </c>
      <c r="G317" s="19">
        <f>'Rozpočet - vybrané sloupce'!J294</f>
        <v>96</v>
      </c>
      <c r="H317" s="19">
        <f>'Rozpočet - vybrané sloupce'!K294</f>
        <v>0</v>
      </c>
      <c r="I317" s="87" t="s">
        <v>427</v>
      </c>
      <c r="J317" s="19">
        <f>G317*AO317</f>
        <v>0</v>
      </c>
      <c r="K317" s="19">
        <f>G317*AP317</f>
        <v>0</v>
      </c>
      <c r="L317" s="19">
        <f>G317*H317</f>
        <v>0</v>
      </c>
      <c r="M317" s="19">
        <f>L317*(1+BW317/100)</f>
        <v>0</v>
      </c>
      <c r="N317" s="19">
        <v>1.2E-4</v>
      </c>
      <c r="O317" s="19">
        <f>G317*N317</f>
        <v>1.1520000000000001E-2</v>
      </c>
      <c r="P317" s="88" t="s">
        <v>428</v>
      </c>
      <c r="Z317" s="19">
        <f>IF(AQ317="5",BJ317,0)</f>
        <v>0</v>
      </c>
      <c r="AB317" s="19">
        <f>IF(AQ317="1",BH317,0)</f>
        <v>0</v>
      </c>
      <c r="AC317" s="19">
        <f>IF(AQ317="1",BI317,0)</f>
        <v>0</v>
      </c>
      <c r="AD317" s="19">
        <f>IF(AQ317="7",BH317,0)</f>
        <v>0</v>
      </c>
      <c r="AE317" s="19">
        <f>IF(AQ317="7",BI317,0)</f>
        <v>0</v>
      </c>
      <c r="AF317" s="19">
        <f>IF(AQ317="2",BH317,0)</f>
        <v>0</v>
      </c>
      <c r="AG317" s="19">
        <f>IF(AQ317="2",BI317,0)</f>
        <v>0</v>
      </c>
      <c r="AH317" s="19">
        <f>IF(AQ317="0",BJ317,0)</f>
        <v>0</v>
      </c>
      <c r="AI317" s="16" t="s">
        <v>201</v>
      </c>
      <c r="AJ317" s="19">
        <f>IF(AN317=0,L317,0)</f>
        <v>0</v>
      </c>
      <c r="AK317" s="19">
        <f>IF(AN317=12,L317,0)</f>
        <v>0</v>
      </c>
      <c r="AL317" s="19">
        <f>IF(AN317=21,L317,0)</f>
        <v>0</v>
      </c>
      <c r="AN317" s="19">
        <v>12</v>
      </c>
      <c r="AO317" s="19">
        <f>H317*0.425439015</f>
        <v>0</v>
      </c>
      <c r="AP317" s="19">
        <f>H317*(1-0.425439015)</f>
        <v>0</v>
      </c>
      <c r="AQ317" s="87" t="s">
        <v>429</v>
      </c>
      <c r="AV317" s="19">
        <f>AW317+AX317</f>
        <v>0</v>
      </c>
      <c r="AW317" s="19">
        <f>G317*AO317</f>
        <v>0</v>
      </c>
      <c r="AX317" s="19">
        <f>G317*AP317</f>
        <v>0</v>
      </c>
      <c r="AY317" s="87" t="s">
        <v>716</v>
      </c>
      <c r="AZ317" s="87" t="s">
        <v>717</v>
      </c>
      <c r="BA317" s="16" t="s">
        <v>700</v>
      </c>
      <c r="BC317" s="19">
        <f>AW317+AX317</f>
        <v>0</v>
      </c>
      <c r="BD317" s="19">
        <f>H317/(100-BE317)*100</f>
        <v>0</v>
      </c>
      <c r="BE317" s="19">
        <v>0</v>
      </c>
      <c r="BF317" s="19">
        <f>O317</f>
        <v>1.1520000000000001E-2</v>
      </c>
      <c r="BH317" s="19">
        <f>G317*AO317</f>
        <v>0</v>
      </c>
      <c r="BI317" s="19">
        <f>G317*AP317</f>
        <v>0</v>
      </c>
      <c r="BJ317" s="19">
        <f>G317*H317</f>
        <v>0</v>
      </c>
      <c r="BK317" s="19"/>
      <c r="BL317" s="19">
        <v>767</v>
      </c>
      <c r="BW317" s="19" t="str">
        <f>I317</f>
        <v>12</v>
      </c>
      <c r="BX317" s="4" t="s">
        <v>231</v>
      </c>
    </row>
    <row r="318" spans="1:76" x14ac:dyDescent="0.25">
      <c r="A318" s="1" t="s">
        <v>718</v>
      </c>
      <c r="B318" s="2" t="s">
        <v>201</v>
      </c>
      <c r="C318" s="2" t="s">
        <v>233</v>
      </c>
      <c r="D318" s="108" t="s">
        <v>234</v>
      </c>
      <c r="E318" s="102"/>
      <c r="F318" s="2" t="s">
        <v>62</v>
      </c>
      <c r="G318" s="19">
        <f>'Rozpočet - vybrané sloupce'!J295</f>
        <v>48</v>
      </c>
      <c r="H318" s="19">
        <f>'Rozpočet - vybrané sloupce'!K295</f>
        <v>0</v>
      </c>
      <c r="I318" s="87" t="s">
        <v>427</v>
      </c>
      <c r="J318" s="19">
        <f>G318*AO318</f>
        <v>0</v>
      </c>
      <c r="K318" s="19">
        <f>G318*AP318</f>
        <v>0</v>
      </c>
      <c r="L318" s="19">
        <f>G318*H318</f>
        <v>0</v>
      </c>
      <c r="M318" s="19">
        <f>L318*(1+BW318/100)</f>
        <v>0</v>
      </c>
      <c r="N318" s="19">
        <v>0</v>
      </c>
      <c r="O318" s="19">
        <f>G318*N318</f>
        <v>0</v>
      </c>
      <c r="P318" s="88" t="s">
        <v>428</v>
      </c>
      <c r="Z318" s="19">
        <f>IF(AQ318="5",BJ318,0)</f>
        <v>0</v>
      </c>
      <c r="AB318" s="19">
        <f>IF(AQ318="1",BH318,0)</f>
        <v>0</v>
      </c>
      <c r="AC318" s="19">
        <f>IF(AQ318="1",BI318,0)</f>
        <v>0</v>
      </c>
      <c r="AD318" s="19">
        <f>IF(AQ318="7",BH318,0)</f>
        <v>0</v>
      </c>
      <c r="AE318" s="19">
        <f>IF(AQ318="7",BI318,0)</f>
        <v>0</v>
      </c>
      <c r="AF318" s="19">
        <f>IF(AQ318="2",BH318,0)</f>
        <v>0</v>
      </c>
      <c r="AG318" s="19">
        <f>IF(AQ318="2",BI318,0)</f>
        <v>0</v>
      </c>
      <c r="AH318" s="19">
        <f>IF(AQ318="0",BJ318,0)</f>
        <v>0</v>
      </c>
      <c r="AI318" s="16" t="s">
        <v>201</v>
      </c>
      <c r="AJ318" s="19">
        <f>IF(AN318=0,L318,0)</f>
        <v>0</v>
      </c>
      <c r="AK318" s="19">
        <f>IF(AN318=12,L318,0)</f>
        <v>0</v>
      </c>
      <c r="AL318" s="19">
        <f>IF(AN318=21,L318,0)</f>
        <v>0</v>
      </c>
      <c r="AN318" s="19">
        <v>12</v>
      </c>
      <c r="AO318" s="19">
        <f>H318*1</f>
        <v>0</v>
      </c>
      <c r="AP318" s="19">
        <f>H318*(1-1)</f>
        <v>0</v>
      </c>
      <c r="AQ318" s="87" t="s">
        <v>429</v>
      </c>
      <c r="AV318" s="19">
        <f>AW318+AX318</f>
        <v>0</v>
      </c>
      <c r="AW318" s="19">
        <f>G318*AO318</f>
        <v>0</v>
      </c>
      <c r="AX318" s="19">
        <f>G318*AP318</f>
        <v>0</v>
      </c>
      <c r="AY318" s="87" t="s">
        <v>716</v>
      </c>
      <c r="AZ318" s="87" t="s">
        <v>717</v>
      </c>
      <c r="BA318" s="16" t="s">
        <v>700</v>
      </c>
      <c r="BC318" s="19">
        <f>AW318+AX318</f>
        <v>0</v>
      </c>
      <c r="BD318" s="19">
        <f>H318/(100-BE318)*100</f>
        <v>0</v>
      </c>
      <c r="BE318" s="19">
        <v>0</v>
      </c>
      <c r="BF318" s="19">
        <f>O318</f>
        <v>0</v>
      </c>
      <c r="BH318" s="19">
        <f>G318*AO318</f>
        <v>0</v>
      </c>
      <c r="BI318" s="19">
        <f>G318*AP318</f>
        <v>0</v>
      </c>
      <c r="BJ318" s="19">
        <f>G318*H318</f>
        <v>0</v>
      </c>
      <c r="BK318" s="19"/>
      <c r="BL318" s="19">
        <v>767</v>
      </c>
      <c r="BW318" s="19" t="str">
        <f>I318</f>
        <v>12</v>
      </c>
      <c r="BX318" s="4" t="s">
        <v>234</v>
      </c>
    </row>
    <row r="319" spans="1:76" x14ac:dyDescent="0.25">
      <c r="A319" s="1" t="s">
        <v>719</v>
      </c>
      <c r="B319" s="2" t="s">
        <v>201</v>
      </c>
      <c r="C319" s="2" t="s">
        <v>235</v>
      </c>
      <c r="D319" s="108" t="s">
        <v>236</v>
      </c>
      <c r="E319" s="102"/>
      <c r="F319" s="2" t="s">
        <v>62</v>
      </c>
      <c r="G319" s="19">
        <f>'Rozpočet - vybrané sloupce'!J296</f>
        <v>96</v>
      </c>
      <c r="H319" s="19">
        <f>'Rozpočet - vybrané sloupce'!K296</f>
        <v>0</v>
      </c>
      <c r="I319" s="87" t="s">
        <v>427</v>
      </c>
      <c r="J319" s="19">
        <f>G319*AO319</f>
        <v>0</v>
      </c>
      <c r="K319" s="19">
        <f>G319*AP319</f>
        <v>0</v>
      </c>
      <c r="L319" s="19">
        <f>G319*H319</f>
        <v>0</v>
      </c>
      <c r="M319" s="19">
        <f>L319*(1+BW319/100)</f>
        <v>0</v>
      </c>
      <c r="N319" s="19">
        <v>0</v>
      </c>
      <c r="O319" s="19">
        <f>G319*N319</f>
        <v>0</v>
      </c>
      <c r="P319" s="88" t="s">
        <v>428</v>
      </c>
      <c r="Z319" s="19">
        <f>IF(AQ319="5",BJ319,0)</f>
        <v>0</v>
      </c>
      <c r="AB319" s="19">
        <f>IF(AQ319="1",BH319,0)</f>
        <v>0</v>
      </c>
      <c r="AC319" s="19">
        <f>IF(AQ319="1",BI319,0)</f>
        <v>0</v>
      </c>
      <c r="AD319" s="19">
        <f>IF(AQ319="7",BH319,0)</f>
        <v>0</v>
      </c>
      <c r="AE319" s="19">
        <f>IF(AQ319="7",BI319,0)</f>
        <v>0</v>
      </c>
      <c r="AF319" s="19">
        <f>IF(AQ319="2",BH319,0)</f>
        <v>0</v>
      </c>
      <c r="AG319" s="19">
        <f>IF(AQ319="2",BI319,0)</f>
        <v>0</v>
      </c>
      <c r="AH319" s="19">
        <f>IF(AQ319="0",BJ319,0)</f>
        <v>0</v>
      </c>
      <c r="AI319" s="16" t="s">
        <v>201</v>
      </c>
      <c r="AJ319" s="19">
        <f>IF(AN319=0,L319,0)</f>
        <v>0</v>
      </c>
      <c r="AK319" s="19">
        <f>IF(AN319=12,L319,0)</f>
        <v>0</v>
      </c>
      <c r="AL319" s="19">
        <f>IF(AN319=21,L319,0)</f>
        <v>0</v>
      </c>
      <c r="AN319" s="19">
        <v>12</v>
      </c>
      <c r="AO319" s="19">
        <f>H319*1</f>
        <v>0</v>
      </c>
      <c r="AP319" s="19">
        <f>H319*(1-1)</f>
        <v>0</v>
      </c>
      <c r="AQ319" s="87" t="s">
        <v>429</v>
      </c>
      <c r="AV319" s="19">
        <f>AW319+AX319</f>
        <v>0</v>
      </c>
      <c r="AW319" s="19">
        <f>G319*AO319</f>
        <v>0</v>
      </c>
      <c r="AX319" s="19">
        <f>G319*AP319</f>
        <v>0</v>
      </c>
      <c r="AY319" s="87" t="s">
        <v>716</v>
      </c>
      <c r="AZ319" s="87" t="s">
        <v>717</v>
      </c>
      <c r="BA319" s="16" t="s">
        <v>700</v>
      </c>
      <c r="BC319" s="19">
        <f>AW319+AX319</f>
        <v>0</v>
      </c>
      <c r="BD319" s="19">
        <f>H319/(100-BE319)*100</f>
        <v>0</v>
      </c>
      <c r="BE319" s="19">
        <v>0</v>
      </c>
      <c r="BF319" s="19">
        <f>O319</f>
        <v>0</v>
      </c>
      <c r="BH319" s="19">
        <f>G319*AO319</f>
        <v>0</v>
      </c>
      <c r="BI319" s="19">
        <f>G319*AP319</f>
        <v>0</v>
      </c>
      <c r="BJ319" s="19">
        <f>G319*H319</f>
        <v>0</v>
      </c>
      <c r="BK319" s="19"/>
      <c r="BL319" s="19">
        <v>767</v>
      </c>
      <c r="BW319" s="19" t="str">
        <f>I319</f>
        <v>12</v>
      </c>
      <c r="BX319" s="4" t="s">
        <v>236</v>
      </c>
    </row>
    <row r="320" spans="1:76" x14ac:dyDescent="0.25">
      <c r="A320" s="1" t="s">
        <v>720</v>
      </c>
      <c r="B320" s="2" t="s">
        <v>201</v>
      </c>
      <c r="C320" s="2" t="s">
        <v>237</v>
      </c>
      <c r="D320" s="108" t="s">
        <v>238</v>
      </c>
      <c r="E320" s="102"/>
      <c r="F320" s="2" t="s">
        <v>51</v>
      </c>
      <c r="G320" s="19">
        <f>'Rozpočet - vybrané sloupce'!J297</f>
        <v>480</v>
      </c>
      <c r="H320" s="19">
        <f>'Rozpočet - vybrané sloupce'!K297</f>
        <v>0</v>
      </c>
      <c r="I320" s="87" t="s">
        <v>427</v>
      </c>
      <c r="J320" s="19">
        <f>G320*AO320</f>
        <v>0</v>
      </c>
      <c r="K320" s="19">
        <f>G320*AP320</f>
        <v>0</v>
      </c>
      <c r="L320" s="19">
        <f>G320*H320</f>
        <v>0</v>
      </c>
      <c r="M320" s="19">
        <f>L320*(1+BW320/100)</f>
        <v>0</v>
      </c>
      <c r="N320" s="19">
        <v>0</v>
      </c>
      <c r="O320" s="19">
        <f>G320*N320</f>
        <v>0</v>
      </c>
      <c r="P320" s="88" t="s">
        <v>428</v>
      </c>
      <c r="Z320" s="19">
        <f>IF(AQ320="5",BJ320,0)</f>
        <v>0</v>
      </c>
      <c r="AB320" s="19">
        <f>IF(AQ320="1",BH320,0)</f>
        <v>0</v>
      </c>
      <c r="AC320" s="19">
        <f>IF(AQ320="1",BI320,0)</f>
        <v>0</v>
      </c>
      <c r="AD320" s="19">
        <f>IF(AQ320="7",BH320,0)</f>
        <v>0</v>
      </c>
      <c r="AE320" s="19">
        <f>IF(AQ320="7",BI320,0)</f>
        <v>0</v>
      </c>
      <c r="AF320" s="19">
        <f>IF(AQ320="2",BH320,0)</f>
        <v>0</v>
      </c>
      <c r="AG320" s="19">
        <f>IF(AQ320="2",BI320,0)</f>
        <v>0</v>
      </c>
      <c r="AH320" s="19">
        <f>IF(AQ320="0",BJ320,0)</f>
        <v>0</v>
      </c>
      <c r="AI320" s="16" t="s">
        <v>201</v>
      </c>
      <c r="AJ320" s="19">
        <f>IF(AN320=0,L320,0)</f>
        <v>0</v>
      </c>
      <c r="AK320" s="19">
        <f>IF(AN320=12,L320,0)</f>
        <v>0</v>
      </c>
      <c r="AL320" s="19">
        <f>IF(AN320=21,L320,0)</f>
        <v>0</v>
      </c>
      <c r="AN320" s="19">
        <v>12</v>
      </c>
      <c r="AO320" s="19">
        <f>H320*0</f>
        <v>0</v>
      </c>
      <c r="AP320" s="19">
        <f>H320*(1-0)</f>
        <v>0</v>
      </c>
      <c r="AQ320" s="87" t="s">
        <v>436</v>
      </c>
      <c r="AV320" s="19">
        <f>AW320+AX320</f>
        <v>0</v>
      </c>
      <c r="AW320" s="19">
        <f>G320*AO320</f>
        <v>0</v>
      </c>
      <c r="AX320" s="19">
        <f>G320*AP320</f>
        <v>0</v>
      </c>
      <c r="AY320" s="87" t="s">
        <v>716</v>
      </c>
      <c r="AZ320" s="87" t="s">
        <v>717</v>
      </c>
      <c r="BA320" s="16" t="s">
        <v>700</v>
      </c>
      <c r="BC320" s="19">
        <f>AW320+AX320</f>
        <v>0</v>
      </c>
      <c r="BD320" s="19">
        <f>H320/(100-BE320)*100</f>
        <v>0</v>
      </c>
      <c r="BE320" s="19">
        <v>0</v>
      </c>
      <c r="BF320" s="19">
        <f>O320</f>
        <v>0</v>
      </c>
      <c r="BH320" s="19">
        <f>G320*AO320</f>
        <v>0</v>
      </c>
      <c r="BI320" s="19">
        <f>G320*AP320</f>
        <v>0</v>
      </c>
      <c r="BJ320" s="19">
        <f>G320*H320</f>
        <v>0</v>
      </c>
      <c r="BK320" s="19"/>
      <c r="BL320" s="19">
        <v>767</v>
      </c>
      <c r="BW320" s="19" t="str">
        <f>I320</f>
        <v>12</v>
      </c>
      <c r="BX320" s="4" t="s">
        <v>238</v>
      </c>
    </row>
    <row r="321" spans="1:76" x14ac:dyDescent="0.25">
      <c r="A321" s="84" t="s">
        <v>25</v>
      </c>
      <c r="B321" s="15" t="s">
        <v>201</v>
      </c>
      <c r="C321" s="15" t="s">
        <v>239</v>
      </c>
      <c r="D321" s="115" t="s">
        <v>240</v>
      </c>
      <c r="E321" s="116"/>
      <c r="F321" s="85" t="s">
        <v>23</v>
      </c>
      <c r="G321" s="85" t="s">
        <v>23</v>
      </c>
      <c r="H321" s="85" t="s">
        <v>23</v>
      </c>
      <c r="I321" s="85" t="s">
        <v>23</v>
      </c>
      <c r="J321" s="60">
        <f>SUM(J322:J329)</f>
        <v>0</v>
      </c>
      <c r="K321" s="60">
        <f>SUM(K322:K329)</f>
        <v>0</v>
      </c>
      <c r="L321" s="60">
        <f>SUM(L322:L329)</f>
        <v>0</v>
      </c>
      <c r="M321" s="60">
        <f>SUM(M322:M329)</f>
        <v>0</v>
      </c>
      <c r="N321" s="16" t="s">
        <v>25</v>
      </c>
      <c r="O321" s="60">
        <f>SUM(O322:O329)</f>
        <v>1.3798839999999999</v>
      </c>
      <c r="P321" s="86" t="s">
        <v>25</v>
      </c>
      <c r="AI321" s="16" t="s">
        <v>201</v>
      </c>
      <c r="AS321" s="60">
        <f>SUM(AJ322:AJ329)</f>
        <v>0</v>
      </c>
      <c r="AT321" s="60">
        <f>SUM(AK322:AK329)</f>
        <v>0</v>
      </c>
      <c r="AU321" s="60">
        <f>SUM(AL322:AL329)</f>
        <v>0</v>
      </c>
    </row>
    <row r="322" spans="1:76" x14ac:dyDescent="0.25">
      <c r="A322" s="1" t="s">
        <v>721</v>
      </c>
      <c r="B322" s="2" t="s">
        <v>201</v>
      </c>
      <c r="C322" s="2" t="s">
        <v>241</v>
      </c>
      <c r="D322" s="108" t="s">
        <v>242</v>
      </c>
      <c r="E322" s="102"/>
      <c r="F322" s="2" t="s">
        <v>217</v>
      </c>
      <c r="G322" s="19">
        <f>'Rozpočet - vybrané sloupce'!J299</f>
        <v>44.4</v>
      </c>
      <c r="H322" s="19">
        <f>'Rozpočet - vybrané sloupce'!K299</f>
        <v>0</v>
      </c>
      <c r="I322" s="87" t="s">
        <v>427</v>
      </c>
      <c r="J322" s="19">
        <f>G322*AO322</f>
        <v>0</v>
      </c>
      <c r="K322" s="19">
        <f>G322*AP322</f>
        <v>0</v>
      </c>
      <c r="L322" s="19">
        <f>G322*H322</f>
        <v>0</v>
      </c>
      <c r="M322" s="19">
        <f>L322*(1+BW322/100)</f>
        <v>0</v>
      </c>
      <c r="N322" s="19">
        <v>2.1000000000000001E-4</v>
      </c>
      <c r="O322" s="19">
        <f>G322*N322</f>
        <v>9.3240000000000007E-3</v>
      </c>
      <c r="P322" s="88" t="s">
        <v>428</v>
      </c>
      <c r="Z322" s="19">
        <f>IF(AQ322="5",BJ322,0)</f>
        <v>0</v>
      </c>
      <c r="AB322" s="19">
        <f>IF(AQ322="1",BH322,0)</f>
        <v>0</v>
      </c>
      <c r="AC322" s="19">
        <f>IF(AQ322="1",BI322,0)</f>
        <v>0</v>
      </c>
      <c r="AD322" s="19">
        <f>IF(AQ322="7",BH322,0)</f>
        <v>0</v>
      </c>
      <c r="AE322" s="19">
        <f>IF(AQ322="7",BI322,0)</f>
        <v>0</v>
      </c>
      <c r="AF322" s="19">
        <f>IF(AQ322="2",BH322,0)</f>
        <v>0</v>
      </c>
      <c r="AG322" s="19">
        <f>IF(AQ322="2",BI322,0)</f>
        <v>0</v>
      </c>
      <c r="AH322" s="19">
        <f>IF(AQ322="0",BJ322,0)</f>
        <v>0</v>
      </c>
      <c r="AI322" s="16" t="s">
        <v>201</v>
      </c>
      <c r="AJ322" s="19">
        <f>IF(AN322=0,L322,0)</f>
        <v>0</v>
      </c>
      <c r="AK322" s="19">
        <f>IF(AN322=12,L322,0)</f>
        <v>0</v>
      </c>
      <c r="AL322" s="19">
        <f>IF(AN322=21,L322,0)</f>
        <v>0</v>
      </c>
      <c r="AN322" s="19">
        <v>12</v>
      </c>
      <c r="AO322" s="19">
        <f>H322*0.447072063</f>
        <v>0</v>
      </c>
      <c r="AP322" s="19">
        <f>H322*(1-0.447072063)</f>
        <v>0</v>
      </c>
      <c r="AQ322" s="87" t="s">
        <v>429</v>
      </c>
      <c r="AV322" s="19">
        <f>AW322+AX322</f>
        <v>0</v>
      </c>
      <c r="AW322" s="19">
        <f>G322*AO322</f>
        <v>0</v>
      </c>
      <c r="AX322" s="19">
        <f>G322*AP322</f>
        <v>0</v>
      </c>
      <c r="AY322" s="87" t="s">
        <v>722</v>
      </c>
      <c r="AZ322" s="87" t="s">
        <v>723</v>
      </c>
      <c r="BA322" s="16" t="s">
        <v>700</v>
      </c>
      <c r="BC322" s="19">
        <f>AW322+AX322</f>
        <v>0</v>
      </c>
      <c r="BD322" s="19">
        <f>H322/(100-BE322)*100</f>
        <v>0</v>
      </c>
      <c r="BE322" s="19">
        <v>0</v>
      </c>
      <c r="BF322" s="19">
        <f>O322</f>
        <v>9.3240000000000007E-3</v>
      </c>
      <c r="BH322" s="19">
        <f>G322*AO322</f>
        <v>0</v>
      </c>
      <c r="BI322" s="19">
        <f>G322*AP322</f>
        <v>0</v>
      </c>
      <c r="BJ322" s="19">
        <f>G322*H322</f>
        <v>0</v>
      </c>
      <c r="BK322" s="19"/>
      <c r="BL322" s="19">
        <v>781</v>
      </c>
      <c r="BW322" s="19" t="str">
        <f>I322</f>
        <v>12</v>
      </c>
      <c r="BX322" s="4" t="s">
        <v>242</v>
      </c>
    </row>
    <row r="323" spans="1:76" ht="25.5" x14ac:dyDescent="0.25">
      <c r="A323" s="89"/>
      <c r="C323" s="90" t="s">
        <v>437</v>
      </c>
      <c r="D323" s="187" t="s">
        <v>724</v>
      </c>
      <c r="E323" s="188"/>
      <c r="F323" s="188"/>
      <c r="G323" s="188"/>
      <c r="H323" s="188"/>
      <c r="I323" s="188"/>
      <c r="J323" s="188"/>
      <c r="K323" s="188"/>
      <c r="L323" s="188"/>
      <c r="M323" s="188"/>
      <c r="N323" s="188"/>
      <c r="O323" s="188"/>
      <c r="P323" s="189"/>
      <c r="BX323" s="91" t="s">
        <v>724</v>
      </c>
    </row>
    <row r="324" spans="1:76" x14ac:dyDescent="0.25">
      <c r="A324" s="1" t="s">
        <v>725</v>
      </c>
      <c r="B324" s="2" t="s">
        <v>201</v>
      </c>
      <c r="C324" s="2" t="s">
        <v>243</v>
      </c>
      <c r="D324" s="108" t="s">
        <v>244</v>
      </c>
      <c r="E324" s="102"/>
      <c r="F324" s="2" t="s">
        <v>217</v>
      </c>
      <c r="G324" s="19">
        <f>'Rozpočet - vybrané sloupce'!J300</f>
        <v>44.4</v>
      </c>
      <c r="H324" s="19">
        <f>'Rozpočet - vybrané sloupce'!K300</f>
        <v>0</v>
      </c>
      <c r="I324" s="87" t="s">
        <v>427</v>
      </c>
      <c r="J324" s="19">
        <f>G324*AO324</f>
        <v>0</v>
      </c>
      <c r="K324" s="19">
        <f>G324*AP324</f>
        <v>0</v>
      </c>
      <c r="L324" s="19">
        <f>G324*H324</f>
        <v>0</v>
      </c>
      <c r="M324" s="19">
        <f>L324*(1+BW324/100)</f>
        <v>0</v>
      </c>
      <c r="N324" s="19">
        <v>0</v>
      </c>
      <c r="O324" s="19">
        <f>G324*N324</f>
        <v>0</v>
      </c>
      <c r="P324" s="88" t="s">
        <v>428</v>
      </c>
      <c r="Z324" s="19">
        <f>IF(AQ324="5",BJ324,0)</f>
        <v>0</v>
      </c>
      <c r="AB324" s="19">
        <f>IF(AQ324="1",BH324,0)</f>
        <v>0</v>
      </c>
      <c r="AC324" s="19">
        <f>IF(AQ324="1",BI324,0)</f>
        <v>0</v>
      </c>
      <c r="AD324" s="19">
        <f>IF(AQ324="7",BH324,0)</f>
        <v>0</v>
      </c>
      <c r="AE324" s="19">
        <f>IF(AQ324="7",BI324,0)</f>
        <v>0</v>
      </c>
      <c r="AF324" s="19">
        <f>IF(AQ324="2",BH324,0)</f>
        <v>0</v>
      </c>
      <c r="AG324" s="19">
        <f>IF(AQ324="2",BI324,0)</f>
        <v>0</v>
      </c>
      <c r="AH324" s="19">
        <f>IF(AQ324="0",BJ324,0)</f>
        <v>0</v>
      </c>
      <c r="AI324" s="16" t="s">
        <v>201</v>
      </c>
      <c r="AJ324" s="19">
        <f>IF(AN324=0,L324,0)</f>
        <v>0</v>
      </c>
      <c r="AK324" s="19">
        <f>IF(AN324=12,L324,0)</f>
        <v>0</v>
      </c>
      <c r="AL324" s="19">
        <f>IF(AN324=21,L324,0)</f>
        <v>0</v>
      </c>
      <c r="AN324" s="19">
        <v>12</v>
      </c>
      <c r="AO324" s="19">
        <f>H324*0</f>
        <v>0</v>
      </c>
      <c r="AP324" s="19">
        <f>H324*(1-0)</f>
        <v>0</v>
      </c>
      <c r="AQ324" s="87" t="s">
        <v>429</v>
      </c>
      <c r="AV324" s="19">
        <f>AW324+AX324</f>
        <v>0</v>
      </c>
      <c r="AW324" s="19">
        <f>G324*AO324</f>
        <v>0</v>
      </c>
      <c r="AX324" s="19">
        <f>G324*AP324</f>
        <v>0</v>
      </c>
      <c r="AY324" s="87" t="s">
        <v>722</v>
      </c>
      <c r="AZ324" s="87" t="s">
        <v>723</v>
      </c>
      <c r="BA324" s="16" t="s">
        <v>700</v>
      </c>
      <c r="BC324" s="19">
        <f>AW324+AX324</f>
        <v>0</v>
      </c>
      <c r="BD324" s="19">
        <f>H324/(100-BE324)*100</f>
        <v>0</v>
      </c>
      <c r="BE324" s="19">
        <v>0</v>
      </c>
      <c r="BF324" s="19">
        <f>O324</f>
        <v>0</v>
      </c>
      <c r="BH324" s="19">
        <f>G324*AO324</f>
        <v>0</v>
      </c>
      <c r="BI324" s="19">
        <f>G324*AP324</f>
        <v>0</v>
      </c>
      <c r="BJ324" s="19">
        <f>G324*H324</f>
        <v>0</v>
      </c>
      <c r="BK324" s="19"/>
      <c r="BL324" s="19">
        <v>781</v>
      </c>
      <c r="BW324" s="19" t="str">
        <f>I324</f>
        <v>12</v>
      </c>
      <c r="BX324" s="4" t="s">
        <v>244</v>
      </c>
    </row>
    <row r="325" spans="1:76" ht="102" x14ac:dyDescent="0.25">
      <c r="A325" s="89"/>
      <c r="C325" s="90" t="s">
        <v>437</v>
      </c>
      <c r="D325" s="187" t="s">
        <v>726</v>
      </c>
      <c r="E325" s="188"/>
      <c r="F325" s="188"/>
      <c r="G325" s="188"/>
      <c r="H325" s="188"/>
      <c r="I325" s="188"/>
      <c r="J325" s="188"/>
      <c r="K325" s="188"/>
      <c r="L325" s="188"/>
      <c r="M325" s="188"/>
      <c r="N325" s="188"/>
      <c r="O325" s="188"/>
      <c r="P325" s="189"/>
      <c r="BX325" s="91" t="s">
        <v>726</v>
      </c>
    </row>
    <row r="326" spans="1:76" x14ac:dyDescent="0.25">
      <c r="A326" s="1" t="s">
        <v>727</v>
      </c>
      <c r="B326" s="2" t="s">
        <v>201</v>
      </c>
      <c r="C326" s="2" t="s">
        <v>245</v>
      </c>
      <c r="D326" s="108" t="s">
        <v>246</v>
      </c>
      <c r="E326" s="102"/>
      <c r="F326" s="2" t="s">
        <v>217</v>
      </c>
      <c r="G326" s="19">
        <f>'Rozpočet - vybrané sloupce'!J301</f>
        <v>46.6</v>
      </c>
      <c r="H326" s="19">
        <f>'Rozpočet - vybrané sloupce'!K301</f>
        <v>0</v>
      </c>
      <c r="I326" s="87" t="s">
        <v>427</v>
      </c>
      <c r="J326" s="19">
        <f>G326*AO326</f>
        <v>0</v>
      </c>
      <c r="K326" s="19">
        <f>G326*AP326</f>
        <v>0</v>
      </c>
      <c r="L326" s="19">
        <f>G326*H326</f>
        <v>0</v>
      </c>
      <c r="M326" s="19">
        <f>L326*(1+BW326/100)</f>
        <v>0</v>
      </c>
      <c r="N326" s="19">
        <v>1.3599999999999999E-2</v>
      </c>
      <c r="O326" s="19">
        <f>G326*N326</f>
        <v>0.63375999999999999</v>
      </c>
      <c r="P326" s="88" t="s">
        <v>428</v>
      </c>
      <c r="Z326" s="19">
        <f>IF(AQ326="5",BJ326,0)</f>
        <v>0</v>
      </c>
      <c r="AB326" s="19">
        <f>IF(AQ326="1",BH326,0)</f>
        <v>0</v>
      </c>
      <c r="AC326" s="19">
        <f>IF(AQ326="1",BI326,0)</f>
        <v>0</v>
      </c>
      <c r="AD326" s="19">
        <f>IF(AQ326="7",BH326,0)</f>
        <v>0</v>
      </c>
      <c r="AE326" s="19">
        <f>IF(AQ326="7",BI326,0)</f>
        <v>0</v>
      </c>
      <c r="AF326" s="19">
        <f>IF(AQ326="2",BH326,0)</f>
        <v>0</v>
      </c>
      <c r="AG326" s="19">
        <f>IF(AQ326="2",BI326,0)</f>
        <v>0</v>
      </c>
      <c r="AH326" s="19">
        <f>IF(AQ326="0",BJ326,0)</f>
        <v>0</v>
      </c>
      <c r="AI326" s="16" t="s">
        <v>201</v>
      </c>
      <c r="AJ326" s="19">
        <f>IF(AN326=0,L326,0)</f>
        <v>0</v>
      </c>
      <c r="AK326" s="19">
        <f>IF(AN326=12,L326,0)</f>
        <v>0</v>
      </c>
      <c r="AL326" s="19">
        <f>IF(AN326=21,L326,0)</f>
        <v>0</v>
      </c>
      <c r="AN326" s="19">
        <v>12</v>
      </c>
      <c r="AO326" s="19">
        <f>H326*1</f>
        <v>0</v>
      </c>
      <c r="AP326" s="19">
        <f>H326*(1-1)</f>
        <v>0</v>
      </c>
      <c r="AQ326" s="87" t="s">
        <v>429</v>
      </c>
      <c r="AV326" s="19">
        <f>AW326+AX326</f>
        <v>0</v>
      </c>
      <c r="AW326" s="19">
        <f>G326*AO326</f>
        <v>0</v>
      </c>
      <c r="AX326" s="19">
        <f>G326*AP326</f>
        <v>0</v>
      </c>
      <c r="AY326" s="87" t="s">
        <v>722</v>
      </c>
      <c r="AZ326" s="87" t="s">
        <v>723</v>
      </c>
      <c r="BA326" s="16" t="s">
        <v>700</v>
      </c>
      <c r="BC326" s="19">
        <f>AW326+AX326</f>
        <v>0</v>
      </c>
      <c r="BD326" s="19">
        <f>H326/(100-BE326)*100</f>
        <v>0</v>
      </c>
      <c r="BE326" s="19">
        <v>0</v>
      </c>
      <c r="BF326" s="19">
        <f>O326</f>
        <v>0.63375999999999999</v>
      </c>
      <c r="BH326" s="19">
        <f>G326*AO326</f>
        <v>0</v>
      </c>
      <c r="BI326" s="19">
        <f>G326*AP326</f>
        <v>0</v>
      </c>
      <c r="BJ326" s="19">
        <f>G326*H326</f>
        <v>0</v>
      </c>
      <c r="BK326" s="19"/>
      <c r="BL326" s="19">
        <v>781</v>
      </c>
      <c r="BW326" s="19" t="str">
        <f>I326</f>
        <v>12</v>
      </c>
      <c r="BX326" s="4" t="s">
        <v>246</v>
      </c>
    </row>
    <row r="327" spans="1:76" x14ac:dyDescent="0.25">
      <c r="A327" s="89"/>
      <c r="C327" s="90" t="s">
        <v>437</v>
      </c>
      <c r="D327" s="187" t="s">
        <v>728</v>
      </c>
      <c r="E327" s="188"/>
      <c r="F327" s="188"/>
      <c r="G327" s="188"/>
      <c r="H327" s="188"/>
      <c r="I327" s="188"/>
      <c r="J327" s="188"/>
      <c r="K327" s="188"/>
      <c r="L327" s="188"/>
      <c r="M327" s="188"/>
      <c r="N327" s="188"/>
      <c r="O327" s="188"/>
      <c r="P327" s="189"/>
      <c r="BX327" s="91" t="s">
        <v>728</v>
      </c>
    </row>
    <row r="328" spans="1:76" x14ac:dyDescent="0.25">
      <c r="A328" s="1" t="s">
        <v>729</v>
      </c>
      <c r="B328" s="2" t="s">
        <v>201</v>
      </c>
      <c r="C328" s="2" t="s">
        <v>247</v>
      </c>
      <c r="D328" s="108" t="s">
        <v>248</v>
      </c>
      <c r="E328" s="102"/>
      <c r="F328" s="2" t="s">
        <v>62</v>
      </c>
      <c r="G328" s="19">
        <f>'Rozpočet - vybrané sloupce'!J302</f>
        <v>240</v>
      </c>
      <c r="H328" s="19">
        <f>'Rozpočet - vybrané sloupce'!K302</f>
        <v>0</v>
      </c>
      <c r="I328" s="87" t="s">
        <v>427</v>
      </c>
      <c r="J328" s="19">
        <f>G328*AO328</f>
        <v>0</v>
      </c>
      <c r="K328" s="19">
        <f>G328*AP328</f>
        <v>0</v>
      </c>
      <c r="L328" s="19">
        <f>G328*H328</f>
        <v>0</v>
      </c>
      <c r="M328" s="19">
        <f>L328*(1+BW328/100)</f>
        <v>0</v>
      </c>
      <c r="N328" s="19">
        <v>3.0699999999999998E-3</v>
      </c>
      <c r="O328" s="19">
        <f>G328*N328</f>
        <v>0.7367999999999999</v>
      </c>
      <c r="P328" s="88" t="s">
        <v>428</v>
      </c>
      <c r="Z328" s="19">
        <f>IF(AQ328="5",BJ328,0)</f>
        <v>0</v>
      </c>
      <c r="AB328" s="19">
        <f>IF(AQ328="1",BH328,0)</f>
        <v>0</v>
      </c>
      <c r="AC328" s="19">
        <f>IF(AQ328="1",BI328,0)</f>
        <v>0</v>
      </c>
      <c r="AD328" s="19">
        <f>IF(AQ328="7",BH328,0)</f>
        <v>0</v>
      </c>
      <c r="AE328" s="19">
        <f>IF(AQ328="7",BI328,0)</f>
        <v>0</v>
      </c>
      <c r="AF328" s="19">
        <f>IF(AQ328="2",BH328,0)</f>
        <v>0</v>
      </c>
      <c r="AG328" s="19">
        <f>IF(AQ328="2",BI328,0)</f>
        <v>0</v>
      </c>
      <c r="AH328" s="19">
        <f>IF(AQ328="0",BJ328,0)</f>
        <v>0</v>
      </c>
      <c r="AI328" s="16" t="s">
        <v>201</v>
      </c>
      <c r="AJ328" s="19">
        <f>IF(AN328=0,L328,0)</f>
        <v>0</v>
      </c>
      <c r="AK328" s="19">
        <f>IF(AN328=12,L328,0)</f>
        <v>0</v>
      </c>
      <c r="AL328" s="19">
        <f>IF(AN328=21,L328,0)</f>
        <v>0</v>
      </c>
      <c r="AN328" s="19">
        <v>12</v>
      </c>
      <c r="AO328" s="19">
        <f>H328*0.283738739</f>
        <v>0</v>
      </c>
      <c r="AP328" s="19">
        <f>H328*(1-0.283738739)</f>
        <v>0</v>
      </c>
      <c r="AQ328" s="87" t="s">
        <v>429</v>
      </c>
      <c r="AV328" s="19">
        <f>AW328+AX328</f>
        <v>0</v>
      </c>
      <c r="AW328" s="19">
        <f>G328*AO328</f>
        <v>0</v>
      </c>
      <c r="AX328" s="19">
        <f>G328*AP328</f>
        <v>0</v>
      </c>
      <c r="AY328" s="87" t="s">
        <v>722</v>
      </c>
      <c r="AZ328" s="87" t="s">
        <v>723</v>
      </c>
      <c r="BA328" s="16" t="s">
        <v>700</v>
      </c>
      <c r="BC328" s="19">
        <f>AW328+AX328</f>
        <v>0</v>
      </c>
      <c r="BD328" s="19">
        <f>H328/(100-BE328)*100</f>
        <v>0</v>
      </c>
      <c r="BE328" s="19">
        <v>0</v>
      </c>
      <c r="BF328" s="19">
        <f>O328</f>
        <v>0.7367999999999999</v>
      </c>
      <c r="BH328" s="19">
        <f>G328*AO328</f>
        <v>0</v>
      </c>
      <c r="BI328" s="19">
        <f>G328*AP328</f>
        <v>0</v>
      </c>
      <c r="BJ328" s="19">
        <f>G328*H328</f>
        <v>0</v>
      </c>
      <c r="BK328" s="19"/>
      <c r="BL328" s="19">
        <v>781</v>
      </c>
      <c r="BW328" s="19" t="str">
        <f>I328</f>
        <v>12</v>
      </c>
      <c r="BX328" s="4" t="s">
        <v>248</v>
      </c>
    </row>
    <row r="329" spans="1:76" x14ac:dyDescent="0.25">
      <c r="A329" s="1" t="s">
        <v>730</v>
      </c>
      <c r="B329" s="2" t="s">
        <v>201</v>
      </c>
      <c r="C329" s="2" t="s">
        <v>249</v>
      </c>
      <c r="D329" s="108" t="s">
        <v>250</v>
      </c>
      <c r="E329" s="102"/>
      <c r="F329" s="2" t="s">
        <v>51</v>
      </c>
      <c r="G329" s="19">
        <f>'Rozpočet - vybrané sloupce'!J303</f>
        <v>1111</v>
      </c>
      <c r="H329" s="19">
        <f>'Rozpočet - vybrané sloupce'!K303</f>
        <v>0</v>
      </c>
      <c r="I329" s="87" t="s">
        <v>427</v>
      </c>
      <c r="J329" s="19">
        <f>G329*AO329</f>
        <v>0</v>
      </c>
      <c r="K329" s="19">
        <f>G329*AP329</f>
        <v>0</v>
      </c>
      <c r="L329" s="19">
        <f>G329*H329</f>
        <v>0</v>
      </c>
      <c r="M329" s="19">
        <f>L329*(1+BW329/100)</f>
        <v>0</v>
      </c>
      <c r="N329" s="19">
        <v>0</v>
      </c>
      <c r="O329" s="19">
        <f>G329*N329</f>
        <v>0</v>
      </c>
      <c r="P329" s="88" t="s">
        <v>428</v>
      </c>
      <c r="Z329" s="19">
        <f>IF(AQ329="5",BJ329,0)</f>
        <v>0</v>
      </c>
      <c r="AB329" s="19">
        <f>IF(AQ329="1",BH329,0)</f>
        <v>0</v>
      </c>
      <c r="AC329" s="19">
        <f>IF(AQ329="1",BI329,0)</f>
        <v>0</v>
      </c>
      <c r="AD329" s="19">
        <f>IF(AQ329="7",BH329,0)</f>
        <v>0</v>
      </c>
      <c r="AE329" s="19">
        <f>IF(AQ329="7",BI329,0)</f>
        <v>0</v>
      </c>
      <c r="AF329" s="19">
        <f>IF(AQ329="2",BH329,0)</f>
        <v>0</v>
      </c>
      <c r="AG329" s="19">
        <f>IF(AQ329="2",BI329,0)</f>
        <v>0</v>
      </c>
      <c r="AH329" s="19">
        <f>IF(AQ329="0",BJ329,0)</f>
        <v>0</v>
      </c>
      <c r="AI329" s="16" t="s">
        <v>201</v>
      </c>
      <c r="AJ329" s="19">
        <f>IF(AN329=0,L329,0)</f>
        <v>0</v>
      </c>
      <c r="AK329" s="19">
        <f>IF(AN329=12,L329,0)</f>
        <v>0</v>
      </c>
      <c r="AL329" s="19">
        <f>IF(AN329=21,L329,0)</f>
        <v>0</v>
      </c>
      <c r="AN329" s="19">
        <v>12</v>
      </c>
      <c r="AO329" s="19">
        <f>H329*0</f>
        <v>0</v>
      </c>
      <c r="AP329" s="19">
        <f>H329*(1-0)</f>
        <v>0</v>
      </c>
      <c r="AQ329" s="87" t="s">
        <v>436</v>
      </c>
      <c r="AV329" s="19">
        <f>AW329+AX329</f>
        <v>0</v>
      </c>
      <c r="AW329" s="19">
        <f>G329*AO329</f>
        <v>0</v>
      </c>
      <c r="AX329" s="19">
        <f>G329*AP329</f>
        <v>0</v>
      </c>
      <c r="AY329" s="87" t="s">
        <v>722</v>
      </c>
      <c r="AZ329" s="87" t="s">
        <v>723</v>
      </c>
      <c r="BA329" s="16" t="s">
        <v>700</v>
      </c>
      <c r="BC329" s="19">
        <f>AW329+AX329</f>
        <v>0</v>
      </c>
      <c r="BD329" s="19">
        <f>H329/(100-BE329)*100</f>
        <v>0</v>
      </c>
      <c r="BE329" s="19">
        <v>0</v>
      </c>
      <c r="BF329" s="19">
        <f>O329</f>
        <v>0</v>
      </c>
      <c r="BH329" s="19">
        <f>G329*AO329</f>
        <v>0</v>
      </c>
      <c r="BI329" s="19">
        <f>G329*AP329</f>
        <v>0</v>
      </c>
      <c r="BJ329" s="19">
        <f>G329*H329</f>
        <v>0</v>
      </c>
      <c r="BK329" s="19"/>
      <c r="BL329" s="19">
        <v>781</v>
      </c>
      <c r="BW329" s="19" t="str">
        <f>I329</f>
        <v>12</v>
      </c>
      <c r="BX329" s="4" t="s">
        <v>250</v>
      </c>
    </row>
    <row r="330" spans="1:76" x14ac:dyDescent="0.25">
      <c r="A330" s="84" t="s">
        <v>25</v>
      </c>
      <c r="B330" s="15" t="s">
        <v>201</v>
      </c>
      <c r="C330" s="15" t="s">
        <v>251</v>
      </c>
      <c r="D330" s="115" t="s">
        <v>252</v>
      </c>
      <c r="E330" s="116"/>
      <c r="F330" s="85" t="s">
        <v>23</v>
      </c>
      <c r="G330" s="85" t="s">
        <v>23</v>
      </c>
      <c r="H330" s="85" t="s">
        <v>23</v>
      </c>
      <c r="I330" s="85" t="s">
        <v>23</v>
      </c>
      <c r="J330" s="60">
        <f>SUM(J331:J332)</f>
        <v>0</v>
      </c>
      <c r="K330" s="60">
        <f>SUM(K331:K332)</f>
        <v>0</v>
      </c>
      <c r="L330" s="60">
        <f>SUM(L331:L332)</f>
        <v>0</v>
      </c>
      <c r="M330" s="60">
        <f>SUM(M331:M332)</f>
        <v>0</v>
      </c>
      <c r="N330" s="16" t="s">
        <v>25</v>
      </c>
      <c r="O330" s="60">
        <f>SUM(O331:O332)</f>
        <v>1.2264000000000001E-2</v>
      </c>
      <c r="P330" s="86" t="s">
        <v>25</v>
      </c>
      <c r="AI330" s="16" t="s">
        <v>201</v>
      </c>
      <c r="AS330" s="60">
        <f>SUM(AJ331:AJ332)</f>
        <v>0</v>
      </c>
      <c r="AT330" s="60">
        <f>SUM(AK331:AK332)</f>
        <v>0</v>
      </c>
      <c r="AU330" s="60">
        <f>SUM(AL331:AL332)</f>
        <v>0</v>
      </c>
    </row>
    <row r="331" spans="1:76" ht="25.5" x14ac:dyDescent="0.25">
      <c r="A331" s="1" t="s">
        <v>731</v>
      </c>
      <c r="B331" s="2" t="s">
        <v>201</v>
      </c>
      <c r="C331" s="2" t="s">
        <v>253</v>
      </c>
      <c r="D331" s="108" t="s">
        <v>254</v>
      </c>
      <c r="E331" s="102"/>
      <c r="F331" s="2" t="s">
        <v>217</v>
      </c>
      <c r="G331" s="19">
        <f>'Rozpočet - vybrané sloupce'!J305</f>
        <v>8.4</v>
      </c>
      <c r="H331" s="19">
        <f>'Rozpočet - vybrané sloupce'!K305</f>
        <v>0</v>
      </c>
      <c r="I331" s="87" t="s">
        <v>427</v>
      </c>
      <c r="J331" s="19">
        <f>G331*AO331</f>
        <v>0</v>
      </c>
      <c r="K331" s="19">
        <f>G331*AP331</f>
        <v>0</v>
      </c>
      <c r="L331" s="19">
        <f>G331*H331</f>
        <v>0</v>
      </c>
      <c r="M331" s="19">
        <f>L331*(1+BW331/100)</f>
        <v>0</v>
      </c>
      <c r="N331" s="19">
        <v>1.4599999999999999E-3</v>
      </c>
      <c r="O331" s="19">
        <f>G331*N331</f>
        <v>1.2264000000000001E-2</v>
      </c>
      <c r="P331" s="88" t="s">
        <v>428</v>
      </c>
      <c r="Z331" s="19">
        <f>IF(AQ331="5",BJ331,0)</f>
        <v>0</v>
      </c>
      <c r="AB331" s="19">
        <f>IF(AQ331="1",BH331,0)</f>
        <v>0</v>
      </c>
      <c r="AC331" s="19">
        <f>IF(AQ331="1",BI331,0)</f>
        <v>0</v>
      </c>
      <c r="AD331" s="19">
        <f>IF(AQ331="7",BH331,0)</f>
        <v>0</v>
      </c>
      <c r="AE331" s="19">
        <f>IF(AQ331="7",BI331,0)</f>
        <v>0</v>
      </c>
      <c r="AF331" s="19">
        <f>IF(AQ331="2",BH331,0)</f>
        <v>0</v>
      </c>
      <c r="AG331" s="19">
        <f>IF(AQ331="2",BI331,0)</f>
        <v>0</v>
      </c>
      <c r="AH331" s="19">
        <f>IF(AQ331="0",BJ331,0)</f>
        <v>0</v>
      </c>
      <c r="AI331" s="16" t="s">
        <v>201</v>
      </c>
      <c r="AJ331" s="19">
        <f>IF(AN331=0,L331,0)</f>
        <v>0</v>
      </c>
      <c r="AK331" s="19">
        <f>IF(AN331=12,L331,0)</f>
        <v>0</v>
      </c>
      <c r="AL331" s="19">
        <f>IF(AN331=21,L331,0)</f>
        <v>0</v>
      </c>
      <c r="AN331" s="19">
        <v>12</v>
      </c>
      <c r="AO331" s="19">
        <f>H331*0</f>
        <v>0</v>
      </c>
      <c r="AP331" s="19">
        <f>H331*(1-0)</f>
        <v>0</v>
      </c>
      <c r="AQ331" s="87" t="s">
        <v>429</v>
      </c>
      <c r="AV331" s="19">
        <f>AW331+AX331</f>
        <v>0</v>
      </c>
      <c r="AW331" s="19">
        <f>G331*AO331</f>
        <v>0</v>
      </c>
      <c r="AX331" s="19">
        <f>G331*AP331</f>
        <v>0</v>
      </c>
      <c r="AY331" s="87" t="s">
        <v>732</v>
      </c>
      <c r="AZ331" s="87" t="s">
        <v>723</v>
      </c>
      <c r="BA331" s="16" t="s">
        <v>700</v>
      </c>
      <c r="BC331" s="19">
        <f>AW331+AX331</f>
        <v>0</v>
      </c>
      <c r="BD331" s="19">
        <f>H331/(100-BE331)*100</f>
        <v>0</v>
      </c>
      <c r="BE331" s="19">
        <v>0</v>
      </c>
      <c r="BF331" s="19">
        <f>O331</f>
        <v>1.2264000000000001E-2</v>
      </c>
      <c r="BH331" s="19">
        <f>G331*AO331</f>
        <v>0</v>
      </c>
      <c r="BI331" s="19">
        <f>G331*AP331</f>
        <v>0</v>
      </c>
      <c r="BJ331" s="19">
        <f>G331*H331</f>
        <v>0</v>
      </c>
      <c r="BK331" s="19"/>
      <c r="BL331" s="19">
        <v>783</v>
      </c>
      <c r="BW331" s="19" t="str">
        <f>I331</f>
        <v>12</v>
      </c>
      <c r="BX331" s="4" t="s">
        <v>254</v>
      </c>
    </row>
    <row r="332" spans="1:76" x14ac:dyDescent="0.25">
      <c r="A332" s="1" t="s">
        <v>733</v>
      </c>
      <c r="B332" s="2" t="s">
        <v>201</v>
      </c>
      <c r="C332" s="2" t="s">
        <v>255</v>
      </c>
      <c r="D332" s="108" t="s">
        <v>256</v>
      </c>
      <c r="E332" s="102"/>
      <c r="F332" s="2" t="s">
        <v>257</v>
      </c>
      <c r="G332" s="19">
        <f>'Rozpočet - vybrané sloupce'!J306</f>
        <v>17.7</v>
      </c>
      <c r="H332" s="19">
        <f>'Rozpočet - vybrané sloupce'!K306</f>
        <v>0</v>
      </c>
      <c r="I332" s="87" t="s">
        <v>427</v>
      </c>
      <c r="J332" s="19">
        <f>G332*AO332</f>
        <v>0</v>
      </c>
      <c r="K332" s="19">
        <f>G332*AP332</f>
        <v>0</v>
      </c>
      <c r="L332" s="19">
        <f>G332*H332</f>
        <v>0</v>
      </c>
      <c r="M332" s="19">
        <f>L332*(1+BW332/100)</f>
        <v>0</v>
      </c>
      <c r="N332" s="19">
        <v>0</v>
      </c>
      <c r="O332" s="19">
        <f>G332*N332</f>
        <v>0</v>
      </c>
      <c r="P332" s="88" t="s">
        <v>428</v>
      </c>
      <c r="Z332" s="19">
        <f>IF(AQ332="5",BJ332,0)</f>
        <v>0</v>
      </c>
      <c r="AB332" s="19">
        <f>IF(AQ332="1",BH332,0)</f>
        <v>0</v>
      </c>
      <c r="AC332" s="19">
        <f>IF(AQ332="1",BI332,0)</f>
        <v>0</v>
      </c>
      <c r="AD332" s="19">
        <f>IF(AQ332="7",BH332,0)</f>
        <v>0</v>
      </c>
      <c r="AE332" s="19">
        <f>IF(AQ332="7",BI332,0)</f>
        <v>0</v>
      </c>
      <c r="AF332" s="19">
        <f>IF(AQ332="2",BH332,0)</f>
        <v>0</v>
      </c>
      <c r="AG332" s="19">
        <f>IF(AQ332="2",BI332,0)</f>
        <v>0</v>
      </c>
      <c r="AH332" s="19">
        <f>IF(AQ332="0",BJ332,0)</f>
        <v>0</v>
      </c>
      <c r="AI332" s="16" t="s">
        <v>201</v>
      </c>
      <c r="AJ332" s="19">
        <f>IF(AN332=0,L332,0)</f>
        <v>0</v>
      </c>
      <c r="AK332" s="19">
        <f>IF(AN332=12,L332,0)</f>
        <v>0</v>
      </c>
      <c r="AL332" s="19">
        <f>IF(AN332=21,L332,0)</f>
        <v>0</v>
      </c>
      <c r="AN332" s="19">
        <v>12</v>
      </c>
      <c r="AO332" s="19">
        <f>H332*1</f>
        <v>0</v>
      </c>
      <c r="AP332" s="19">
        <f>H332*(1-1)</f>
        <v>0</v>
      </c>
      <c r="AQ332" s="87" t="s">
        <v>429</v>
      </c>
      <c r="AV332" s="19">
        <f>AW332+AX332</f>
        <v>0</v>
      </c>
      <c r="AW332" s="19">
        <f>G332*AO332</f>
        <v>0</v>
      </c>
      <c r="AX332" s="19">
        <f>G332*AP332</f>
        <v>0</v>
      </c>
      <c r="AY332" s="87" t="s">
        <v>732</v>
      </c>
      <c r="AZ332" s="87" t="s">
        <v>723</v>
      </c>
      <c r="BA332" s="16" t="s">
        <v>700</v>
      </c>
      <c r="BC332" s="19">
        <f>AW332+AX332</f>
        <v>0</v>
      </c>
      <c r="BD332" s="19">
        <f>H332/(100-BE332)*100</f>
        <v>0</v>
      </c>
      <c r="BE332" s="19">
        <v>0</v>
      </c>
      <c r="BF332" s="19">
        <f>O332</f>
        <v>0</v>
      </c>
      <c r="BH332" s="19">
        <f>G332*AO332</f>
        <v>0</v>
      </c>
      <c r="BI332" s="19">
        <f>G332*AP332</f>
        <v>0</v>
      </c>
      <c r="BJ332" s="19">
        <f>G332*H332</f>
        <v>0</v>
      </c>
      <c r="BK332" s="19"/>
      <c r="BL332" s="19">
        <v>783</v>
      </c>
      <c r="BW332" s="19" t="str">
        <f>I332</f>
        <v>12</v>
      </c>
      <c r="BX332" s="4" t="s">
        <v>256</v>
      </c>
    </row>
    <row r="333" spans="1:76" x14ac:dyDescent="0.25">
      <c r="A333" s="84" t="s">
        <v>25</v>
      </c>
      <c r="B333" s="15" t="s">
        <v>201</v>
      </c>
      <c r="C333" s="15" t="s">
        <v>258</v>
      </c>
      <c r="D333" s="115" t="s">
        <v>259</v>
      </c>
      <c r="E333" s="116"/>
      <c r="F333" s="85" t="s">
        <v>23</v>
      </c>
      <c r="G333" s="85" t="s">
        <v>23</v>
      </c>
      <c r="H333" s="85" t="s">
        <v>23</v>
      </c>
      <c r="I333" s="85" t="s">
        <v>23</v>
      </c>
      <c r="J333" s="60">
        <f>SUM(J334:J334)</f>
        <v>0</v>
      </c>
      <c r="K333" s="60">
        <f>SUM(K334:K334)</f>
        <v>0</v>
      </c>
      <c r="L333" s="60">
        <f>SUM(L334:L334)</f>
        <v>0</v>
      </c>
      <c r="M333" s="60">
        <f>SUM(M334:M334)</f>
        <v>0</v>
      </c>
      <c r="N333" s="16" t="s">
        <v>25</v>
      </c>
      <c r="O333" s="60">
        <f>SUM(O334:O334)</f>
        <v>2.8080000000000001E-2</v>
      </c>
      <c r="P333" s="86" t="s">
        <v>25</v>
      </c>
      <c r="AI333" s="16" t="s">
        <v>201</v>
      </c>
      <c r="AS333" s="60">
        <f>SUM(AJ334:AJ334)</f>
        <v>0</v>
      </c>
      <c r="AT333" s="60">
        <f>SUM(AK334:AK334)</f>
        <v>0</v>
      </c>
      <c r="AU333" s="60">
        <f>SUM(AL334:AL334)</f>
        <v>0</v>
      </c>
    </row>
    <row r="334" spans="1:76" x14ac:dyDescent="0.25">
      <c r="A334" s="1" t="s">
        <v>734</v>
      </c>
      <c r="B334" s="2" t="s">
        <v>201</v>
      </c>
      <c r="C334" s="2" t="s">
        <v>260</v>
      </c>
      <c r="D334" s="108" t="s">
        <v>261</v>
      </c>
      <c r="E334" s="102"/>
      <c r="F334" s="2" t="s">
        <v>217</v>
      </c>
      <c r="G334" s="19">
        <f>'Rozpočet - vybrané sloupce'!J308</f>
        <v>72</v>
      </c>
      <c r="H334" s="19">
        <f>'Rozpočet - vybrané sloupce'!K308</f>
        <v>0</v>
      </c>
      <c r="I334" s="87" t="s">
        <v>427</v>
      </c>
      <c r="J334" s="19">
        <f>G334*AO334</f>
        <v>0</v>
      </c>
      <c r="K334" s="19">
        <f>G334*AP334</f>
        <v>0</v>
      </c>
      <c r="L334" s="19">
        <f>G334*H334</f>
        <v>0</v>
      </c>
      <c r="M334" s="19">
        <f>L334*(1+BW334/100)</f>
        <v>0</v>
      </c>
      <c r="N334" s="19">
        <v>3.8999999999999999E-4</v>
      </c>
      <c r="O334" s="19">
        <f>G334*N334</f>
        <v>2.8080000000000001E-2</v>
      </c>
      <c r="P334" s="88" t="s">
        <v>428</v>
      </c>
      <c r="Z334" s="19">
        <f>IF(AQ334="5",BJ334,0)</f>
        <v>0</v>
      </c>
      <c r="AB334" s="19">
        <f>IF(AQ334="1",BH334,0)</f>
        <v>0</v>
      </c>
      <c r="AC334" s="19">
        <f>IF(AQ334="1",BI334,0)</f>
        <v>0</v>
      </c>
      <c r="AD334" s="19">
        <f>IF(AQ334="7",BH334,0)</f>
        <v>0</v>
      </c>
      <c r="AE334" s="19">
        <f>IF(AQ334="7",BI334,0)</f>
        <v>0</v>
      </c>
      <c r="AF334" s="19">
        <f>IF(AQ334="2",BH334,0)</f>
        <v>0</v>
      </c>
      <c r="AG334" s="19">
        <f>IF(AQ334="2",BI334,0)</f>
        <v>0</v>
      </c>
      <c r="AH334" s="19">
        <f>IF(AQ334="0",BJ334,0)</f>
        <v>0</v>
      </c>
      <c r="AI334" s="16" t="s">
        <v>201</v>
      </c>
      <c r="AJ334" s="19">
        <f>IF(AN334=0,L334,0)</f>
        <v>0</v>
      </c>
      <c r="AK334" s="19">
        <f>IF(AN334=12,L334,0)</f>
        <v>0</v>
      </c>
      <c r="AL334" s="19">
        <f>IF(AN334=21,L334,0)</f>
        <v>0</v>
      </c>
      <c r="AN334" s="19">
        <v>12</v>
      </c>
      <c r="AO334" s="19">
        <f>H334*0.201516349</f>
        <v>0</v>
      </c>
      <c r="AP334" s="19">
        <f>H334*(1-0.201516349)</f>
        <v>0</v>
      </c>
      <c r="AQ334" s="87" t="s">
        <v>429</v>
      </c>
      <c r="AV334" s="19">
        <f>AW334+AX334</f>
        <v>0</v>
      </c>
      <c r="AW334" s="19">
        <f>G334*AO334</f>
        <v>0</v>
      </c>
      <c r="AX334" s="19">
        <f>G334*AP334</f>
        <v>0</v>
      </c>
      <c r="AY334" s="87" t="s">
        <v>735</v>
      </c>
      <c r="AZ334" s="87" t="s">
        <v>723</v>
      </c>
      <c r="BA334" s="16" t="s">
        <v>700</v>
      </c>
      <c r="BC334" s="19">
        <f>AW334+AX334</f>
        <v>0</v>
      </c>
      <c r="BD334" s="19">
        <f>H334/(100-BE334)*100</f>
        <v>0</v>
      </c>
      <c r="BE334" s="19">
        <v>0</v>
      </c>
      <c r="BF334" s="19">
        <f>O334</f>
        <v>2.8080000000000001E-2</v>
      </c>
      <c r="BH334" s="19">
        <f>G334*AO334</f>
        <v>0</v>
      </c>
      <c r="BI334" s="19">
        <f>G334*AP334</f>
        <v>0</v>
      </c>
      <c r="BJ334" s="19">
        <f>G334*H334</f>
        <v>0</v>
      </c>
      <c r="BK334" s="19"/>
      <c r="BL334" s="19">
        <v>784</v>
      </c>
      <c r="BW334" s="19" t="str">
        <f>I334</f>
        <v>12</v>
      </c>
      <c r="BX334" s="4" t="s">
        <v>261</v>
      </c>
    </row>
    <row r="335" spans="1:76" x14ac:dyDescent="0.25">
      <c r="A335" s="84" t="s">
        <v>25</v>
      </c>
      <c r="B335" s="15" t="s">
        <v>201</v>
      </c>
      <c r="C335" s="15" t="s">
        <v>262</v>
      </c>
      <c r="D335" s="115" t="s">
        <v>263</v>
      </c>
      <c r="E335" s="116"/>
      <c r="F335" s="85" t="s">
        <v>23</v>
      </c>
      <c r="G335" s="85" t="s">
        <v>23</v>
      </c>
      <c r="H335" s="85" t="s">
        <v>23</v>
      </c>
      <c r="I335" s="85" t="s">
        <v>23</v>
      </c>
      <c r="J335" s="60">
        <f>SUM(J336:J336)</f>
        <v>0</v>
      </c>
      <c r="K335" s="60">
        <f>SUM(K336:K336)</f>
        <v>0</v>
      </c>
      <c r="L335" s="60">
        <f>SUM(L336:L336)</f>
        <v>0</v>
      </c>
      <c r="M335" s="60">
        <f>SUM(M336:M336)</f>
        <v>0</v>
      </c>
      <c r="N335" s="16" t="s">
        <v>25</v>
      </c>
      <c r="O335" s="60">
        <f>SUM(O336:O336)</f>
        <v>0</v>
      </c>
      <c r="P335" s="86" t="s">
        <v>25</v>
      </c>
      <c r="AI335" s="16" t="s">
        <v>201</v>
      </c>
      <c r="AS335" s="60">
        <f>SUM(AJ336:AJ336)</f>
        <v>0</v>
      </c>
      <c r="AT335" s="60">
        <f>SUM(AK336:AK336)</f>
        <v>0</v>
      </c>
      <c r="AU335" s="60">
        <f>SUM(AL336:AL336)</f>
        <v>0</v>
      </c>
    </row>
    <row r="336" spans="1:76" x14ac:dyDescent="0.25">
      <c r="A336" s="1" t="s">
        <v>736</v>
      </c>
      <c r="B336" s="2" t="s">
        <v>201</v>
      </c>
      <c r="C336" s="2" t="s">
        <v>264</v>
      </c>
      <c r="D336" s="108" t="s">
        <v>265</v>
      </c>
      <c r="E336" s="102"/>
      <c r="F336" s="2" t="s">
        <v>217</v>
      </c>
      <c r="G336" s="19">
        <f>'Rozpočet - vybrané sloupce'!J310</f>
        <v>990</v>
      </c>
      <c r="H336" s="19">
        <f>'Rozpočet - vybrané sloupce'!K310</f>
        <v>0</v>
      </c>
      <c r="I336" s="87" t="s">
        <v>427</v>
      </c>
      <c r="J336" s="19">
        <f>G336*AO336</f>
        <v>0</v>
      </c>
      <c r="K336" s="19">
        <f>G336*AP336</f>
        <v>0</v>
      </c>
      <c r="L336" s="19">
        <f>G336*H336</f>
        <v>0</v>
      </c>
      <c r="M336" s="19">
        <f>L336*(1+BW336/100)</f>
        <v>0</v>
      </c>
      <c r="N336" s="19">
        <v>0</v>
      </c>
      <c r="O336" s="19">
        <f>G336*N336</f>
        <v>0</v>
      </c>
      <c r="P336" s="88" t="s">
        <v>428</v>
      </c>
      <c r="Z336" s="19">
        <f>IF(AQ336="5",BJ336,0)</f>
        <v>0</v>
      </c>
      <c r="AB336" s="19">
        <f>IF(AQ336="1",BH336,0)</f>
        <v>0</v>
      </c>
      <c r="AC336" s="19">
        <f>IF(AQ336="1",BI336,0)</f>
        <v>0</v>
      </c>
      <c r="AD336" s="19">
        <f>IF(AQ336="7",BH336,0)</f>
        <v>0</v>
      </c>
      <c r="AE336" s="19">
        <f>IF(AQ336="7",BI336,0)</f>
        <v>0</v>
      </c>
      <c r="AF336" s="19">
        <f>IF(AQ336="2",BH336,0)</f>
        <v>0</v>
      </c>
      <c r="AG336" s="19">
        <f>IF(AQ336="2",BI336,0)</f>
        <v>0</v>
      </c>
      <c r="AH336" s="19">
        <f>IF(AQ336="0",BJ336,0)</f>
        <v>0</v>
      </c>
      <c r="AI336" s="16" t="s">
        <v>201</v>
      </c>
      <c r="AJ336" s="19">
        <f>IF(AN336=0,L336,0)</f>
        <v>0</v>
      </c>
      <c r="AK336" s="19">
        <f>IF(AN336=12,L336,0)</f>
        <v>0</v>
      </c>
      <c r="AL336" s="19">
        <f>IF(AN336=21,L336,0)</f>
        <v>0</v>
      </c>
      <c r="AN336" s="19">
        <v>12</v>
      </c>
      <c r="AO336" s="19">
        <f>H336*0</f>
        <v>0</v>
      </c>
      <c r="AP336" s="19">
        <f>H336*(1-0)</f>
        <v>0</v>
      </c>
      <c r="AQ336" s="87" t="s">
        <v>426</v>
      </c>
      <c r="AV336" s="19">
        <f>AW336+AX336</f>
        <v>0</v>
      </c>
      <c r="AW336" s="19">
        <f>G336*AO336</f>
        <v>0</v>
      </c>
      <c r="AX336" s="19">
        <f>G336*AP336</f>
        <v>0</v>
      </c>
      <c r="AY336" s="87" t="s">
        <v>737</v>
      </c>
      <c r="AZ336" s="87" t="s">
        <v>738</v>
      </c>
      <c r="BA336" s="16" t="s">
        <v>700</v>
      </c>
      <c r="BC336" s="19">
        <f>AW336+AX336</f>
        <v>0</v>
      </c>
      <c r="BD336" s="19">
        <f>H336/(100-BE336)*100</f>
        <v>0</v>
      </c>
      <c r="BE336" s="19">
        <v>0</v>
      </c>
      <c r="BF336" s="19">
        <f>O336</f>
        <v>0</v>
      </c>
      <c r="BH336" s="19">
        <f>G336*AO336</f>
        <v>0</v>
      </c>
      <c r="BI336" s="19">
        <f>G336*AP336</f>
        <v>0</v>
      </c>
      <c r="BJ336" s="19">
        <f>G336*H336</f>
        <v>0</v>
      </c>
      <c r="BK336" s="19"/>
      <c r="BL336" s="19">
        <v>95</v>
      </c>
      <c r="BW336" s="19" t="str">
        <f>I336</f>
        <v>12</v>
      </c>
      <c r="BX336" s="4" t="s">
        <v>265</v>
      </c>
    </row>
    <row r="337" spans="1:76" x14ac:dyDescent="0.25">
      <c r="A337" s="84" t="s">
        <v>25</v>
      </c>
      <c r="B337" s="15" t="s">
        <v>201</v>
      </c>
      <c r="C337" s="15" t="s">
        <v>266</v>
      </c>
      <c r="D337" s="115" t="s">
        <v>267</v>
      </c>
      <c r="E337" s="116"/>
      <c r="F337" s="85" t="s">
        <v>23</v>
      </c>
      <c r="G337" s="85" t="s">
        <v>23</v>
      </c>
      <c r="H337" s="85" t="s">
        <v>23</v>
      </c>
      <c r="I337" s="85" t="s">
        <v>23</v>
      </c>
      <c r="J337" s="60">
        <f>SUM(J338:J338)</f>
        <v>0</v>
      </c>
      <c r="K337" s="60">
        <f>SUM(K338:K338)</f>
        <v>0</v>
      </c>
      <c r="L337" s="60">
        <f>SUM(L338:L338)</f>
        <v>0</v>
      </c>
      <c r="M337" s="60">
        <f>SUM(M338:M338)</f>
        <v>0</v>
      </c>
      <c r="N337" s="16" t="s">
        <v>25</v>
      </c>
      <c r="O337" s="60">
        <f>SUM(O338:O338)</f>
        <v>6.0510540000000006</v>
      </c>
      <c r="P337" s="86" t="s">
        <v>25</v>
      </c>
      <c r="AI337" s="16" t="s">
        <v>201</v>
      </c>
      <c r="AS337" s="60">
        <f>SUM(AJ338:AJ338)</f>
        <v>0</v>
      </c>
      <c r="AT337" s="60">
        <f>SUM(AK338:AK338)</f>
        <v>0</v>
      </c>
      <c r="AU337" s="60">
        <f>SUM(AL338:AL338)</f>
        <v>0</v>
      </c>
    </row>
    <row r="338" spans="1:76" x14ac:dyDescent="0.25">
      <c r="A338" s="1" t="s">
        <v>739</v>
      </c>
      <c r="B338" s="2" t="s">
        <v>201</v>
      </c>
      <c r="C338" s="2" t="s">
        <v>268</v>
      </c>
      <c r="D338" s="108" t="s">
        <v>269</v>
      </c>
      <c r="E338" s="102"/>
      <c r="F338" s="2" t="s">
        <v>217</v>
      </c>
      <c r="G338" s="19">
        <f>'Rozpočet - vybrané sloupce'!J312</f>
        <v>56.2</v>
      </c>
      <c r="H338" s="19">
        <f>'Rozpočet - vybrané sloupce'!K312</f>
        <v>0</v>
      </c>
      <c r="I338" s="87" t="s">
        <v>427</v>
      </c>
      <c r="J338" s="19">
        <f>G338*AO338</f>
        <v>0</v>
      </c>
      <c r="K338" s="19">
        <f>G338*AP338</f>
        <v>0</v>
      </c>
      <c r="L338" s="19">
        <f>G338*H338</f>
        <v>0</v>
      </c>
      <c r="M338" s="19">
        <f>L338*(1+BW338/100)</f>
        <v>0</v>
      </c>
      <c r="N338" s="19">
        <v>0.10767</v>
      </c>
      <c r="O338" s="19">
        <f>G338*N338</f>
        <v>6.0510540000000006</v>
      </c>
      <c r="P338" s="88" t="s">
        <v>740</v>
      </c>
      <c r="Z338" s="19">
        <f>IF(AQ338="5",BJ338,0)</f>
        <v>0</v>
      </c>
      <c r="AB338" s="19">
        <f>IF(AQ338="1",BH338,0)</f>
        <v>0</v>
      </c>
      <c r="AC338" s="19">
        <f>IF(AQ338="1",BI338,0)</f>
        <v>0</v>
      </c>
      <c r="AD338" s="19">
        <f>IF(AQ338="7",BH338,0)</f>
        <v>0</v>
      </c>
      <c r="AE338" s="19">
        <f>IF(AQ338="7",BI338,0)</f>
        <v>0</v>
      </c>
      <c r="AF338" s="19">
        <f>IF(AQ338="2",BH338,0)</f>
        <v>0</v>
      </c>
      <c r="AG338" s="19">
        <f>IF(AQ338="2",BI338,0)</f>
        <v>0</v>
      </c>
      <c r="AH338" s="19">
        <f>IF(AQ338="0",BJ338,0)</f>
        <v>0</v>
      </c>
      <c r="AI338" s="16" t="s">
        <v>201</v>
      </c>
      <c r="AJ338" s="19">
        <f>IF(AN338=0,L338,0)</f>
        <v>0</v>
      </c>
      <c r="AK338" s="19">
        <f>IF(AN338=12,L338,0)</f>
        <v>0</v>
      </c>
      <c r="AL338" s="19">
        <f>IF(AN338=21,L338,0)</f>
        <v>0</v>
      </c>
      <c r="AN338" s="19">
        <v>12</v>
      </c>
      <c r="AO338" s="19">
        <f>H338*0.197071898</f>
        <v>0</v>
      </c>
      <c r="AP338" s="19">
        <f>H338*(1-0.197071898)</f>
        <v>0</v>
      </c>
      <c r="AQ338" s="87" t="s">
        <v>426</v>
      </c>
      <c r="AV338" s="19">
        <f>AW338+AX338</f>
        <v>0</v>
      </c>
      <c r="AW338" s="19">
        <f>G338*AO338</f>
        <v>0</v>
      </c>
      <c r="AX338" s="19">
        <f>G338*AP338</f>
        <v>0</v>
      </c>
      <c r="AY338" s="87" t="s">
        <v>741</v>
      </c>
      <c r="AZ338" s="87" t="s">
        <v>738</v>
      </c>
      <c r="BA338" s="16" t="s">
        <v>700</v>
      </c>
      <c r="BC338" s="19">
        <f>AW338+AX338</f>
        <v>0</v>
      </c>
      <c r="BD338" s="19">
        <f>H338/(100-BE338)*100</f>
        <v>0</v>
      </c>
      <c r="BE338" s="19">
        <v>0</v>
      </c>
      <c r="BF338" s="19">
        <f>O338</f>
        <v>6.0510540000000006</v>
      </c>
      <c r="BH338" s="19">
        <f>G338*AO338</f>
        <v>0</v>
      </c>
      <c r="BI338" s="19">
        <f>G338*AP338</f>
        <v>0</v>
      </c>
      <c r="BJ338" s="19">
        <f>G338*H338</f>
        <v>0</v>
      </c>
      <c r="BK338" s="19"/>
      <c r="BL338" s="19">
        <v>96</v>
      </c>
      <c r="BW338" s="19" t="str">
        <f>I338</f>
        <v>12</v>
      </c>
      <c r="BX338" s="4" t="s">
        <v>269</v>
      </c>
    </row>
    <row r="339" spans="1:76" x14ac:dyDescent="0.25">
      <c r="A339" s="84" t="s">
        <v>25</v>
      </c>
      <c r="B339" s="15" t="s">
        <v>201</v>
      </c>
      <c r="C339" s="15" t="s">
        <v>270</v>
      </c>
      <c r="D339" s="115" t="s">
        <v>271</v>
      </c>
      <c r="E339" s="116"/>
      <c r="F339" s="85" t="s">
        <v>23</v>
      </c>
      <c r="G339" s="85" t="s">
        <v>23</v>
      </c>
      <c r="H339" s="85" t="s">
        <v>23</v>
      </c>
      <c r="I339" s="85" t="s">
        <v>23</v>
      </c>
      <c r="J339" s="60">
        <f>SUM(J340:J347)</f>
        <v>0</v>
      </c>
      <c r="K339" s="60">
        <f>SUM(K340:K347)</f>
        <v>0</v>
      </c>
      <c r="L339" s="60">
        <f>SUM(L340:L347)</f>
        <v>0</v>
      </c>
      <c r="M339" s="60">
        <f>SUM(M340:M347)</f>
        <v>0</v>
      </c>
      <c r="N339" s="16" t="s">
        <v>25</v>
      </c>
      <c r="O339" s="60">
        <f>SUM(O340:O347)</f>
        <v>2.2359439999999999</v>
      </c>
      <c r="P339" s="86" t="s">
        <v>25</v>
      </c>
      <c r="AI339" s="16" t="s">
        <v>201</v>
      </c>
      <c r="AS339" s="60">
        <f>SUM(AJ340:AJ347)</f>
        <v>0</v>
      </c>
      <c r="AT339" s="60">
        <f>SUM(AK340:AK347)</f>
        <v>0</v>
      </c>
      <c r="AU339" s="60">
        <f>SUM(AL340:AL347)</f>
        <v>0</v>
      </c>
    </row>
    <row r="340" spans="1:76" x14ac:dyDescent="0.25">
      <c r="A340" s="1" t="s">
        <v>742</v>
      </c>
      <c r="B340" s="2" t="s">
        <v>201</v>
      </c>
      <c r="C340" s="2" t="s">
        <v>272</v>
      </c>
      <c r="D340" s="108" t="s">
        <v>273</v>
      </c>
      <c r="E340" s="102"/>
      <c r="F340" s="2" t="s">
        <v>62</v>
      </c>
      <c r="G340" s="19">
        <f>'Rozpočet - vybrané sloupce'!J314</f>
        <v>24</v>
      </c>
      <c r="H340" s="19">
        <f>'Rozpočet - vybrané sloupce'!K314</f>
        <v>0</v>
      </c>
      <c r="I340" s="87" t="s">
        <v>427</v>
      </c>
      <c r="J340" s="19">
        <f>G340*AO340</f>
        <v>0</v>
      </c>
      <c r="K340" s="19">
        <f>G340*AP340</f>
        <v>0</v>
      </c>
      <c r="L340" s="19">
        <f>G340*H340</f>
        <v>0</v>
      </c>
      <c r="M340" s="19">
        <f>L340*(1+BW340/100)</f>
        <v>0</v>
      </c>
      <c r="N340" s="19">
        <v>0.09</v>
      </c>
      <c r="O340" s="19">
        <f>G340*N340</f>
        <v>2.16</v>
      </c>
      <c r="P340" s="88" t="s">
        <v>428</v>
      </c>
      <c r="Z340" s="19">
        <f>IF(AQ340="5",BJ340,0)</f>
        <v>0</v>
      </c>
      <c r="AB340" s="19">
        <f>IF(AQ340="1",BH340,0)</f>
        <v>0</v>
      </c>
      <c r="AC340" s="19">
        <f>IF(AQ340="1",BI340,0)</f>
        <v>0</v>
      </c>
      <c r="AD340" s="19">
        <f>IF(AQ340="7",BH340,0)</f>
        <v>0</v>
      </c>
      <c r="AE340" s="19">
        <f>IF(AQ340="7",BI340,0)</f>
        <v>0</v>
      </c>
      <c r="AF340" s="19">
        <f>IF(AQ340="2",BH340,0)</f>
        <v>0</v>
      </c>
      <c r="AG340" s="19">
        <f>IF(AQ340="2",BI340,0)</f>
        <v>0</v>
      </c>
      <c r="AH340" s="19">
        <f>IF(AQ340="0",BJ340,0)</f>
        <v>0</v>
      </c>
      <c r="AI340" s="16" t="s">
        <v>201</v>
      </c>
      <c r="AJ340" s="19">
        <f>IF(AN340=0,L340,0)</f>
        <v>0</v>
      </c>
      <c r="AK340" s="19">
        <f>IF(AN340=12,L340,0)</f>
        <v>0</v>
      </c>
      <c r="AL340" s="19">
        <f>IF(AN340=21,L340,0)</f>
        <v>0</v>
      </c>
      <c r="AN340" s="19">
        <v>12</v>
      </c>
      <c r="AO340" s="19">
        <f>H340*0</f>
        <v>0</v>
      </c>
      <c r="AP340" s="19">
        <f>H340*(1-0)</f>
        <v>0</v>
      </c>
      <c r="AQ340" s="87" t="s">
        <v>426</v>
      </c>
      <c r="AV340" s="19">
        <f>AW340+AX340</f>
        <v>0</v>
      </c>
      <c r="AW340" s="19">
        <f>G340*AO340</f>
        <v>0</v>
      </c>
      <c r="AX340" s="19">
        <f>G340*AP340</f>
        <v>0</v>
      </c>
      <c r="AY340" s="87" t="s">
        <v>743</v>
      </c>
      <c r="AZ340" s="87" t="s">
        <v>738</v>
      </c>
      <c r="BA340" s="16" t="s">
        <v>700</v>
      </c>
      <c r="BC340" s="19">
        <f>AW340+AX340</f>
        <v>0</v>
      </c>
      <c r="BD340" s="19">
        <f>H340/(100-BE340)*100</f>
        <v>0</v>
      </c>
      <c r="BE340" s="19">
        <v>0</v>
      </c>
      <c r="BF340" s="19">
        <f>O340</f>
        <v>2.16</v>
      </c>
      <c r="BH340" s="19">
        <f>G340*AO340</f>
        <v>0</v>
      </c>
      <c r="BI340" s="19">
        <f>G340*AP340</f>
        <v>0</v>
      </c>
      <c r="BJ340" s="19">
        <f>G340*H340</f>
        <v>0</v>
      </c>
      <c r="BK340" s="19"/>
      <c r="BL340" s="19">
        <v>97</v>
      </c>
      <c r="BW340" s="19" t="str">
        <f>I340</f>
        <v>12</v>
      </c>
      <c r="BX340" s="4" t="s">
        <v>273</v>
      </c>
    </row>
    <row r="341" spans="1:76" ht="25.5" x14ac:dyDescent="0.25">
      <c r="A341" s="89"/>
      <c r="C341" s="90" t="s">
        <v>437</v>
      </c>
      <c r="D341" s="187" t="s">
        <v>744</v>
      </c>
      <c r="E341" s="188"/>
      <c r="F341" s="188"/>
      <c r="G341" s="188"/>
      <c r="H341" s="188"/>
      <c r="I341" s="188"/>
      <c r="J341" s="188"/>
      <c r="K341" s="188"/>
      <c r="L341" s="188"/>
      <c r="M341" s="188"/>
      <c r="N341" s="188"/>
      <c r="O341" s="188"/>
      <c r="P341" s="189"/>
      <c r="BX341" s="91" t="s">
        <v>744</v>
      </c>
    </row>
    <row r="342" spans="1:76" x14ac:dyDescent="0.25">
      <c r="A342" s="1" t="s">
        <v>745</v>
      </c>
      <c r="B342" s="2" t="s">
        <v>201</v>
      </c>
      <c r="C342" s="2" t="s">
        <v>274</v>
      </c>
      <c r="D342" s="108" t="s">
        <v>275</v>
      </c>
      <c r="E342" s="102"/>
      <c r="F342" s="2" t="s">
        <v>31</v>
      </c>
      <c r="G342" s="19">
        <f>'Rozpočet - vybrané sloupce'!J315</f>
        <v>2.2000000000000002</v>
      </c>
      <c r="H342" s="19">
        <f>'Rozpočet - vybrané sloupce'!K315</f>
        <v>0</v>
      </c>
      <c r="I342" s="87" t="s">
        <v>427</v>
      </c>
      <c r="J342" s="19">
        <f>G342*AO342</f>
        <v>0</v>
      </c>
      <c r="K342" s="19">
        <f>G342*AP342</f>
        <v>0</v>
      </c>
      <c r="L342" s="19">
        <f>G342*H342</f>
        <v>0</v>
      </c>
      <c r="M342" s="19">
        <f>L342*(1+BW342/100)</f>
        <v>0</v>
      </c>
      <c r="N342" s="19">
        <v>3.3169999999999998E-2</v>
      </c>
      <c r="O342" s="19">
        <f>G342*N342</f>
        <v>7.2973999999999997E-2</v>
      </c>
      <c r="P342" s="88" t="s">
        <v>428</v>
      </c>
      <c r="Z342" s="19">
        <f>IF(AQ342="5",BJ342,0)</f>
        <v>0</v>
      </c>
      <c r="AB342" s="19">
        <f>IF(AQ342="1",BH342,0)</f>
        <v>0</v>
      </c>
      <c r="AC342" s="19">
        <f>IF(AQ342="1",BI342,0)</f>
        <v>0</v>
      </c>
      <c r="AD342" s="19">
        <f>IF(AQ342="7",BH342,0)</f>
        <v>0</v>
      </c>
      <c r="AE342" s="19">
        <f>IF(AQ342="7",BI342,0)</f>
        <v>0</v>
      </c>
      <c r="AF342" s="19">
        <f>IF(AQ342="2",BH342,0)</f>
        <v>0</v>
      </c>
      <c r="AG342" s="19">
        <f>IF(AQ342="2",BI342,0)</f>
        <v>0</v>
      </c>
      <c r="AH342" s="19">
        <f>IF(AQ342="0",BJ342,0)</f>
        <v>0</v>
      </c>
      <c r="AI342" s="16" t="s">
        <v>201</v>
      </c>
      <c r="AJ342" s="19">
        <f>IF(AN342=0,L342,0)</f>
        <v>0</v>
      </c>
      <c r="AK342" s="19">
        <f>IF(AN342=12,L342,0)</f>
        <v>0</v>
      </c>
      <c r="AL342" s="19">
        <f>IF(AN342=21,L342,0)</f>
        <v>0</v>
      </c>
      <c r="AN342" s="19">
        <v>12</v>
      </c>
      <c r="AO342" s="19">
        <f>H342*0.310697219</f>
        <v>0</v>
      </c>
      <c r="AP342" s="19">
        <f>H342*(1-0.310697219)</f>
        <v>0</v>
      </c>
      <c r="AQ342" s="87" t="s">
        <v>426</v>
      </c>
      <c r="AV342" s="19">
        <f>AW342+AX342</f>
        <v>0</v>
      </c>
      <c r="AW342" s="19">
        <f>G342*AO342</f>
        <v>0</v>
      </c>
      <c r="AX342" s="19">
        <f>G342*AP342</f>
        <v>0</v>
      </c>
      <c r="AY342" s="87" t="s">
        <v>743</v>
      </c>
      <c r="AZ342" s="87" t="s">
        <v>738</v>
      </c>
      <c r="BA342" s="16" t="s">
        <v>700</v>
      </c>
      <c r="BC342" s="19">
        <f>AW342+AX342</f>
        <v>0</v>
      </c>
      <c r="BD342" s="19">
        <f>H342/(100-BE342)*100</f>
        <v>0</v>
      </c>
      <c r="BE342" s="19">
        <v>0</v>
      </c>
      <c r="BF342" s="19">
        <f>O342</f>
        <v>7.2973999999999997E-2</v>
      </c>
      <c r="BH342" s="19">
        <f>G342*AO342</f>
        <v>0</v>
      </c>
      <c r="BI342" s="19">
        <f>G342*AP342</f>
        <v>0</v>
      </c>
      <c r="BJ342" s="19">
        <f>G342*H342</f>
        <v>0</v>
      </c>
      <c r="BK342" s="19"/>
      <c r="BL342" s="19">
        <v>97</v>
      </c>
      <c r="BW342" s="19" t="str">
        <f>I342</f>
        <v>12</v>
      </c>
      <c r="BX342" s="4" t="s">
        <v>275</v>
      </c>
    </row>
    <row r="343" spans="1:76" x14ac:dyDescent="0.25">
      <c r="A343" s="1" t="s">
        <v>746</v>
      </c>
      <c r="B343" s="2" t="s">
        <v>201</v>
      </c>
      <c r="C343" s="2" t="s">
        <v>276</v>
      </c>
      <c r="D343" s="108" t="s">
        <v>277</v>
      </c>
      <c r="E343" s="102"/>
      <c r="F343" s="2" t="s">
        <v>31</v>
      </c>
      <c r="G343" s="19">
        <f>'Rozpočet - vybrané sloupce'!J316</f>
        <v>2.2000000000000002</v>
      </c>
      <c r="H343" s="19">
        <f>'Rozpočet - vybrané sloupce'!K316</f>
        <v>0</v>
      </c>
      <c r="I343" s="87" t="s">
        <v>427</v>
      </c>
      <c r="J343" s="19">
        <f>G343*AO343</f>
        <v>0</v>
      </c>
      <c r="K343" s="19">
        <f>G343*AP343</f>
        <v>0</v>
      </c>
      <c r="L343" s="19">
        <f>G343*H343</f>
        <v>0</v>
      </c>
      <c r="M343" s="19">
        <f>L343*(1+BW343/100)</f>
        <v>0</v>
      </c>
      <c r="N343" s="19">
        <v>1.0000000000000001E-5</v>
      </c>
      <c r="O343" s="19">
        <f>G343*N343</f>
        <v>2.2000000000000003E-5</v>
      </c>
      <c r="P343" s="88" t="s">
        <v>428</v>
      </c>
      <c r="Z343" s="19">
        <f>IF(AQ343="5",BJ343,0)</f>
        <v>0</v>
      </c>
      <c r="AB343" s="19">
        <f>IF(AQ343="1",BH343,0)</f>
        <v>0</v>
      </c>
      <c r="AC343" s="19">
        <f>IF(AQ343="1",BI343,0)</f>
        <v>0</v>
      </c>
      <c r="AD343" s="19">
        <f>IF(AQ343="7",BH343,0)</f>
        <v>0</v>
      </c>
      <c r="AE343" s="19">
        <f>IF(AQ343="7",BI343,0)</f>
        <v>0</v>
      </c>
      <c r="AF343" s="19">
        <f>IF(AQ343="2",BH343,0)</f>
        <v>0</v>
      </c>
      <c r="AG343" s="19">
        <f>IF(AQ343="2",BI343,0)</f>
        <v>0</v>
      </c>
      <c r="AH343" s="19">
        <f>IF(AQ343="0",BJ343,0)</f>
        <v>0</v>
      </c>
      <c r="AI343" s="16" t="s">
        <v>201</v>
      </c>
      <c r="AJ343" s="19">
        <f>IF(AN343=0,L343,0)</f>
        <v>0</v>
      </c>
      <c r="AK343" s="19">
        <f>IF(AN343=12,L343,0)</f>
        <v>0</v>
      </c>
      <c r="AL343" s="19">
        <f>IF(AN343=21,L343,0)</f>
        <v>0</v>
      </c>
      <c r="AN343" s="19">
        <v>12</v>
      </c>
      <c r="AO343" s="19">
        <f>H343*0.1705625</f>
        <v>0</v>
      </c>
      <c r="AP343" s="19">
        <f>H343*(1-0.1705625)</f>
        <v>0</v>
      </c>
      <c r="AQ343" s="87" t="s">
        <v>426</v>
      </c>
      <c r="AV343" s="19">
        <f>AW343+AX343</f>
        <v>0</v>
      </c>
      <c r="AW343" s="19">
        <f>G343*AO343</f>
        <v>0</v>
      </c>
      <c r="AX343" s="19">
        <f>G343*AP343</f>
        <v>0</v>
      </c>
      <c r="AY343" s="87" t="s">
        <v>743</v>
      </c>
      <c r="AZ343" s="87" t="s">
        <v>738</v>
      </c>
      <c r="BA343" s="16" t="s">
        <v>700</v>
      </c>
      <c r="BC343" s="19">
        <f>AW343+AX343</f>
        <v>0</v>
      </c>
      <c r="BD343" s="19">
        <f>H343/(100-BE343)*100</f>
        <v>0</v>
      </c>
      <c r="BE343" s="19">
        <v>0</v>
      </c>
      <c r="BF343" s="19">
        <f>O343</f>
        <v>2.2000000000000003E-5</v>
      </c>
      <c r="BH343" s="19">
        <f>G343*AO343</f>
        <v>0</v>
      </c>
      <c r="BI343" s="19">
        <f>G343*AP343</f>
        <v>0</v>
      </c>
      <c r="BJ343" s="19">
        <f>G343*H343</f>
        <v>0</v>
      </c>
      <c r="BK343" s="19"/>
      <c r="BL343" s="19">
        <v>97</v>
      </c>
      <c r="BW343" s="19" t="str">
        <f>I343</f>
        <v>12</v>
      </c>
      <c r="BX343" s="4" t="s">
        <v>277</v>
      </c>
    </row>
    <row r="344" spans="1:76" x14ac:dyDescent="0.25">
      <c r="A344" s="89"/>
      <c r="C344" s="90" t="s">
        <v>437</v>
      </c>
      <c r="D344" s="187" t="s">
        <v>747</v>
      </c>
      <c r="E344" s="188"/>
      <c r="F344" s="188"/>
      <c r="G344" s="188"/>
      <c r="H344" s="188"/>
      <c r="I344" s="188"/>
      <c r="J344" s="188"/>
      <c r="K344" s="188"/>
      <c r="L344" s="188"/>
      <c r="M344" s="188"/>
      <c r="N344" s="188"/>
      <c r="O344" s="188"/>
      <c r="P344" s="189"/>
      <c r="BX344" s="91" t="s">
        <v>747</v>
      </c>
    </row>
    <row r="345" spans="1:76" x14ac:dyDescent="0.25">
      <c r="A345" s="1" t="s">
        <v>748</v>
      </c>
      <c r="B345" s="2" t="s">
        <v>201</v>
      </c>
      <c r="C345" s="2" t="s">
        <v>278</v>
      </c>
      <c r="D345" s="108" t="s">
        <v>279</v>
      </c>
      <c r="E345" s="102"/>
      <c r="F345" s="2" t="s">
        <v>31</v>
      </c>
      <c r="G345" s="19">
        <f>'Rozpočet - vybrané sloupce'!J317</f>
        <v>2.2000000000000002</v>
      </c>
      <c r="H345" s="19">
        <f>'Rozpočet - vybrané sloupce'!K317</f>
        <v>0</v>
      </c>
      <c r="I345" s="87" t="s">
        <v>427</v>
      </c>
      <c r="J345" s="19">
        <f>G345*AO345</f>
        <v>0</v>
      </c>
      <c r="K345" s="19">
        <f>G345*AP345</f>
        <v>0</v>
      </c>
      <c r="L345" s="19">
        <f>G345*H345</f>
        <v>0</v>
      </c>
      <c r="M345" s="19">
        <f>L345*(1+BW345/100)</f>
        <v>0</v>
      </c>
      <c r="N345" s="19">
        <v>0</v>
      </c>
      <c r="O345" s="19">
        <f>G345*N345</f>
        <v>0</v>
      </c>
      <c r="P345" s="88" t="s">
        <v>428</v>
      </c>
      <c r="Z345" s="19">
        <f>IF(AQ345="5",BJ345,0)</f>
        <v>0</v>
      </c>
      <c r="AB345" s="19">
        <f>IF(AQ345="1",BH345,0)</f>
        <v>0</v>
      </c>
      <c r="AC345" s="19">
        <f>IF(AQ345="1",BI345,0)</f>
        <v>0</v>
      </c>
      <c r="AD345" s="19">
        <f>IF(AQ345="7",BH345,0)</f>
        <v>0</v>
      </c>
      <c r="AE345" s="19">
        <f>IF(AQ345="7",BI345,0)</f>
        <v>0</v>
      </c>
      <c r="AF345" s="19">
        <f>IF(AQ345="2",BH345,0)</f>
        <v>0</v>
      </c>
      <c r="AG345" s="19">
        <f>IF(AQ345="2",BI345,0)</f>
        <v>0</v>
      </c>
      <c r="AH345" s="19">
        <f>IF(AQ345="0",BJ345,0)</f>
        <v>0</v>
      </c>
      <c r="AI345" s="16" t="s">
        <v>201</v>
      </c>
      <c r="AJ345" s="19">
        <f>IF(AN345=0,L345,0)</f>
        <v>0</v>
      </c>
      <c r="AK345" s="19">
        <f>IF(AN345=12,L345,0)</f>
        <v>0</v>
      </c>
      <c r="AL345" s="19">
        <f>IF(AN345=21,L345,0)</f>
        <v>0</v>
      </c>
      <c r="AN345" s="19">
        <v>12</v>
      </c>
      <c r="AO345" s="19">
        <f>H345*0</f>
        <v>0</v>
      </c>
      <c r="AP345" s="19">
        <f>H345*(1-0)</f>
        <v>0</v>
      </c>
      <c r="AQ345" s="87" t="s">
        <v>426</v>
      </c>
      <c r="AV345" s="19">
        <f>AW345+AX345</f>
        <v>0</v>
      </c>
      <c r="AW345" s="19">
        <f>G345*AO345</f>
        <v>0</v>
      </c>
      <c r="AX345" s="19">
        <f>G345*AP345</f>
        <v>0</v>
      </c>
      <c r="AY345" s="87" t="s">
        <v>743</v>
      </c>
      <c r="AZ345" s="87" t="s">
        <v>738</v>
      </c>
      <c r="BA345" s="16" t="s">
        <v>700</v>
      </c>
      <c r="BC345" s="19">
        <f>AW345+AX345</f>
        <v>0</v>
      </c>
      <c r="BD345" s="19">
        <f>H345/(100-BE345)*100</f>
        <v>0</v>
      </c>
      <c r="BE345" s="19">
        <v>0</v>
      </c>
      <c r="BF345" s="19">
        <f>O345</f>
        <v>0</v>
      </c>
      <c r="BH345" s="19">
        <f>G345*AO345</f>
        <v>0</v>
      </c>
      <c r="BI345" s="19">
        <f>G345*AP345</f>
        <v>0</v>
      </c>
      <c r="BJ345" s="19">
        <f>G345*H345</f>
        <v>0</v>
      </c>
      <c r="BK345" s="19"/>
      <c r="BL345" s="19">
        <v>97</v>
      </c>
      <c r="BW345" s="19" t="str">
        <f>I345</f>
        <v>12</v>
      </c>
      <c r="BX345" s="4" t="s">
        <v>279</v>
      </c>
    </row>
    <row r="346" spans="1:76" x14ac:dyDescent="0.25">
      <c r="A346" s="89"/>
      <c r="C346" s="90" t="s">
        <v>437</v>
      </c>
      <c r="D346" s="187" t="s">
        <v>749</v>
      </c>
      <c r="E346" s="188"/>
      <c r="F346" s="188"/>
      <c r="G346" s="188"/>
      <c r="H346" s="188"/>
      <c r="I346" s="188"/>
      <c r="J346" s="188"/>
      <c r="K346" s="188"/>
      <c r="L346" s="188"/>
      <c r="M346" s="188"/>
      <c r="N346" s="188"/>
      <c r="O346" s="188"/>
      <c r="P346" s="189"/>
      <c r="BX346" s="91" t="s">
        <v>749</v>
      </c>
    </row>
    <row r="347" spans="1:76" x14ac:dyDescent="0.25">
      <c r="A347" s="1" t="s">
        <v>750</v>
      </c>
      <c r="B347" s="2" t="s">
        <v>201</v>
      </c>
      <c r="C347" s="2" t="s">
        <v>280</v>
      </c>
      <c r="D347" s="108" t="s">
        <v>281</v>
      </c>
      <c r="E347" s="102"/>
      <c r="F347" s="2" t="s">
        <v>31</v>
      </c>
      <c r="G347" s="19">
        <f>'Rozpočet - vybrané sloupce'!J318</f>
        <v>2.2000000000000002</v>
      </c>
      <c r="H347" s="19">
        <f>'Rozpočet - vybrané sloupce'!K318</f>
        <v>0</v>
      </c>
      <c r="I347" s="87" t="s">
        <v>427</v>
      </c>
      <c r="J347" s="19">
        <f>G347*AO347</f>
        <v>0</v>
      </c>
      <c r="K347" s="19">
        <f>G347*AP347</f>
        <v>0</v>
      </c>
      <c r="L347" s="19">
        <f>G347*H347</f>
        <v>0</v>
      </c>
      <c r="M347" s="19">
        <f>L347*(1+BW347/100)</f>
        <v>0</v>
      </c>
      <c r="N347" s="19">
        <v>1.34E-3</v>
      </c>
      <c r="O347" s="19">
        <f>G347*N347</f>
        <v>2.9480000000000005E-3</v>
      </c>
      <c r="P347" s="88" t="s">
        <v>428</v>
      </c>
      <c r="Z347" s="19">
        <f>IF(AQ347="5",BJ347,0)</f>
        <v>0</v>
      </c>
      <c r="AB347" s="19">
        <f>IF(AQ347="1",BH347,0)</f>
        <v>0</v>
      </c>
      <c r="AC347" s="19">
        <f>IF(AQ347="1",BI347,0)</f>
        <v>0</v>
      </c>
      <c r="AD347" s="19">
        <f>IF(AQ347="7",BH347,0)</f>
        <v>0</v>
      </c>
      <c r="AE347" s="19">
        <f>IF(AQ347="7",BI347,0)</f>
        <v>0</v>
      </c>
      <c r="AF347" s="19">
        <f>IF(AQ347="2",BH347,0)</f>
        <v>0</v>
      </c>
      <c r="AG347" s="19">
        <f>IF(AQ347="2",BI347,0)</f>
        <v>0</v>
      </c>
      <c r="AH347" s="19">
        <f>IF(AQ347="0",BJ347,0)</f>
        <v>0</v>
      </c>
      <c r="AI347" s="16" t="s">
        <v>201</v>
      </c>
      <c r="AJ347" s="19">
        <f>IF(AN347=0,L347,0)</f>
        <v>0</v>
      </c>
      <c r="AK347" s="19">
        <f>IF(AN347=12,L347,0)</f>
        <v>0</v>
      </c>
      <c r="AL347" s="19">
        <f>IF(AN347=21,L347,0)</f>
        <v>0</v>
      </c>
      <c r="AN347" s="19">
        <v>12</v>
      </c>
      <c r="AO347" s="19">
        <f>H347*0.075938824</f>
        <v>0</v>
      </c>
      <c r="AP347" s="19">
        <f>H347*(1-0.075938824)</f>
        <v>0</v>
      </c>
      <c r="AQ347" s="87" t="s">
        <v>426</v>
      </c>
      <c r="AV347" s="19">
        <f>AW347+AX347</f>
        <v>0</v>
      </c>
      <c r="AW347" s="19">
        <f>G347*AO347</f>
        <v>0</v>
      </c>
      <c r="AX347" s="19">
        <f>G347*AP347</f>
        <v>0</v>
      </c>
      <c r="AY347" s="87" t="s">
        <v>743</v>
      </c>
      <c r="AZ347" s="87" t="s">
        <v>738</v>
      </c>
      <c r="BA347" s="16" t="s">
        <v>700</v>
      </c>
      <c r="BC347" s="19">
        <f>AW347+AX347</f>
        <v>0</v>
      </c>
      <c r="BD347" s="19">
        <f>H347/(100-BE347)*100</f>
        <v>0</v>
      </c>
      <c r="BE347" s="19">
        <v>0</v>
      </c>
      <c r="BF347" s="19">
        <f>O347</f>
        <v>2.9480000000000005E-3</v>
      </c>
      <c r="BH347" s="19">
        <f>G347*AO347</f>
        <v>0</v>
      </c>
      <c r="BI347" s="19">
        <f>G347*AP347</f>
        <v>0</v>
      </c>
      <c r="BJ347" s="19">
        <f>G347*H347</f>
        <v>0</v>
      </c>
      <c r="BK347" s="19"/>
      <c r="BL347" s="19">
        <v>97</v>
      </c>
      <c r="BW347" s="19" t="str">
        <f>I347</f>
        <v>12</v>
      </c>
      <c r="BX347" s="4" t="s">
        <v>281</v>
      </c>
    </row>
    <row r="348" spans="1:76" x14ac:dyDescent="0.25">
      <c r="A348" s="89"/>
      <c r="C348" s="90" t="s">
        <v>437</v>
      </c>
      <c r="D348" s="187" t="s">
        <v>751</v>
      </c>
      <c r="E348" s="188"/>
      <c r="F348" s="188"/>
      <c r="G348" s="188"/>
      <c r="H348" s="188"/>
      <c r="I348" s="188"/>
      <c r="J348" s="188"/>
      <c r="K348" s="188"/>
      <c r="L348" s="188"/>
      <c r="M348" s="188"/>
      <c r="N348" s="188"/>
      <c r="O348" s="188"/>
      <c r="P348" s="189"/>
      <c r="BX348" s="91" t="s">
        <v>751</v>
      </c>
    </row>
    <row r="349" spans="1:76" x14ac:dyDescent="0.25">
      <c r="A349" s="84" t="s">
        <v>25</v>
      </c>
      <c r="B349" s="15" t="s">
        <v>201</v>
      </c>
      <c r="C349" s="15" t="s">
        <v>282</v>
      </c>
      <c r="D349" s="115" t="s">
        <v>283</v>
      </c>
      <c r="E349" s="116"/>
      <c r="F349" s="85" t="s">
        <v>23</v>
      </c>
      <c r="G349" s="85" t="s">
        <v>23</v>
      </c>
      <c r="H349" s="85" t="s">
        <v>23</v>
      </c>
      <c r="I349" s="85" t="s">
        <v>23</v>
      </c>
      <c r="J349" s="60">
        <f>SUM(J350:J360)</f>
        <v>0</v>
      </c>
      <c r="K349" s="60">
        <f>SUM(K350:K360)</f>
        <v>0</v>
      </c>
      <c r="L349" s="60">
        <f>SUM(L350:L360)</f>
        <v>0</v>
      </c>
      <c r="M349" s="60">
        <f>SUM(M350:M360)</f>
        <v>0</v>
      </c>
      <c r="N349" s="16" t="s">
        <v>25</v>
      </c>
      <c r="O349" s="60">
        <f>SUM(O350:O360)</f>
        <v>0</v>
      </c>
      <c r="P349" s="86" t="s">
        <v>25</v>
      </c>
      <c r="AI349" s="16" t="s">
        <v>201</v>
      </c>
      <c r="AS349" s="60">
        <f>SUM(AJ350:AJ360)</f>
        <v>0</v>
      </c>
      <c r="AT349" s="60">
        <f>SUM(AK350:AK360)</f>
        <v>0</v>
      </c>
      <c r="AU349" s="60">
        <f>SUM(AL350:AL360)</f>
        <v>0</v>
      </c>
    </row>
    <row r="350" spans="1:76" x14ac:dyDescent="0.25">
      <c r="A350" s="1" t="s">
        <v>752</v>
      </c>
      <c r="B350" s="2" t="s">
        <v>201</v>
      </c>
      <c r="C350" s="2" t="s">
        <v>284</v>
      </c>
      <c r="D350" s="108" t="s">
        <v>285</v>
      </c>
      <c r="E350" s="102"/>
      <c r="F350" s="2" t="s">
        <v>286</v>
      </c>
      <c r="G350" s="19">
        <f>'Rozpočet - vybrané sloupce'!J320</f>
        <v>45</v>
      </c>
      <c r="H350" s="19">
        <f>'Rozpočet - vybrané sloupce'!K320</f>
        <v>0</v>
      </c>
      <c r="I350" s="87" t="s">
        <v>427</v>
      </c>
      <c r="J350" s="19">
        <f>G350*AO350</f>
        <v>0</v>
      </c>
      <c r="K350" s="19">
        <f>G350*AP350</f>
        <v>0</v>
      </c>
      <c r="L350" s="19">
        <f>G350*H350</f>
        <v>0</v>
      </c>
      <c r="M350" s="19">
        <f>L350*(1+BW350/100)</f>
        <v>0</v>
      </c>
      <c r="N350" s="19">
        <v>0</v>
      </c>
      <c r="O350" s="19">
        <f>G350*N350</f>
        <v>0</v>
      </c>
      <c r="P350" s="88" t="s">
        <v>428</v>
      </c>
      <c r="Z350" s="19">
        <f>IF(AQ350="5",BJ350,0)</f>
        <v>0</v>
      </c>
      <c r="AB350" s="19">
        <f>IF(AQ350="1",BH350,0)</f>
        <v>0</v>
      </c>
      <c r="AC350" s="19">
        <f>IF(AQ350="1",BI350,0)</f>
        <v>0</v>
      </c>
      <c r="AD350" s="19">
        <f>IF(AQ350="7",BH350,0)</f>
        <v>0</v>
      </c>
      <c r="AE350" s="19">
        <f>IF(AQ350="7",BI350,0)</f>
        <v>0</v>
      </c>
      <c r="AF350" s="19">
        <f>IF(AQ350="2",BH350,0)</f>
        <v>0</v>
      </c>
      <c r="AG350" s="19">
        <f>IF(AQ350="2",BI350,0)</f>
        <v>0</v>
      </c>
      <c r="AH350" s="19">
        <f>IF(AQ350="0",BJ350,0)</f>
        <v>0</v>
      </c>
      <c r="AI350" s="16" t="s">
        <v>201</v>
      </c>
      <c r="AJ350" s="19">
        <f>IF(AN350=0,L350,0)</f>
        <v>0</v>
      </c>
      <c r="AK350" s="19">
        <f>IF(AN350=12,L350,0)</f>
        <v>0</v>
      </c>
      <c r="AL350" s="19">
        <f>IF(AN350=21,L350,0)</f>
        <v>0</v>
      </c>
      <c r="AN350" s="19">
        <v>12</v>
      </c>
      <c r="AO350" s="19">
        <f>H350*0</f>
        <v>0</v>
      </c>
      <c r="AP350" s="19">
        <f>H350*(1-0)</f>
        <v>0</v>
      </c>
      <c r="AQ350" s="87" t="s">
        <v>426</v>
      </c>
      <c r="AV350" s="19">
        <f>AW350+AX350</f>
        <v>0</v>
      </c>
      <c r="AW350" s="19">
        <f>G350*AO350</f>
        <v>0</v>
      </c>
      <c r="AX350" s="19">
        <f>G350*AP350</f>
        <v>0</v>
      </c>
      <c r="AY350" s="87" t="s">
        <v>753</v>
      </c>
      <c r="AZ350" s="87" t="s">
        <v>738</v>
      </c>
      <c r="BA350" s="16" t="s">
        <v>700</v>
      </c>
      <c r="BC350" s="19">
        <f>AW350+AX350</f>
        <v>0</v>
      </c>
      <c r="BD350" s="19">
        <f>H350/(100-BE350)*100</f>
        <v>0</v>
      </c>
      <c r="BE350" s="19">
        <v>0</v>
      </c>
      <c r="BF350" s="19">
        <f>O350</f>
        <v>0</v>
      </c>
      <c r="BH350" s="19">
        <f>G350*AO350</f>
        <v>0</v>
      </c>
      <c r="BI350" s="19">
        <f>G350*AP350</f>
        <v>0</v>
      </c>
      <c r="BJ350" s="19">
        <f>G350*H350</f>
        <v>0</v>
      </c>
      <c r="BK350" s="19"/>
      <c r="BL350" s="19"/>
      <c r="BW350" s="19" t="str">
        <f>I350</f>
        <v>12</v>
      </c>
      <c r="BX350" s="4" t="s">
        <v>285</v>
      </c>
    </row>
    <row r="351" spans="1:76" x14ac:dyDescent="0.25">
      <c r="A351" s="1" t="s">
        <v>754</v>
      </c>
      <c r="B351" s="2" t="s">
        <v>201</v>
      </c>
      <c r="C351" s="2" t="s">
        <v>287</v>
      </c>
      <c r="D351" s="108" t="s">
        <v>288</v>
      </c>
      <c r="E351" s="102"/>
      <c r="F351" s="2" t="s">
        <v>95</v>
      </c>
      <c r="G351" s="19">
        <f>'Rozpočet - vybrané sloupce'!J321</f>
        <v>2.1</v>
      </c>
      <c r="H351" s="19">
        <f>'Rozpočet - vybrané sloupce'!K321</f>
        <v>0</v>
      </c>
      <c r="I351" s="87" t="s">
        <v>427</v>
      </c>
      <c r="J351" s="19">
        <f>G351*AO351</f>
        <v>0</v>
      </c>
      <c r="K351" s="19">
        <f>G351*AP351</f>
        <v>0</v>
      </c>
      <c r="L351" s="19">
        <f>G351*H351</f>
        <v>0</v>
      </c>
      <c r="M351" s="19">
        <f>L351*(1+BW351/100)</f>
        <v>0</v>
      </c>
      <c r="N351" s="19">
        <v>0</v>
      </c>
      <c r="O351" s="19">
        <f>G351*N351</f>
        <v>0</v>
      </c>
      <c r="P351" s="88" t="s">
        <v>428</v>
      </c>
      <c r="Z351" s="19">
        <f>IF(AQ351="5",BJ351,0)</f>
        <v>0</v>
      </c>
      <c r="AB351" s="19">
        <f>IF(AQ351="1",BH351,0)</f>
        <v>0</v>
      </c>
      <c r="AC351" s="19">
        <f>IF(AQ351="1",BI351,0)</f>
        <v>0</v>
      </c>
      <c r="AD351" s="19">
        <f>IF(AQ351="7",BH351,0)</f>
        <v>0</v>
      </c>
      <c r="AE351" s="19">
        <f>IF(AQ351="7",BI351,0)</f>
        <v>0</v>
      </c>
      <c r="AF351" s="19">
        <f>IF(AQ351="2",BH351,0)</f>
        <v>0</v>
      </c>
      <c r="AG351" s="19">
        <f>IF(AQ351="2",BI351,0)</f>
        <v>0</v>
      </c>
      <c r="AH351" s="19">
        <f>IF(AQ351="0",BJ351,0)</f>
        <v>0</v>
      </c>
      <c r="AI351" s="16" t="s">
        <v>201</v>
      </c>
      <c r="AJ351" s="19">
        <f>IF(AN351=0,L351,0)</f>
        <v>0</v>
      </c>
      <c r="AK351" s="19">
        <f>IF(AN351=12,L351,0)</f>
        <v>0</v>
      </c>
      <c r="AL351" s="19">
        <f>IF(AN351=21,L351,0)</f>
        <v>0</v>
      </c>
      <c r="AN351" s="19">
        <v>12</v>
      </c>
      <c r="AO351" s="19">
        <f>H351*0</f>
        <v>0</v>
      </c>
      <c r="AP351" s="19">
        <f>H351*(1-0)</f>
        <v>0</v>
      </c>
      <c r="AQ351" s="87" t="s">
        <v>436</v>
      </c>
      <c r="AV351" s="19">
        <f>AW351+AX351</f>
        <v>0</v>
      </c>
      <c r="AW351" s="19">
        <f>G351*AO351</f>
        <v>0</v>
      </c>
      <c r="AX351" s="19">
        <f>G351*AP351</f>
        <v>0</v>
      </c>
      <c r="AY351" s="87" t="s">
        <v>753</v>
      </c>
      <c r="AZ351" s="87" t="s">
        <v>738</v>
      </c>
      <c r="BA351" s="16" t="s">
        <v>700</v>
      </c>
      <c r="BC351" s="19">
        <f>AW351+AX351</f>
        <v>0</v>
      </c>
      <c r="BD351" s="19">
        <f>H351/(100-BE351)*100</f>
        <v>0</v>
      </c>
      <c r="BE351" s="19">
        <v>0</v>
      </c>
      <c r="BF351" s="19">
        <f>O351</f>
        <v>0</v>
      </c>
      <c r="BH351" s="19">
        <f>G351*AO351</f>
        <v>0</v>
      </c>
      <c r="BI351" s="19">
        <f>G351*AP351</f>
        <v>0</v>
      </c>
      <c r="BJ351" s="19">
        <f>G351*H351</f>
        <v>0</v>
      </c>
      <c r="BK351" s="19"/>
      <c r="BL351" s="19"/>
      <c r="BW351" s="19" t="str">
        <f>I351</f>
        <v>12</v>
      </c>
      <c r="BX351" s="4" t="s">
        <v>288</v>
      </c>
    </row>
    <row r="352" spans="1:76" ht="38.25" x14ac:dyDescent="0.25">
      <c r="A352" s="89"/>
      <c r="C352" s="90" t="s">
        <v>437</v>
      </c>
      <c r="D352" s="187" t="s">
        <v>755</v>
      </c>
      <c r="E352" s="188"/>
      <c r="F352" s="188"/>
      <c r="G352" s="188"/>
      <c r="H352" s="188"/>
      <c r="I352" s="188"/>
      <c r="J352" s="188"/>
      <c r="K352" s="188"/>
      <c r="L352" s="188"/>
      <c r="M352" s="188"/>
      <c r="N352" s="188"/>
      <c r="O352" s="188"/>
      <c r="P352" s="189"/>
      <c r="BX352" s="91" t="s">
        <v>755</v>
      </c>
    </row>
    <row r="353" spans="1:76" x14ac:dyDescent="0.25">
      <c r="A353" s="1" t="s">
        <v>756</v>
      </c>
      <c r="B353" s="2" t="s">
        <v>201</v>
      </c>
      <c r="C353" s="2" t="s">
        <v>289</v>
      </c>
      <c r="D353" s="108" t="s">
        <v>290</v>
      </c>
      <c r="E353" s="102"/>
      <c r="F353" s="2" t="s">
        <v>95</v>
      </c>
      <c r="G353" s="19">
        <f>'Rozpočet - vybrané sloupce'!J322</f>
        <v>6.2</v>
      </c>
      <c r="H353" s="19">
        <f>'Rozpočet - vybrané sloupce'!K322</f>
        <v>0</v>
      </c>
      <c r="I353" s="87" t="s">
        <v>427</v>
      </c>
      <c r="J353" s="19">
        <f>G353*AO353</f>
        <v>0</v>
      </c>
      <c r="K353" s="19">
        <f>G353*AP353</f>
        <v>0</v>
      </c>
      <c r="L353" s="19">
        <f>G353*H353</f>
        <v>0</v>
      </c>
      <c r="M353" s="19">
        <f>L353*(1+BW353/100)</f>
        <v>0</v>
      </c>
      <c r="N353" s="19">
        <v>0</v>
      </c>
      <c r="O353" s="19">
        <f>G353*N353</f>
        <v>0</v>
      </c>
      <c r="P353" s="88" t="s">
        <v>428</v>
      </c>
      <c r="Z353" s="19">
        <f>IF(AQ353="5",BJ353,0)</f>
        <v>0</v>
      </c>
      <c r="AB353" s="19">
        <f>IF(AQ353="1",BH353,0)</f>
        <v>0</v>
      </c>
      <c r="AC353" s="19">
        <f>IF(AQ353="1",BI353,0)</f>
        <v>0</v>
      </c>
      <c r="AD353" s="19">
        <f>IF(AQ353="7",BH353,0)</f>
        <v>0</v>
      </c>
      <c r="AE353" s="19">
        <f>IF(AQ353="7",BI353,0)</f>
        <v>0</v>
      </c>
      <c r="AF353" s="19">
        <f>IF(AQ353="2",BH353,0)</f>
        <v>0</v>
      </c>
      <c r="AG353" s="19">
        <f>IF(AQ353="2",BI353,0)</f>
        <v>0</v>
      </c>
      <c r="AH353" s="19">
        <f>IF(AQ353="0",BJ353,0)</f>
        <v>0</v>
      </c>
      <c r="AI353" s="16" t="s">
        <v>201</v>
      </c>
      <c r="AJ353" s="19">
        <f>IF(AN353=0,L353,0)</f>
        <v>0</v>
      </c>
      <c r="AK353" s="19">
        <f>IF(AN353=12,L353,0)</f>
        <v>0</v>
      </c>
      <c r="AL353" s="19">
        <f>IF(AN353=21,L353,0)</f>
        <v>0</v>
      </c>
      <c r="AN353" s="19">
        <v>12</v>
      </c>
      <c r="AO353" s="19">
        <f>H353*0</f>
        <v>0</v>
      </c>
      <c r="AP353" s="19">
        <f>H353*(1-0)</f>
        <v>0</v>
      </c>
      <c r="AQ353" s="87" t="s">
        <v>436</v>
      </c>
      <c r="AV353" s="19">
        <f>AW353+AX353</f>
        <v>0</v>
      </c>
      <c r="AW353" s="19">
        <f>G353*AO353</f>
        <v>0</v>
      </c>
      <c r="AX353" s="19">
        <f>G353*AP353</f>
        <v>0</v>
      </c>
      <c r="AY353" s="87" t="s">
        <v>753</v>
      </c>
      <c r="AZ353" s="87" t="s">
        <v>738</v>
      </c>
      <c r="BA353" s="16" t="s">
        <v>700</v>
      </c>
      <c r="BC353" s="19">
        <f>AW353+AX353</f>
        <v>0</v>
      </c>
      <c r="BD353" s="19">
        <f>H353/(100-BE353)*100</f>
        <v>0</v>
      </c>
      <c r="BE353" s="19">
        <v>0</v>
      </c>
      <c r="BF353" s="19">
        <f>O353</f>
        <v>0</v>
      </c>
      <c r="BH353" s="19">
        <f>G353*AO353</f>
        <v>0</v>
      </c>
      <c r="BI353" s="19">
        <f>G353*AP353</f>
        <v>0</v>
      </c>
      <c r="BJ353" s="19">
        <f>G353*H353</f>
        <v>0</v>
      </c>
      <c r="BK353" s="19"/>
      <c r="BL353" s="19"/>
      <c r="BW353" s="19" t="str">
        <f>I353</f>
        <v>12</v>
      </c>
      <c r="BX353" s="4" t="s">
        <v>290</v>
      </c>
    </row>
    <row r="354" spans="1:76" x14ac:dyDescent="0.25">
      <c r="A354" s="1" t="s">
        <v>757</v>
      </c>
      <c r="B354" s="2" t="s">
        <v>201</v>
      </c>
      <c r="C354" s="2" t="s">
        <v>291</v>
      </c>
      <c r="D354" s="108" t="s">
        <v>292</v>
      </c>
      <c r="E354" s="102"/>
      <c r="F354" s="2" t="s">
        <v>95</v>
      </c>
      <c r="G354" s="19">
        <f>'Rozpočet - vybrané sloupce'!J323</f>
        <v>8.3000000000000007</v>
      </c>
      <c r="H354" s="19">
        <f>'Rozpočet - vybrané sloupce'!K323</f>
        <v>0</v>
      </c>
      <c r="I354" s="87" t="s">
        <v>427</v>
      </c>
      <c r="J354" s="19">
        <f>G354*AO354</f>
        <v>0</v>
      </c>
      <c r="K354" s="19">
        <f>G354*AP354</f>
        <v>0</v>
      </c>
      <c r="L354" s="19">
        <f>G354*H354</f>
        <v>0</v>
      </c>
      <c r="M354" s="19">
        <f>L354*(1+BW354/100)</f>
        <v>0</v>
      </c>
      <c r="N354" s="19">
        <v>0</v>
      </c>
      <c r="O354" s="19">
        <f>G354*N354</f>
        <v>0</v>
      </c>
      <c r="P354" s="88" t="s">
        <v>428</v>
      </c>
      <c r="Z354" s="19">
        <f>IF(AQ354="5",BJ354,0)</f>
        <v>0</v>
      </c>
      <c r="AB354" s="19">
        <f>IF(AQ354="1",BH354,0)</f>
        <v>0</v>
      </c>
      <c r="AC354" s="19">
        <f>IF(AQ354="1",BI354,0)</f>
        <v>0</v>
      </c>
      <c r="AD354" s="19">
        <f>IF(AQ354="7",BH354,0)</f>
        <v>0</v>
      </c>
      <c r="AE354" s="19">
        <f>IF(AQ354="7",BI354,0)</f>
        <v>0</v>
      </c>
      <c r="AF354" s="19">
        <f>IF(AQ354="2",BH354,0)</f>
        <v>0</v>
      </c>
      <c r="AG354" s="19">
        <f>IF(AQ354="2",BI354,0)</f>
        <v>0</v>
      </c>
      <c r="AH354" s="19">
        <f>IF(AQ354="0",BJ354,0)</f>
        <v>0</v>
      </c>
      <c r="AI354" s="16" t="s">
        <v>201</v>
      </c>
      <c r="AJ354" s="19">
        <f>IF(AN354=0,L354,0)</f>
        <v>0</v>
      </c>
      <c r="AK354" s="19">
        <f>IF(AN354=12,L354,0)</f>
        <v>0</v>
      </c>
      <c r="AL354" s="19">
        <f>IF(AN354=21,L354,0)</f>
        <v>0</v>
      </c>
      <c r="AN354" s="19">
        <v>12</v>
      </c>
      <c r="AO354" s="19">
        <f>H354*0</f>
        <v>0</v>
      </c>
      <c r="AP354" s="19">
        <f>H354*(1-0)</f>
        <v>0</v>
      </c>
      <c r="AQ354" s="87" t="s">
        <v>436</v>
      </c>
      <c r="AV354" s="19">
        <f>AW354+AX354</f>
        <v>0</v>
      </c>
      <c r="AW354" s="19">
        <f>G354*AO354</f>
        <v>0</v>
      </c>
      <c r="AX354" s="19">
        <f>G354*AP354</f>
        <v>0</v>
      </c>
      <c r="AY354" s="87" t="s">
        <v>753</v>
      </c>
      <c r="AZ354" s="87" t="s">
        <v>738</v>
      </c>
      <c r="BA354" s="16" t="s">
        <v>700</v>
      </c>
      <c r="BC354" s="19">
        <f>AW354+AX354</f>
        <v>0</v>
      </c>
      <c r="BD354" s="19">
        <f>H354/(100-BE354)*100</f>
        <v>0</v>
      </c>
      <c r="BE354" s="19">
        <v>0</v>
      </c>
      <c r="BF354" s="19">
        <f>O354</f>
        <v>0</v>
      </c>
      <c r="BH354" s="19">
        <f>G354*AO354</f>
        <v>0</v>
      </c>
      <c r="BI354" s="19">
        <f>G354*AP354</f>
        <v>0</v>
      </c>
      <c r="BJ354" s="19">
        <f>G354*H354</f>
        <v>0</v>
      </c>
      <c r="BK354" s="19"/>
      <c r="BL354" s="19"/>
      <c r="BW354" s="19" t="str">
        <f>I354</f>
        <v>12</v>
      </c>
      <c r="BX354" s="4" t="s">
        <v>292</v>
      </c>
    </row>
    <row r="355" spans="1:76" x14ac:dyDescent="0.25">
      <c r="A355" s="89"/>
      <c r="C355" s="90" t="s">
        <v>437</v>
      </c>
      <c r="D355" s="187" t="s">
        <v>758</v>
      </c>
      <c r="E355" s="188"/>
      <c r="F355" s="188"/>
      <c r="G355" s="188"/>
      <c r="H355" s="188"/>
      <c r="I355" s="188"/>
      <c r="J355" s="188"/>
      <c r="K355" s="188"/>
      <c r="L355" s="188"/>
      <c r="M355" s="188"/>
      <c r="N355" s="188"/>
      <c r="O355" s="188"/>
      <c r="P355" s="189"/>
      <c r="BX355" s="91" t="s">
        <v>758</v>
      </c>
    </row>
    <row r="356" spans="1:76" x14ac:dyDescent="0.25">
      <c r="A356" s="1" t="s">
        <v>759</v>
      </c>
      <c r="B356" s="2" t="s">
        <v>201</v>
      </c>
      <c r="C356" s="2" t="s">
        <v>293</v>
      </c>
      <c r="D356" s="108" t="s">
        <v>294</v>
      </c>
      <c r="E356" s="102"/>
      <c r="F356" s="2" t="s">
        <v>95</v>
      </c>
      <c r="G356" s="19">
        <f>'Rozpočet - vybrané sloupce'!J324</f>
        <v>8.3000000000000007</v>
      </c>
      <c r="H356" s="19">
        <f>'Rozpočet - vybrané sloupce'!K324</f>
        <v>0</v>
      </c>
      <c r="I356" s="87" t="s">
        <v>427</v>
      </c>
      <c r="J356" s="19">
        <f>G356*AO356</f>
        <v>0</v>
      </c>
      <c r="K356" s="19">
        <f>G356*AP356</f>
        <v>0</v>
      </c>
      <c r="L356" s="19">
        <f>G356*H356</f>
        <v>0</v>
      </c>
      <c r="M356" s="19">
        <f>L356*(1+BW356/100)</f>
        <v>0</v>
      </c>
      <c r="N356" s="19">
        <v>0</v>
      </c>
      <c r="O356" s="19">
        <f>G356*N356</f>
        <v>0</v>
      </c>
      <c r="P356" s="88" t="s">
        <v>428</v>
      </c>
      <c r="Z356" s="19">
        <f>IF(AQ356="5",BJ356,0)</f>
        <v>0</v>
      </c>
      <c r="AB356" s="19">
        <f>IF(AQ356="1",BH356,0)</f>
        <v>0</v>
      </c>
      <c r="AC356" s="19">
        <f>IF(AQ356="1",BI356,0)</f>
        <v>0</v>
      </c>
      <c r="AD356" s="19">
        <f>IF(AQ356="7",BH356,0)</f>
        <v>0</v>
      </c>
      <c r="AE356" s="19">
        <f>IF(AQ356="7",BI356,0)</f>
        <v>0</v>
      </c>
      <c r="AF356" s="19">
        <f>IF(AQ356="2",BH356,0)</f>
        <v>0</v>
      </c>
      <c r="AG356" s="19">
        <f>IF(AQ356="2",BI356,0)</f>
        <v>0</v>
      </c>
      <c r="AH356" s="19">
        <f>IF(AQ356="0",BJ356,0)</f>
        <v>0</v>
      </c>
      <c r="AI356" s="16" t="s">
        <v>201</v>
      </c>
      <c r="AJ356" s="19">
        <f>IF(AN356=0,L356,0)</f>
        <v>0</v>
      </c>
      <c r="AK356" s="19">
        <f>IF(AN356=12,L356,0)</f>
        <v>0</v>
      </c>
      <c r="AL356" s="19">
        <f>IF(AN356=21,L356,0)</f>
        <v>0</v>
      </c>
      <c r="AN356" s="19">
        <v>12</v>
      </c>
      <c r="AO356" s="19">
        <f>H356*0</f>
        <v>0</v>
      </c>
      <c r="AP356" s="19">
        <f>H356*(1-0)</f>
        <v>0</v>
      </c>
      <c r="AQ356" s="87" t="s">
        <v>436</v>
      </c>
      <c r="AV356" s="19">
        <f>AW356+AX356</f>
        <v>0</v>
      </c>
      <c r="AW356" s="19">
        <f>G356*AO356</f>
        <v>0</v>
      </c>
      <c r="AX356" s="19">
        <f>G356*AP356</f>
        <v>0</v>
      </c>
      <c r="AY356" s="87" t="s">
        <v>753</v>
      </c>
      <c r="AZ356" s="87" t="s">
        <v>738</v>
      </c>
      <c r="BA356" s="16" t="s">
        <v>700</v>
      </c>
      <c r="BC356" s="19">
        <f>AW356+AX356</f>
        <v>0</v>
      </c>
      <c r="BD356" s="19">
        <f>H356/(100-BE356)*100</f>
        <v>0</v>
      </c>
      <c r="BE356" s="19">
        <v>0</v>
      </c>
      <c r="BF356" s="19">
        <f>O356</f>
        <v>0</v>
      </c>
      <c r="BH356" s="19">
        <f>G356*AO356</f>
        <v>0</v>
      </c>
      <c r="BI356" s="19">
        <f>G356*AP356</f>
        <v>0</v>
      </c>
      <c r="BJ356" s="19">
        <f>G356*H356</f>
        <v>0</v>
      </c>
      <c r="BK356" s="19"/>
      <c r="BL356" s="19"/>
      <c r="BW356" s="19" t="str">
        <f>I356</f>
        <v>12</v>
      </c>
      <c r="BX356" s="4" t="s">
        <v>294</v>
      </c>
    </row>
    <row r="357" spans="1:76" x14ac:dyDescent="0.25">
      <c r="A357" s="89"/>
      <c r="C357" s="90" t="s">
        <v>437</v>
      </c>
      <c r="D357" s="187" t="s">
        <v>760</v>
      </c>
      <c r="E357" s="188"/>
      <c r="F357" s="188"/>
      <c r="G357" s="188"/>
      <c r="H357" s="188"/>
      <c r="I357" s="188"/>
      <c r="J357" s="188"/>
      <c r="K357" s="188"/>
      <c r="L357" s="188"/>
      <c r="M357" s="188"/>
      <c r="N357" s="188"/>
      <c r="O357" s="188"/>
      <c r="P357" s="189"/>
      <c r="BX357" s="91" t="s">
        <v>760</v>
      </c>
    </row>
    <row r="358" spans="1:76" x14ac:dyDescent="0.25">
      <c r="A358" s="1" t="s">
        <v>761</v>
      </c>
      <c r="B358" s="2" t="s">
        <v>201</v>
      </c>
      <c r="C358" s="2" t="s">
        <v>295</v>
      </c>
      <c r="D358" s="108" t="s">
        <v>296</v>
      </c>
      <c r="E358" s="102"/>
      <c r="F358" s="2" t="s">
        <v>95</v>
      </c>
      <c r="G358" s="19">
        <f>'Rozpočet - vybrané sloupce'!J325</f>
        <v>8.3000000000000007</v>
      </c>
      <c r="H358" s="19">
        <f>'Rozpočet - vybrané sloupce'!K325</f>
        <v>0</v>
      </c>
      <c r="I358" s="87" t="s">
        <v>427</v>
      </c>
      <c r="J358" s="19">
        <f>G358*AO358</f>
        <v>0</v>
      </c>
      <c r="K358" s="19">
        <f>G358*AP358</f>
        <v>0</v>
      </c>
      <c r="L358" s="19">
        <f>G358*H358</f>
        <v>0</v>
      </c>
      <c r="M358" s="19">
        <f>L358*(1+BW358/100)</f>
        <v>0</v>
      </c>
      <c r="N358" s="19">
        <v>0</v>
      </c>
      <c r="O358" s="19">
        <f>G358*N358</f>
        <v>0</v>
      </c>
      <c r="P358" s="88" t="s">
        <v>428</v>
      </c>
      <c r="Z358" s="19">
        <f>IF(AQ358="5",BJ358,0)</f>
        <v>0</v>
      </c>
      <c r="AB358" s="19">
        <f>IF(AQ358="1",BH358,0)</f>
        <v>0</v>
      </c>
      <c r="AC358" s="19">
        <f>IF(AQ358="1",BI358,0)</f>
        <v>0</v>
      </c>
      <c r="AD358" s="19">
        <f>IF(AQ358="7",BH358,0)</f>
        <v>0</v>
      </c>
      <c r="AE358" s="19">
        <f>IF(AQ358="7",BI358,0)</f>
        <v>0</v>
      </c>
      <c r="AF358" s="19">
        <f>IF(AQ358="2",BH358,0)</f>
        <v>0</v>
      </c>
      <c r="AG358" s="19">
        <f>IF(AQ358="2",BI358,0)</f>
        <v>0</v>
      </c>
      <c r="AH358" s="19">
        <f>IF(AQ358="0",BJ358,0)</f>
        <v>0</v>
      </c>
      <c r="AI358" s="16" t="s">
        <v>201</v>
      </c>
      <c r="AJ358" s="19">
        <f>IF(AN358=0,L358,0)</f>
        <v>0</v>
      </c>
      <c r="AK358" s="19">
        <f>IF(AN358=12,L358,0)</f>
        <v>0</v>
      </c>
      <c r="AL358" s="19">
        <f>IF(AN358=21,L358,0)</f>
        <v>0</v>
      </c>
      <c r="AN358" s="19">
        <v>12</v>
      </c>
      <c r="AO358" s="19">
        <f>H358*0</f>
        <v>0</v>
      </c>
      <c r="AP358" s="19">
        <f>H358*(1-0)</f>
        <v>0</v>
      </c>
      <c r="AQ358" s="87" t="s">
        <v>436</v>
      </c>
      <c r="AV358" s="19">
        <f>AW358+AX358</f>
        <v>0</v>
      </c>
      <c r="AW358" s="19">
        <f>G358*AO358</f>
        <v>0</v>
      </c>
      <c r="AX358" s="19">
        <f>G358*AP358</f>
        <v>0</v>
      </c>
      <c r="AY358" s="87" t="s">
        <v>753</v>
      </c>
      <c r="AZ358" s="87" t="s">
        <v>738</v>
      </c>
      <c r="BA358" s="16" t="s">
        <v>700</v>
      </c>
      <c r="BC358" s="19">
        <f>AW358+AX358</f>
        <v>0</v>
      </c>
      <c r="BD358" s="19">
        <f>H358/(100-BE358)*100</f>
        <v>0</v>
      </c>
      <c r="BE358" s="19">
        <v>0</v>
      </c>
      <c r="BF358" s="19">
        <f>O358</f>
        <v>0</v>
      </c>
      <c r="BH358" s="19">
        <f>G358*AO358</f>
        <v>0</v>
      </c>
      <c r="BI358" s="19">
        <f>G358*AP358</f>
        <v>0</v>
      </c>
      <c r="BJ358" s="19">
        <f>G358*H358</f>
        <v>0</v>
      </c>
      <c r="BK358" s="19"/>
      <c r="BL358" s="19"/>
      <c r="BW358" s="19" t="str">
        <f>I358</f>
        <v>12</v>
      </c>
      <c r="BX358" s="4" t="s">
        <v>296</v>
      </c>
    </row>
    <row r="359" spans="1:76" x14ac:dyDescent="0.25">
      <c r="A359" s="1" t="s">
        <v>762</v>
      </c>
      <c r="B359" s="2" t="s">
        <v>201</v>
      </c>
      <c r="C359" s="2" t="s">
        <v>297</v>
      </c>
      <c r="D359" s="108" t="s">
        <v>298</v>
      </c>
      <c r="E359" s="102"/>
      <c r="F359" s="2" t="s">
        <v>95</v>
      </c>
      <c r="G359" s="19">
        <f>'Rozpočet - vybrané sloupce'!J326</f>
        <v>83</v>
      </c>
      <c r="H359" s="19">
        <f>'Rozpočet - vybrané sloupce'!K326</f>
        <v>0</v>
      </c>
      <c r="I359" s="87" t="s">
        <v>427</v>
      </c>
      <c r="J359" s="19">
        <f>G359*AO359</f>
        <v>0</v>
      </c>
      <c r="K359" s="19">
        <f>G359*AP359</f>
        <v>0</v>
      </c>
      <c r="L359" s="19">
        <f>G359*H359</f>
        <v>0</v>
      </c>
      <c r="M359" s="19">
        <f>L359*(1+BW359/100)</f>
        <v>0</v>
      </c>
      <c r="N359" s="19">
        <v>0</v>
      </c>
      <c r="O359" s="19">
        <f>G359*N359</f>
        <v>0</v>
      </c>
      <c r="P359" s="88" t="s">
        <v>428</v>
      </c>
      <c r="Z359" s="19">
        <f>IF(AQ359="5",BJ359,0)</f>
        <v>0</v>
      </c>
      <c r="AB359" s="19">
        <f>IF(AQ359="1",BH359,0)</f>
        <v>0</v>
      </c>
      <c r="AC359" s="19">
        <f>IF(AQ359="1",BI359,0)</f>
        <v>0</v>
      </c>
      <c r="AD359" s="19">
        <f>IF(AQ359="7",BH359,0)</f>
        <v>0</v>
      </c>
      <c r="AE359" s="19">
        <f>IF(AQ359="7",BI359,0)</f>
        <v>0</v>
      </c>
      <c r="AF359" s="19">
        <f>IF(AQ359="2",BH359,0)</f>
        <v>0</v>
      </c>
      <c r="AG359" s="19">
        <f>IF(AQ359="2",BI359,0)</f>
        <v>0</v>
      </c>
      <c r="AH359" s="19">
        <f>IF(AQ359="0",BJ359,0)</f>
        <v>0</v>
      </c>
      <c r="AI359" s="16" t="s">
        <v>201</v>
      </c>
      <c r="AJ359" s="19">
        <f>IF(AN359=0,L359,0)</f>
        <v>0</v>
      </c>
      <c r="AK359" s="19">
        <f>IF(AN359=12,L359,0)</f>
        <v>0</v>
      </c>
      <c r="AL359" s="19">
        <f>IF(AN359=21,L359,0)</f>
        <v>0</v>
      </c>
      <c r="AN359" s="19">
        <v>12</v>
      </c>
      <c r="AO359" s="19">
        <f>H359*0</f>
        <v>0</v>
      </c>
      <c r="AP359" s="19">
        <f>H359*(1-0)</f>
        <v>0</v>
      </c>
      <c r="AQ359" s="87" t="s">
        <v>436</v>
      </c>
      <c r="AV359" s="19">
        <f>AW359+AX359</f>
        <v>0</v>
      </c>
      <c r="AW359" s="19">
        <f>G359*AO359</f>
        <v>0</v>
      </c>
      <c r="AX359" s="19">
        <f>G359*AP359</f>
        <v>0</v>
      </c>
      <c r="AY359" s="87" t="s">
        <v>753</v>
      </c>
      <c r="AZ359" s="87" t="s">
        <v>738</v>
      </c>
      <c r="BA359" s="16" t="s">
        <v>700</v>
      </c>
      <c r="BC359" s="19">
        <f>AW359+AX359</f>
        <v>0</v>
      </c>
      <c r="BD359" s="19">
        <f>H359/(100-BE359)*100</f>
        <v>0</v>
      </c>
      <c r="BE359" s="19">
        <v>0</v>
      </c>
      <c r="BF359" s="19">
        <f>O359</f>
        <v>0</v>
      </c>
      <c r="BH359" s="19">
        <f>G359*AO359</f>
        <v>0</v>
      </c>
      <c r="BI359" s="19">
        <f>G359*AP359</f>
        <v>0</v>
      </c>
      <c r="BJ359" s="19">
        <f>G359*H359</f>
        <v>0</v>
      </c>
      <c r="BK359" s="19"/>
      <c r="BL359" s="19"/>
      <c r="BW359" s="19" t="str">
        <f>I359</f>
        <v>12</v>
      </c>
      <c r="BX359" s="4" t="s">
        <v>298</v>
      </c>
    </row>
    <row r="360" spans="1:76" x14ac:dyDescent="0.25">
      <c r="A360" s="1" t="s">
        <v>763</v>
      </c>
      <c r="B360" s="2" t="s">
        <v>201</v>
      </c>
      <c r="C360" s="2" t="s">
        <v>299</v>
      </c>
      <c r="D360" s="108" t="s">
        <v>300</v>
      </c>
      <c r="E360" s="102"/>
      <c r="F360" s="2" t="s">
        <v>95</v>
      </c>
      <c r="G360" s="19">
        <f>'Rozpočet - vybrané sloupce'!J327</f>
        <v>8.3000000000000007</v>
      </c>
      <c r="H360" s="19">
        <f>'Rozpočet - vybrané sloupce'!K327</f>
        <v>0</v>
      </c>
      <c r="I360" s="87" t="s">
        <v>427</v>
      </c>
      <c r="J360" s="19">
        <f>G360*AO360</f>
        <v>0</v>
      </c>
      <c r="K360" s="19">
        <f>G360*AP360</f>
        <v>0</v>
      </c>
      <c r="L360" s="19">
        <f>G360*H360</f>
        <v>0</v>
      </c>
      <c r="M360" s="19">
        <f>L360*(1+BW360/100)</f>
        <v>0</v>
      </c>
      <c r="N360" s="19">
        <v>0</v>
      </c>
      <c r="O360" s="19">
        <f>G360*N360</f>
        <v>0</v>
      </c>
      <c r="P360" s="88" t="s">
        <v>428</v>
      </c>
      <c r="Z360" s="19">
        <f>IF(AQ360="5",BJ360,0)</f>
        <v>0</v>
      </c>
      <c r="AB360" s="19">
        <f>IF(AQ360="1",BH360,0)</f>
        <v>0</v>
      </c>
      <c r="AC360" s="19">
        <f>IF(AQ360="1",BI360,0)</f>
        <v>0</v>
      </c>
      <c r="AD360" s="19">
        <f>IF(AQ360="7",BH360,0)</f>
        <v>0</v>
      </c>
      <c r="AE360" s="19">
        <f>IF(AQ360="7",BI360,0)</f>
        <v>0</v>
      </c>
      <c r="AF360" s="19">
        <f>IF(AQ360="2",BH360,0)</f>
        <v>0</v>
      </c>
      <c r="AG360" s="19">
        <f>IF(AQ360="2",BI360,0)</f>
        <v>0</v>
      </c>
      <c r="AH360" s="19">
        <f>IF(AQ360="0",BJ360,0)</f>
        <v>0</v>
      </c>
      <c r="AI360" s="16" t="s">
        <v>201</v>
      </c>
      <c r="AJ360" s="19">
        <f>IF(AN360=0,L360,0)</f>
        <v>0</v>
      </c>
      <c r="AK360" s="19">
        <f>IF(AN360=12,L360,0)</f>
        <v>0</v>
      </c>
      <c r="AL360" s="19">
        <f>IF(AN360=21,L360,0)</f>
        <v>0</v>
      </c>
      <c r="AN360" s="19">
        <v>12</v>
      </c>
      <c r="AO360" s="19">
        <f>H360*0</f>
        <v>0</v>
      </c>
      <c r="AP360" s="19">
        <f>H360*(1-0)</f>
        <v>0</v>
      </c>
      <c r="AQ360" s="87" t="s">
        <v>436</v>
      </c>
      <c r="AV360" s="19">
        <f>AW360+AX360</f>
        <v>0</v>
      </c>
      <c r="AW360" s="19">
        <f>G360*AO360</f>
        <v>0</v>
      </c>
      <c r="AX360" s="19">
        <f>G360*AP360</f>
        <v>0</v>
      </c>
      <c r="AY360" s="87" t="s">
        <v>753</v>
      </c>
      <c r="AZ360" s="87" t="s">
        <v>738</v>
      </c>
      <c r="BA360" s="16" t="s">
        <v>700</v>
      </c>
      <c r="BC360" s="19">
        <f>AW360+AX360</f>
        <v>0</v>
      </c>
      <c r="BD360" s="19">
        <f>H360/(100-BE360)*100</f>
        <v>0</v>
      </c>
      <c r="BE360" s="19">
        <v>0</v>
      </c>
      <c r="BF360" s="19">
        <f>O360</f>
        <v>0</v>
      </c>
      <c r="BH360" s="19">
        <f>G360*AO360</f>
        <v>0</v>
      </c>
      <c r="BI360" s="19">
        <f>G360*AP360</f>
        <v>0</v>
      </c>
      <c r="BJ360" s="19">
        <f>G360*H360</f>
        <v>0</v>
      </c>
      <c r="BK360" s="19"/>
      <c r="BL360" s="19"/>
      <c r="BW360" s="19" t="str">
        <f>I360</f>
        <v>12</v>
      </c>
      <c r="BX360" s="4" t="s">
        <v>300</v>
      </c>
    </row>
    <row r="361" spans="1:76" x14ac:dyDescent="0.25">
      <c r="A361" s="84" t="s">
        <v>25</v>
      </c>
      <c r="B361" s="15" t="s">
        <v>301</v>
      </c>
      <c r="C361" s="15" t="s">
        <v>25</v>
      </c>
      <c r="D361" s="115" t="s">
        <v>302</v>
      </c>
      <c r="E361" s="116"/>
      <c r="F361" s="85" t="s">
        <v>23</v>
      </c>
      <c r="G361" s="85" t="s">
        <v>23</v>
      </c>
      <c r="H361" s="85" t="s">
        <v>23</v>
      </c>
      <c r="I361" s="85" t="s">
        <v>23</v>
      </c>
      <c r="J361" s="60">
        <f>J362+J370+J372+J374+J379+J385+J388+J390+J392+J394+J400</f>
        <v>0</v>
      </c>
      <c r="K361" s="60">
        <f>K362+K370+K372+K374+K379+K385+K388+K390+K392+K394+K400</f>
        <v>0</v>
      </c>
      <c r="L361" s="60">
        <f>L362+L370+L372+L374+L379+L385+L388+L390+L392+L394+L400</f>
        <v>0</v>
      </c>
      <c r="M361" s="60">
        <f>M362+M370+M372+M374+M379+M385+M388+M390+M392+M394+M400</f>
        <v>0</v>
      </c>
      <c r="N361" s="16" t="s">
        <v>25</v>
      </c>
      <c r="O361" s="60">
        <f>O362+O370+O372+O374+O379+O385+O388+O390+O392+O394+O400</f>
        <v>10.346058000000001</v>
      </c>
      <c r="P361" s="86" t="s">
        <v>25</v>
      </c>
    </row>
    <row r="362" spans="1:76" x14ac:dyDescent="0.25">
      <c r="A362" s="84" t="s">
        <v>25</v>
      </c>
      <c r="B362" s="15" t="s">
        <v>301</v>
      </c>
      <c r="C362" s="15" t="s">
        <v>203</v>
      </c>
      <c r="D362" s="115" t="s">
        <v>204</v>
      </c>
      <c r="E362" s="116"/>
      <c r="F362" s="85" t="s">
        <v>23</v>
      </c>
      <c r="G362" s="85" t="s">
        <v>23</v>
      </c>
      <c r="H362" s="85" t="s">
        <v>23</v>
      </c>
      <c r="I362" s="85" t="s">
        <v>23</v>
      </c>
      <c r="J362" s="60">
        <f>SUM(J363:J369)</f>
        <v>0</v>
      </c>
      <c r="K362" s="60">
        <f>SUM(K363:K369)</f>
        <v>0</v>
      </c>
      <c r="L362" s="60">
        <f>SUM(L363:L369)</f>
        <v>0</v>
      </c>
      <c r="M362" s="60">
        <f>SUM(M363:M369)</f>
        <v>0</v>
      </c>
      <c r="N362" s="16" t="s">
        <v>25</v>
      </c>
      <c r="O362" s="60">
        <f>SUM(O363:O369)</f>
        <v>0.62731199999999998</v>
      </c>
      <c r="P362" s="86" t="s">
        <v>25</v>
      </c>
      <c r="AI362" s="16" t="s">
        <v>301</v>
      </c>
      <c r="AS362" s="60">
        <f>SUM(AJ363:AJ369)</f>
        <v>0</v>
      </c>
      <c r="AT362" s="60">
        <f>SUM(AK363:AK369)</f>
        <v>0</v>
      </c>
      <c r="AU362" s="60">
        <f>SUM(AL363:AL369)</f>
        <v>0</v>
      </c>
    </row>
    <row r="363" spans="1:76" x14ac:dyDescent="0.25">
      <c r="A363" s="1" t="s">
        <v>764</v>
      </c>
      <c r="B363" s="2" t="s">
        <v>301</v>
      </c>
      <c r="C363" s="2" t="s">
        <v>205</v>
      </c>
      <c r="D363" s="108" t="s">
        <v>206</v>
      </c>
      <c r="E363" s="102"/>
      <c r="F363" s="2" t="s">
        <v>100</v>
      </c>
      <c r="G363" s="19">
        <f>'Rozpočet - vybrané sloupce'!J330</f>
        <v>24</v>
      </c>
      <c r="H363" s="19">
        <f>'Rozpočet - vybrané sloupce'!K330</f>
        <v>0</v>
      </c>
      <c r="I363" s="87" t="s">
        <v>427</v>
      </c>
      <c r="J363" s="19">
        <f t="shared" ref="J363:J369" si="312">G363*AO363</f>
        <v>0</v>
      </c>
      <c r="K363" s="19">
        <f t="shared" ref="K363:K369" si="313">G363*AP363</f>
        <v>0</v>
      </c>
      <c r="L363" s="19">
        <f t="shared" ref="L363:L369" si="314">G363*H363</f>
        <v>0</v>
      </c>
      <c r="M363" s="19">
        <f t="shared" ref="M363:M369" si="315">L363*(1+BW363/100)</f>
        <v>0</v>
      </c>
      <c r="N363" s="19">
        <v>0</v>
      </c>
      <c r="O363" s="19">
        <f t="shared" ref="O363:O369" si="316">G363*N363</f>
        <v>0</v>
      </c>
      <c r="P363" s="88" t="s">
        <v>697</v>
      </c>
      <c r="Z363" s="19">
        <f t="shared" ref="Z363:Z369" si="317">IF(AQ363="5",BJ363,0)</f>
        <v>0</v>
      </c>
      <c r="AB363" s="19">
        <f t="shared" ref="AB363:AB369" si="318">IF(AQ363="1",BH363,0)</f>
        <v>0</v>
      </c>
      <c r="AC363" s="19">
        <f t="shared" ref="AC363:AC369" si="319">IF(AQ363="1",BI363,0)</f>
        <v>0</v>
      </c>
      <c r="AD363" s="19">
        <f t="shared" ref="AD363:AD369" si="320">IF(AQ363="7",BH363,0)</f>
        <v>0</v>
      </c>
      <c r="AE363" s="19">
        <f t="shared" ref="AE363:AE369" si="321">IF(AQ363="7",BI363,0)</f>
        <v>0</v>
      </c>
      <c r="AF363" s="19">
        <f t="shared" ref="AF363:AF369" si="322">IF(AQ363="2",BH363,0)</f>
        <v>0</v>
      </c>
      <c r="AG363" s="19">
        <f t="shared" ref="AG363:AG369" si="323">IF(AQ363="2",BI363,0)</f>
        <v>0</v>
      </c>
      <c r="AH363" s="19">
        <f t="shared" ref="AH363:AH369" si="324">IF(AQ363="0",BJ363,0)</f>
        <v>0</v>
      </c>
      <c r="AI363" s="16" t="s">
        <v>301</v>
      </c>
      <c r="AJ363" s="19">
        <f t="shared" ref="AJ363:AJ369" si="325">IF(AN363=0,L363,0)</f>
        <v>0</v>
      </c>
      <c r="AK363" s="19">
        <f t="shared" ref="AK363:AK369" si="326">IF(AN363=12,L363,0)</f>
        <v>0</v>
      </c>
      <c r="AL363" s="19">
        <f t="shared" ref="AL363:AL369" si="327">IF(AN363=21,L363,0)</f>
        <v>0</v>
      </c>
      <c r="AN363" s="19">
        <v>12</v>
      </c>
      <c r="AO363" s="19">
        <f>H363*0</f>
        <v>0</v>
      </c>
      <c r="AP363" s="19">
        <f>H363*(1-0)</f>
        <v>0</v>
      </c>
      <c r="AQ363" s="87" t="s">
        <v>426</v>
      </c>
      <c r="AV363" s="19">
        <f t="shared" ref="AV363:AV369" si="328">AW363+AX363</f>
        <v>0</v>
      </c>
      <c r="AW363" s="19">
        <f t="shared" ref="AW363:AW369" si="329">G363*AO363</f>
        <v>0</v>
      </c>
      <c r="AX363" s="19">
        <f t="shared" ref="AX363:AX369" si="330">G363*AP363</f>
        <v>0</v>
      </c>
      <c r="AY363" s="87" t="s">
        <v>698</v>
      </c>
      <c r="AZ363" s="87" t="s">
        <v>765</v>
      </c>
      <c r="BA363" s="16" t="s">
        <v>766</v>
      </c>
      <c r="BC363" s="19">
        <f t="shared" ref="BC363:BC369" si="331">AW363+AX363</f>
        <v>0</v>
      </c>
      <c r="BD363" s="19">
        <f t="shared" ref="BD363:BD369" si="332">H363/(100-BE363)*100</f>
        <v>0</v>
      </c>
      <c r="BE363" s="19">
        <v>0</v>
      </c>
      <c r="BF363" s="19">
        <f t="shared" ref="BF363:BF369" si="333">O363</f>
        <v>0</v>
      </c>
      <c r="BH363" s="19">
        <f t="shared" ref="BH363:BH369" si="334">G363*AO363</f>
        <v>0</v>
      </c>
      <c r="BI363" s="19">
        <f t="shared" ref="BI363:BI369" si="335">G363*AP363</f>
        <v>0</v>
      </c>
      <c r="BJ363" s="19">
        <f t="shared" ref="BJ363:BJ369" si="336">G363*H363</f>
        <v>0</v>
      </c>
      <c r="BK363" s="19"/>
      <c r="BL363" s="19">
        <v>34</v>
      </c>
      <c r="BW363" s="19" t="str">
        <f t="shared" ref="BW363:BW369" si="337">I363</f>
        <v>12</v>
      </c>
      <c r="BX363" s="4" t="s">
        <v>206</v>
      </c>
    </row>
    <row r="364" spans="1:76" x14ac:dyDescent="0.25">
      <c r="A364" s="1" t="s">
        <v>767</v>
      </c>
      <c r="B364" s="2" t="s">
        <v>301</v>
      </c>
      <c r="C364" s="2" t="s">
        <v>207</v>
      </c>
      <c r="D364" s="108" t="s">
        <v>208</v>
      </c>
      <c r="E364" s="102"/>
      <c r="F364" s="2" t="s">
        <v>100</v>
      </c>
      <c r="G364" s="19">
        <f>'Rozpočet - vybrané sloupce'!J331</f>
        <v>24</v>
      </c>
      <c r="H364" s="19">
        <f>'Rozpočet - vybrané sloupce'!K331</f>
        <v>0</v>
      </c>
      <c r="I364" s="87" t="s">
        <v>427</v>
      </c>
      <c r="J364" s="19">
        <f t="shared" si="312"/>
        <v>0</v>
      </c>
      <c r="K364" s="19">
        <f t="shared" si="313"/>
        <v>0</v>
      </c>
      <c r="L364" s="19">
        <f t="shared" si="314"/>
        <v>0</v>
      </c>
      <c r="M364" s="19">
        <f t="shared" si="315"/>
        <v>0</v>
      </c>
      <c r="N364" s="19">
        <v>0</v>
      </c>
      <c r="O364" s="19">
        <f t="shared" si="316"/>
        <v>0</v>
      </c>
      <c r="P364" s="88" t="s">
        <v>428</v>
      </c>
      <c r="Z364" s="19">
        <f t="shared" si="317"/>
        <v>0</v>
      </c>
      <c r="AB364" s="19">
        <f t="shared" si="318"/>
        <v>0</v>
      </c>
      <c r="AC364" s="19">
        <f t="shared" si="319"/>
        <v>0</v>
      </c>
      <c r="AD364" s="19">
        <f t="shared" si="320"/>
        <v>0</v>
      </c>
      <c r="AE364" s="19">
        <f t="shared" si="321"/>
        <v>0</v>
      </c>
      <c r="AF364" s="19">
        <f t="shared" si="322"/>
        <v>0</v>
      </c>
      <c r="AG364" s="19">
        <f t="shared" si="323"/>
        <v>0</v>
      </c>
      <c r="AH364" s="19">
        <f t="shared" si="324"/>
        <v>0</v>
      </c>
      <c r="AI364" s="16" t="s">
        <v>301</v>
      </c>
      <c r="AJ364" s="19">
        <f t="shared" si="325"/>
        <v>0</v>
      </c>
      <c r="AK364" s="19">
        <f t="shared" si="326"/>
        <v>0</v>
      </c>
      <c r="AL364" s="19">
        <f t="shared" si="327"/>
        <v>0</v>
      </c>
      <c r="AN364" s="19">
        <v>12</v>
      </c>
      <c r="AO364" s="19">
        <f>H364*0</f>
        <v>0</v>
      </c>
      <c r="AP364" s="19">
        <f>H364*(1-0)</f>
        <v>0</v>
      </c>
      <c r="AQ364" s="87" t="s">
        <v>426</v>
      </c>
      <c r="AV364" s="19">
        <f t="shared" si="328"/>
        <v>0</v>
      </c>
      <c r="AW364" s="19">
        <f t="shared" si="329"/>
        <v>0</v>
      </c>
      <c r="AX364" s="19">
        <f t="shared" si="330"/>
        <v>0</v>
      </c>
      <c r="AY364" s="87" t="s">
        <v>698</v>
      </c>
      <c r="AZ364" s="87" t="s">
        <v>765</v>
      </c>
      <c r="BA364" s="16" t="s">
        <v>766</v>
      </c>
      <c r="BC364" s="19">
        <f t="shared" si="331"/>
        <v>0</v>
      </c>
      <c r="BD364" s="19">
        <f t="shared" si="332"/>
        <v>0</v>
      </c>
      <c r="BE364" s="19">
        <v>0</v>
      </c>
      <c r="BF364" s="19">
        <f t="shared" si="333"/>
        <v>0</v>
      </c>
      <c r="BH364" s="19">
        <f t="shared" si="334"/>
        <v>0</v>
      </c>
      <c r="BI364" s="19">
        <f t="shared" si="335"/>
        <v>0</v>
      </c>
      <c r="BJ364" s="19">
        <f t="shared" si="336"/>
        <v>0</v>
      </c>
      <c r="BK364" s="19"/>
      <c r="BL364" s="19">
        <v>34</v>
      </c>
      <c r="BW364" s="19" t="str">
        <f t="shared" si="337"/>
        <v>12</v>
      </c>
      <c r="BX364" s="4" t="s">
        <v>208</v>
      </c>
    </row>
    <row r="365" spans="1:76" x14ac:dyDescent="0.25">
      <c r="A365" s="1" t="s">
        <v>768</v>
      </c>
      <c r="B365" s="2" t="s">
        <v>301</v>
      </c>
      <c r="C365" s="2" t="s">
        <v>209</v>
      </c>
      <c r="D365" s="108" t="s">
        <v>210</v>
      </c>
      <c r="E365" s="102"/>
      <c r="F365" s="2" t="s">
        <v>62</v>
      </c>
      <c r="G365" s="19">
        <f>'Rozpočet - vybrané sloupce'!J332</f>
        <v>24</v>
      </c>
      <c r="H365" s="19">
        <f>'Rozpočet - vybrané sloupce'!K332</f>
        <v>0</v>
      </c>
      <c r="I365" s="87" t="s">
        <v>427</v>
      </c>
      <c r="J365" s="19">
        <f t="shared" si="312"/>
        <v>0</v>
      </c>
      <c r="K365" s="19">
        <f t="shared" si="313"/>
        <v>0</v>
      </c>
      <c r="L365" s="19">
        <f t="shared" si="314"/>
        <v>0</v>
      </c>
      <c r="M365" s="19">
        <f t="shared" si="315"/>
        <v>0</v>
      </c>
      <c r="N365" s="19">
        <v>0</v>
      </c>
      <c r="O365" s="19">
        <f t="shared" si="316"/>
        <v>0</v>
      </c>
      <c r="P365" s="88" t="s">
        <v>428</v>
      </c>
      <c r="Z365" s="19">
        <f t="shared" si="317"/>
        <v>0</v>
      </c>
      <c r="AB365" s="19">
        <f t="shared" si="318"/>
        <v>0</v>
      </c>
      <c r="AC365" s="19">
        <f t="shared" si="319"/>
        <v>0</v>
      </c>
      <c r="AD365" s="19">
        <f t="shared" si="320"/>
        <v>0</v>
      </c>
      <c r="AE365" s="19">
        <f t="shared" si="321"/>
        <v>0</v>
      </c>
      <c r="AF365" s="19">
        <f t="shared" si="322"/>
        <v>0</v>
      </c>
      <c r="AG365" s="19">
        <f t="shared" si="323"/>
        <v>0</v>
      </c>
      <c r="AH365" s="19">
        <f t="shared" si="324"/>
        <v>0</v>
      </c>
      <c r="AI365" s="16" t="s">
        <v>301</v>
      </c>
      <c r="AJ365" s="19">
        <f t="shared" si="325"/>
        <v>0</v>
      </c>
      <c r="AK365" s="19">
        <f t="shared" si="326"/>
        <v>0</v>
      </c>
      <c r="AL365" s="19">
        <f t="shared" si="327"/>
        <v>0</v>
      </c>
      <c r="AN365" s="19">
        <v>12</v>
      </c>
      <c r="AO365" s="19">
        <f>H365*1</f>
        <v>0</v>
      </c>
      <c r="AP365" s="19">
        <f>H365*(1-1)</f>
        <v>0</v>
      </c>
      <c r="AQ365" s="87" t="s">
        <v>426</v>
      </c>
      <c r="AV365" s="19">
        <f t="shared" si="328"/>
        <v>0</v>
      </c>
      <c r="AW365" s="19">
        <f t="shared" si="329"/>
        <v>0</v>
      </c>
      <c r="AX365" s="19">
        <f t="shared" si="330"/>
        <v>0</v>
      </c>
      <c r="AY365" s="87" t="s">
        <v>698</v>
      </c>
      <c r="AZ365" s="87" t="s">
        <v>765</v>
      </c>
      <c r="BA365" s="16" t="s">
        <v>766</v>
      </c>
      <c r="BC365" s="19">
        <f t="shared" si="331"/>
        <v>0</v>
      </c>
      <c r="BD365" s="19">
        <f t="shared" si="332"/>
        <v>0</v>
      </c>
      <c r="BE365" s="19">
        <v>0</v>
      </c>
      <c r="BF365" s="19">
        <f t="shared" si="333"/>
        <v>0</v>
      </c>
      <c r="BH365" s="19">
        <f t="shared" si="334"/>
        <v>0</v>
      </c>
      <c r="BI365" s="19">
        <f t="shared" si="335"/>
        <v>0</v>
      </c>
      <c r="BJ365" s="19">
        <f t="shared" si="336"/>
        <v>0</v>
      </c>
      <c r="BK365" s="19"/>
      <c r="BL365" s="19">
        <v>34</v>
      </c>
      <c r="BW365" s="19" t="str">
        <f t="shared" si="337"/>
        <v>12</v>
      </c>
      <c r="BX365" s="4" t="s">
        <v>210</v>
      </c>
    </row>
    <row r="366" spans="1:76" x14ac:dyDescent="0.25">
      <c r="A366" s="1" t="s">
        <v>769</v>
      </c>
      <c r="B366" s="2" t="s">
        <v>301</v>
      </c>
      <c r="C366" s="2" t="s">
        <v>213</v>
      </c>
      <c r="D366" s="108" t="s">
        <v>214</v>
      </c>
      <c r="E366" s="102"/>
      <c r="F366" s="2" t="s">
        <v>62</v>
      </c>
      <c r="G366" s="19">
        <f>'Rozpočet - vybrané sloupce'!J333</f>
        <v>24</v>
      </c>
      <c r="H366" s="19">
        <f>'Rozpočet - vybrané sloupce'!K333</f>
        <v>0</v>
      </c>
      <c r="I366" s="87" t="s">
        <v>427</v>
      </c>
      <c r="J366" s="19">
        <f t="shared" si="312"/>
        <v>0</v>
      </c>
      <c r="K366" s="19">
        <f t="shared" si="313"/>
        <v>0</v>
      </c>
      <c r="L366" s="19">
        <f t="shared" si="314"/>
        <v>0</v>
      </c>
      <c r="M366" s="19">
        <f t="shared" si="315"/>
        <v>0</v>
      </c>
      <c r="N366" s="19">
        <v>0</v>
      </c>
      <c r="O366" s="19">
        <f t="shared" si="316"/>
        <v>0</v>
      </c>
      <c r="P366" s="88" t="s">
        <v>428</v>
      </c>
      <c r="Z366" s="19">
        <f t="shared" si="317"/>
        <v>0</v>
      </c>
      <c r="AB366" s="19">
        <f t="shared" si="318"/>
        <v>0</v>
      </c>
      <c r="AC366" s="19">
        <f t="shared" si="319"/>
        <v>0</v>
      </c>
      <c r="AD366" s="19">
        <f t="shared" si="320"/>
        <v>0</v>
      </c>
      <c r="AE366" s="19">
        <f t="shared" si="321"/>
        <v>0</v>
      </c>
      <c r="AF366" s="19">
        <f t="shared" si="322"/>
        <v>0</v>
      </c>
      <c r="AG366" s="19">
        <f t="shared" si="323"/>
        <v>0</v>
      </c>
      <c r="AH366" s="19">
        <f t="shared" si="324"/>
        <v>0</v>
      </c>
      <c r="AI366" s="16" t="s">
        <v>301</v>
      </c>
      <c r="AJ366" s="19">
        <f t="shared" si="325"/>
        <v>0</v>
      </c>
      <c r="AK366" s="19">
        <f t="shared" si="326"/>
        <v>0</v>
      </c>
      <c r="AL366" s="19">
        <f t="shared" si="327"/>
        <v>0</v>
      </c>
      <c r="AN366" s="19">
        <v>12</v>
      </c>
      <c r="AO366" s="19">
        <f>H366*1</f>
        <v>0</v>
      </c>
      <c r="AP366" s="19">
        <f>H366*(1-1)</f>
        <v>0</v>
      </c>
      <c r="AQ366" s="87" t="s">
        <v>426</v>
      </c>
      <c r="AV366" s="19">
        <f t="shared" si="328"/>
        <v>0</v>
      </c>
      <c r="AW366" s="19">
        <f t="shared" si="329"/>
        <v>0</v>
      </c>
      <c r="AX366" s="19">
        <f t="shared" si="330"/>
        <v>0</v>
      </c>
      <c r="AY366" s="87" t="s">
        <v>698</v>
      </c>
      <c r="AZ366" s="87" t="s">
        <v>765</v>
      </c>
      <c r="BA366" s="16" t="s">
        <v>766</v>
      </c>
      <c r="BC366" s="19">
        <f t="shared" si="331"/>
        <v>0</v>
      </c>
      <c r="BD366" s="19">
        <f t="shared" si="332"/>
        <v>0</v>
      </c>
      <c r="BE366" s="19">
        <v>0</v>
      </c>
      <c r="BF366" s="19">
        <f t="shared" si="333"/>
        <v>0</v>
      </c>
      <c r="BH366" s="19">
        <f t="shared" si="334"/>
        <v>0</v>
      </c>
      <c r="BI366" s="19">
        <f t="shared" si="335"/>
        <v>0</v>
      </c>
      <c r="BJ366" s="19">
        <f t="shared" si="336"/>
        <v>0</v>
      </c>
      <c r="BK366" s="19"/>
      <c r="BL366" s="19">
        <v>34</v>
      </c>
      <c r="BW366" s="19" t="str">
        <f t="shared" si="337"/>
        <v>12</v>
      </c>
      <c r="BX366" s="4" t="s">
        <v>214</v>
      </c>
    </row>
    <row r="367" spans="1:76" x14ac:dyDescent="0.25">
      <c r="A367" s="1" t="s">
        <v>770</v>
      </c>
      <c r="B367" s="2" t="s">
        <v>301</v>
      </c>
      <c r="C367" s="2" t="s">
        <v>211</v>
      </c>
      <c r="D367" s="108" t="s">
        <v>212</v>
      </c>
      <c r="E367" s="102"/>
      <c r="F367" s="2" t="s">
        <v>62</v>
      </c>
      <c r="G367" s="19">
        <f>'Rozpočet - vybrané sloupce'!J334</f>
        <v>24</v>
      </c>
      <c r="H367" s="19">
        <f>'Rozpočet - vybrané sloupce'!K334</f>
        <v>0</v>
      </c>
      <c r="I367" s="87" t="s">
        <v>427</v>
      </c>
      <c r="J367" s="19">
        <f t="shared" si="312"/>
        <v>0</v>
      </c>
      <c r="K367" s="19">
        <f t="shared" si="313"/>
        <v>0</v>
      </c>
      <c r="L367" s="19">
        <f t="shared" si="314"/>
        <v>0</v>
      </c>
      <c r="M367" s="19">
        <f t="shared" si="315"/>
        <v>0</v>
      </c>
      <c r="N367" s="19">
        <v>2.4000000000000001E-4</v>
      </c>
      <c r="O367" s="19">
        <f t="shared" si="316"/>
        <v>5.7600000000000004E-3</v>
      </c>
      <c r="P367" s="88" t="s">
        <v>428</v>
      </c>
      <c r="Z367" s="19">
        <f t="shared" si="317"/>
        <v>0</v>
      </c>
      <c r="AB367" s="19">
        <f t="shared" si="318"/>
        <v>0</v>
      </c>
      <c r="AC367" s="19">
        <f t="shared" si="319"/>
        <v>0</v>
      </c>
      <c r="AD367" s="19">
        <f t="shared" si="320"/>
        <v>0</v>
      </c>
      <c r="AE367" s="19">
        <f t="shared" si="321"/>
        <v>0</v>
      </c>
      <c r="AF367" s="19">
        <f t="shared" si="322"/>
        <v>0</v>
      </c>
      <c r="AG367" s="19">
        <f t="shared" si="323"/>
        <v>0</v>
      </c>
      <c r="AH367" s="19">
        <f t="shared" si="324"/>
        <v>0</v>
      </c>
      <c r="AI367" s="16" t="s">
        <v>301</v>
      </c>
      <c r="AJ367" s="19">
        <f t="shared" si="325"/>
        <v>0</v>
      </c>
      <c r="AK367" s="19">
        <f t="shared" si="326"/>
        <v>0</v>
      </c>
      <c r="AL367" s="19">
        <f t="shared" si="327"/>
        <v>0</v>
      </c>
      <c r="AN367" s="19">
        <v>12</v>
      </c>
      <c r="AO367" s="19">
        <f>H367*0.022541149</f>
        <v>0</v>
      </c>
      <c r="AP367" s="19">
        <f>H367*(1-0.022541149)</f>
        <v>0</v>
      </c>
      <c r="AQ367" s="87" t="s">
        <v>426</v>
      </c>
      <c r="AV367" s="19">
        <f t="shared" si="328"/>
        <v>0</v>
      </c>
      <c r="AW367" s="19">
        <f t="shared" si="329"/>
        <v>0</v>
      </c>
      <c r="AX367" s="19">
        <f t="shared" si="330"/>
        <v>0</v>
      </c>
      <c r="AY367" s="87" t="s">
        <v>698</v>
      </c>
      <c r="AZ367" s="87" t="s">
        <v>765</v>
      </c>
      <c r="BA367" s="16" t="s">
        <v>766</v>
      </c>
      <c r="BC367" s="19">
        <f t="shared" si="331"/>
        <v>0</v>
      </c>
      <c r="BD367" s="19">
        <f t="shared" si="332"/>
        <v>0</v>
      </c>
      <c r="BE367" s="19">
        <v>0</v>
      </c>
      <c r="BF367" s="19">
        <f t="shared" si="333"/>
        <v>5.7600000000000004E-3</v>
      </c>
      <c r="BH367" s="19">
        <f t="shared" si="334"/>
        <v>0</v>
      </c>
      <c r="BI367" s="19">
        <f t="shared" si="335"/>
        <v>0</v>
      </c>
      <c r="BJ367" s="19">
        <f t="shared" si="336"/>
        <v>0</v>
      </c>
      <c r="BK367" s="19"/>
      <c r="BL367" s="19">
        <v>34</v>
      </c>
      <c r="BW367" s="19" t="str">
        <f t="shared" si="337"/>
        <v>12</v>
      </c>
      <c r="BX367" s="4" t="s">
        <v>212</v>
      </c>
    </row>
    <row r="368" spans="1:76" x14ac:dyDescent="0.25">
      <c r="A368" s="1" t="s">
        <v>771</v>
      </c>
      <c r="B368" s="2" t="s">
        <v>301</v>
      </c>
      <c r="C368" s="2" t="s">
        <v>215</v>
      </c>
      <c r="D368" s="108" t="s">
        <v>216</v>
      </c>
      <c r="E368" s="102"/>
      <c r="F368" s="2" t="s">
        <v>217</v>
      </c>
      <c r="G368" s="19">
        <f>'Rozpočet - vybrané sloupce'!J335</f>
        <v>2.4</v>
      </c>
      <c r="H368" s="19">
        <f>'Rozpočet - vybrané sloupce'!K335</f>
        <v>0</v>
      </c>
      <c r="I368" s="87" t="s">
        <v>427</v>
      </c>
      <c r="J368" s="19">
        <f t="shared" si="312"/>
        <v>0</v>
      </c>
      <c r="K368" s="19">
        <f t="shared" si="313"/>
        <v>0</v>
      </c>
      <c r="L368" s="19">
        <f t="shared" si="314"/>
        <v>0</v>
      </c>
      <c r="M368" s="19">
        <f t="shared" si="315"/>
        <v>0</v>
      </c>
      <c r="N368" s="19">
        <v>0.25897999999999999</v>
      </c>
      <c r="O368" s="19">
        <f t="shared" si="316"/>
        <v>0.62155199999999999</v>
      </c>
      <c r="P368" s="88" t="s">
        <v>428</v>
      </c>
      <c r="Z368" s="19">
        <f t="shared" si="317"/>
        <v>0</v>
      </c>
      <c r="AB368" s="19">
        <f t="shared" si="318"/>
        <v>0</v>
      </c>
      <c r="AC368" s="19">
        <f t="shared" si="319"/>
        <v>0</v>
      </c>
      <c r="AD368" s="19">
        <f t="shared" si="320"/>
        <v>0</v>
      </c>
      <c r="AE368" s="19">
        <f t="shared" si="321"/>
        <v>0</v>
      </c>
      <c r="AF368" s="19">
        <f t="shared" si="322"/>
        <v>0</v>
      </c>
      <c r="AG368" s="19">
        <f t="shared" si="323"/>
        <v>0</v>
      </c>
      <c r="AH368" s="19">
        <f t="shared" si="324"/>
        <v>0</v>
      </c>
      <c r="AI368" s="16" t="s">
        <v>301</v>
      </c>
      <c r="AJ368" s="19">
        <f t="shared" si="325"/>
        <v>0</v>
      </c>
      <c r="AK368" s="19">
        <f t="shared" si="326"/>
        <v>0</v>
      </c>
      <c r="AL368" s="19">
        <f t="shared" si="327"/>
        <v>0</v>
      </c>
      <c r="AN368" s="19">
        <v>12</v>
      </c>
      <c r="AO368" s="19">
        <f>H368*0.488679715</f>
        <v>0</v>
      </c>
      <c r="AP368" s="19">
        <f>H368*(1-0.488679715)</f>
        <v>0</v>
      </c>
      <c r="AQ368" s="87" t="s">
        <v>426</v>
      </c>
      <c r="AV368" s="19">
        <f t="shared" si="328"/>
        <v>0</v>
      </c>
      <c r="AW368" s="19">
        <f t="shared" si="329"/>
        <v>0</v>
      </c>
      <c r="AX368" s="19">
        <f t="shared" si="330"/>
        <v>0</v>
      </c>
      <c r="AY368" s="87" t="s">
        <v>698</v>
      </c>
      <c r="AZ368" s="87" t="s">
        <v>765</v>
      </c>
      <c r="BA368" s="16" t="s">
        <v>766</v>
      </c>
      <c r="BC368" s="19">
        <f t="shared" si="331"/>
        <v>0</v>
      </c>
      <c r="BD368" s="19">
        <f t="shared" si="332"/>
        <v>0</v>
      </c>
      <c r="BE368" s="19">
        <v>0</v>
      </c>
      <c r="BF368" s="19">
        <f t="shared" si="333"/>
        <v>0.62155199999999999</v>
      </c>
      <c r="BH368" s="19">
        <f t="shared" si="334"/>
        <v>0</v>
      </c>
      <c r="BI368" s="19">
        <f t="shared" si="335"/>
        <v>0</v>
      </c>
      <c r="BJ368" s="19">
        <f t="shared" si="336"/>
        <v>0</v>
      </c>
      <c r="BK368" s="19"/>
      <c r="BL368" s="19">
        <v>34</v>
      </c>
      <c r="BW368" s="19" t="str">
        <f t="shared" si="337"/>
        <v>12</v>
      </c>
      <c r="BX368" s="4" t="s">
        <v>216</v>
      </c>
    </row>
    <row r="369" spans="1:76" x14ac:dyDescent="0.25">
      <c r="A369" s="1" t="s">
        <v>772</v>
      </c>
      <c r="B369" s="2" t="s">
        <v>301</v>
      </c>
      <c r="C369" s="2" t="s">
        <v>218</v>
      </c>
      <c r="D369" s="108" t="s">
        <v>219</v>
      </c>
      <c r="E369" s="102"/>
      <c r="F369" s="2" t="s">
        <v>95</v>
      </c>
      <c r="G369" s="19">
        <f>'Rozpočet - vybrané sloupce'!J336</f>
        <v>0.8</v>
      </c>
      <c r="H369" s="19">
        <f>'Rozpočet - vybrané sloupce'!K336</f>
        <v>0</v>
      </c>
      <c r="I369" s="87" t="s">
        <v>427</v>
      </c>
      <c r="J369" s="19">
        <f t="shared" si="312"/>
        <v>0</v>
      </c>
      <c r="K369" s="19">
        <f t="shared" si="313"/>
        <v>0</v>
      </c>
      <c r="L369" s="19">
        <f t="shared" si="314"/>
        <v>0</v>
      </c>
      <c r="M369" s="19">
        <f t="shared" si="315"/>
        <v>0</v>
      </c>
      <c r="N369" s="19">
        <v>0</v>
      </c>
      <c r="O369" s="19">
        <f t="shared" si="316"/>
        <v>0</v>
      </c>
      <c r="P369" s="88" t="s">
        <v>428</v>
      </c>
      <c r="Z369" s="19">
        <f t="shared" si="317"/>
        <v>0</v>
      </c>
      <c r="AB369" s="19">
        <f t="shared" si="318"/>
        <v>0</v>
      </c>
      <c r="AC369" s="19">
        <f t="shared" si="319"/>
        <v>0</v>
      </c>
      <c r="AD369" s="19">
        <f t="shared" si="320"/>
        <v>0</v>
      </c>
      <c r="AE369" s="19">
        <f t="shared" si="321"/>
        <v>0</v>
      </c>
      <c r="AF369" s="19">
        <f t="shared" si="322"/>
        <v>0</v>
      </c>
      <c r="AG369" s="19">
        <f t="shared" si="323"/>
        <v>0</v>
      </c>
      <c r="AH369" s="19">
        <f t="shared" si="324"/>
        <v>0</v>
      </c>
      <c r="AI369" s="16" t="s">
        <v>301</v>
      </c>
      <c r="AJ369" s="19">
        <f t="shared" si="325"/>
        <v>0</v>
      </c>
      <c r="AK369" s="19">
        <f t="shared" si="326"/>
        <v>0</v>
      </c>
      <c r="AL369" s="19">
        <f t="shared" si="327"/>
        <v>0</v>
      </c>
      <c r="AN369" s="19">
        <v>12</v>
      </c>
      <c r="AO369" s="19">
        <f>H369*0</f>
        <v>0</v>
      </c>
      <c r="AP369" s="19">
        <f>H369*(1-0)</f>
        <v>0</v>
      </c>
      <c r="AQ369" s="87" t="s">
        <v>436</v>
      </c>
      <c r="AV369" s="19">
        <f t="shared" si="328"/>
        <v>0</v>
      </c>
      <c r="AW369" s="19">
        <f t="shared" si="329"/>
        <v>0</v>
      </c>
      <c r="AX369" s="19">
        <f t="shared" si="330"/>
        <v>0</v>
      </c>
      <c r="AY369" s="87" t="s">
        <v>698</v>
      </c>
      <c r="AZ369" s="87" t="s">
        <v>765</v>
      </c>
      <c r="BA369" s="16" t="s">
        <v>766</v>
      </c>
      <c r="BC369" s="19">
        <f t="shared" si="331"/>
        <v>0</v>
      </c>
      <c r="BD369" s="19">
        <f t="shared" si="332"/>
        <v>0</v>
      </c>
      <c r="BE369" s="19">
        <v>0</v>
      </c>
      <c r="BF369" s="19">
        <f t="shared" si="333"/>
        <v>0</v>
      </c>
      <c r="BH369" s="19">
        <f t="shared" si="334"/>
        <v>0</v>
      </c>
      <c r="BI369" s="19">
        <f t="shared" si="335"/>
        <v>0</v>
      </c>
      <c r="BJ369" s="19">
        <f t="shared" si="336"/>
        <v>0</v>
      </c>
      <c r="BK369" s="19"/>
      <c r="BL369" s="19">
        <v>34</v>
      </c>
      <c r="BW369" s="19" t="str">
        <f t="shared" si="337"/>
        <v>12</v>
      </c>
      <c r="BX369" s="4" t="s">
        <v>219</v>
      </c>
    </row>
    <row r="370" spans="1:76" x14ac:dyDescent="0.25">
      <c r="A370" s="84" t="s">
        <v>25</v>
      </c>
      <c r="B370" s="15" t="s">
        <v>301</v>
      </c>
      <c r="C370" s="15" t="s">
        <v>220</v>
      </c>
      <c r="D370" s="115" t="s">
        <v>221</v>
      </c>
      <c r="E370" s="116"/>
      <c r="F370" s="85" t="s">
        <v>23</v>
      </c>
      <c r="G370" s="85" t="s">
        <v>23</v>
      </c>
      <c r="H370" s="85" t="s">
        <v>23</v>
      </c>
      <c r="I370" s="85" t="s">
        <v>23</v>
      </c>
      <c r="J370" s="60">
        <f>SUM(J371:J371)</f>
        <v>0</v>
      </c>
      <c r="K370" s="60">
        <f>SUM(K371:K371)</f>
        <v>0</v>
      </c>
      <c r="L370" s="60">
        <f>SUM(L371:L371)</f>
        <v>0</v>
      </c>
      <c r="M370" s="60">
        <f>SUM(M371:M371)</f>
        <v>0</v>
      </c>
      <c r="N370" s="16" t="s">
        <v>25</v>
      </c>
      <c r="O370" s="60">
        <f>SUM(O371:O371)</f>
        <v>0</v>
      </c>
      <c r="P370" s="86" t="s">
        <v>25</v>
      </c>
      <c r="AI370" s="16" t="s">
        <v>301</v>
      </c>
      <c r="AS370" s="60">
        <f>SUM(AJ371:AJ371)</f>
        <v>0</v>
      </c>
      <c r="AT370" s="60">
        <f>SUM(AK371:AK371)</f>
        <v>0</v>
      </c>
      <c r="AU370" s="60">
        <f>SUM(AL371:AL371)</f>
        <v>0</v>
      </c>
    </row>
    <row r="371" spans="1:76" ht="25.5" x14ac:dyDescent="0.25">
      <c r="A371" s="1" t="s">
        <v>773</v>
      </c>
      <c r="B371" s="2" t="s">
        <v>301</v>
      </c>
      <c r="C371" s="2" t="s">
        <v>222</v>
      </c>
      <c r="D371" s="108" t="s">
        <v>223</v>
      </c>
      <c r="E371" s="102"/>
      <c r="F371" s="2" t="s">
        <v>62</v>
      </c>
      <c r="G371" s="19">
        <f>'Rozpočet - vybrané sloupce'!J338</f>
        <v>24</v>
      </c>
      <c r="H371" s="19">
        <f>'Rozpočet - vybrané sloupce'!K338</f>
        <v>0</v>
      </c>
      <c r="I371" s="87" t="s">
        <v>427</v>
      </c>
      <c r="J371" s="19">
        <f>G371*AO371</f>
        <v>0</v>
      </c>
      <c r="K371" s="19">
        <f>G371*AP371</f>
        <v>0</v>
      </c>
      <c r="L371" s="19">
        <f>G371*H371</f>
        <v>0</v>
      </c>
      <c r="M371" s="19">
        <f>L371*(1+BW371/100)</f>
        <v>0</v>
      </c>
      <c r="N371" s="19">
        <v>0</v>
      </c>
      <c r="O371" s="19">
        <f>G371*N371</f>
        <v>0</v>
      </c>
      <c r="P371" s="88" t="s">
        <v>428</v>
      </c>
      <c r="Z371" s="19">
        <f>IF(AQ371="5",BJ371,0)</f>
        <v>0</v>
      </c>
      <c r="AB371" s="19">
        <f>IF(AQ371="1",BH371,0)</f>
        <v>0</v>
      </c>
      <c r="AC371" s="19">
        <f>IF(AQ371="1",BI371,0)</f>
        <v>0</v>
      </c>
      <c r="AD371" s="19">
        <f>IF(AQ371="7",BH371,0)</f>
        <v>0</v>
      </c>
      <c r="AE371" s="19">
        <f>IF(AQ371="7",BI371,0)</f>
        <v>0</v>
      </c>
      <c r="AF371" s="19">
        <f>IF(AQ371="2",BH371,0)</f>
        <v>0</v>
      </c>
      <c r="AG371" s="19">
        <f>IF(AQ371="2",BI371,0)</f>
        <v>0</v>
      </c>
      <c r="AH371" s="19">
        <f>IF(AQ371="0",BJ371,0)</f>
        <v>0</v>
      </c>
      <c r="AI371" s="16" t="s">
        <v>301</v>
      </c>
      <c r="AJ371" s="19">
        <f>IF(AN371=0,L371,0)</f>
        <v>0</v>
      </c>
      <c r="AK371" s="19">
        <f>IF(AN371=12,L371,0)</f>
        <v>0</v>
      </c>
      <c r="AL371" s="19">
        <f>IF(AN371=21,L371,0)</f>
        <v>0</v>
      </c>
      <c r="AN371" s="19">
        <v>12</v>
      </c>
      <c r="AO371" s="19">
        <f>H371*0.542372881</f>
        <v>0</v>
      </c>
      <c r="AP371" s="19">
        <f>H371*(1-0.542372881)</f>
        <v>0</v>
      </c>
      <c r="AQ371" s="87" t="s">
        <v>426</v>
      </c>
      <c r="AV371" s="19">
        <f>AW371+AX371</f>
        <v>0</v>
      </c>
      <c r="AW371" s="19">
        <f>G371*AO371</f>
        <v>0</v>
      </c>
      <c r="AX371" s="19">
        <f>G371*AP371</f>
        <v>0</v>
      </c>
      <c r="AY371" s="87" t="s">
        <v>710</v>
      </c>
      <c r="AZ371" s="87" t="s">
        <v>774</v>
      </c>
      <c r="BA371" s="16" t="s">
        <v>766</v>
      </c>
      <c r="BC371" s="19">
        <f>AW371+AX371</f>
        <v>0</v>
      </c>
      <c r="BD371" s="19">
        <f>H371/(100-BE371)*100</f>
        <v>0</v>
      </c>
      <c r="BE371" s="19">
        <v>0</v>
      </c>
      <c r="BF371" s="19">
        <f>O371</f>
        <v>0</v>
      </c>
      <c r="BH371" s="19">
        <f>G371*AO371</f>
        <v>0</v>
      </c>
      <c r="BI371" s="19">
        <f>G371*AP371</f>
        <v>0</v>
      </c>
      <c r="BJ371" s="19">
        <f>G371*H371</f>
        <v>0</v>
      </c>
      <c r="BK371" s="19"/>
      <c r="BL371" s="19">
        <v>411</v>
      </c>
      <c r="BW371" s="19" t="str">
        <f>I371</f>
        <v>12</v>
      </c>
      <c r="BX371" s="4" t="s">
        <v>223</v>
      </c>
    </row>
    <row r="372" spans="1:76" x14ac:dyDescent="0.25">
      <c r="A372" s="84" t="s">
        <v>25</v>
      </c>
      <c r="B372" s="15" t="s">
        <v>301</v>
      </c>
      <c r="C372" s="15" t="s">
        <v>224</v>
      </c>
      <c r="D372" s="115" t="s">
        <v>225</v>
      </c>
      <c r="E372" s="116"/>
      <c r="F372" s="85" t="s">
        <v>23</v>
      </c>
      <c r="G372" s="85" t="s">
        <v>23</v>
      </c>
      <c r="H372" s="85" t="s">
        <v>23</v>
      </c>
      <c r="I372" s="85" t="s">
        <v>23</v>
      </c>
      <c r="J372" s="60">
        <f>SUM(J373:J373)</f>
        <v>0</v>
      </c>
      <c r="K372" s="60">
        <f>SUM(K373:K373)</f>
        <v>0</v>
      </c>
      <c r="L372" s="60">
        <f>SUM(L373:L373)</f>
        <v>0</v>
      </c>
      <c r="M372" s="60">
        <f>SUM(M373:M373)</f>
        <v>0</v>
      </c>
      <c r="N372" s="16" t="s">
        <v>25</v>
      </c>
      <c r="O372" s="60">
        <f>SUM(O373:O373)</f>
        <v>0</v>
      </c>
      <c r="P372" s="86" t="s">
        <v>25</v>
      </c>
      <c r="AI372" s="16" t="s">
        <v>301</v>
      </c>
      <c r="AS372" s="60">
        <f>SUM(AJ373:AJ373)</f>
        <v>0</v>
      </c>
      <c r="AT372" s="60">
        <f>SUM(AK373:AK373)</f>
        <v>0</v>
      </c>
      <c r="AU372" s="60">
        <f>SUM(AL373:AL373)</f>
        <v>0</v>
      </c>
    </row>
    <row r="373" spans="1:76" x14ac:dyDescent="0.25">
      <c r="A373" s="1" t="s">
        <v>775</v>
      </c>
      <c r="B373" s="2" t="s">
        <v>301</v>
      </c>
      <c r="C373" s="2" t="s">
        <v>226</v>
      </c>
      <c r="D373" s="108" t="s">
        <v>227</v>
      </c>
      <c r="E373" s="102"/>
      <c r="F373" s="2" t="s">
        <v>100</v>
      </c>
      <c r="G373" s="19">
        <f>'Rozpočet - vybrané sloupce'!J340</f>
        <v>24</v>
      </c>
      <c r="H373" s="19">
        <f>'Rozpočet - vybrané sloupce'!K340</f>
        <v>0</v>
      </c>
      <c r="I373" s="87" t="s">
        <v>427</v>
      </c>
      <c r="J373" s="19">
        <f>G373*AO373</f>
        <v>0</v>
      </c>
      <c r="K373" s="19">
        <f>G373*AP373</f>
        <v>0</v>
      </c>
      <c r="L373" s="19">
        <f>G373*H373</f>
        <v>0</v>
      </c>
      <c r="M373" s="19">
        <f>L373*(1+BW373/100)</f>
        <v>0</v>
      </c>
      <c r="N373" s="19">
        <v>0</v>
      </c>
      <c r="O373" s="19">
        <f>G373*N373</f>
        <v>0</v>
      </c>
      <c r="P373" s="88" t="s">
        <v>428</v>
      </c>
      <c r="Z373" s="19">
        <f>IF(AQ373="5",BJ373,0)</f>
        <v>0</v>
      </c>
      <c r="AB373" s="19">
        <f>IF(AQ373="1",BH373,0)</f>
        <v>0</v>
      </c>
      <c r="AC373" s="19">
        <f>IF(AQ373="1",BI373,0)</f>
        <v>0</v>
      </c>
      <c r="AD373" s="19">
        <f>IF(AQ373="7",BH373,0)</f>
        <v>0</v>
      </c>
      <c r="AE373" s="19">
        <f>IF(AQ373="7",BI373,0)</f>
        <v>0</v>
      </c>
      <c r="AF373" s="19">
        <f>IF(AQ373="2",BH373,0)</f>
        <v>0</v>
      </c>
      <c r="AG373" s="19">
        <f>IF(AQ373="2",BI373,0)</f>
        <v>0</v>
      </c>
      <c r="AH373" s="19">
        <f>IF(AQ373="0",BJ373,0)</f>
        <v>0</v>
      </c>
      <c r="AI373" s="16" t="s">
        <v>301</v>
      </c>
      <c r="AJ373" s="19">
        <f>IF(AN373=0,L373,0)</f>
        <v>0</v>
      </c>
      <c r="AK373" s="19">
        <f>IF(AN373=12,L373,0)</f>
        <v>0</v>
      </c>
      <c r="AL373" s="19">
        <f>IF(AN373=21,L373,0)</f>
        <v>0</v>
      </c>
      <c r="AN373" s="19">
        <v>12</v>
      </c>
      <c r="AO373" s="19">
        <f>H373*0.5</f>
        <v>0</v>
      </c>
      <c r="AP373" s="19">
        <f>H373*(1-0.5)</f>
        <v>0</v>
      </c>
      <c r="AQ373" s="87" t="s">
        <v>429</v>
      </c>
      <c r="AV373" s="19">
        <f>AW373+AX373</f>
        <v>0</v>
      </c>
      <c r="AW373" s="19">
        <f>G373*AO373</f>
        <v>0</v>
      </c>
      <c r="AX373" s="19">
        <f>G373*AP373</f>
        <v>0</v>
      </c>
      <c r="AY373" s="87" t="s">
        <v>713</v>
      </c>
      <c r="AZ373" s="87" t="s">
        <v>776</v>
      </c>
      <c r="BA373" s="16" t="s">
        <v>766</v>
      </c>
      <c r="BC373" s="19">
        <f>AW373+AX373</f>
        <v>0</v>
      </c>
      <c r="BD373" s="19">
        <f>H373/(100-BE373)*100</f>
        <v>0</v>
      </c>
      <c r="BE373" s="19">
        <v>0</v>
      </c>
      <c r="BF373" s="19">
        <f>O373</f>
        <v>0</v>
      </c>
      <c r="BH373" s="19">
        <f>G373*AO373</f>
        <v>0</v>
      </c>
      <c r="BI373" s="19">
        <f>G373*AP373</f>
        <v>0</v>
      </c>
      <c r="BJ373" s="19">
        <f>G373*H373</f>
        <v>0</v>
      </c>
      <c r="BK373" s="19"/>
      <c r="BL373" s="19">
        <v>74</v>
      </c>
      <c r="BW373" s="19" t="str">
        <f>I373</f>
        <v>12</v>
      </c>
      <c r="BX373" s="4" t="s">
        <v>227</v>
      </c>
    </row>
    <row r="374" spans="1:76" x14ac:dyDescent="0.25">
      <c r="A374" s="84" t="s">
        <v>25</v>
      </c>
      <c r="B374" s="15" t="s">
        <v>301</v>
      </c>
      <c r="C374" s="15" t="s">
        <v>228</v>
      </c>
      <c r="D374" s="115" t="s">
        <v>229</v>
      </c>
      <c r="E374" s="116"/>
      <c r="F374" s="85" t="s">
        <v>23</v>
      </c>
      <c r="G374" s="85" t="s">
        <v>23</v>
      </c>
      <c r="H374" s="85" t="s">
        <v>23</v>
      </c>
      <c r="I374" s="85" t="s">
        <v>23</v>
      </c>
      <c r="J374" s="60">
        <f>SUM(J375:J378)</f>
        <v>0</v>
      </c>
      <c r="K374" s="60">
        <f>SUM(K375:K378)</f>
        <v>0</v>
      </c>
      <c r="L374" s="60">
        <f>SUM(L375:L378)</f>
        <v>0</v>
      </c>
      <c r="M374" s="60">
        <f>SUM(M375:M378)</f>
        <v>0</v>
      </c>
      <c r="N374" s="16" t="s">
        <v>25</v>
      </c>
      <c r="O374" s="60">
        <f>SUM(O375:O378)</f>
        <v>1.1520000000000001E-2</v>
      </c>
      <c r="P374" s="86" t="s">
        <v>25</v>
      </c>
      <c r="AI374" s="16" t="s">
        <v>301</v>
      </c>
      <c r="AS374" s="60">
        <f>SUM(AJ375:AJ378)</f>
        <v>0</v>
      </c>
      <c r="AT374" s="60">
        <f>SUM(AK375:AK378)</f>
        <v>0</v>
      </c>
      <c r="AU374" s="60">
        <f>SUM(AL375:AL378)</f>
        <v>0</v>
      </c>
    </row>
    <row r="375" spans="1:76" x14ac:dyDescent="0.25">
      <c r="A375" s="1" t="s">
        <v>777</v>
      </c>
      <c r="B375" s="2" t="s">
        <v>301</v>
      </c>
      <c r="C375" s="2" t="s">
        <v>230</v>
      </c>
      <c r="D375" s="108" t="s">
        <v>231</v>
      </c>
      <c r="E375" s="102"/>
      <c r="F375" s="2" t="s">
        <v>232</v>
      </c>
      <c r="G375" s="19">
        <f>'Rozpočet - vybrané sloupce'!J342</f>
        <v>96</v>
      </c>
      <c r="H375" s="19">
        <f>'Rozpočet - vybrané sloupce'!K342</f>
        <v>0</v>
      </c>
      <c r="I375" s="87" t="s">
        <v>427</v>
      </c>
      <c r="J375" s="19">
        <f>G375*AO375</f>
        <v>0</v>
      </c>
      <c r="K375" s="19">
        <f>G375*AP375</f>
        <v>0</v>
      </c>
      <c r="L375" s="19">
        <f>G375*H375</f>
        <v>0</v>
      </c>
      <c r="M375" s="19">
        <f>L375*(1+BW375/100)</f>
        <v>0</v>
      </c>
      <c r="N375" s="19">
        <v>1.2E-4</v>
      </c>
      <c r="O375" s="19">
        <f>G375*N375</f>
        <v>1.1520000000000001E-2</v>
      </c>
      <c r="P375" s="88" t="s">
        <v>428</v>
      </c>
      <c r="Z375" s="19">
        <f>IF(AQ375="5",BJ375,0)</f>
        <v>0</v>
      </c>
      <c r="AB375" s="19">
        <f>IF(AQ375="1",BH375,0)</f>
        <v>0</v>
      </c>
      <c r="AC375" s="19">
        <f>IF(AQ375="1",BI375,0)</f>
        <v>0</v>
      </c>
      <c r="AD375" s="19">
        <f>IF(AQ375="7",BH375,0)</f>
        <v>0</v>
      </c>
      <c r="AE375" s="19">
        <f>IF(AQ375="7",BI375,0)</f>
        <v>0</v>
      </c>
      <c r="AF375" s="19">
        <f>IF(AQ375="2",BH375,0)</f>
        <v>0</v>
      </c>
      <c r="AG375" s="19">
        <f>IF(AQ375="2",BI375,0)</f>
        <v>0</v>
      </c>
      <c r="AH375" s="19">
        <f>IF(AQ375="0",BJ375,0)</f>
        <v>0</v>
      </c>
      <c r="AI375" s="16" t="s">
        <v>301</v>
      </c>
      <c r="AJ375" s="19">
        <f>IF(AN375=0,L375,0)</f>
        <v>0</v>
      </c>
      <c r="AK375" s="19">
        <f>IF(AN375=12,L375,0)</f>
        <v>0</v>
      </c>
      <c r="AL375" s="19">
        <f>IF(AN375=21,L375,0)</f>
        <v>0</v>
      </c>
      <c r="AN375" s="19">
        <v>12</v>
      </c>
      <c r="AO375" s="19">
        <f>H375*0.425439015</f>
        <v>0</v>
      </c>
      <c r="AP375" s="19">
        <f>H375*(1-0.425439015)</f>
        <v>0</v>
      </c>
      <c r="AQ375" s="87" t="s">
        <v>429</v>
      </c>
      <c r="AV375" s="19">
        <f>AW375+AX375</f>
        <v>0</v>
      </c>
      <c r="AW375" s="19">
        <f>G375*AO375</f>
        <v>0</v>
      </c>
      <c r="AX375" s="19">
        <f>G375*AP375</f>
        <v>0</v>
      </c>
      <c r="AY375" s="87" t="s">
        <v>716</v>
      </c>
      <c r="AZ375" s="87" t="s">
        <v>778</v>
      </c>
      <c r="BA375" s="16" t="s">
        <v>766</v>
      </c>
      <c r="BC375" s="19">
        <f>AW375+AX375</f>
        <v>0</v>
      </c>
      <c r="BD375" s="19">
        <f>H375/(100-BE375)*100</f>
        <v>0</v>
      </c>
      <c r="BE375" s="19">
        <v>0</v>
      </c>
      <c r="BF375" s="19">
        <f>O375</f>
        <v>1.1520000000000001E-2</v>
      </c>
      <c r="BH375" s="19">
        <f>G375*AO375</f>
        <v>0</v>
      </c>
      <c r="BI375" s="19">
        <f>G375*AP375</f>
        <v>0</v>
      </c>
      <c r="BJ375" s="19">
        <f>G375*H375</f>
        <v>0</v>
      </c>
      <c r="BK375" s="19"/>
      <c r="BL375" s="19">
        <v>767</v>
      </c>
      <c r="BW375" s="19" t="str">
        <f>I375</f>
        <v>12</v>
      </c>
      <c r="BX375" s="4" t="s">
        <v>231</v>
      </c>
    </row>
    <row r="376" spans="1:76" x14ac:dyDescent="0.25">
      <c r="A376" s="1" t="s">
        <v>779</v>
      </c>
      <c r="B376" s="2" t="s">
        <v>301</v>
      </c>
      <c r="C376" s="2" t="s">
        <v>237</v>
      </c>
      <c r="D376" s="108" t="s">
        <v>238</v>
      </c>
      <c r="E376" s="102"/>
      <c r="F376" s="2" t="s">
        <v>51</v>
      </c>
      <c r="G376" s="19">
        <f>'Rozpočet - vybrané sloupce'!J343</f>
        <v>480</v>
      </c>
      <c r="H376" s="19">
        <f>'Rozpočet - vybrané sloupce'!K343</f>
        <v>0</v>
      </c>
      <c r="I376" s="87" t="s">
        <v>427</v>
      </c>
      <c r="J376" s="19">
        <f>G376*AO376</f>
        <v>0</v>
      </c>
      <c r="K376" s="19">
        <f>G376*AP376</f>
        <v>0</v>
      </c>
      <c r="L376" s="19">
        <f>G376*H376</f>
        <v>0</v>
      </c>
      <c r="M376" s="19">
        <f>L376*(1+BW376/100)</f>
        <v>0</v>
      </c>
      <c r="N376" s="19">
        <v>0</v>
      </c>
      <c r="O376" s="19">
        <f>G376*N376</f>
        <v>0</v>
      </c>
      <c r="P376" s="88" t="s">
        <v>428</v>
      </c>
      <c r="Z376" s="19">
        <f>IF(AQ376="5",BJ376,0)</f>
        <v>0</v>
      </c>
      <c r="AB376" s="19">
        <f>IF(AQ376="1",BH376,0)</f>
        <v>0</v>
      </c>
      <c r="AC376" s="19">
        <f>IF(AQ376="1",BI376,0)</f>
        <v>0</v>
      </c>
      <c r="AD376" s="19">
        <f>IF(AQ376="7",BH376,0)</f>
        <v>0</v>
      </c>
      <c r="AE376" s="19">
        <f>IF(AQ376="7",BI376,0)</f>
        <v>0</v>
      </c>
      <c r="AF376" s="19">
        <f>IF(AQ376="2",BH376,0)</f>
        <v>0</v>
      </c>
      <c r="AG376" s="19">
        <f>IF(AQ376="2",BI376,0)</f>
        <v>0</v>
      </c>
      <c r="AH376" s="19">
        <f>IF(AQ376="0",BJ376,0)</f>
        <v>0</v>
      </c>
      <c r="AI376" s="16" t="s">
        <v>301</v>
      </c>
      <c r="AJ376" s="19">
        <f>IF(AN376=0,L376,0)</f>
        <v>0</v>
      </c>
      <c r="AK376" s="19">
        <f>IF(AN376=12,L376,0)</f>
        <v>0</v>
      </c>
      <c r="AL376" s="19">
        <f>IF(AN376=21,L376,0)</f>
        <v>0</v>
      </c>
      <c r="AN376" s="19">
        <v>12</v>
      </c>
      <c r="AO376" s="19">
        <f>H376*0</f>
        <v>0</v>
      </c>
      <c r="AP376" s="19">
        <f>H376*(1-0)</f>
        <v>0</v>
      </c>
      <c r="AQ376" s="87" t="s">
        <v>436</v>
      </c>
      <c r="AV376" s="19">
        <f>AW376+AX376</f>
        <v>0</v>
      </c>
      <c r="AW376" s="19">
        <f>G376*AO376</f>
        <v>0</v>
      </c>
      <c r="AX376" s="19">
        <f>G376*AP376</f>
        <v>0</v>
      </c>
      <c r="AY376" s="87" t="s">
        <v>716</v>
      </c>
      <c r="AZ376" s="87" t="s">
        <v>778</v>
      </c>
      <c r="BA376" s="16" t="s">
        <v>766</v>
      </c>
      <c r="BC376" s="19">
        <f>AW376+AX376</f>
        <v>0</v>
      </c>
      <c r="BD376" s="19">
        <f>H376/(100-BE376)*100</f>
        <v>0</v>
      </c>
      <c r="BE376" s="19">
        <v>0</v>
      </c>
      <c r="BF376" s="19">
        <f>O376</f>
        <v>0</v>
      </c>
      <c r="BH376" s="19">
        <f>G376*AO376</f>
        <v>0</v>
      </c>
      <c r="BI376" s="19">
        <f>G376*AP376</f>
        <v>0</v>
      </c>
      <c r="BJ376" s="19">
        <f>G376*H376</f>
        <v>0</v>
      </c>
      <c r="BK376" s="19"/>
      <c r="BL376" s="19">
        <v>767</v>
      </c>
      <c r="BW376" s="19" t="str">
        <f>I376</f>
        <v>12</v>
      </c>
      <c r="BX376" s="4" t="s">
        <v>238</v>
      </c>
    </row>
    <row r="377" spans="1:76" x14ac:dyDescent="0.25">
      <c r="A377" s="1" t="s">
        <v>780</v>
      </c>
      <c r="B377" s="2" t="s">
        <v>301</v>
      </c>
      <c r="C377" s="2" t="s">
        <v>233</v>
      </c>
      <c r="D377" s="108" t="s">
        <v>234</v>
      </c>
      <c r="E377" s="102"/>
      <c r="F377" s="2" t="s">
        <v>62</v>
      </c>
      <c r="G377" s="19">
        <f>'Rozpočet - vybrané sloupce'!J344</f>
        <v>48</v>
      </c>
      <c r="H377" s="19">
        <f>'Rozpočet - vybrané sloupce'!K344</f>
        <v>0</v>
      </c>
      <c r="I377" s="87" t="s">
        <v>427</v>
      </c>
      <c r="J377" s="19">
        <f>G377*AO377</f>
        <v>0</v>
      </c>
      <c r="K377" s="19">
        <f>G377*AP377</f>
        <v>0</v>
      </c>
      <c r="L377" s="19">
        <f>G377*H377</f>
        <v>0</v>
      </c>
      <c r="M377" s="19">
        <f>L377*(1+BW377/100)</f>
        <v>0</v>
      </c>
      <c r="N377" s="19">
        <v>0</v>
      </c>
      <c r="O377" s="19">
        <f>G377*N377</f>
        <v>0</v>
      </c>
      <c r="P377" s="88" t="s">
        <v>428</v>
      </c>
      <c r="Z377" s="19">
        <f>IF(AQ377="5",BJ377,0)</f>
        <v>0</v>
      </c>
      <c r="AB377" s="19">
        <f>IF(AQ377="1",BH377,0)</f>
        <v>0</v>
      </c>
      <c r="AC377" s="19">
        <f>IF(AQ377="1",BI377,0)</f>
        <v>0</v>
      </c>
      <c r="AD377" s="19">
        <f>IF(AQ377="7",BH377,0)</f>
        <v>0</v>
      </c>
      <c r="AE377" s="19">
        <f>IF(AQ377="7",BI377,0)</f>
        <v>0</v>
      </c>
      <c r="AF377" s="19">
        <f>IF(AQ377="2",BH377,0)</f>
        <v>0</v>
      </c>
      <c r="AG377" s="19">
        <f>IF(AQ377="2",BI377,0)</f>
        <v>0</v>
      </c>
      <c r="AH377" s="19">
        <f>IF(AQ377="0",BJ377,0)</f>
        <v>0</v>
      </c>
      <c r="AI377" s="16" t="s">
        <v>301</v>
      </c>
      <c r="AJ377" s="19">
        <f>IF(AN377=0,L377,0)</f>
        <v>0</v>
      </c>
      <c r="AK377" s="19">
        <f>IF(AN377=12,L377,0)</f>
        <v>0</v>
      </c>
      <c r="AL377" s="19">
        <f>IF(AN377=21,L377,0)</f>
        <v>0</v>
      </c>
      <c r="AN377" s="19">
        <v>12</v>
      </c>
      <c r="AO377" s="19">
        <f>H377*1</f>
        <v>0</v>
      </c>
      <c r="AP377" s="19">
        <f>H377*(1-1)</f>
        <v>0</v>
      </c>
      <c r="AQ377" s="87" t="s">
        <v>429</v>
      </c>
      <c r="AV377" s="19">
        <f>AW377+AX377</f>
        <v>0</v>
      </c>
      <c r="AW377" s="19">
        <f>G377*AO377</f>
        <v>0</v>
      </c>
      <c r="AX377" s="19">
        <f>G377*AP377</f>
        <v>0</v>
      </c>
      <c r="AY377" s="87" t="s">
        <v>716</v>
      </c>
      <c r="AZ377" s="87" t="s">
        <v>778</v>
      </c>
      <c r="BA377" s="16" t="s">
        <v>766</v>
      </c>
      <c r="BC377" s="19">
        <f>AW377+AX377</f>
        <v>0</v>
      </c>
      <c r="BD377" s="19">
        <f>H377/(100-BE377)*100</f>
        <v>0</v>
      </c>
      <c r="BE377" s="19">
        <v>0</v>
      </c>
      <c r="BF377" s="19">
        <f>O377</f>
        <v>0</v>
      </c>
      <c r="BH377" s="19">
        <f>G377*AO377</f>
        <v>0</v>
      </c>
      <c r="BI377" s="19">
        <f>G377*AP377</f>
        <v>0</v>
      </c>
      <c r="BJ377" s="19">
        <f>G377*H377</f>
        <v>0</v>
      </c>
      <c r="BK377" s="19"/>
      <c r="BL377" s="19">
        <v>767</v>
      </c>
      <c r="BW377" s="19" t="str">
        <f>I377</f>
        <v>12</v>
      </c>
      <c r="BX377" s="4" t="s">
        <v>234</v>
      </c>
    </row>
    <row r="378" spans="1:76" x14ac:dyDescent="0.25">
      <c r="A378" s="1" t="s">
        <v>781</v>
      </c>
      <c r="B378" s="2" t="s">
        <v>301</v>
      </c>
      <c r="C378" s="2" t="s">
        <v>235</v>
      </c>
      <c r="D378" s="108" t="s">
        <v>236</v>
      </c>
      <c r="E378" s="102"/>
      <c r="F378" s="2" t="s">
        <v>62</v>
      </c>
      <c r="G378" s="19">
        <f>'Rozpočet - vybrané sloupce'!J345</f>
        <v>96</v>
      </c>
      <c r="H378" s="19">
        <f>'Rozpočet - vybrané sloupce'!K345</f>
        <v>0</v>
      </c>
      <c r="I378" s="87" t="s">
        <v>427</v>
      </c>
      <c r="J378" s="19">
        <f>G378*AO378</f>
        <v>0</v>
      </c>
      <c r="K378" s="19">
        <f>G378*AP378</f>
        <v>0</v>
      </c>
      <c r="L378" s="19">
        <f>G378*H378</f>
        <v>0</v>
      </c>
      <c r="M378" s="19">
        <f>L378*(1+BW378/100)</f>
        <v>0</v>
      </c>
      <c r="N378" s="19">
        <v>0</v>
      </c>
      <c r="O378" s="19">
        <f>G378*N378</f>
        <v>0</v>
      </c>
      <c r="P378" s="88" t="s">
        <v>428</v>
      </c>
      <c r="Z378" s="19">
        <f>IF(AQ378="5",BJ378,0)</f>
        <v>0</v>
      </c>
      <c r="AB378" s="19">
        <f>IF(AQ378="1",BH378,0)</f>
        <v>0</v>
      </c>
      <c r="AC378" s="19">
        <f>IF(AQ378="1",BI378,0)</f>
        <v>0</v>
      </c>
      <c r="AD378" s="19">
        <f>IF(AQ378="7",BH378,0)</f>
        <v>0</v>
      </c>
      <c r="AE378" s="19">
        <f>IF(AQ378="7",BI378,0)</f>
        <v>0</v>
      </c>
      <c r="AF378" s="19">
        <f>IF(AQ378="2",BH378,0)</f>
        <v>0</v>
      </c>
      <c r="AG378" s="19">
        <f>IF(AQ378="2",BI378,0)</f>
        <v>0</v>
      </c>
      <c r="AH378" s="19">
        <f>IF(AQ378="0",BJ378,0)</f>
        <v>0</v>
      </c>
      <c r="AI378" s="16" t="s">
        <v>301</v>
      </c>
      <c r="AJ378" s="19">
        <f>IF(AN378=0,L378,0)</f>
        <v>0</v>
      </c>
      <c r="AK378" s="19">
        <f>IF(AN378=12,L378,0)</f>
        <v>0</v>
      </c>
      <c r="AL378" s="19">
        <f>IF(AN378=21,L378,0)</f>
        <v>0</v>
      </c>
      <c r="AN378" s="19">
        <v>12</v>
      </c>
      <c r="AO378" s="19">
        <f>H378*1</f>
        <v>0</v>
      </c>
      <c r="AP378" s="19">
        <f>H378*(1-1)</f>
        <v>0</v>
      </c>
      <c r="AQ378" s="87" t="s">
        <v>429</v>
      </c>
      <c r="AV378" s="19">
        <f>AW378+AX378</f>
        <v>0</v>
      </c>
      <c r="AW378" s="19">
        <f>G378*AO378</f>
        <v>0</v>
      </c>
      <c r="AX378" s="19">
        <f>G378*AP378</f>
        <v>0</v>
      </c>
      <c r="AY378" s="87" t="s">
        <v>716</v>
      </c>
      <c r="AZ378" s="87" t="s">
        <v>778</v>
      </c>
      <c r="BA378" s="16" t="s">
        <v>766</v>
      </c>
      <c r="BC378" s="19">
        <f>AW378+AX378</f>
        <v>0</v>
      </c>
      <c r="BD378" s="19">
        <f>H378/(100-BE378)*100</f>
        <v>0</v>
      </c>
      <c r="BE378" s="19">
        <v>0</v>
      </c>
      <c r="BF378" s="19">
        <f>O378</f>
        <v>0</v>
      </c>
      <c r="BH378" s="19">
        <f>G378*AO378</f>
        <v>0</v>
      </c>
      <c r="BI378" s="19">
        <f>G378*AP378</f>
        <v>0</v>
      </c>
      <c r="BJ378" s="19">
        <f>G378*H378</f>
        <v>0</v>
      </c>
      <c r="BK378" s="19"/>
      <c r="BL378" s="19">
        <v>767</v>
      </c>
      <c r="BW378" s="19" t="str">
        <f>I378</f>
        <v>12</v>
      </c>
      <c r="BX378" s="4" t="s">
        <v>236</v>
      </c>
    </row>
    <row r="379" spans="1:76" x14ac:dyDescent="0.25">
      <c r="A379" s="84" t="s">
        <v>25</v>
      </c>
      <c r="B379" s="15" t="s">
        <v>301</v>
      </c>
      <c r="C379" s="15" t="s">
        <v>239</v>
      </c>
      <c r="D379" s="115" t="s">
        <v>240</v>
      </c>
      <c r="E379" s="116"/>
      <c r="F379" s="85" t="s">
        <v>23</v>
      </c>
      <c r="G379" s="85" t="s">
        <v>23</v>
      </c>
      <c r="H379" s="85" t="s">
        <v>23</v>
      </c>
      <c r="I379" s="85" t="s">
        <v>23</v>
      </c>
      <c r="J379" s="60">
        <f>SUM(J380:J384)</f>
        <v>0</v>
      </c>
      <c r="K379" s="60">
        <f>SUM(K380:K384)</f>
        <v>0</v>
      </c>
      <c r="L379" s="60">
        <f>SUM(L380:L384)</f>
        <v>0</v>
      </c>
      <c r="M379" s="60">
        <f>SUM(M380:M384)</f>
        <v>0</v>
      </c>
      <c r="N379" s="16" t="s">
        <v>25</v>
      </c>
      <c r="O379" s="60">
        <f>SUM(O380:O384)</f>
        <v>1.3798839999999999</v>
      </c>
      <c r="P379" s="86" t="s">
        <v>25</v>
      </c>
      <c r="AI379" s="16" t="s">
        <v>301</v>
      </c>
      <c r="AS379" s="60">
        <f>SUM(AJ380:AJ384)</f>
        <v>0</v>
      </c>
      <c r="AT379" s="60">
        <f>SUM(AK380:AK384)</f>
        <v>0</v>
      </c>
      <c r="AU379" s="60">
        <f>SUM(AL380:AL384)</f>
        <v>0</v>
      </c>
    </row>
    <row r="380" spans="1:76" x14ac:dyDescent="0.25">
      <c r="A380" s="1" t="s">
        <v>782</v>
      </c>
      <c r="B380" s="2" t="s">
        <v>301</v>
      </c>
      <c r="C380" s="2" t="s">
        <v>241</v>
      </c>
      <c r="D380" s="108" t="s">
        <v>242</v>
      </c>
      <c r="E380" s="102"/>
      <c r="F380" s="2" t="s">
        <v>217</v>
      </c>
      <c r="G380" s="19">
        <f>'Rozpočet - vybrané sloupce'!J347</f>
        <v>44.4</v>
      </c>
      <c r="H380" s="19">
        <f>'Rozpočet - vybrané sloupce'!K347</f>
        <v>0</v>
      </c>
      <c r="I380" s="87" t="s">
        <v>427</v>
      </c>
      <c r="J380" s="19">
        <f>G380*AO380</f>
        <v>0</v>
      </c>
      <c r="K380" s="19">
        <f>G380*AP380</f>
        <v>0</v>
      </c>
      <c r="L380" s="19">
        <f>G380*H380</f>
        <v>0</v>
      </c>
      <c r="M380" s="19">
        <f>L380*(1+BW380/100)</f>
        <v>0</v>
      </c>
      <c r="N380" s="19">
        <v>2.1000000000000001E-4</v>
      </c>
      <c r="O380" s="19">
        <f>G380*N380</f>
        <v>9.3240000000000007E-3</v>
      </c>
      <c r="P380" s="88" t="s">
        <v>428</v>
      </c>
      <c r="Z380" s="19">
        <f>IF(AQ380="5",BJ380,0)</f>
        <v>0</v>
      </c>
      <c r="AB380" s="19">
        <f>IF(AQ380="1",BH380,0)</f>
        <v>0</v>
      </c>
      <c r="AC380" s="19">
        <f>IF(AQ380="1",BI380,0)</f>
        <v>0</v>
      </c>
      <c r="AD380" s="19">
        <f>IF(AQ380="7",BH380,0)</f>
        <v>0</v>
      </c>
      <c r="AE380" s="19">
        <f>IF(AQ380="7",BI380,0)</f>
        <v>0</v>
      </c>
      <c r="AF380" s="19">
        <f>IF(AQ380="2",BH380,0)</f>
        <v>0</v>
      </c>
      <c r="AG380" s="19">
        <f>IF(AQ380="2",BI380,0)</f>
        <v>0</v>
      </c>
      <c r="AH380" s="19">
        <f>IF(AQ380="0",BJ380,0)</f>
        <v>0</v>
      </c>
      <c r="AI380" s="16" t="s">
        <v>301</v>
      </c>
      <c r="AJ380" s="19">
        <f>IF(AN380=0,L380,0)</f>
        <v>0</v>
      </c>
      <c r="AK380" s="19">
        <f>IF(AN380=12,L380,0)</f>
        <v>0</v>
      </c>
      <c r="AL380" s="19">
        <f>IF(AN380=21,L380,0)</f>
        <v>0</v>
      </c>
      <c r="AN380" s="19">
        <v>12</v>
      </c>
      <c r="AO380" s="19">
        <f>H380*0.447072063</f>
        <v>0</v>
      </c>
      <c r="AP380" s="19">
        <f>H380*(1-0.447072063)</f>
        <v>0</v>
      </c>
      <c r="AQ380" s="87" t="s">
        <v>429</v>
      </c>
      <c r="AV380" s="19">
        <f>AW380+AX380</f>
        <v>0</v>
      </c>
      <c r="AW380" s="19">
        <f>G380*AO380</f>
        <v>0</v>
      </c>
      <c r="AX380" s="19">
        <f>G380*AP380</f>
        <v>0</v>
      </c>
      <c r="AY380" s="87" t="s">
        <v>722</v>
      </c>
      <c r="AZ380" s="87" t="s">
        <v>783</v>
      </c>
      <c r="BA380" s="16" t="s">
        <v>766</v>
      </c>
      <c r="BC380" s="19">
        <f>AW380+AX380</f>
        <v>0</v>
      </c>
      <c r="BD380" s="19">
        <f>H380/(100-BE380)*100</f>
        <v>0</v>
      </c>
      <c r="BE380" s="19">
        <v>0</v>
      </c>
      <c r="BF380" s="19">
        <f>O380</f>
        <v>9.3240000000000007E-3</v>
      </c>
      <c r="BH380" s="19">
        <f>G380*AO380</f>
        <v>0</v>
      </c>
      <c r="BI380" s="19">
        <f>G380*AP380</f>
        <v>0</v>
      </c>
      <c r="BJ380" s="19">
        <f>G380*H380</f>
        <v>0</v>
      </c>
      <c r="BK380" s="19"/>
      <c r="BL380" s="19">
        <v>781</v>
      </c>
      <c r="BW380" s="19" t="str">
        <f>I380</f>
        <v>12</v>
      </c>
      <c r="BX380" s="4" t="s">
        <v>242</v>
      </c>
    </row>
    <row r="381" spans="1:76" x14ac:dyDescent="0.25">
      <c r="A381" s="1" t="s">
        <v>784</v>
      </c>
      <c r="B381" s="2" t="s">
        <v>301</v>
      </c>
      <c r="C381" s="2" t="s">
        <v>243</v>
      </c>
      <c r="D381" s="108" t="s">
        <v>244</v>
      </c>
      <c r="E381" s="102"/>
      <c r="F381" s="2" t="s">
        <v>217</v>
      </c>
      <c r="G381" s="19">
        <f>'Rozpočet - vybrané sloupce'!J348</f>
        <v>44.4</v>
      </c>
      <c r="H381" s="19">
        <f>'Rozpočet - vybrané sloupce'!K348</f>
        <v>0</v>
      </c>
      <c r="I381" s="87" t="s">
        <v>427</v>
      </c>
      <c r="J381" s="19">
        <f>G381*AO381</f>
        <v>0</v>
      </c>
      <c r="K381" s="19">
        <f>G381*AP381</f>
        <v>0</v>
      </c>
      <c r="L381" s="19">
        <f>G381*H381</f>
        <v>0</v>
      </c>
      <c r="M381" s="19">
        <f>L381*(1+BW381/100)</f>
        <v>0</v>
      </c>
      <c r="N381" s="19">
        <v>0</v>
      </c>
      <c r="O381" s="19">
        <f>G381*N381</f>
        <v>0</v>
      </c>
      <c r="P381" s="88" t="s">
        <v>428</v>
      </c>
      <c r="Z381" s="19">
        <f>IF(AQ381="5",BJ381,0)</f>
        <v>0</v>
      </c>
      <c r="AB381" s="19">
        <f>IF(AQ381="1",BH381,0)</f>
        <v>0</v>
      </c>
      <c r="AC381" s="19">
        <f>IF(AQ381="1",BI381,0)</f>
        <v>0</v>
      </c>
      <c r="AD381" s="19">
        <f>IF(AQ381="7",BH381,0)</f>
        <v>0</v>
      </c>
      <c r="AE381" s="19">
        <f>IF(AQ381="7",BI381,0)</f>
        <v>0</v>
      </c>
      <c r="AF381" s="19">
        <f>IF(AQ381="2",BH381,0)</f>
        <v>0</v>
      </c>
      <c r="AG381" s="19">
        <f>IF(AQ381="2",BI381,0)</f>
        <v>0</v>
      </c>
      <c r="AH381" s="19">
        <f>IF(AQ381="0",BJ381,0)</f>
        <v>0</v>
      </c>
      <c r="AI381" s="16" t="s">
        <v>301</v>
      </c>
      <c r="AJ381" s="19">
        <f>IF(AN381=0,L381,0)</f>
        <v>0</v>
      </c>
      <c r="AK381" s="19">
        <f>IF(AN381=12,L381,0)</f>
        <v>0</v>
      </c>
      <c r="AL381" s="19">
        <f>IF(AN381=21,L381,0)</f>
        <v>0</v>
      </c>
      <c r="AN381" s="19">
        <v>12</v>
      </c>
      <c r="AO381" s="19">
        <f>H381*0</f>
        <v>0</v>
      </c>
      <c r="AP381" s="19">
        <f>H381*(1-0)</f>
        <v>0</v>
      </c>
      <c r="AQ381" s="87" t="s">
        <v>429</v>
      </c>
      <c r="AV381" s="19">
        <f>AW381+AX381</f>
        <v>0</v>
      </c>
      <c r="AW381" s="19">
        <f>G381*AO381</f>
        <v>0</v>
      </c>
      <c r="AX381" s="19">
        <f>G381*AP381</f>
        <v>0</v>
      </c>
      <c r="AY381" s="87" t="s">
        <v>722</v>
      </c>
      <c r="AZ381" s="87" t="s">
        <v>783</v>
      </c>
      <c r="BA381" s="16" t="s">
        <v>766</v>
      </c>
      <c r="BC381" s="19">
        <f>AW381+AX381</f>
        <v>0</v>
      </c>
      <c r="BD381" s="19">
        <f>H381/(100-BE381)*100</f>
        <v>0</v>
      </c>
      <c r="BE381" s="19">
        <v>0</v>
      </c>
      <c r="BF381" s="19">
        <f>O381</f>
        <v>0</v>
      </c>
      <c r="BH381" s="19">
        <f>G381*AO381</f>
        <v>0</v>
      </c>
      <c r="BI381" s="19">
        <f>G381*AP381</f>
        <v>0</v>
      </c>
      <c r="BJ381" s="19">
        <f>G381*H381</f>
        <v>0</v>
      </c>
      <c r="BK381" s="19"/>
      <c r="BL381" s="19">
        <v>781</v>
      </c>
      <c r="BW381" s="19" t="str">
        <f>I381</f>
        <v>12</v>
      </c>
      <c r="BX381" s="4" t="s">
        <v>244</v>
      </c>
    </row>
    <row r="382" spans="1:76" x14ac:dyDescent="0.25">
      <c r="A382" s="1" t="s">
        <v>785</v>
      </c>
      <c r="B382" s="2" t="s">
        <v>301</v>
      </c>
      <c r="C382" s="2" t="s">
        <v>245</v>
      </c>
      <c r="D382" s="108" t="s">
        <v>246</v>
      </c>
      <c r="E382" s="102"/>
      <c r="F382" s="2" t="s">
        <v>217</v>
      </c>
      <c r="G382" s="19">
        <f>'Rozpočet - vybrané sloupce'!J349</f>
        <v>46.6</v>
      </c>
      <c r="H382" s="19">
        <f>'Rozpočet - vybrané sloupce'!K349</f>
        <v>0</v>
      </c>
      <c r="I382" s="87" t="s">
        <v>427</v>
      </c>
      <c r="J382" s="19">
        <f>G382*AO382</f>
        <v>0</v>
      </c>
      <c r="K382" s="19">
        <f>G382*AP382</f>
        <v>0</v>
      </c>
      <c r="L382" s="19">
        <f>G382*H382</f>
        <v>0</v>
      </c>
      <c r="M382" s="19">
        <f>L382*(1+BW382/100)</f>
        <v>0</v>
      </c>
      <c r="N382" s="19">
        <v>1.3599999999999999E-2</v>
      </c>
      <c r="O382" s="19">
        <f>G382*N382</f>
        <v>0.63375999999999999</v>
      </c>
      <c r="P382" s="88" t="s">
        <v>428</v>
      </c>
      <c r="Z382" s="19">
        <f>IF(AQ382="5",BJ382,0)</f>
        <v>0</v>
      </c>
      <c r="AB382" s="19">
        <f>IF(AQ382="1",BH382,0)</f>
        <v>0</v>
      </c>
      <c r="AC382" s="19">
        <f>IF(AQ382="1",BI382,0)</f>
        <v>0</v>
      </c>
      <c r="AD382" s="19">
        <f>IF(AQ382="7",BH382,0)</f>
        <v>0</v>
      </c>
      <c r="AE382" s="19">
        <f>IF(AQ382="7",BI382,0)</f>
        <v>0</v>
      </c>
      <c r="AF382" s="19">
        <f>IF(AQ382="2",BH382,0)</f>
        <v>0</v>
      </c>
      <c r="AG382" s="19">
        <f>IF(AQ382="2",BI382,0)</f>
        <v>0</v>
      </c>
      <c r="AH382" s="19">
        <f>IF(AQ382="0",BJ382,0)</f>
        <v>0</v>
      </c>
      <c r="AI382" s="16" t="s">
        <v>301</v>
      </c>
      <c r="AJ382" s="19">
        <f>IF(AN382=0,L382,0)</f>
        <v>0</v>
      </c>
      <c r="AK382" s="19">
        <f>IF(AN382=12,L382,0)</f>
        <v>0</v>
      </c>
      <c r="AL382" s="19">
        <f>IF(AN382=21,L382,0)</f>
        <v>0</v>
      </c>
      <c r="AN382" s="19">
        <v>12</v>
      </c>
      <c r="AO382" s="19">
        <f>H382*1</f>
        <v>0</v>
      </c>
      <c r="AP382" s="19">
        <f>H382*(1-1)</f>
        <v>0</v>
      </c>
      <c r="AQ382" s="87" t="s">
        <v>429</v>
      </c>
      <c r="AV382" s="19">
        <f>AW382+AX382</f>
        <v>0</v>
      </c>
      <c r="AW382" s="19">
        <f>G382*AO382</f>
        <v>0</v>
      </c>
      <c r="AX382" s="19">
        <f>G382*AP382</f>
        <v>0</v>
      </c>
      <c r="AY382" s="87" t="s">
        <v>722</v>
      </c>
      <c r="AZ382" s="87" t="s">
        <v>783</v>
      </c>
      <c r="BA382" s="16" t="s">
        <v>766</v>
      </c>
      <c r="BC382" s="19">
        <f>AW382+AX382</f>
        <v>0</v>
      </c>
      <c r="BD382" s="19">
        <f>H382/(100-BE382)*100</f>
        <v>0</v>
      </c>
      <c r="BE382" s="19">
        <v>0</v>
      </c>
      <c r="BF382" s="19">
        <f>O382</f>
        <v>0.63375999999999999</v>
      </c>
      <c r="BH382" s="19">
        <f>G382*AO382</f>
        <v>0</v>
      </c>
      <c r="BI382" s="19">
        <f>G382*AP382</f>
        <v>0</v>
      </c>
      <c r="BJ382" s="19">
        <f>G382*H382</f>
        <v>0</v>
      </c>
      <c r="BK382" s="19"/>
      <c r="BL382" s="19">
        <v>781</v>
      </c>
      <c r="BW382" s="19" t="str">
        <f>I382</f>
        <v>12</v>
      </c>
      <c r="BX382" s="4" t="s">
        <v>246</v>
      </c>
    </row>
    <row r="383" spans="1:76" x14ac:dyDescent="0.25">
      <c r="A383" s="1" t="s">
        <v>786</v>
      </c>
      <c r="B383" s="2" t="s">
        <v>301</v>
      </c>
      <c r="C383" s="2" t="s">
        <v>247</v>
      </c>
      <c r="D383" s="108" t="s">
        <v>248</v>
      </c>
      <c r="E383" s="102"/>
      <c r="F383" s="2" t="s">
        <v>62</v>
      </c>
      <c r="G383" s="19">
        <f>'Rozpočet - vybrané sloupce'!J350</f>
        <v>240</v>
      </c>
      <c r="H383" s="19">
        <f>'Rozpočet - vybrané sloupce'!K350</f>
        <v>0</v>
      </c>
      <c r="I383" s="87" t="s">
        <v>427</v>
      </c>
      <c r="J383" s="19">
        <f>G383*AO383</f>
        <v>0</v>
      </c>
      <c r="K383" s="19">
        <f>G383*AP383</f>
        <v>0</v>
      </c>
      <c r="L383" s="19">
        <f>G383*H383</f>
        <v>0</v>
      </c>
      <c r="M383" s="19">
        <f>L383*(1+BW383/100)</f>
        <v>0</v>
      </c>
      <c r="N383" s="19">
        <v>3.0699999999999998E-3</v>
      </c>
      <c r="O383" s="19">
        <f>G383*N383</f>
        <v>0.7367999999999999</v>
      </c>
      <c r="P383" s="88" t="s">
        <v>428</v>
      </c>
      <c r="Z383" s="19">
        <f>IF(AQ383="5",BJ383,0)</f>
        <v>0</v>
      </c>
      <c r="AB383" s="19">
        <f>IF(AQ383="1",BH383,0)</f>
        <v>0</v>
      </c>
      <c r="AC383" s="19">
        <f>IF(AQ383="1",BI383,0)</f>
        <v>0</v>
      </c>
      <c r="AD383" s="19">
        <f>IF(AQ383="7",BH383,0)</f>
        <v>0</v>
      </c>
      <c r="AE383" s="19">
        <f>IF(AQ383="7",BI383,0)</f>
        <v>0</v>
      </c>
      <c r="AF383" s="19">
        <f>IF(AQ383="2",BH383,0)</f>
        <v>0</v>
      </c>
      <c r="AG383" s="19">
        <f>IF(AQ383="2",BI383,0)</f>
        <v>0</v>
      </c>
      <c r="AH383" s="19">
        <f>IF(AQ383="0",BJ383,0)</f>
        <v>0</v>
      </c>
      <c r="AI383" s="16" t="s">
        <v>301</v>
      </c>
      <c r="AJ383" s="19">
        <f>IF(AN383=0,L383,0)</f>
        <v>0</v>
      </c>
      <c r="AK383" s="19">
        <f>IF(AN383=12,L383,0)</f>
        <v>0</v>
      </c>
      <c r="AL383" s="19">
        <f>IF(AN383=21,L383,0)</f>
        <v>0</v>
      </c>
      <c r="AN383" s="19">
        <v>12</v>
      </c>
      <c r="AO383" s="19">
        <f>H383*0.283738739</f>
        <v>0</v>
      </c>
      <c r="AP383" s="19">
        <f>H383*(1-0.283738739)</f>
        <v>0</v>
      </c>
      <c r="AQ383" s="87" t="s">
        <v>429</v>
      </c>
      <c r="AV383" s="19">
        <f>AW383+AX383</f>
        <v>0</v>
      </c>
      <c r="AW383" s="19">
        <f>G383*AO383</f>
        <v>0</v>
      </c>
      <c r="AX383" s="19">
        <f>G383*AP383</f>
        <v>0</v>
      </c>
      <c r="AY383" s="87" t="s">
        <v>722</v>
      </c>
      <c r="AZ383" s="87" t="s">
        <v>783</v>
      </c>
      <c r="BA383" s="16" t="s">
        <v>766</v>
      </c>
      <c r="BC383" s="19">
        <f>AW383+AX383</f>
        <v>0</v>
      </c>
      <c r="BD383" s="19">
        <f>H383/(100-BE383)*100</f>
        <v>0</v>
      </c>
      <c r="BE383" s="19">
        <v>0</v>
      </c>
      <c r="BF383" s="19">
        <f>O383</f>
        <v>0.7367999999999999</v>
      </c>
      <c r="BH383" s="19">
        <f>G383*AO383</f>
        <v>0</v>
      </c>
      <c r="BI383" s="19">
        <f>G383*AP383</f>
        <v>0</v>
      </c>
      <c r="BJ383" s="19">
        <f>G383*H383</f>
        <v>0</v>
      </c>
      <c r="BK383" s="19"/>
      <c r="BL383" s="19">
        <v>781</v>
      </c>
      <c r="BW383" s="19" t="str">
        <f>I383</f>
        <v>12</v>
      </c>
      <c r="BX383" s="4" t="s">
        <v>248</v>
      </c>
    </row>
    <row r="384" spans="1:76" x14ac:dyDescent="0.25">
      <c r="A384" s="1" t="s">
        <v>787</v>
      </c>
      <c r="B384" s="2" t="s">
        <v>301</v>
      </c>
      <c r="C384" s="2" t="s">
        <v>249</v>
      </c>
      <c r="D384" s="108" t="s">
        <v>250</v>
      </c>
      <c r="E384" s="102"/>
      <c r="F384" s="2" t="s">
        <v>51</v>
      </c>
      <c r="G384" s="19">
        <f>'Rozpočet - vybrané sloupce'!J351</f>
        <v>1111</v>
      </c>
      <c r="H384" s="19">
        <f>'Rozpočet - vybrané sloupce'!K351</f>
        <v>0</v>
      </c>
      <c r="I384" s="87" t="s">
        <v>427</v>
      </c>
      <c r="J384" s="19">
        <f>G384*AO384</f>
        <v>0</v>
      </c>
      <c r="K384" s="19">
        <f>G384*AP384</f>
        <v>0</v>
      </c>
      <c r="L384" s="19">
        <f>G384*H384</f>
        <v>0</v>
      </c>
      <c r="M384" s="19">
        <f>L384*(1+BW384/100)</f>
        <v>0</v>
      </c>
      <c r="N384" s="19">
        <v>0</v>
      </c>
      <c r="O384" s="19">
        <f>G384*N384</f>
        <v>0</v>
      </c>
      <c r="P384" s="88" t="s">
        <v>428</v>
      </c>
      <c r="Z384" s="19">
        <f>IF(AQ384="5",BJ384,0)</f>
        <v>0</v>
      </c>
      <c r="AB384" s="19">
        <f>IF(AQ384="1",BH384,0)</f>
        <v>0</v>
      </c>
      <c r="AC384" s="19">
        <f>IF(AQ384="1",BI384,0)</f>
        <v>0</v>
      </c>
      <c r="AD384" s="19">
        <f>IF(AQ384="7",BH384,0)</f>
        <v>0</v>
      </c>
      <c r="AE384" s="19">
        <f>IF(AQ384="7",BI384,0)</f>
        <v>0</v>
      </c>
      <c r="AF384" s="19">
        <f>IF(AQ384="2",BH384,0)</f>
        <v>0</v>
      </c>
      <c r="AG384" s="19">
        <f>IF(AQ384="2",BI384,0)</f>
        <v>0</v>
      </c>
      <c r="AH384" s="19">
        <f>IF(AQ384="0",BJ384,0)</f>
        <v>0</v>
      </c>
      <c r="AI384" s="16" t="s">
        <v>301</v>
      </c>
      <c r="AJ384" s="19">
        <f>IF(AN384=0,L384,0)</f>
        <v>0</v>
      </c>
      <c r="AK384" s="19">
        <f>IF(AN384=12,L384,0)</f>
        <v>0</v>
      </c>
      <c r="AL384" s="19">
        <f>IF(AN384=21,L384,0)</f>
        <v>0</v>
      </c>
      <c r="AN384" s="19">
        <v>12</v>
      </c>
      <c r="AO384" s="19">
        <f>H384*0</f>
        <v>0</v>
      </c>
      <c r="AP384" s="19">
        <f>H384*(1-0)</f>
        <v>0</v>
      </c>
      <c r="AQ384" s="87" t="s">
        <v>436</v>
      </c>
      <c r="AV384" s="19">
        <f>AW384+AX384</f>
        <v>0</v>
      </c>
      <c r="AW384" s="19">
        <f>G384*AO384</f>
        <v>0</v>
      </c>
      <c r="AX384" s="19">
        <f>G384*AP384</f>
        <v>0</v>
      </c>
      <c r="AY384" s="87" t="s">
        <v>722</v>
      </c>
      <c r="AZ384" s="87" t="s">
        <v>783</v>
      </c>
      <c r="BA384" s="16" t="s">
        <v>766</v>
      </c>
      <c r="BC384" s="19">
        <f>AW384+AX384</f>
        <v>0</v>
      </c>
      <c r="BD384" s="19">
        <f>H384/(100-BE384)*100</f>
        <v>0</v>
      </c>
      <c r="BE384" s="19">
        <v>0</v>
      </c>
      <c r="BF384" s="19">
        <f>O384</f>
        <v>0</v>
      </c>
      <c r="BH384" s="19">
        <f>G384*AO384</f>
        <v>0</v>
      </c>
      <c r="BI384" s="19">
        <f>G384*AP384</f>
        <v>0</v>
      </c>
      <c r="BJ384" s="19">
        <f>G384*H384</f>
        <v>0</v>
      </c>
      <c r="BK384" s="19"/>
      <c r="BL384" s="19">
        <v>781</v>
      </c>
      <c r="BW384" s="19" t="str">
        <f>I384</f>
        <v>12</v>
      </c>
      <c r="BX384" s="4" t="s">
        <v>250</v>
      </c>
    </row>
    <row r="385" spans="1:76" x14ac:dyDescent="0.25">
      <c r="A385" s="84" t="s">
        <v>25</v>
      </c>
      <c r="B385" s="15" t="s">
        <v>301</v>
      </c>
      <c r="C385" s="15" t="s">
        <v>251</v>
      </c>
      <c r="D385" s="115" t="s">
        <v>252</v>
      </c>
      <c r="E385" s="116"/>
      <c r="F385" s="85" t="s">
        <v>23</v>
      </c>
      <c r="G385" s="85" t="s">
        <v>23</v>
      </c>
      <c r="H385" s="85" t="s">
        <v>23</v>
      </c>
      <c r="I385" s="85" t="s">
        <v>23</v>
      </c>
      <c r="J385" s="60">
        <f>SUM(J386:J387)</f>
        <v>0</v>
      </c>
      <c r="K385" s="60">
        <f>SUM(K386:K387)</f>
        <v>0</v>
      </c>
      <c r="L385" s="60">
        <f>SUM(L386:L387)</f>
        <v>0</v>
      </c>
      <c r="M385" s="60">
        <f>SUM(M386:M387)</f>
        <v>0</v>
      </c>
      <c r="N385" s="16" t="s">
        <v>25</v>
      </c>
      <c r="O385" s="60">
        <f>SUM(O386:O387)</f>
        <v>1.2264000000000001E-2</v>
      </c>
      <c r="P385" s="86" t="s">
        <v>25</v>
      </c>
      <c r="AI385" s="16" t="s">
        <v>301</v>
      </c>
      <c r="AS385" s="60">
        <f>SUM(AJ386:AJ387)</f>
        <v>0</v>
      </c>
      <c r="AT385" s="60">
        <f>SUM(AK386:AK387)</f>
        <v>0</v>
      </c>
      <c r="AU385" s="60">
        <f>SUM(AL386:AL387)</f>
        <v>0</v>
      </c>
    </row>
    <row r="386" spans="1:76" ht="25.5" x14ac:dyDescent="0.25">
      <c r="A386" s="1" t="s">
        <v>788</v>
      </c>
      <c r="B386" s="2" t="s">
        <v>301</v>
      </c>
      <c r="C386" s="2" t="s">
        <v>253</v>
      </c>
      <c r="D386" s="108" t="s">
        <v>254</v>
      </c>
      <c r="E386" s="102"/>
      <c r="F386" s="2" t="s">
        <v>217</v>
      </c>
      <c r="G386" s="19">
        <f>'Rozpočet - vybrané sloupce'!J353</f>
        <v>8.4</v>
      </c>
      <c r="H386" s="19">
        <f>'Rozpočet - vybrané sloupce'!K353</f>
        <v>0</v>
      </c>
      <c r="I386" s="87" t="s">
        <v>427</v>
      </c>
      <c r="J386" s="19">
        <f>G386*AO386</f>
        <v>0</v>
      </c>
      <c r="K386" s="19">
        <f>G386*AP386</f>
        <v>0</v>
      </c>
      <c r="L386" s="19">
        <f>G386*H386</f>
        <v>0</v>
      </c>
      <c r="M386" s="19">
        <f>L386*(1+BW386/100)</f>
        <v>0</v>
      </c>
      <c r="N386" s="19">
        <v>1.4599999999999999E-3</v>
      </c>
      <c r="O386" s="19">
        <f>G386*N386</f>
        <v>1.2264000000000001E-2</v>
      </c>
      <c r="P386" s="88" t="s">
        <v>428</v>
      </c>
      <c r="Z386" s="19">
        <f>IF(AQ386="5",BJ386,0)</f>
        <v>0</v>
      </c>
      <c r="AB386" s="19">
        <f>IF(AQ386="1",BH386,0)</f>
        <v>0</v>
      </c>
      <c r="AC386" s="19">
        <f>IF(AQ386="1",BI386,0)</f>
        <v>0</v>
      </c>
      <c r="AD386" s="19">
        <f>IF(AQ386="7",BH386,0)</f>
        <v>0</v>
      </c>
      <c r="AE386" s="19">
        <f>IF(AQ386="7",BI386,0)</f>
        <v>0</v>
      </c>
      <c r="AF386" s="19">
        <f>IF(AQ386="2",BH386,0)</f>
        <v>0</v>
      </c>
      <c r="AG386" s="19">
        <f>IF(AQ386="2",BI386,0)</f>
        <v>0</v>
      </c>
      <c r="AH386" s="19">
        <f>IF(AQ386="0",BJ386,0)</f>
        <v>0</v>
      </c>
      <c r="AI386" s="16" t="s">
        <v>301</v>
      </c>
      <c r="AJ386" s="19">
        <f>IF(AN386=0,L386,0)</f>
        <v>0</v>
      </c>
      <c r="AK386" s="19">
        <f>IF(AN386=12,L386,0)</f>
        <v>0</v>
      </c>
      <c r="AL386" s="19">
        <f>IF(AN386=21,L386,0)</f>
        <v>0</v>
      </c>
      <c r="AN386" s="19">
        <v>12</v>
      </c>
      <c r="AO386" s="19">
        <f>H386*0</f>
        <v>0</v>
      </c>
      <c r="AP386" s="19">
        <f>H386*(1-0)</f>
        <v>0</v>
      </c>
      <c r="AQ386" s="87" t="s">
        <v>429</v>
      </c>
      <c r="AV386" s="19">
        <f>AW386+AX386</f>
        <v>0</v>
      </c>
      <c r="AW386" s="19">
        <f>G386*AO386</f>
        <v>0</v>
      </c>
      <c r="AX386" s="19">
        <f>G386*AP386</f>
        <v>0</v>
      </c>
      <c r="AY386" s="87" t="s">
        <v>732</v>
      </c>
      <c r="AZ386" s="87" t="s">
        <v>783</v>
      </c>
      <c r="BA386" s="16" t="s">
        <v>766</v>
      </c>
      <c r="BC386" s="19">
        <f>AW386+AX386</f>
        <v>0</v>
      </c>
      <c r="BD386" s="19">
        <f>H386/(100-BE386)*100</f>
        <v>0</v>
      </c>
      <c r="BE386" s="19">
        <v>0</v>
      </c>
      <c r="BF386" s="19">
        <f>O386</f>
        <v>1.2264000000000001E-2</v>
      </c>
      <c r="BH386" s="19">
        <f>G386*AO386</f>
        <v>0</v>
      </c>
      <c r="BI386" s="19">
        <f>G386*AP386</f>
        <v>0</v>
      </c>
      <c r="BJ386" s="19">
        <f>G386*H386</f>
        <v>0</v>
      </c>
      <c r="BK386" s="19"/>
      <c r="BL386" s="19">
        <v>783</v>
      </c>
      <c r="BW386" s="19" t="str">
        <f>I386</f>
        <v>12</v>
      </c>
      <c r="BX386" s="4" t="s">
        <v>254</v>
      </c>
    </row>
    <row r="387" spans="1:76" x14ac:dyDescent="0.25">
      <c r="A387" s="1" t="s">
        <v>789</v>
      </c>
      <c r="B387" s="2" t="s">
        <v>301</v>
      </c>
      <c r="C387" s="2" t="s">
        <v>255</v>
      </c>
      <c r="D387" s="108" t="s">
        <v>256</v>
      </c>
      <c r="E387" s="102"/>
      <c r="F387" s="2" t="s">
        <v>257</v>
      </c>
      <c r="G387" s="19">
        <f>'Rozpočet - vybrané sloupce'!J354</f>
        <v>17.7</v>
      </c>
      <c r="H387" s="19">
        <f>'Rozpočet - vybrané sloupce'!K354</f>
        <v>0</v>
      </c>
      <c r="I387" s="87" t="s">
        <v>427</v>
      </c>
      <c r="J387" s="19">
        <f>G387*AO387</f>
        <v>0</v>
      </c>
      <c r="K387" s="19">
        <f>G387*AP387</f>
        <v>0</v>
      </c>
      <c r="L387" s="19">
        <f>G387*H387</f>
        <v>0</v>
      </c>
      <c r="M387" s="19">
        <f>L387*(1+BW387/100)</f>
        <v>0</v>
      </c>
      <c r="N387" s="19">
        <v>0</v>
      </c>
      <c r="O387" s="19">
        <f>G387*N387</f>
        <v>0</v>
      </c>
      <c r="P387" s="88" t="s">
        <v>428</v>
      </c>
      <c r="Z387" s="19">
        <f>IF(AQ387="5",BJ387,0)</f>
        <v>0</v>
      </c>
      <c r="AB387" s="19">
        <f>IF(AQ387="1",BH387,0)</f>
        <v>0</v>
      </c>
      <c r="AC387" s="19">
        <f>IF(AQ387="1",BI387,0)</f>
        <v>0</v>
      </c>
      <c r="AD387" s="19">
        <f>IF(AQ387="7",BH387,0)</f>
        <v>0</v>
      </c>
      <c r="AE387" s="19">
        <f>IF(AQ387="7",BI387,0)</f>
        <v>0</v>
      </c>
      <c r="AF387" s="19">
        <f>IF(AQ387="2",BH387,0)</f>
        <v>0</v>
      </c>
      <c r="AG387" s="19">
        <f>IF(AQ387="2",BI387,0)</f>
        <v>0</v>
      </c>
      <c r="AH387" s="19">
        <f>IF(AQ387="0",BJ387,0)</f>
        <v>0</v>
      </c>
      <c r="AI387" s="16" t="s">
        <v>301</v>
      </c>
      <c r="AJ387" s="19">
        <f>IF(AN387=0,L387,0)</f>
        <v>0</v>
      </c>
      <c r="AK387" s="19">
        <f>IF(AN387=12,L387,0)</f>
        <v>0</v>
      </c>
      <c r="AL387" s="19">
        <f>IF(AN387=21,L387,0)</f>
        <v>0</v>
      </c>
      <c r="AN387" s="19">
        <v>12</v>
      </c>
      <c r="AO387" s="19">
        <f>H387*1</f>
        <v>0</v>
      </c>
      <c r="AP387" s="19">
        <f>H387*(1-1)</f>
        <v>0</v>
      </c>
      <c r="AQ387" s="87" t="s">
        <v>429</v>
      </c>
      <c r="AV387" s="19">
        <f>AW387+AX387</f>
        <v>0</v>
      </c>
      <c r="AW387" s="19">
        <f>G387*AO387</f>
        <v>0</v>
      </c>
      <c r="AX387" s="19">
        <f>G387*AP387</f>
        <v>0</v>
      </c>
      <c r="AY387" s="87" t="s">
        <v>732</v>
      </c>
      <c r="AZ387" s="87" t="s">
        <v>783</v>
      </c>
      <c r="BA387" s="16" t="s">
        <v>766</v>
      </c>
      <c r="BC387" s="19">
        <f>AW387+AX387</f>
        <v>0</v>
      </c>
      <c r="BD387" s="19">
        <f>H387/(100-BE387)*100</f>
        <v>0</v>
      </c>
      <c r="BE387" s="19">
        <v>0</v>
      </c>
      <c r="BF387" s="19">
        <f>O387</f>
        <v>0</v>
      </c>
      <c r="BH387" s="19">
        <f>G387*AO387</f>
        <v>0</v>
      </c>
      <c r="BI387" s="19">
        <f>G387*AP387</f>
        <v>0</v>
      </c>
      <c r="BJ387" s="19">
        <f>G387*H387</f>
        <v>0</v>
      </c>
      <c r="BK387" s="19"/>
      <c r="BL387" s="19">
        <v>783</v>
      </c>
      <c r="BW387" s="19" t="str">
        <f>I387</f>
        <v>12</v>
      </c>
      <c r="BX387" s="4" t="s">
        <v>256</v>
      </c>
    </row>
    <row r="388" spans="1:76" x14ac:dyDescent="0.25">
      <c r="A388" s="84" t="s">
        <v>25</v>
      </c>
      <c r="B388" s="15" t="s">
        <v>301</v>
      </c>
      <c r="C388" s="15" t="s">
        <v>258</v>
      </c>
      <c r="D388" s="115" t="s">
        <v>259</v>
      </c>
      <c r="E388" s="116"/>
      <c r="F388" s="85" t="s">
        <v>23</v>
      </c>
      <c r="G388" s="85" t="s">
        <v>23</v>
      </c>
      <c r="H388" s="85" t="s">
        <v>23</v>
      </c>
      <c r="I388" s="85" t="s">
        <v>23</v>
      </c>
      <c r="J388" s="60">
        <f>SUM(J389:J389)</f>
        <v>0</v>
      </c>
      <c r="K388" s="60">
        <f>SUM(K389:K389)</f>
        <v>0</v>
      </c>
      <c r="L388" s="60">
        <f>SUM(L389:L389)</f>
        <v>0</v>
      </c>
      <c r="M388" s="60">
        <f>SUM(M389:M389)</f>
        <v>0</v>
      </c>
      <c r="N388" s="16" t="s">
        <v>25</v>
      </c>
      <c r="O388" s="60">
        <f>SUM(O389:O389)</f>
        <v>2.8080000000000001E-2</v>
      </c>
      <c r="P388" s="86" t="s">
        <v>25</v>
      </c>
      <c r="AI388" s="16" t="s">
        <v>301</v>
      </c>
      <c r="AS388" s="60">
        <f>SUM(AJ389:AJ389)</f>
        <v>0</v>
      </c>
      <c r="AT388" s="60">
        <f>SUM(AK389:AK389)</f>
        <v>0</v>
      </c>
      <c r="AU388" s="60">
        <f>SUM(AL389:AL389)</f>
        <v>0</v>
      </c>
    </row>
    <row r="389" spans="1:76" x14ac:dyDescent="0.25">
      <c r="A389" s="1" t="s">
        <v>790</v>
      </c>
      <c r="B389" s="2" t="s">
        <v>301</v>
      </c>
      <c r="C389" s="2" t="s">
        <v>260</v>
      </c>
      <c r="D389" s="108" t="s">
        <v>261</v>
      </c>
      <c r="E389" s="102"/>
      <c r="F389" s="2" t="s">
        <v>217</v>
      </c>
      <c r="G389" s="19">
        <f>'Rozpočet - vybrané sloupce'!J356</f>
        <v>72</v>
      </c>
      <c r="H389" s="19">
        <f>'Rozpočet - vybrané sloupce'!K356</f>
        <v>0</v>
      </c>
      <c r="I389" s="87" t="s">
        <v>427</v>
      </c>
      <c r="J389" s="19">
        <f>G389*AO389</f>
        <v>0</v>
      </c>
      <c r="K389" s="19">
        <f>G389*AP389</f>
        <v>0</v>
      </c>
      <c r="L389" s="19">
        <f>G389*H389</f>
        <v>0</v>
      </c>
      <c r="M389" s="19">
        <f>L389*(1+BW389/100)</f>
        <v>0</v>
      </c>
      <c r="N389" s="19">
        <v>3.8999999999999999E-4</v>
      </c>
      <c r="O389" s="19">
        <f>G389*N389</f>
        <v>2.8080000000000001E-2</v>
      </c>
      <c r="P389" s="88" t="s">
        <v>428</v>
      </c>
      <c r="Z389" s="19">
        <f>IF(AQ389="5",BJ389,0)</f>
        <v>0</v>
      </c>
      <c r="AB389" s="19">
        <f>IF(AQ389="1",BH389,0)</f>
        <v>0</v>
      </c>
      <c r="AC389" s="19">
        <f>IF(AQ389="1",BI389,0)</f>
        <v>0</v>
      </c>
      <c r="AD389" s="19">
        <f>IF(AQ389="7",BH389,0)</f>
        <v>0</v>
      </c>
      <c r="AE389" s="19">
        <f>IF(AQ389="7",BI389,0)</f>
        <v>0</v>
      </c>
      <c r="AF389" s="19">
        <f>IF(AQ389="2",BH389,0)</f>
        <v>0</v>
      </c>
      <c r="AG389" s="19">
        <f>IF(AQ389="2",BI389,0)</f>
        <v>0</v>
      </c>
      <c r="AH389" s="19">
        <f>IF(AQ389="0",BJ389,0)</f>
        <v>0</v>
      </c>
      <c r="AI389" s="16" t="s">
        <v>301</v>
      </c>
      <c r="AJ389" s="19">
        <f>IF(AN389=0,L389,0)</f>
        <v>0</v>
      </c>
      <c r="AK389" s="19">
        <f>IF(AN389=12,L389,0)</f>
        <v>0</v>
      </c>
      <c r="AL389" s="19">
        <f>IF(AN389=21,L389,0)</f>
        <v>0</v>
      </c>
      <c r="AN389" s="19">
        <v>12</v>
      </c>
      <c r="AO389" s="19">
        <f>H389*0.201516349</f>
        <v>0</v>
      </c>
      <c r="AP389" s="19">
        <f>H389*(1-0.201516349)</f>
        <v>0</v>
      </c>
      <c r="AQ389" s="87" t="s">
        <v>429</v>
      </c>
      <c r="AV389" s="19">
        <f>AW389+AX389</f>
        <v>0</v>
      </c>
      <c r="AW389" s="19">
        <f>G389*AO389</f>
        <v>0</v>
      </c>
      <c r="AX389" s="19">
        <f>G389*AP389</f>
        <v>0</v>
      </c>
      <c r="AY389" s="87" t="s">
        <v>735</v>
      </c>
      <c r="AZ389" s="87" t="s">
        <v>783</v>
      </c>
      <c r="BA389" s="16" t="s">
        <v>766</v>
      </c>
      <c r="BC389" s="19">
        <f>AW389+AX389</f>
        <v>0</v>
      </c>
      <c r="BD389" s="19">
        <f>H389/(100-BE389)*100</f>
        <v>0</v>
      </c>
      <c r="BE389" s="19">
        <v>0</v>
      </c>
      <c r="BF389" s="19">
        <f>O389</f>
        <v>2.8080000000000001E-2</v>
      </c>
      <c r="BH389" s="19">
        <f>G389*AO389</f>
        <v>0</v>
      </c>
      <c r="BI389" s="19">
        <f>G389*AP389</f>
        <v>0</v>
      </c>
      <c r="BJ389" s="19">
        <f>G389*H389</f>
        <v>0</v>
      </c>
      <c r="BK389" s="19"/>
      <c r="BL389" s="19">
        <v>784</v>
      </c>
      <c r="BW389" s="19" t="str">
        <f>I389</f>
        <v>12</v>
      </c>
      <c r="BX389" s="4" t="s">
        <v>261</v>
      </c>
    </row>
    <row r="390" spans="1:76" x14ac:dyDescent="0.25">
      <c r="A390" s="84" t="s">
        <v>25</v>
      </c>
      <c r="B390" s="15" t="s">
        <v>301</v>
      </c>
      <c r="C390" s="15" t="s">
        <v>262</v>
      </c>
      <c r="D390" s="115" t="s">
        <v>263</v>
      </c>
      <c r="E390" s="116"/>
      <c r="F390" s="85" t="s">
        <v>23</v>
      </c>
      <c r="G390" s="85" t="s">
        <v>23</v>
      </c>
      <c r="H390" s="85" t="s">
        <v>23</v>
      </c>
      <c r="I390" s="85" t="s">
        <v>23</v>
      </c>
      <c r="J390" s="60">
        <f>SUM(J391:J391)</f>
        <v>0</v>
      </c>
      <c r="K390" s="60">
        <f>SUM(K391:K391)</f>
        <v>0</v>
      </c>
      <c r="L390" s="60">
        <f>SUM(L391:L391)</f>
        <v>0</v>
      </c>
      <c r="M390" s="60">
        <f>SUM(M391:M391)</f>
        <v>0</v>
      </c>
      <c r="N390" s="16" t="s">
        <v>25</v>
      </c>
      <c r="O390" s="60">
        <f>SUM(O391:O391)</f>
        <v>0</v>
      </c>
      <c r="P390" s="86" t="s">
        <v>25</v>
      </c>
      <c r="AI390" s="16" t="s">
        <v>301</v>
      </c>
      <c r="AS390" s="60">
        <f>SUM(AJ391:AJ391)</f>
        <v>0</v>
      </c>
      <c r="AT390" s="60">
        <f>SUM(AK391:AK391)</f>
        <v>0</v>
      </c>
      <c r="AU390" s="60">
        <f>SUM(AL391:AL391)</f>
        <v>0</v>
      </c>
    </row>
    <row r="391" spans="1:76" x14ac:dyDescent="0.25">
      <c r="A391" s="1" t="s">
        <v>791</v>
      </c>
      <c r="B391" s="2" t="s">
        <v>301</v>
      </c>
      <c r="C391" s="2" t="s">
        <v>264</v>
      </c>
      <c r="D391" s="108" t="s">
        <v>265</v>
      </c>
      <c r="E391" s="102"/>
      <c r="F391" s="2" t="s">
        <v>217</v>
      </c>
      <c r="G391" s="19">
        <f>'Rozpočet - vybrané sloupce'!J358</f>
        <v>990</v>
      </c>
      <c r="H391" s="19">
        <f>'Rozpočet - vybrané sloupce'!K358</f>
        <v>0</v>
      </c>
      <c r="I391" s="87" t="s">
        <v>427</v>
      </c>
      <c r="J391" s="19">
        <f>G391*AO391</f>
        <v>0</v>
      </c>
      <c r="K391" s="19">
        <f>G391*AP391</f>
        <v>0</v>
      </c>
      <c r="L391" s="19">
        <f>G391*H391</f>
        <v>0</v>
      </c>
      <c r="M391" s="19">
        <f>L391*(1+BW391/100)</f>
        <v>0</v>
      </c>
      <c r="N391" s="19">
        <v>0</v>
      </c>
      <c r="O391" s="19">
        <f>G391*N391</f>
        <v>0</v>
      </c>
      <c r="P391" s="88" t="s">
        <v>428</v>
      </c>
      <c r="Z391" s="19">
        <f>IF(AQ391="5",BJ391,0)</f>
        <v>0</v>
      </c>
      <c r="AB391" s="19">
        <f>IF(AQ391="1",BH391,0)</f>
        <v>0</v>
      </c>
      <c r="AC391" s="19">
        <f>IF(AQ391="1",BI391,0)</f>
        <v>0</v>
      </c>
      <c r="AD391" s="19">
        <f>IF(AQ391="7",BH391,0)</f>
        <v>0</v>
      </c>
      <c r="AE391" s="19">
        <f>IF(AQ391="7",BI391,0)</f>
        <v>0</v>
      </c>
      <c r="AF391" s="19">
        <f>IF(AQ391="2",BH391,0)</f>
        <v>0</v>
      </c>
      <c r="AG391" s="19">
        <f>IF(AQ391="2",BI391,0)</f>
        <v>0</v>
      </c>
      <c r="AH391" s="19">
        <f>IF(AQ391="0",BJ391,0)</f>
        <v>0</v>
      </c>
      <c r="AI391" s="16" t="s">
        <v>301</v>
      </c>
      <c r="AJ391" s="19">
        <f>IF(AN391=0,L391,0)</f>
        <v>0</v>
      </c>
      <c r="AK391" s="19">
        <f>IF(AN391=12,L391,0)</f>
        <v>0</v>
      </c>
      <c r="AL391" s="19">
        <f>IF(AN391=21,L391,0)</f>
        <v>0</v>
      </c>
      <c r="AN391" s="19">
        <v>12</v>
      </c>
      <c r="AO391" s="19">
        <f>H391*0</f>
        <v>0</v>
      </c>
      <c r="AP391" s="19">
        <f>H391*(1-0)</f>
        <v>0</v>
      </c>
      <c r="AQ391" s="87" t="s">
        <v>426</v>
      </c>
      <c r="AV391" s="19">
        <f>AW391+AX391</f>
        <v>0</v>
      </c>
      <c r="AW391" s="19">
        <f>G391*AO391</f>
        <v>0</v>
      </c>
      <c r="AX391" s="19">
        <f>G391*AP391</f>
        <v>0</v>
      </c>
      <c r="AY391" s="87" t="s">
        <v>737</v>
      </c>
      <c r="AZ391" s="87" t="s">
        <v>792</v>
      </c>
      <c r="BA391" s="16" t="s">
        <v>766</v>
      </c>
      <c r="BC391" s="19">
        <f>AW391+AX391</f>
        <v>0</v>
      </c>
      <c r="BD391" s="19">
        <f>H391/(100-BE391)*100</f>
        <v>0</v>
      </c>
      <c r="BE391" s="19">
        <v>0</v>
      </c>
      <c r="BF391" s="19">
        <f>O391</f>
        <v>0</v>
      </c>
      <c r="BH391" s="19">
        <f>G391*AO391</f>
        <v>0</v>
      </c>
      <c r="BI391" s="19">
        <f>G391*AP391</f>
        <v>0</v>
      </c>
      <c r="BJ391" s="19">
        <f>G391*H391</f>
        <v>0</v>
      </c>
      <c r="BK391" s="19"/>
      <c r="BL391" s="19">
        <v>95</v>
      </c>
      <c r="BW391" s="19" t="str">
        <f>I391</f>
        <v>12</v>
      </c>
      <c r="BX391" s="4" t="s">
        <v>265</v>
      </c>
    </row>
    <row r="392" spans="1:76" x14ac:dyDescent="0.25">
      <c r="A392" s="84" t="s">
        <v>25</v>
      </c>
      <c r="B392" s="15" t="s">
        <v>301</v>
      </c>
      <c r="C392" s="15" t="s">
        <v>266</v>
      </c>
      <c r="D392" s="115" t="s">
        <v>267</v>
      </c>
      <c r="E392" s="116"/>
      <c r="F392" s="85" t="s">
        <v>23</v>
      </c>
      <c r="G392" s="85" t="s">
        <v>23</v>
      </c>
      <c r="H392" s="85" t="s">
        <v>23</v>
      </c>
      <c r="I392" s="85" t="s">
        <v>23</v>
      </c>
      <c r="J392" s="60">
        <f>SUM(J393:J393)</f>
        <v>0</v>
      </c>
      <c r="K392" s="60">
        <f>SUM(K393:K393)</f>
        <v>0</v>
      </c>
      <c r="L392" s="60">
        <f>SUM(L393:L393)</f>
        <v>0</v>
      </c>
      <c r="M392" s="60">
        <f>SUM(M393:M393)</f>
        <v>0</v>
      </c>
      <c r="N392" s="16" t="s">
        <v>25</v>
      </c>
      <c r="O392" s="60">
        <f>SUM(O393:O393)</f>
        <v>6.0510540000000006</v>
      </c>
      <c r="P392" s="86" t="s">
        <v>25</v>
      </c>
      <c r="AI392" s="16" t="s">
        <v>301</v>
      </c>
      <c r="AS392" s="60">
        <f>SUM(AJ393:AJ393)</f>
        <v>0</v>
      </c>
      <c r="AT392" s="60">
        <f>SUM(AK393:AK393)</f>
        <v>0</v>
      </c>
      <c r="AU392" s="60">
        <f>SUM(AL393:AL393)</f>
        <v>0</v>
      </c>
    </row>
    <row r="393" spans="1:76" x14ac:dyDescent="0.25">
      <c r="A393" s="1" t="s">
        <v>793</v>
      </c>
      <c r="B393" s="2" t="s">
        <v>301</v>
      </c>
      <c r="C393" s="2" t="s">
        <v>268</v>
      </c>
      <c r="D393" s="108" t="s">
        <v>269</v>
      </c>
      <c r="E393" s="102"/>
      <c r="F393" s="2" t="s">
        <v>217</v>
      </c>
      <c r="G393" s="19">
        <f>'Rozpočet - vybrané sloupce'!J360</f>
        <v>56.2</v>
      </c>
      <c r="H393" s="19">
        <f>'Rozpočet - vybrané sloupce'!K360</f>
        <v>0</v>
      </c>
      <c r="I393" s="87" t="s">
        <v>427</v>
      </c>
      <c r="J393" s="19">
        <f>G393*AO393</f>
        <v>0</v>
      </c>
      <c r="K393" s="19">
        <f>G393*AP393</f>
        <v>0</v>
      </c>
      <c r="L393" s="19">
        <f>G393*H393</f>
        <v>0</v>
      </c>
      <c r="M393" s="19">
        <f>L393*(1+BW393/100)</f>
        <v>0</v>
      </c>
      <c r="N393" s="19">
        <v>0.10767</v>
      </c>
      <c r="O393" s="19">
        <f>G393*N393</f>
        <v>6.0510540000000006</v>
      </c>
      <c r="P393" s="88" t="s">
        <v>740</v>
      </c>
      <c r="Z393" s="19">
        <f>IF(AQ393="5",BJ393,0)</f>
        <v>0</v>
      </c>
      <c r="AB393" s="19">
        <f>IF(AQ393="1",BH393,0)</f>
        <v>0</v>
      </c>
      <c r="AC393" s="19">
        <f>IF(AQ393="1",BI393,0)</f>
        <v>0</v>
      </c>
      <c r="AD393" s="19">
        <f>IF(AQ393="7",BH393,0)</f>
        <v>0</v>
      </c>
      <c r="AE393" s="19">
        <f>IF(AQ393="7",BI393,0)</f>
        <v>0</v>
      </c>
      <c r="AF393" s="19">
        <f>IF(AQ393="2",BH393,0)</f>
        <v>0</v>
      </c>
      <c r="AG393" s="19">
        <f>IF(AQ393="2",BI393,0)</f>
        <v>0</v>
      </c>
      <c r="AH393" s="19">
        <f>IF(AQ393="0",BJ393,0)</f>
        <v>0</v>
      </c>
      <c r="AI393" s="16" t="s">
        <v>301</v>
      </c>
      <c r="AJ393" s="19">
        <f>IF(AN393=0,L393,0)</f>
        <v>0</v>
      </c>
      <c r="AK393" s="19">
        <f>IF(AN393=12,L393,0)</f>
        <v>0</v>
      </c>
      <c r="AL393" s="19">
        <f>IF(AN393=21,L393,0)</f>
        <v>0</v>
      </c>
      <c r="AN393" s="19">
        <v>12</v>
      </c>
      <c r="AO393" s="19">
        <f>H393*0.197071898</f>
        <v>0</v>
      </c>
      <c r="AP393" s="19">
        <f>H393*(1-0.197071898)</f>
        <v>0</v>
      </c>
      <c r="AQ393" s="87" t="s">
        <v>426</v>
      </c>
      <c r="AV393" s="19">
        <f>AW393+AX393</f>
        <v>0</v>
      </c>
      <c r="AW393" s="19">
        <f>G393*AO393</f>
        <v>0</v>
      </c>
      <c r="AX393" s="19">
        <f>G393*AP393</f>
        <v>0</v>
      </c>
      <c r="AY393" s="87" t="s">
        <v>741</v>
      </c>
      <c r="AZ393" s="87" t="s">
        <v>792</v>
      </c>
      <c r="BA393" s="16" t="s">
        <v>766</v>
      </c>
      <c r="BC393" s="19">
        <f>AW393+AX393</f>
        <v>0</v>
      </c>
      <c r="BD393" s="19">
        <f>H393/(100-BE393)*100</f>
        <v>0</v>
      </c>
      <c r="BE393" s="19">
        <v>0</v>
      </c>
      <c r="BF393" s="19">
        <f>O393</f>
        <v>6.0510540000000006</v>
      </c>
      <c r="BH393" s="19">
        <f>G393*AO393</f>
        <v>0</v>
      </c>
      <c r="BI393" s="19">
        <f>G393*AP393</f>
        <v>0</v>
      </c>
      <c r="BJ393" s="19">
        <f>G393*H393</f>
        <v>0</v>
      </c>
      <c r="BK393" s="19"/>
      <c r="BL393" s="19">
        <v>96</v>
      </c>
      <c r="BW393" s="19" t="str">
        <f>I393</f>
        <v>12</v>
      </c>
      <c r="BX393" s="4" t="s">
        <v>269</v>
      </c>
    </row>
    <row r="394" spans="1:76" x14ac:dyDescent="0.25">
      <c r="A394" s="84" t="s">
        <v>25</v>
      </c>
      <c r="B394" s="15" t="s">
        <v>301</v>
      </c>
      <c r="C394" s="15" t="s">
        <v>270</v>
      </c>
      <c r="D394" s="115" t="s">
        <v>271</v>
      </c>
      <c r="E394" s="116"/>
      <c r="F394" s="85" t="s">
        <v>23</v>
      </c>
      <c r="G394" s="85" t="s">
        <v>23</v>
      </c>
      <c r="H394" s="85" t="s">
        <v>23</v>
      </c>
      <c r="I394" s="85" t="s">
        <v>23</v>
      </c>
      <c r="J394" s="60">
        <f>SUM(J395:J399)</f>
        <v>0</v>
      </c>
      <c r="K394" s="60">
        <f>SUM(K395:K399)</f>
        <v>0</v>
      </c>
      <c r="L394" s="60">
        <f>SUM(L395:L399)</f>
        <v>0</v>
      </c>
      <c r="M394" s="60">
        <f>SUM(M395:M399)</f>
        <v>0</v>
      </c>
      <c r="N394" s="16" t="s">
        <v>25</v>
      </c>
      <c r="O394" s="60">
        <f>SUM(O395:O399)</f>
        <v>2.2359439999999999</v>
      </c>
      <c r="P394" s="86" t="s">
        <v>25</v>
      </c>
      <c r="AI394" s="16" t="s">
        <v>301</v>
      </c>
      <c r="AS394" s="60">
        <f>SUM(AJ395:AJ399)</f>
        <v>0</v>
      </c>
      <c r="AT394" s="60">
        <f>SUM(AK395:AK399)</f>
        <v>0</v>
      </c>
      <c r="AU394" s="60">
        <f>SUM(AL395:AL399)</f>
        <v>0</v>
      </c>
    </row>
    <row r="395" spans="1:76" x14ac:dyDescent="0.25">
      <c r="A395" s="1" t="s">
        <v>794</v>
      </c>
      <c r="B395" s="2" t="s">
        <v>301</v>
      </c>
      <c r="C395" s="2" t="s">
        <v>272</v>
      </c>
      <c r="D395" s="108" t="s">
        <v>273</v>
      </c>
      <c r="E395" s="102"/>
      <c r="F395" s="2" t="s">
        <v>62</v>
      </c>
      <c r="G395" s="19">
        <f>'Rozpočet - vybrané sloupce'!J362</f>
        <v>24</v>
      </c>
      <c r="H395" s="19">
        <f>'Rozpočet - vybrané sloupce'!K362</f>
        <v>0</v>
      </c>
      <c r="I395" s="87" t="s">
        <v>427</v>
      </c>
      <c r="J395" s="19">
        <f>G395*AO395</f>
        <v>0</v>
      </c>
      <c r="K395" s="19">
        <f>G395*AP395</f>
        <v>0</v>
      </c>
      <c r="L395" s="19">
        <f>G395*H395</f>
        <v>0</v>
      </c>
      <c r="M395" s="19">
        <f>L395*(1+BW395/100)</f>
        <v>0</v>
      </c>
      <c r="N395" s="19">
        <v>0.09</v>
      </c>
      <c r="O395" s="19">
        <f>G395*N395</f>
        <v>2.16</v>
      </c>
      <c r="P395" s="88" t="s">
        <v>428</v>
      </c>
      <c r="Z395" s="19">
        <f>IF(AQ395="5",BJ395,0)</f>
        <v>0</v>
      </c>
      <c r="AB395" s="19">
        <f>IF(AQ395="1",BH395,0)</f>
        <v>0</v>
      </c>
      <c r="AC395" s="19">
        <f>IF(AQ395="1",BI395,0)</f>
        <v>0</v>
      </c>
      <c r="AD395" s="19">
        <f>IF(AQ395="7",BH395,0)</f>
        <v>0</v>
      </c>
      <c r="AE395" s="19">
        <f>IF(AQ395="7",BI395,0)</f>
        <v>0</v>
      </c>
      <c r="AF395" s="19">
        <f>IF(AQ395="2",BH395,0)</f>
        <v>0</v>
      </c>
      <c r="AG395" s="19">
        <f>IF(AQ395="2",BI395,0)</f>
        <v>0</v>
      </c>
      <c r="AH395" s="19">
        <f>IF(AQ395="0",BJ395,0)</f>
        <v>0</v>
      </c>
      <c r="AI395" s="16" t="s">
        <v>301</v>
      </c>
      <c r="AJ395" s="19">
        <f>IF(AN395=0,L395,0)</f>
        <v>0</v>
      </c>
      <c r="AK395" s="19">
        <f>IF(AN395=12,L395,0)</f>
        <v>0</v>
      </c>
      <c r="AL395" s="19">
        <f>IF(AN395=21,L395,0)</f>
        <v>0</v>
      </c>
      <c r="AN395" s="19">
        <v>12</v>
      </c>
      <c r="AO395" s="19">
        <f>H395*0</f>
        <v>0</v>
      </c>
      <c r="AP395" s="19">
        <f>H395*(1-0)</f>
        <v>0</v>
      </c>
      <c r="AQ395" s="87" t="s">
        <v>426</v>
      </c>
      <c r="AV395" s="19">
        <f>AW395+AX395</f>
        <v>0</v>
      </c>
      <c r="AW395" s="19">
        <f>G395*AO395</f>
        <v>0</v>
      </c>
      <c r="AX395" s="19">
        <f>G395*AP395</f>
        <v>0</v>
      </c>
      <c r="AY395" s="87" t="s">
        <v>743</v>
      </c>
      <c r="AZ395" s="87" t="s">
        <v>792</v>
      </c>
      <c r="BA395" s="16" t="s">
        <v>766</v>
      </c>
      <c r="BC395" s="19">
        <f>AW395+AX395</f>
        <v>0</v>
      </c>
      <c r="BD395" s="19">
        <f>H395/(100-BE395)*100</f>
        <v>0</v>
      </c>
      <c r="BE395" s="19">
        <v>0</v>
      </c>
      <c r="BF395" s="19">
        <f>O395</f>
        <v>2.16</v>
      </c>
      <c r="BH395" s="19">
        <f>G395*AO395</f>
        <v>0</v>
      </c>
      <c r="BI395" s="19">
        <f>G395*AP395</f>
        <v>0</v>
      </c>
      <c r="BJ395" s="19">
        <f>G395*H395</f>
        <v>0</v>
      </c>
      <c r="BK395" s="19"/>
      <c r="BL395" s="19">
        <v>97</v>
      </c>
      <c r="BW395" s="19" t="str">
        <f>I395</f>
        <v>12</v>
      </c>
      <c r="BX395" s="4" t="s">
        <v>273</v>
      </c>
    </row>
    <row r="396" spans="1:76" x14ac:dyDescent="0.25">
      <c r="A396" s="1" t="s">
        <v>795</v>
      </c>
      <c r="B396" s="2" t="s">
        <v>301</v>
      </c>
      <c r="C396" s="2" t="s">
        <v>274</v>
      </c>
      <c r="D396" s="108" t="s">
        <v>275</v>
      </c>
      <c r="E396" s="102"/>
      <c r="F396" s="2" t="s">
        <v>31</v>
      </c>
      <c r="G396" s="19">
        <f>'Rozpočet - vybrané sloupce'!J363</f>
        <v>2.2000000000000002</v>
      </c>
      <c r="H396" s="19">
        <f>'Rozpočet - vybrané sloupce'!K363</f>
        <v>0</v>
      </c>
      <c r="I396" s="87" t="s">
        <v>427</v>
      </c>
      <c r="J396" s="19">
        <f>G396*AO396</f>
        <v>0</v>
      </c>
      <c r="K396" s="19">
        <f>G396*AP396</f>
        <v>0</v>
      </c>
      <c r="L396" s="19">
        <f>G396*H396</f>
        <v>0</v>
      </c>
      <c r="M396" s="19">
        <f>L396*(1+BW396/100)</f>
        <v>0</v>
      </c>
      <c r="N396" s="19">
        <v>3.3169999999999998E-2</v>
      </c>
      <c r="O396" s="19">
        <f>G396*N396</f>
        <v>7.2973999999999997E-2</v>
      </c>
      <c r="P396" s="88" t="s">
        <v>428</v>
      </c>
      <c r="Z396" s="19">
        <f>IF(AQ396="5",BJ396,0)</f>
        <v>0</v>
      </c>
      <c r="AB396" s="19">
        <f>IF(AQ396="1",BH396,0)</f>
        <v>0</v>
      </c>
      <c r="AC396" s="19">
        <f>IF(AQ396="1",BI396,0)</f>
        <v>0</v>
      </c>
      <c r="AD396" s="19">
        <f>IF(AQ396="7",BH396,0)</f>
        <v>0</v>
      </c>
      <c r="AE396" s="19">
        <f>IF(AQ396="7",BI396,0)</f>
        <v>0</v>
      </c>
      <c r="AF396" s="19">
        <f>IF(AQ396="2",BH396,0)</f>
        <v>0</v>
      </c>
      <c r="AG396" s="19">
        <f>IF(AQ396="2",BI396,0)</f>
        <v>0</v>
      </c>
      <c r="AH396" s="19">
        <f>IF(AQ396="0",BJ396,0)</f>
        <v>0</v>
      </c>
      <c r="AI396" s="16" t="s">
        <v>301</v>
      </c>
      <c r="AJ396" s="19">
        <f>IF(AN396=0,L396,0)</f>
        <v>0</v>
      </c>
      <c r="AK396" s="19">
        <f>IF(AN396=12,L396,0)</f>
        <v>0</v>
      </c>
      <c r="AL396" s="19">
        <f>IF(AN396=21,L396,0)</f>
        <v>0</v>
      </c>
      <c r="AN396" s="19">
        <v>12</v>
      </c>
      <c r="AO396" s="19">
        <f>H396*0.310697219</f>
        <v>0</v>
      </c>
      <c r="AP396" s="19">
        <f>H396*(1-0.310697219)</f>
        <v>0</v>
      </c>
      <c r="AQ396" s="87" t="s">
        <v>426</v>
      </c>
      <c r="AV396" s="19">
        <f>AW396+AX396</f>
        <v>0</v>
      </c>
      <c r="AW396" s="19">
        <f>G396*AO396</f>
        <v>0</v>
      </c>
      <c r="AX396" s="19">
        <f>G396*AP396</f>
        <v>0</v>
      </c>
      <c r="AY396" s="87" t="s">
        <v>743</v>
      </c>
      <c r="AZ396" s="87" t="s">
        <v>792</v>
      </c>
      <c r="BA396" s="16" t="s">
        <v>766</v>
      </c>
      <c r="BC396" s="19">
        <f>AW396+AX396</f>
        <v>0</v>
      </c>
      <c r="BD396" s="19">
        <f>H396/(100-BE396)*100</f>
        <v>0</v>
      </c>
      <c r="BE396" s="19">
        <v>0</v>
      </c>
      <c r="BF396" s="19">
        <f>O396</f>
        <v>7.2973999999999997E-2</v>
      </c>
      <c r="BH396" s="19">
        <f>G396*AO396</f>
        <v>0</v>
      </c>
      <c r="BI396" s="19">
        <f>G396*AP396</f>
        <v>0</v>
      </c>
      <c r="BJ396" s="19">
        <f>G396*H396</f>
        <v>0</v>
      </c>
      <c r="BK396" s="19"/>
      <c r="BL396" s="19">
        <v>97</v>
      </c>
      <c r="BW396" s="19" t="str">
        <f>I396</f>
        <v>12</v>
      </c>
      <c r="BX396" s="4" t="s">
        <v>275</v>
      </c>
    </row>
    <row r="397" spans="1:76" x14ac:dyDescent="0.25">
      <c r="A397" s="1" t="s">
        <v>796</v>
      </c>
      <c r="B397" s="2" t="s">
        <v>301</v>
      </c>
      <c r="C397" s="2" t="s">
        <v>276</v>
      </c>
      <c r="D397" s="108" t="s">
        <v>277</v>
      </c>
      <c r="E397" s="102"/>
      <c r="F397" s="2" t="s">
        <v>31</v>
      </c>
      <c r="G397" s="19">
        <f>'Rozpočet - vybrané sloupce'!J364</f>
        <v>2.2000000000000002</v>
      </c>
      <c r="H397" s="19">
        <f>'Rozpočet - vybrané sloupce'!K364</f>
        <v>0</v>
      </c>
      <c r="I397" s="87" t="s">
        <v>427</v>
      </c>
      <c r="J397" s="19">
        <f>G397*AO397</f>
        <v>0</v>
      </c>
      <c r="K397" s="19">
        <f>G397*AP397</f>
        <v>0</v>
      </c>
      <c r="L397" s="19">
        <f>G397*H397</f>
        <v>0</v>
      </c>
      <c r="M397" s="19">
        <f>L397*(1+BW397/100)</f>
        <v>0</v>
      </c>
      <c r="N397" s="19">
        <v>1.0000000000000001E-5</v>
      </c>
      <c r="O397" s="19">
        <f>G397*N397</f>
        <v>2.2000000000000003E-5</v>
      </c>
      <c r="P397" s="88" t="s">
        <v>428</v>
      </c>
      <c r="Z397" s="19">
        <f>IF(AQ397="5",BJ397,0)</f>
        <v>0</v>
      </c>
      <c r="AB397" s="19">
        <f>IF(AQ397="1",BH397,0)</f>
        <v>0</v>
      </c>
      <c r="AC397" s="19">
        <f>IF(AQ397="1",BI397,0)</f>
        <v>0</v>
      </c>
      <c r="AD397" s="19">
        <f>IF(AQ397="7",BH397,0)</f>
        <v>0</v>
      </c>
      <c r="AE397" s="19">
        <f>IF(AQ397="7",BI397,0)</f>
        <v>0</v>
      </c>
      <c r="AF397" s="19">
        <f>IF(AQ397="2",BH397,0)</f>
        <v>0</v>
      </c>
      <c r="AG397" s="19">
        <f>IF(AQ397="2",BI397,0)</f>
        <v>0</v>
      </c>
      <c r="AH397" s="19">
        <f>IF(AQ397="0",BJ397,0)</f>
        <v>0</v>
      </c>
      <c r="AI397" s="16" t="s">
        <v>301</v>
      </c>
      <c r="AJ397" s="19">
        <f>IF(AN397=0,L397,0)</f>
        <v>0</v>
      </c>
      <c r="AK397" s="19">
        <f>IF(AN397=12,L397,0)</f>
        <v>0</v>
      </c>
      <c r="AL397" s="19">
        <f>IF(AN397=21,L397,0)</f>
        <v>0</v>
      </c>
      <c r="AN397" s="19">
        <v>12</v>
      </c>
      <c r="AO397" s="19">
        <f>H397*0.1705625</f>
        <v>0</v>
      </c>
      <c r="AP397" s="19">
        <f>H397*(1-0.1705625)</f>
        <v>0</v>
      </c>
      <c r="AQ397" s="87" t="s">
        <v>426</v>
      </c>
      <c r="AV397" s="19">
        <f>AW397+AX397</f>
        <v>0</v>
      </c>
      <c r="AW397" s="19">
        <f>G397*AO397</f>
        <v>0</v>
      </c>
      <c r="AX397" s="19">
        <f>G397*AP397</f>
        <v>0</v>
      </c>
      <c r="AY397" s="87" t="s">
        <v>743</v>
      </c>
      <c r="AZ397" s="87" t="s">
        <v>792</v>
      </c>
      <c r="BA397" s="16" t="s">
        <v>766</v>
      </c>
      <c r="BC397" s="19">
        <f>AW397+AX397</f>
        <v>0</v>
      </c>
      <c r="BD397" s="19">
        <f>H397/(100-BE397)*100</f>
        <v>0</v>
      </c>
      <c r="BE397" s="19">
        <v>0</v>
      </c>
      <c r="BF397" s="19">
        <f>O397</f>
        <v>2.2000000000000003E-5</v>
      </c>
      <c r="BH397" s="19">
        <f>G397*AO397</f>
        <v>0</v>
      </c>
      <c r="BI397" s="19">
        <f>G397*AP397</f>
        <v>0</v>
      </c>
      <c r="BJ397" s="19">
        <f>G397*H397</f>
        <v>0</v>
      </c>
      <c r="BK397" s="19"/>
      <c r="BL397" s="19">
        <v>97</v>
      </c>
      <c r="BW397" s="19" t="str">
        <f>I397</f>
        <v>12</v>
      </c>
      <c r="BX397" s="4" t="s">
        <v>277</v>
      </c>
    </row>
    <row r="398" spans="1:76" x14ac:dyDescent="0.25">
      <c r="A398" s="1" t="s">
        <v>797</v>
      </c>
      <c r="B398" s="2" t="s">
        <v>301</v>
      </c>
      <c r="C398" s="2" t="s">
        <v>278</v>
      </c>
      <c r="D398" s="108" t="s">
        <v>279</v>
      </c>
      <c r="E398" s="102"/>
      <c r="F398" s="2" t="s">
        <v>31</v>
      </c>
      <c r="G398" s="19">
        <f>'Rozpočet - vybrané sloupce'!J365</f>
        <v>2.2000000000000002</v>
      </c>
      <c r="H398" s="19">
        <f>'Rozpočet - vybrané sloupce'!K365</f>
        <v>0</v>
      </c>
      <c r="I398" s="87" t="s">
        <v>427</v>
      </c>
      <c r="J398" s="19">
        <f>G398*AO398</f>
        <v>0</v>
      </c>
      <c r="K398" s="19">
        <f>G398*AP398</f>
        <v>0</v>
      </c>
      <c r="L398" s="19">
        <f>G398*H398</f>
        <v>0</v>
      </c>
      <c r="M398" s="19">
        <f>L398*(1+BW398/100)</f>
        <v>0</v>
      </c>
      <c r="N398" s="19">
        <v>0</v>
      </c>
      <c r="O398" s="19">
        <f>G398*N398</f>
        <v>0</v>
      </c>
      <c r="P398" s="88" t="s">
        <v>428</v>
      </c>
      <c r="Z398" s="19">
        <f>IF(AQ398="5",BJ398,0)</f>
        <v>0</v>
      </c>
      <c r="AB398" s="19">
        <f>IF(AQ398="1",BH398,0)</f>
        <v>0</v>
      </c>
      <c r="AC398" s="19">
        <f>IF(AQ398="1",BI398,0)</f>
        <v>0</v>
      </c>
      <c r="AD398" s="19">
        <f>IF(AQ398="7",BH398,0)</f>
        <v>0</v>
      </c>
      <c r="AE398" s="19">
        <f>IF(AQ398="7",BI398,0)</f>
        <v>0</v>
      </c>
      <c r="AF398" s="19">
        <f>IF(AQ398="2",BH398,0)</f>
        <v>0</v>
      </c>
      <c r="AG398" s="19">
        <f>IF(AQ398="2",BI398,0)</f>
        <v>0</v>
      </c>
      <c r="AH398" s="19">
        <f>IF(AQ398="0",BJ398,0)</f>
        <v>0</v>
      </c>
      <c r="AI398" s="16" t="s">
        <v>301</v>
      </c>
      <c r="AJ398" s="19">
        <f>IF(AN398=0,L398,0)</f>
        <v>0</v>
      </c>
      <c r="AK398" s="19">
        <f>IF(AN398=12,L398,0)</f>
        <v>0</v>
      </c>
      <c r="AL398" s="19">
        <f>IF(AN398=21,L398,0)</f>
        <v>0</v>
      </c>
      <c r="AN398" s="19">
        <v>12</v>
      </c>
      <c r="AO398" s="19">
        <f>H398*0</f>
        <v>0</v>
      </c>
      <c r="AP398" s="19">
        <f>H398*(1-0)</f>
        <v>0</v>
      </c>
      <c r="AQ398" s="87" t="s">
        <v>426</v>
      </c>
      <c r="AV398" s="19">
        <f>AW398+AX398</f>
        <v>0</v>
      </c>
      <c r="AW398" s="19">
        <f>G398*AO398</f>
        <v>0</v>
      </c>
      <c r="AX398" s="19">
        <f>G398*AP398</f>
        <v>0</v>
      </c>
      <c r="AY398" s="87" t="s">
        <v>743</v>
      </c>
      <c r="AZ398" s="87" t="s">
        <v>792</v>
      </c>
      <c r="BA398" s="16" t="s">
        <v>766</v>
      </c>
      <c r="BC398" s="19">
        <f>AW398+AX398</f>
        <v>0</v>
      </c>
      <c r="BD398" s="19">
        <f>H398/(100-BE398)*100</f>
        <v>0</v>
      </c>
      <c r="BE398" s="19">
        <v>0</v>
      </c>
      <c r="BF398" s="19">
        <f>O398</f>
        <v>0</v>
      </c>
      <c r="BH398" s="19">
        <f>G398*AO398</f>
        <v>0</v>
      </c>
      <c r="BI398" s="19">
        <f>G398*AP398</f>
        <v>0</v>
      </c>
      <c r="BJ398" s="19">
        <f>G398*H398</f>
        <v>0</v>
      </c>
      <c r="BK398" s="19"/>
      <c r="BL398" s="19">
        <v>97</v>
      </c>
      <c r="BW398" s="19" t="str">
        <f>I398</f>
        <v>12</v>
      </c>
      <c r="BX398" s="4" t="s">
        <v>279</v>
      </c>
    </row>
    <row r="399" spans="1:76" x14ac:dyDescent="0.25">
      <c r="A399" s="1" t="s">
        <v>798</v>
      </c>
      <c r="B399" s="2" t="s">
        <v>301</v>
      </c>
      <c r="C399" s="2" t="s">
        <v>280</v>
      </c>
      <c r="D399" s="108" t="s">
        <v>281</v>
      </c>
      <c r="E399" s="102"/>
      <c r="F399" s="2" t="s">
        <v>31</v>
      </c>
      <c r="G399" s="19">
        <f>'Rozpočet - vybrané sloupce'!J366</f>
        <v>2.2000000000000002</v>
      </c>
      <c r="H399" s="19">
        <f>'Rozpočet - vybrané sloupce'!K366</f>
        <v>0</v>
      </c>
      <c r="I399" s="87" t="s">
        <v>427</v>
      </c>
      <c r="J399" s="19">
        <f>G399*AO399</f>
        <v>0</v>
      </c>
      <c r="K399" s="19">
        <f>G399*AP399</f>
        <v>0</v>
      </c>
      <c r="L399" s="19">
        <f>G399*H399</f>
        <v>0</v>
      </c>
      <c r="M399" s="19">
        <f>L399*(1+BW399/100)</f>
        <v>0</v>
      </c>
      <c r="N399" s="19">
        <v>1.34E-3</v>
      </c>
      <c r="O399" s="19">
        <f>G399*N399</f>
        <v>2.9480000000000005E-3</v>
      </c>
      <c r="P399" s="88" t="s">
        <v>428</v>
      </c>
      <c r="Z399" s="19">
        <f>IF(AQ399="5",BJ399,0)</f>
        <v>0</v>
      </c>
      <c r="AB399" s="19">
        <f>IF(AQ399="1",BH399,0)</f>
        <v>0</v>
      </c>
      <c r="AC399" s="19">
        <f>IF(AQ399="1",BI399,0)</f>
        <v>0</v>
      </c>
      <c r="AD399" s="19">
        <f>IF(AQ399="7",BH399,0)</f>
        <v>0</v>
      </c>
      <c r="AE399" s="19">
        <f>IF(AQ399="7",BI399,0)</f>
        <v>0</v>
      </c>
      <c r="AF399" s="19">
        <f>IF(AQ399="2",BH399,0)</f>
        <v>0</v>
      </c>
      <c r="AG399" s="19">
        <f>IF(AQ399="2",BI399,0)</f>
        <v>0</v>
      </c>
      <c r="AH399" s="19">
        <f>IF(AQ399="0",BJ399,0)</f>
        <v>0</v>
      </c>
      <c r="AI399" s="16" t="s">
        <v>301</v>
      </c>
      <c r="AJ399" s="19">
        <f>IF(AN399=0,L399,0)</f>
        <v>0</v>
      </c>
      <c r="AK399" s="19">
        <f>IF(AN399=12,L399,0)</f>
        <v>0</v>
      </c>
      <c r="AL399" s="19">
        <f>IF(AN399=21,L399,0)</f>
        <v>0</v>
      </c>
      <c r="AN399" s="19">
        <v>12</v>
      </c>
      <c r="AO399" s="19">
        <f>H399*0.075938824</f>
        <v>0</v>
      </c>
      <c r="AP399" s="19">
        <f>H399*(1-0.075938824)</f>
        <v>0</v>
      </c>
      <c r="AQ399" s="87" t="s">
        <v>426</v>
      </c>
      <c r="AV399" s="19">
        <f>AW399+AX399</f>
        <v>0</v>
      </c>
      <c r="AW399" s="19">
        <f>G399*AO399</f>
        <v>0</v>
      </c>
      <c r="AX399" s="19">
        <f>G399*AP399</f>
        <v>0</v>
      </c>
      <c r="AY399" s="87" t="s">
        <v>743</v>
      </c>
      <c r="AZ399" s="87" t="s">
        <v>792</v>
      </c>
      <c r="BA399" s="16" t="s">
        <v>766</v>
      </c>
      <c r="BC399" s="19">
        <f>AW399+AX399</f>
        <v>0</v>
      </c>
      <c r="BD399" s="19">
        <f>H399/(100-BE399)*100</f>
        <v>0</v>
      </c>
      <c r="BE399" s="19">
        <v>0</v>
      </c>
      <c r="BF399" s="19">
        <f>O399</f>
        <v>2.9480000000000005E-3</v>
      </c>
      <c r="BH399" s="19">
        <f>G399*AO399</f>
        <v>0</v>
      </c>
      <c r="BI399" s="19">
        <f>G399*AP399</f>
        <v>0</v>
      </c>
      <c r="BJ399" s="19">
        <f>G399*H399</f>
        <v>0</v>
      </c>
      <c r="BK399" s="19"/>
      <c r="BL399" s="19">
        <v>97</v>
      </c>
      <c r="BW399" s="19" t="str">
        <f>I399</f>
        <v>12</v>
      </c>
      <c r="BX399" s="4" t="s">
        <v>281</v>
      </c>
    </row>
    <row r="400" spans="1:76" x14ac:dyDescent="0.25">
      <c r="A400" s="84" t="s">
        <v>25</v>
      </c>
      <c r="B400" s="15" t="s">
        <v>301</v>
      </c>
      <c r="C400" s="15" t="s">
        <v>282</v>
      </c>
      <c r="D400" s="115" t="s">
        <v>283</v>
      </c>
      <c r="E400" s="116"/>
      <c r="F400" s="85" t="s">
        <v>23</v>
      </c>
      <c r="G400" s="85" t="s">
        <v>23</v>
      </c>
      <c r="H400" s="85" t="s">
        <v>23</v>
      </c>
      <c r="I400" s="85" t="s">
        <v>23</v>
      </c>
      <c r="J400" s="60">
        <f>SUM(J401:J408)</f>
        <v>0</v>
      </c>
      <c r="K400" s="60">
        <f>SUM(K401:K408)</f>
        <v>0</v>
      </c>
      <c r="L400" s="60">
        <f>SUM(L401:L408)</f>
        <v>0</v>
      </c>
      <c r="M400" s="60">
        <f>SUM(M401:M408)</f>
        <v>0</v>
      </c>
      <c r="N400" s="16" t="s">
        <v>25</v>
      </c>
      <c r="O400" s="60">
        <f>SUM(O401:O408)</f>
        <v>0</v>
      </c>
      <c r="P400" s="86" t="s">
        <v>25</v>
      </c>
      <c r="AI400" s="16" t="s">
        <v>301</v>
      </c>
      <c r="AS400" s="60">
        <f>SUM(AJ401:AJ408)</f>
        <v>0</v>
      </c>
      <c r="AT400" s="60">
        <f>SUM(AK401:AK408)</f>
        <v>0</v>
      </c>
      <c r="AU400" s="60">
        <f>SUM(AL401:AL408)</f>
        <v>0</v>
      </c>
    </row>
    <row r="401" spans="1:76" x14ac:dyDescent="0.25">
      <c r="A401" s="1" t="s">
        <v>799</v>
      </c>
      <c r="B401" s="2" t="s">
        <v>301</v>
      </c>
      <c r="C401" s="2" t="s">
        <v>284</v>
      </c>
      <c r="D401" s="108" t="s">
        <v>285</v>
      </c>
      <c r="E401" s="102"/>
      <c r="F401" s="2" t="s">
        <v>286</v>
      </c>
      <c r="G401" s="19">
        <f>'Rozpočet - vybrané sloupce'!J368</f>
        <v>45</v>
      </c>
      <c r="H401" s="19">
        <f>'Rozpočet - vybrané sloupce'!K368</f>
        <v>0</v>
      </c>
      <c r="I401" s="87" t="s">
        <v>427</v>
      </c>
      <c r="J401" s="19">
        <f t="shared" ref="J401:J408" si="338">G401*AO401</f>
        <v>0</v>
      </c>
      <c r="K401" s="19">
        <f t="shared" ref="K401:K408" si="339">G401*AP401</f>
        <v>0</v>
      </c>
      <c r="L401" s="19">
        <f t="shared" ref="L401:L408" si="340">G401*H401</f>
        <v>0</v>
      </c>
      <c r="M401" s="19">
        <f t="shared" ref="M401:M408" si="341">L401*(1+BW401/100)</f>
        <v>0</v>
      </c>
      <c r="N401" s="19">
        <v>0</v>
      </c>
      <c r="O401" s="19">
        <f t="shared" ref="O401:O408" si="342">G401*N401</f>
        <v>0</v>
      </c>
      <c r="P401" s="88" t="s">
        <v>428</v>
      </c>
      <c r="Z401" s="19">
        <f t="shared" ref="Z401:Z408" si="343">IF(AQ401="5",BJ401,0)</f>
        <v>0</v>
      </c>
      <c r="AB401" s="19">
        <f t="shared" ref="AB401:AB408" si="344">IF(AQ401="1",BH401,0)</f>
        <v>0</v>
      </c>
      <c r="AC401" s="19">
        <f t="shared" ref="AC401:AC408" si="345">IF(AQ401="1",BI401,0)</f>
        <v>0</v>
      </c>
      <c r="AD401" s="19">
        <f t="shared" ref="AD401:AD408" si="346">IF(AQ401="7",BH401,0)</f>
        <v>0</v>
      </c>
      <c r="AE401" s="19">
        <f t="shared" ref="AE401:AE408" si="347">IF(AQ401="7",BI401,0)</f>
        <v>0</v>
      </c>
      <c r="AF401" s="19">
        <f t="shared" ref="AF401:AF408" si="348">IF(AQ401="2",BH401,0)</f>
        <v>0</v>
      </c>
      <c r="AG401" s="19">
        <f t="shared" ref="AG401:AG408" si="349">IF(AQ401="2",BI401,0)</f>
        <v>0</v>
      </c>
      <c r="AH401" s="19">
        <f t="shared" ref="AH401:AH408" si="350">IF(AQ401="0",BJ401,0)</f>
        <v>0</v>
      </c>
      <c r="AI401" s="16" t="s">
        <v>301</v>
      </c>
      <c r="AJ401" s="19">
        <f t="shared" ref="AJ401:AJ408" si="351">IF(AN401=0,L401,0)</f>
        <v>0</v>
      </c>
      <c r="AK401" s="19">
        <f t="shared" ref="AK401:AK408" si="352">IF(AN401=12,L401,0)</f>
        <v>0</v>
      </c>
      <c r="AL401" s="19">
        <f t="shared" ref="AL401:AL408" si="353">IF(AN401=21,L401,0)</f>
        <v>0</v>
      </c>
      <c r="AN401" s="19">
        <v>12</v>
      </c>
      <c r="AO401" s="19">
        <f t="shared" ref="AO401:AO408" si="354">H401*0</f>
        <v>0</v>
      </c>
      <c r="AP401" s="19">
        <f t="shared" ref="AP401:AP408" si="355">H401*(1-0)</f>
        <v>0</v>
      </c>
      <c r="AQ401" s="87" t="s">
        <v>426</v>
      </c>
      <c r="AV401" s="19">
        <f t="shared" ref="AV401:AV408" si="356">AW401+AX401</f>
        <v>0</v>
      </c>
      <c r="AW401" s="19">
        <f t="shared" ref="AW401:AW408" si="357">G401*AO401</f>
        <v>0</v>
      </c>
      <c r="AX401" s="19">
        <f t="shared" ref="AX401:AX408" si="358">G401*AP401</f>
        <v>0</v>
      </c>
      <c r="AY401" s="87" t="s">
        <v>753</v>
      </c>
      <c r="AZ401" s="87" t="s">
        <v>792</v>
      </c>
      <c r="BA401" s="16" t="s">
        <v>766</v>
      </c>
      <c r="BC401" s="19">
        <f t="shared" ref="BC401:BC408" si="359">AW401+AX401</f>
        <v>0</v>
      </c>
      <c r="BD401" s="19">
        <f t="shared" ref="BD401:BD408" si="360">H401/(100-BE401)*100</f>
        <v>0</v>
      </c>
      <c r="BE401" s="19">
        <v>0</v>
      </c>
      <c r="BF401" s="19">
        <f t="shared" ref="BF401:BF408" si="361">O401</f>
        <v>0</v>
      </c>
      <c r="BH401" s="19">
        <f t="shared" ref="BH401:BH408" si="362">G401*AO401</f>
        <v>0</v>
      </c>
      <c r="BI401" s="19">
        <f t="shared" ref="BI401:BI408" si="363">G401*AP401</f>
        <v>0</v>
      </c>
      <c r="BJ401" s="19">
        <f t="shared" ref="BJ401:BJ408" si="364">G401*H401</f>
        <v>0</v>
      </c>
      <c r="BK401" s="19"/>
      <c r="BL401" s="19"/>
      <c r="BW401" s="19" t="str">
        <f t="shared" ref="BW401:BW408" si="365">I401</f>
        <v>12</v>
      </c>
      <c r="BX401" s="4" t="s">
        <v>285</v>
      </c>
    </row>
    <row r="402" spans="1:76" x14ac:dyDescent="0.25">
      <c r="A402" s="1" t="s">
        <v>800</v>
      </c>
      <c r="B402" s="2" t="s">
        <v>301</v>
      </c>
      <c r="C402" s="2" t="s">
        <v>287</v>
      </c>
      <c r="D402" s="108" t="s">
        <v>288</v>
      </c>
      <c r="E402" s="102"/>
      <c r="F402" s="2" t="s">
        <v>95</v>
      </c>
      <c r="G402" s="19">
        <f>'Rozpočet - vybrané sloupce'!J369</f>
        <v>2.1</v>
      </c>
      <c r="H402" s="19">
        <f>'Rozpočet - vybrané sloupce'!K369</f>
        <v>0</v>
      </c>
      <c r="I402" s="87" t="s">
        <v>427</v>
      </c>
      <c r="J402" s="19">
        <f t="shared" si="338"/>
        <v>0</v>
      </c>
      <c r="K402" s="19">
        <f t="shared" si="339"/>
        <v>0</v>
      </c>
      <c r="L402" s="19">
        <f t="shared" si="340"/>
        <v>0</v>
      </c>
      <c r="M402" s="19">
        <f t="shared" si="341"/>
        <v>0</v>
      </c>
      <c r="N402" s="19">
        <v>0</v>
      </c>
      <c r="O402" s="19">
        <f t="shared" si="342"/>
        <v>0</v>
      </c>
      <c r="P402" s="88" t="s">
        <v>428</v>
      </c>
      <c r="Z402" s="19">
        <f t="shared" si="343"/>
        <v>0</v>
      </c>
      <c r="AB402" s="19">
        <f t="shared" si="344"/>
        <v>0</v>
      </c>
      <c r="AC402" s="19">
        <f t="shared" si="345"/>
        <v>0</v>
      </c>
      <c r="AD402" s="19">
        <f t="shared" si="346"/>
        <v>0</v>
      </c>
      <c r="AE402" s="19">
        <f t="shared" si="347"/>
        <v>0</v>
      </c>
      <c r="AF402" s="19">
        <f t="shared" si="348"/>
        <v>0</v>
      </c>
      <c r="AG402" s="19">
        <f t="shared" si="349"/>
        <v>0</v>
      </c>
      <c r="AH402" s="19">
        <f t="shared" si="350"/>
        <v>0</v>
      </c>
      <c r="AI402" s="16" t="s">
        <v>301</v>
      </c>
      <c r="AJ402" s="19">
        <f t="shared" si="351"/>
        <v>0</v>
      </c>
      <c r="AK402" s="19">
        <f t="shared" si="352"/>
        <v>0</v>
      </c>
      <c r="AL402" s="19">
        <f t="shared" si="353"/>
        <v>0</v>
      </c>
      <c r="AN402" s="19">
        <v>12</v>
      </c>
      <c r="AO402" s="19">
        <f t="shared" si="354"/>
        <v>0</v>
      </c>
      <c r="AP402" s="19">
        <f t="shared" si="355"/>
        <v>0</v>
      </c>
      <c r="AQ402" s="87" t="s">
        <v>436</v>
      </c>
      <c r="AV402" s="19">
        <f t="shared" si="356"/>
        <v>0</v>
      </c>
      <c r="AW402" s="19">
        <f t="shared" si="357"/>
        <v>0</v>
      </c>
      <c r="AX402" s="19">
        <f t="shared" si="358"/>
        <v>0</v>
      </c>
      <c r="AY402" s="87" t="s">
        <v>753</v>
      </c>
      <c r="AZ402" s="87" t="s">
        <v>792</v>
      </c>
      <c r="BA402" s="16" t="s">
        <v>766</v>
      </c>
      <c r="BC402" s="19">
        <f t="shared" si="359"/>
        <v>0</v>
      </c>
      <c r="BD402" s="19">
        <f t="shared" si="360"/>
        <v>0</v>
      </c>
      <c r="BE402" s="19">
        <v>0</v>
      </c>
      <c r="BF402" s="19">
        <f t="shared" si="361"/>
        <v>0</v>
      </c>
      <c r="BH402" s="19">
        <f t="shared" si="362"/>
        <v>0</v>
      </c>
      <c r="BI402" s="19">
        <f t="shared" si="363"/>
        <v>0</v>
      </c>
      <c r="BJ402" s="19">
        <f t="shared" si="364"/>
        <v>0</v>
      </c>
      <c r="BK402" s="19"/>
      <c r="BL402" s="19"/>
      <c r="BW402" s="19" t="str">
        <f t="shared" si="365"/>
        <v>12</v>
      </c>
      <c r="BX402" s="4" t="s">
        <v>288</v>
      </c>
    </row>
    <row r="403" spans="1:76" x14ac:dyDescent="0.25">
      <c r="A403" s="1" t="s">
        <v>801</v>
      </c>
      <c r="B403" s="2" t="s">
        <v>301</v>
      </c>
      <c r="C403" s="2" t="s">
        <v>289</v>
      </c>
      <c r="D403" s="108" t="s">
        <v>290</v>
      </c>
      <c r="E403" s="102"/>
      <c r="F403" s="2" t="s">
        <v>95</v>
      </c>
      <c r="G403" s="19">
        <f>'Rozpočet - vybrané sloupce'!J370</f>
        <v>6.2</v>
      </c>
      <c r="H403" s="19">
        <f>'Rozpočet - vybrané sloupce'!K370</f>
        <v>0</v>
      </c>
      <c r="I403" s="87" t="s">
        <v>427</v>
      </c>
      <c r="J403" s="19">
        <f t="shared" si="338"/>
        <v>0</v>
      </c>
      <c r="K403" s="19">
        <f t="shared" si="339"/>
        <v>0</v>
      </c>
      <c r="L403" s="19">
        <f t="shared" si="340"/>
        <v>0</v>
      </c>
      <c r="M403" s="19">
        <f t="shared" si="341"/>
        <v>0</v>
      </c>
      <c r="N403" s="19">
        <v>0</v>
      </c>
      <c r="O403" s="19">
        <f t="shared" si="342"/>
        <v>0</v>
      </c>
      <c r="P403" s="88" t="s">
        <v>428</v>
      </c>
      <c r="Z403" s="19">
        <f t="shared" si="343"/>
        <v>0</v>
      </c>
      <c r="AB403" s="19">
        <f t="shared" si="344"/>
        <v>0</v>
      </c>
      <c r="AC403" s="19">
        <f t="shared" si="345"/>
        <v>0</v>
      </c>
      <c r="AD403" s="19">
        <f t="shared" si="346"/>
        <v>0</v>
      </c>
      <c r="AE403" s="19">
        <f t="shared" si="347"/>
        <v>0</v>
      </c>
      <c r="AF403" s="19">
        <f t="shared" si="348"/>
        <v>0</v>
      </c>
      <c r="AG403" s="19">
        <f t="shared" si="349"/>
        <v>0</v>
      </c>
      <c r="AH403" s="19">
        <f t="shared" si="350"/>
        <v>0</v>
      </c>
      <c r="AI403" s="16" t="s">
        <v>301</v>
      </c>
      <c r="AJ403" s="19">
        <f t="shared" si="351"/>
        <v>0</v>
      </c>
      <c r="AK403" s="19">
        <f t="shared" si="352"/>
        <v>0</v>
      </c>
      <c r="AL403" s="19">
        <f t="shared" si="353"/>
        <v>0</v>
      </c>
      <c r="AN403" s="19">
        <v>12</v>
      </c>
      <c r="AO403" s="19">
        <f t="shared" si="354"/>
        <v>0</v>
      </c>
      <c r="AP403" s="19">
        <f t="shared" si="355"/>
        <v>0</v>
      </c>
      <c r="AQ403" s="87" t="s">
        <v>436</v>
      </c>
      <c r="AV403" s="19">
        <f t="shared" si="356"/>
        <v>0</v>
      </c>
      <c r="AW403" s="19">
        <f t="shared" si="357"/>
        <v>0</v>
      </c>
      <c r="AX403" s="19">
        <f t="shared" si="358"/>
        <v>0</v>
      </c>
      <c r="AY403" s="87" t="s">
        <v>753</v>
      </c>
      <c r="AZ403" s="87" t="s">
        <v>792</v>
      </c>
      <c r="BA403" s="16" t="s">
        <v>766</v>
      </c>
      <c r="BC403" s="19">
        <f t="shared" si="359"/>
        <v>0</v>
      </c>
      <c r="BD403" s="19">
        <f t="shared" si="360"/>
        <v>0</v>
      </c>
      <c r="BE403" s="19">
        <v>0</v>
      </c>
      <c r="BF403" s="19">
        <f t="shared" si="361"/>
        <v>0</v>
      </c>
      <c r="BH403" s="19">
        <f t="shared" si="362"/>
        <v>0</v>
      </c>
      <c r="BI403" s="19">
        <f t="shared" si="363"/>
        <v>0</v>
      </c>
      <c r="BJ403" s="19">
        <f t="shared" si="364"/>
        <v>0</v>
      </c>
      <c r="BK403" s="19"/>
      <c r="BL403" s="19"/>
      <c r="BW403" s="19" t="str">
        <f t="shared" si="365"/>
        <v>12</v>
      </c>
      <c r="BX403" s="4" t="s">
        <v>290</v>
      </c>
    </row>
    <row r="404" spans="1:76" x14ac:dyDescent="0.25">
      <c r="A404" s="1" t="s">
        <v>802</v>
      </c>
      <c r="B404" s="2" t="s">
        <v>301</v>
      </c>
      <c r="C404" s="2" t="s">
        <v>291</v>
      </c>
      <c r="D404" s="108" t="s">
        <v>292</v>
      </c>
      <c r="E404" s="102"/>
      <c r="F404" s="2" t="s">
        <v>95</v>
      </c>
      <c r="G404" s="19">
        <f>'Rozpočet - vybrané sloupce'!J371</f>
        <v>8.3000000000000007</v>
      </c>
      <c r="H404" s="19">
        <f>'Rozpočet - vybrané sloupce'!K371</f>
        <v>0</v>
      </c>
      <c r="I404" s="87" t="s">
        <v>427</v>
      </c>
      <c r="J404" s="19">
        <f t="shared" si="338"/>
        <v>0</v>
      </c>
      <c r="K404" s="19">
        <f t="shared" si="339"/>
        <v>0</v>
      </c>
      <c r="L404" s="19">
        <f t="shared" si="340"/>
        <v>0</v>
      </c>
      <c r="M404" s="19">
        <f t="shared" si="341"/>
        <v>0</v>
      </c>
      <c r="N404" s="19">
        <v>0</v>
      </c>
      <c r="O404" s="19">
        <f t="shared" si="342"/>
        <v>0</v>
      </c>
      <c r="P404" s="88" t="s">
        <v>428</v>
      </c>
      <c r="Z404" s="19">
        <f t="shared" si="343"/>
        <v>0</v>
      </c>
      <c r="AB404" s="19">
        <f t="shared" si="344"/>
        <v>0</v>
      </c>
      <c r="AC404" s="19">
        <f t="shared" si="345"/>
        <v>0</v>
      </c>
      <c r="AD404" s="19">
        <f t="shared" si="346"/>
        <v>0</v>
      </c>
      <c r="AE404" s="19">
        <f t="shared" si="347"/>
        <v>0</v>
      </c>
      <c r="AF404" s="19">
        <f t="shared" si="348"/>
        <v>0</v>
      </c>
      <c r="AG404" s="19">
        <f t="shared" si="349"/>
        <v>0</v>
      </c>
      <c r="AH404" s="19">
        <f t="shared" si="350"/>
        <v>0</v>
      </c>
      <c r="AI404" s="16" t="s">
        <v>301</v>
      </c>
      <c r="AJ404" s="19">
        <f t="shared" si="351"/>
        <v>0</v>
      </c>
      <c r="AK404" s="19">
        <f t="shared" si="352"/>
        <v>0</v>
      </c>
      <c r="AL404" s="19">
        <f t="shared" si="353"/>
        <v>0</v>
      </c>
      <c r="AN404" s="19">
        <v>12</v>
      </c>
      <c r="AO404" s="19">
        <f t="shared" si="354"/>
        <v>0</v>
      </c>
      <c r="AP404" s="19">
        <f t="shared" si="355"/>
        <v>0</v>
      </c>
      <c r="AQ404" s="87" t="s">
        <v>436</v>
      </c>
      <c r="AV404" s="19">
        <f t="shared" si="356"/>
        <v>0</v>
      </c>
      <c r="AW404" s="19">
        <f t="shared" si="357"/>
        <v>0</v>
      </c>
      <c r="AX404" s="19">
        <f t="shared" si="358"/>
        <v>0</v>
      </c>
      <c r="AY404" s="87" t="s">
        <v>753</v>
      </c>
      <c r="AZ404" s="87" t="s">
        <v>792</v>
      </c>
      <c r="BA404" s="16" t="s">
        <v>766</v>
      </c>
      <c r="BC404" s="19">
        <f t="shared" si="359"/>
        <v>0</v>
      </c>
      <c r="BD404" s="19">
        <f t="shared" si="360"/>
        <v>0</v>
      </c>
      <c r="BE404" s="19">
        <v>0</v>
      </c>
      <c r="BF404" s="19">
        <f t="shared" si="361"/>
        <v>0</v>
      </c>
      <c r="BH404" s="19">
        <f t="shared" si="362"/>
        <v>0</v>
      </c>
      <c r="BI404" s="19">
        <f t="shared" si="363"/>
        <v>0</v>
      </c>
      <c r="BJ404" s="19">
        <f t="shared" si="364"/>
        <v>0</v>
      </c>
      <c r="BK404" s="19"/>
      <c r="BL404" s="19"/>
      <c r="BW404" s="19" t="str">
        <f t="shared" si="365"/>
        <v>12</v>
      </c>
      <c r="BX404" s="4" t="s">
        <v>292</v>
      </c>
    </row>
    <row r="405" spans="1:76" x14ac:dyDescent="0.25">
      <c r="A405" s="1" t="s">
        <v>803</v>
      </c>
      <c r="B405" s="2" t="s">
        <v>301</v>
      </c>
      <c r="C405" s="2" t="s">
        <v>293</v>
      </c>
      <c r="D405" s="108" t="s">
        <v>294</v>
      </c>
      <c r="E405" s="102"/>
      <c r="F405" s="2" t="s">
        <v>95</v>
      </c>
      <c r="G405" s="19">
        <f>'Rozpočet - vybrané sloupce'!J372</f>
        <v>8.3000000000000007</v>
      </c>
      <c r="H405" s="19">
        <f>'Rozpočet - vybrané sloupce'!K372</f>
        <v>0</v>
      </c>
      <c r="I405" s="87" t="s">
        <v>427</v>
      </c>
      <c r="J405" s="19">
        <f t="shared" si="338"/>
        <v>0</v>
      </c>
      <c r="K405" s="19">
        <f t="shared" si="339"/>
        <v>0</v>
      </c>
      <c r="L405" s="19">
        <f t="shared" si="340"/>
        <v>0</v>
      </c>
      <c r="M405" s="19">
        <f t="shared" si="341"/>
        <v>0</v>
      </c>
      <c r="N405" s="19">
        <v>0</v>
      </c>
      <c r="O405" s="19">
        <f t="shared" si="342"/>
        <v>0</v>
      </c>
      <c r="P405" s="88" t="s">
        <v>428</v>
      </c>
      <c r="Z405" s="19">
        <f t="shared" si="343"/>
        <v>0</v>
      </c>
      <c r="AB405" s="19">
        <f t="shared" si="344"/>
        <v>0</v>
      </c>
      <c r="AC405" s="19">
        <f t="shared" si="345"/>
        <v>0</v>
      </c>
      <c r="AD405" s="19">
        <f t="shared" si="346"/>
        <v>0</v>
      </c>
      <c r="AE405" s="19">
        <f t="shared" si="347"/>
        <v>0</v>
      </c>
      <c r="AF405" s="19">
        <f t="shared" si="348"/>
        <v>0</v>
      </c>
      <c r="AG405" s="19">
        <f t="shared" si="349"/>
        <v>0</v>
      </c>
      <c r="AH405" s="19">
        <f t="shared" si="350"/>
        <v>0</v>
      </c>
      <c r="AI405" s="16" t="s">
        <v>301</v>
      </c>
      <c r="AJ405" s="19">
        <f t="shared" si="351"/>
        <v>0</v>
      </c>
      <c r="AK405" s="19">
        <f t="shared" si="352"/>
        <v>0</v>
      </c>
      <c r="AL405" s="19">
        <f t="shared" si="353"/>
        <v>0</v>
      </c>
      <c r="AN405" s="19">
        <v>12</v>
      </c>
      <c r="AO405" s="19">
        <f t="shared" si="354"/>
        <v>0</v>
      </c>
      <c r="AP405" s="19">
        <f t="shared" si="355"/>
        <v>0</v>
      </c>
      <c r="AQ405" s="87" t="s">
        <v>436</v>
      </c>
      <c r="AV405" s="19">
        <f t="shared" si="356"/>
        <v>0</v>
      </c>
      <c r="AW405" s="19">
        <f t="shared" si="357"/>
        <v>0</v>
      </c>
      <c r="AX405" s="19">
        <f t="shared" si="358"/>
        <v>0</v>
      </c>
      <c r="AY405" s="87" t="s">
        <v>753</v>
      </c>
      <c r="AZ405" s="87" t="s">
        <v>792</v>
      </c>
      <c r="BA405" s="16" t="s">
        <v>766</v>
      </c>
      <c r="BC405" s="19">
        <f t="shared" si="359"/>
        <v>0</v>
      </c>
      <c r="BD405" s="19">
        <f t="shared" si="360"/>
        <v>0</v>
      </c>
      <c r="BE405" s="19">
        <v>0</v>
      </c>
      <c r="BF405" s="19">
        <f t="shared" si="361"/>
        <v>0</v>
      </c>
      <c r="BH405" s="19">
        <f t="shared" si="362"/>
        <v>0</v>
      </c>
      <c r="BI405" s="19">
        <f t="shared" si="363"/>
        <v>0</v>
      </c>
      <c r="BJ405" s="19">
        <f t="shared" si="364"/>
        <v>0</v>
      </c>
      <c r="BK405" s="19"/>
      <c r="BL405" s="19"/>
      <c r="BW405" s="19" t="str">
        <f t="shared" si="365"/>
        <v>12</v>
      </c>
      <c r="BX405" s="4" t="s">
        <v>294</v>
      </c>
    </row>
    <row r="406" spans="1:76" x14ac:dyDescent="0.25">
      <c r="A406" s="1" t="s">
        <v>804</v>
      </c>
      <c r="B406" s="2" t="s">
        <v>301</v>
      </c>
      <c r="C406" s="2" t="s">
        <v>295</v>
      </c>
      <c r="D406" s="108" t="s">
        <v>296</v>
      </c>
      <c r="E406" s="102"/>
      <c r="F406" s="2" t="s">
        <v>95</v>
      </c>
      <c r="G406" s="19">
        <f>'Rozpočet - vybrané sloupce'!J373</f>
        <v>8.3000000000000007</v>
      </c>
      <c r="H406" s="19">
        <f>'Rozpočet - vybrané sloupce'!K373</f>
        <v>0</v>
      </c>
      <c r="I406" s="87" t="s">
        <v>427</v>
      </c>
      <c r="J406" s="19">
        <f t="shared" si="338"/>
        <v>0</v>
      </c>
      <c r="K406" s="19">
        <f t="shared" si="339"/>
        <v>0</v>
      </c>
      <c r="L406" s="19">
        <f t="shared" si="340"/>
        <v>0</v>
      </c>
      <c r="M406" s="19">
        <f t="shared" si="341"/>
        <v>0</v>
      </c>
      <c r="N406" s="19">
        <v>0</v>
      </c>
      <c r="O406" s="19">
        <f t="shared" si="342"/>
        <v>0</v>
      </c>
      <c r="P406" s="88" t="s">
        <v>428</v>
      </c>
      <c r="Z406" s="19">
        <f t="shared" si="343"/>
        <v>0</v>
      </c>
      <c r="AB406" s="19">
        <f t="shared" si="344"/>
        <v>0</v>
      </c>
      <c r="AC406" s="19">
        <f t="shared" si="345"/>
        <v>0</v>
      </c>
      <c r="AD406" s="19">
        <f t="shared" si="346"/>
        <v>0</v>
      </c>
      <c r="AE406" s="19">
        <f t="shared" si="347"/>
        <v>0</v>
      </c>
      <c r="AF406" s="19">
        <f t="shared" si="348"/>
        <v>0</v>
      </c>
      <c r="AG406" s="19">
        <f t="shared" si="349"/>
        <v>0</v>
      </c>
      <c r="AH406" s="19">
        <f t="shared" si="350"/>
        <v>0</v>
      </c>
      <c r="AI406" s="16" t="s">
        <v>301</v>
      </c>
      <c r="AJ406" s="19">
        <f t="shared" si="351"/>
        <v>0</v>
      </c>
      <c r="AK406" s="19">
        <f t="shared" si="352"/>
        <v>0</v>
      </c>
      <c r="AL406" s="19">
        <f t="shared" si="353"/>
        <v>0</v>
      </c>
      <c r="AN406" s="19">
        <v>12</v>
      </c>
      <c r="AO406" s="19">
        <f t="shared" si="354"/>
        <v>0</v>
      </c>
      <c r="AP406" s="19">
        <f t="shared" si="355"/>
        <v>0</v>
      </c>
      <c r="AQ406" s="87" t="s">
        <v>436</v>
      </c>
      <c r="AV406" s="19">
        <f t="shared" si="356"/>
        <v>0</v>
      </c>
      <c r="AW406" s="19">
        <f t="shared" si="357"/>
        <v>0</v>
      </c>
      <c r="AX406" s="19">
        <f t="shared" si="358"/>
        <v>0</v>
      </c>
      <c r="AY406" s="87" t="s">
        <v>753</v>
      </c>
      <c r="AZ406" s="87" t="s">
        <v>792</v>
      </c>
      <c r="BA406" s="16" t="s">
        <v>766</v>
      </c>
      <c r="BC406" s="19">
        <f t="shared" si="359"/>
        <v>0</v>
      </c>
      <c r="BD406" s="19">
        <f t="shared" si="360"/>
        <v>0</v>
      </c>
      <c r="BE406" s="19">
        <v>0</v>
      </c>
      <c r="BF406" s="19">
        <f t="shared" si="361"/>
        <v>0</v>
      </c>
      <c r="BH406" s="19">
        <f t="shared" si="362"/>
        <v>0</v>
      </c>
      <c r="BI406" s="19">
        <f t="shared" si="363"/>
        <v>0</v>
      </c>
      <c r="BJ406" s="19">
        <f t="shared" si="364"/>
        <v>0</v>
      </c>
      <c r="BK406" s="19"/>
      <c r="BL406" s="19"/>
      <c r="BW406" s="19" t="str">
        <f t="shared" si="365"/>
        <v>12</v>
      </c>
      <c r="BX406" s="4" t="s">
        <v>296</v>
      </c>
    </row>
    <row r="407" spans="1:76" x14ac:dyDescent="0.25">
      <c r="A407" s="1" t="s">
        <v>805</v>
      </c>
      <c r="B407" s="2" t="s">
        <v>301</v>
      </c>
      <c r="C407" s="2" t="s">
        <v>297</v>
      </c>
      <c r="D407" s="108" t="s">
        <v>298</v>
      </c>
      <c r="E407" s="102"/>
      <c r="F407" s="2" t="s">
        <v>95</v>
      </c>
      <c r="G407" s="19">
        <f>'Rozpočet - vybrané sloupce'!J374</f>
        <v>83</v>
      </c>
      <c r="H407" s="19">
        <f>'Rozpočet - vybrané sloupce'!K374</f>
        <v>0</v>
      </c>
      <c r="I407" s="87" t="s">
        <v>427</v>
      </c>
      <c r="J407" s="19">
        <f t="shared" si="338"/>
        <v>0</v>
      </c>
      <c r="K407" s="19">
        <f t="shared" si="339"/>
        <v>0</v>
      </c>
      <c r="L407" s="19">
        <f t="shared" si="340"/>
        <v>0</v>
      </c>
      <c r="M407" s="19">
        <f t="shared" si="341"/>
        <v>0</v>
      </c>
      <c r="N407" s="19">
        <v>0</v>
      </c>
      <c r="O407" s="19">
        <f t="shared" si="342"/>
        <v>0</v>
      </c>
      <c r="P407" s="88" t="s">
        <v>428</v>
      </c>
      <c r="Z407" s="19">
        <f t="shared" si="343"/>
        <v>0</v>
      </c>
      <c r="AB407" s="19">
        <f t="shared" si="344"/>
        <v>0</v>
      </c>
      <c r="AC407" s="19">
        <f t="shared" si="345"/>
        <v>0</v>
      </c>
      <c r="AD407" s="19">
        <f t="shared" si="346"/>
        <v>0</v>
      </c>
      <c r="AE407" s="19">
        <f t="shared" si="347"/>
        <v>0</v>
      </c>
      <c r="AF407" s="19">
        <f t="shared" si="348"/>
        <v>0</v>
      </c>
      <c r="AG407" s="19">
        <f t="shared" si="349"/>
        <v>0</v>
      </c>
      <c r="AH407" s="19">
        <f t="shared" si="350"/>
        <v>0</v>
      </c>
      <c r="AI407" s="16" t="s">
        <v>301</v>
      </c>
      <c r="AJ407" s="19">
        <f t="shared" si="351"/>
        <v>0</v>
      </c>
      <c r="AK407" s="19">
        <f t="shared" si="352"/>
        <v>0</v>
      </c>
      <c r="AL407" s="19">
        <f t="shared" si="353"/>
        <v>0</v>
      </c>
      <c r="AN407" s="19">
        <v>12</v>
      </c>
      <c r="AO407" s="19">
        <f t="shared" si="354"/>
        <v>0</v>
      </c>
      <c r="AP407" s="19">
        <f t="shared" si="355"/>
        <v>0</v>
      </c>
      <c r="AQ407" s="87" t="s">
        <v>436</v>
      </c>
      <c r="AV407" s="19">
        <f t="shared" si="356"/>
        <v>0</v>
      </c>
      <c r="AW407" s="19">
        <f t="shared" si="357"/>
        <v>0</v>
      </c>
      <c r="AX407" s="19">
        <f t="shared" si="358"/>
        <v>0</v>
      </c>
      <c r="AY407" s="87" t="s">
        <v>753</v>
      </c>
      <c r="AZ407" s="87" t="s">
        <v>792</v>
      </c>
      <c r="BA407" s="16" t="s">
        <v>766</v>
      </c>
      <c r="BC407" s="19">
        <f t="shared" si="359"/>
        <v>0</v>
      </c>
      <c r="BD407" s="19">
        <f t="shared" si="360"/>
        <v>0</v>
      </c>
      <c r="BE407" s="19">
        <v>0</v>
      </c>
      <c r="BF407" s="19">
        <f t="shared" si="361"/>
        <v>0</v>
      </c>
      <c r="BH407" s="19">
        <f t="shared" si="362"/>
        <v>0</v>
      </c>
      <c r="BI407" s="19">
        <f t="shared" si="363"/>
        <v>0</v>
      </c>
      <c r="BJ407" s="19">
        <f t="shared" si="364"/>
        <v>0</v>
      </c>
      <c r="BK407" s="19"/>
      <c r="BL407" s="19"/>
      <c r="BW407" s="19" t="str">
        <f t="shared" si="365"/>
        <v>12</v>
      </c>
      <c r="BX407" s="4" t="s">
        <v>298</v>
      </c>
    </row>
    <row r="408" spans="1:76" x14ac:dyDescent="0.25">
      <c r="A408" s="1" t="s">
        <v>806</v>
      </c>
      <c r="B408" s="2" t="s">
        <v>301</v>
      </c>
      <c r="C408" s="2" t="s">
        <v>299</v>
      </c>
      <c r="D408" s="108" t="s">
        <v>300</v>
      </c>
      <c r="E408" s="102"/>
      <c r="F408" s="2" t="s">
        <v>95</v>
      </c>
      <c r="G408" s="19">
        <f>'Rozpočet - vybrané sloupce'!J375</f>
        <v>8.3000000000000007</v>
      </c>
      <c r="H408" s="19">
        <f>'Rozpočet - vybrané sloupce'!K375</f>
        <v>0</v>
      </c>
      <c r="I408" s="87" t="s">
        <v>427</v>
      </c>
      <c r="J408" s="19">
        <f t="shared" si="338"/>
        <v>0</v>
      </c>
      <c r="K408" s="19">
        <f t="shared" si="339"/>
        <v>0</v>
      </c>
      <c r="L408" s="19">
        <f t="shared" si="340"/>
        <v>0</v>
      </c>
      <c r="M408" s="19">
        <f t="shared" si="341"/>
        <v>0</v>
      </c>
      <c r="N408" s="19">
        <v>0</v>
      </c>
      <c r="O408" s="19">
        <f t="shared" si="342"/>
        <v>0</v>
      </c>
      <c r="P408" s="88" t="s">
        <v>428</v>
      </c>
      <c r="Z408" s="19">
        <f t="shared" si="343"/>
        <v>0</v>
      </c>
      <c r="AB408" s="19">
        <f t="shared" si="344"/>
        <v>0</v>
      </c>
      <c r="AC408" s="19">
        <f t="shared" si="345"/>
        <v>0</v>
      </c>
      <c r="AD408" s="19">
        <f t="shared" si="346"/>
        <v>0</v>
      </c>
      <c r="AE408" s="19">
        <f t="shared" si="347"/>
        <v>0</v>
      </c>
      <c r="AF408" s="19">
        <f t="shared" si="348"/>
        <v>0</v>
      </c>
      <c r="AG408" s="19">
        <f t="shared" si="349"/>
        <v>0</v>
      </c>
      <c r="AH408" s="19">
        <f t="shared" si="350"/>
        <v>0</v>
      </c>
      <c r="AI408" s="16" t="s">
        <v>301</v>
      </c>
      <c r="AJ408" s="19">
        <f t="shared" si="351"/>
        <v>0</v>
      </c>
      <c r="AK408" s="19">
        <f t="shared" si="352"/>
        <v>0</v>
      </c>
      <c r="AL408" s="19">
        <f t="shared" si="353"/>
        <v>0</v>
      </c>
      <c r="AN408" s="19">
        <v>12</v>
      </c>
      <c r="AO408" s="19">
        <f t="shared" si="354"/>
        <v>0</v>
      </c>
      <c r="AP408" s="19">
        <f t="shared" si="355"/>
        <v>0</v>
      </c>
      <c r="AQ408" s="87" t="s">
        <v>436</v>
      </c>
      <c r="AV408" s="19">
        <f t="shared" si="356"/>
        <v>0</v>
      </c>
      <c r="AW408" s="19">
        <f t="shared" si="357"/>
        <v>0</v>
      </c>
      <c r="AX408" s="19">
        <f t="shared" si="358"/>
        <v>0</v>
      </c>
      <c r="AY408" s="87" t="s">
        <v>753</v>
      </c>
      <c r="AZ408" s="87" t="s">
        <v>792</v>
      </c>
      <c r="BA408" s="16" t="s">
        <v>766</v>
      </c>
      <c r="BC408" s="19">
        <f t="shared" si="359"/>
        <v>0</v>
      </c>
      <c r="BD408" s="19">
        <f t="shared" si="360"/>
        <v>0</v>
      </c>
      <c r="BE408" s="19">
        <v>0</v>
      </c>
      <c r="BF408" s="19">
        <f t="shared" si="361"/>
        <v>0</v>
      </c>
      <c r="BH408" s="19">
        <f t="shared" si="362"/>
        <v>0</v>
      </c>
      <c r="BI408" s="19">
        <f t="shared" si="363"/>
        <v>0</v>
      </c>
      <c r="BJ408" s="19">
        <f t="shared" si="364"/>
        <v>0</v>
      </c>
      <c r="BK408" s="19"/>
      <c r="BL408" s="19"/>
      <c r="BW408" s="19" t="str">
        <f t="shared" si="365"/>
        <v>12</v>
      </c>
      <c r="BX408" s="4" t="s">
        <v>300</v>
      </c>
    </row>
    <row r="409" spans="1:76" x14ac:dyDescent="0.25">
      <c r="A409" s="84" t="s">
        <v>25</v>
      </c>
      <c r="B409" s="15" t="s">
        <v>303</v>
      </c>
      <c r="C409" s="15" t="s">
        <v>25</v>
      </c>
      <c r="D409" s="115" t="s">
        <v>304</v>
      </c>
      <c r="E409" s="116"/>
      <c r="F409" s="85" t="s">
        <v>23</v>
      </c>
      <c r="G409" s="85" t="s">
        <v>23</v>
      </c>
      <c r="H409" s="85" t="s">
        <v>23</v>
      </c>
      <c r="I409" s="85" t="s">
        <v>23</v>
      </c>
      <c r="J409" s="60">
        <f>J410+J418+J420+J422+J427+J433+J436+J438+J440+J442+J448</f>
        <v>0</v>
      </c>
      <c r="K409" s="60">
        <f>K410+K418+K420+K422+K427+K433+K436+K438+K440+K442+K448</f>
        <v>0</v>
      </c>
      <c r="L409" s="60">
        <f>L410+L418+L420+L422+L427+L433+L436+L438+L440+L442+L448</f>
        <v>0</v>
      </c>
      <c r="M409" s="60">
        <f>M410+M418+M420+M422+M427+M433+M436+M438+M440+M442+M448</f>
        <v>0</v>
      </c>
      <c r="N409" s="16" t="s">
        <v>25</v>
      </c>
      <c r="O409" s="60">
        <f>O410+O418+O420+O422+O427+O433+O436+O438+O440+O442+O448</f>
        <v>10.346058000000001</v>
      </c>
      <c r="P409" s="86" t="s">
        <v>25</v>
      </c>
    </row>
    <row r="410" spans="1:76" x14ac:dyDescent="0.25">
      <c r="A410" s="84" t="s">
        <v>25</v>
      </c>
      <c r="B410" s="15" t="s">
        <v>303</v>
      </c>
      <c r="C410" s="15" t="s">
        <v>203</v>
      </c>
      <c r="D410" s="115" t="s">
        <v>204</v>
      </c>
      <c r="E410" s="116"/>
      <c r="F410" s="85" t="s">
        <v>23</v>
      </c>
      <c r="G410" s="85" t="s">
        <v>23</v>
      </c>
      <c r="H410" s="85" t="s">
        <v>23</v>
      </c>
      <c r="I410" s="85" t="s">
        <v>23</v>
      </c>
      <c r="J410" s="60">
        <f>SUM(J411:J417)</f>
        <v>0</v>
      </c>
      <c r="K410" s="60">
        <f>SUM(K411:K417)</f>
        <v>0</v>
      </c>
      <c r="L410" s="60">
        <f>SUM(L411:L417)</f>
        <v>0</v>
      </c>
      <c r="M410" s="60">
        <f>SUM(M411:M417)</f>
        <v>0</v>
      </c>
      <c r="N410" s="16" t="s">
        <v>25</v>
      </c>
      <c r="O410" s="60">
        <f>SUM(O411:O417)</f>
        <v>0.62731199999999998</v>
      </c>
      <c r="P410" s="86" t="s">
        <v>25</v>
      </c>
      <c r="AI410" s="16" t="s">
        <v>303</v>
      </c>
      <c r="AS410" s="60">
        <f>SUM(AJ411:AJ417)</f>
        <v>0</v>
      </c>
      <c r="AT410" s="60">
        <f>SUM(AK411:AK417)</f>
        <v>0</v>
      </c>
      <c r="AU410" s="60">
        <f>SUM(AL411:AL417)</f>
        <v>0</v>
      </c>
    </row>
    <row r="411" spans="1:76" x14ac:dyDescent="0.25">
      <c r="A411" s="1" t="s">
        <v>807</v>
      </c>
      <c r="B411" s="2" t="s">
        <v>303</v>
      </c>
      <c r="C411" s="2" t="s">
        <v>205</v>
      </c>
      <c r="D411" s="108" t="s">
        <v>206</v>
      </c>
      <c r="E411" s="102"/>
      <c r="F411" s="2" t="s">
        <v>100</v>
      </c>
      <c r="G411" s="19">
        <f>'Rozpočet - vybrané sloupce'!J378</f>
        <v>24</v>
      </c>
      <c r="H411" s="19">
        <f>'Rozpočet - vybrané sloupce'!K378</f>
        <v>0</v>
      </c>
      <c r="I411" s="87" t="s">
        <v>427</v>
      </c>
      <c r="J411" s="19">
        <f t="shared" ref="J411:J417" si="366">G411*AO411</f>
        <v>0</v>
      </c>
      <c r="K411" s="19">
        <f t="shared" ref="K411:K417" si="367">G411*AP411</f>
        <v>0</v>
      </c>
      <c r="L411" s="19">
        <f t="shared" ref="L411:L417" si="368">G411*H411</f>
        <v>0</v>
      </c>
      <c r="M411" s="19">
        <f t="shared" ref="M411:M417" si="369">L411*(1+BW411/100)</f>
        <v>0</v>
      </c>
      <c r="N411" s="19">
        <v>0</v>
      </c>
      <c r="O411" s="19">
        <f t="shared" ref="O411:O417" si="370">G411*N411</f>
        <v>0</v>
      </c>
      <c r="P411" s="88" t="s">
        <v>697</v>
      </c>
      <c r="Z411" s="19">
        <f t="shared" ref="Z411:Z417" si="371">IF(AQ411="5",BJ411,0)</f>
        <v>0</v>
      </c>
      <c r="AB411" s="19">
        <f t="shared" ref="AB411:AB417" si="372">IF(AQ411="1",BH411,0)</f>
        <v>0</v>
      </c>
      <c r="AC411" s="19">
        <f t="shared" ref="AC411:AC417" si="373">IF(AQ411="1",BI411,0)</f>
        <v>0</v>
      </c>
      <c r="AD411" s="19">
        <f t="shared" ref="AD411:AD417" si="374">IF(AQ411="7",BH411,0)</f>
        <v>0</v>
      </c>
      <c r="AE411" s="19">
        <f t="shared" ref="AE411:AE417" si="375">IF(AQ411="7",BI411,0)</f>
        <v>0</v>
      </c>
      <c r="AF411" s="19">
        <f t="shared" ref="AF411:AF417" si="376">IF(AQ411="2",BH411,0)</f>
        <v>0</v>
      </c>
      <c r="AG411" s="19">
        <f t="shared" ref="AG411:AG417" si="377">IF(AQ411="2",BI411,0)</f>
        <v>0</v>
      </c>
      <c r="AH411" s="19">
        <f t="shared" ref="AH411:AH417" si="378">IF(AQ411="0",BJ411,0)</f>
        <v>0</v>
      </c>
      <c r="AI411" s="16" t="s">
        <v>303</v>
      </c>
      <c r="AJ411" s="19">
        <f t="shared" ref="AJ411:AJ417" si="379">IF(AN411=0,L411,0)</f>
        <v>0</v>
      </c>
      <c r="AK411" s="19">
        <f t="shared" ref="AK411:AK417" si="380">IF(AN411=12,L411,0)</f>
        <v>0</v>
      </c>
      <c r="AL411" s="19">
        <f t="shared" ref="AL411:AL417" si="381">IF(AN411=21,L411,0)</f>
        <v>0</v>
      </c>
      <c r="AN411" s="19">
        <v>12</v>
      </c>
      <c r="AO411" s="19">
        <f>H411*0</f>
        <v>0</v>
      </c>
      <c r="AP411" s="19">
        <f>H411*(1-0)</f>
        <v>0</v>
      </c>
      <c r="AQ411" s="87" t="s">
        <v>426</v>
      </c>
      <c r="AV411" s="19">
        <f t="shared" ref="AV411:AV417" si="382">AW411+AX411</f>
        <v>0</v>
      </c>
      <c r="AW411" s="19">
        <f t="shared" ref="AW411:AW417" si="383">G411*AO411</f>
        <v>0</v>
      </c>
      <c r="AX411" s="19">
        <f t="shared" ref="AX411:AX417" si="384">G411*AP411</f>
        <v>0</v>
      </c>
      <c r="AY411" s="87" t="s">
        <v>698</v>
      </c>
      <c r="AZ411" s="87" t="s">
        <v>808</v>
      </c>
      <c r="BA411" s="16" t="s">
        <v>809</v>
      </c>
      <c r="BC411" s="19">
        <f t="shared" ref="BC411:BC417" si="385">AW411+AX411</f>
        <v>0</v>
      </c>
      <c r="BD411" s="19">
        <f t="shared" ref="BD411:BD417" si="386">H411/(100-BE411)*100</f>
        <v>0</v>
      </c>
      <c r="BE411" s="19">
        <v>0</v>
      </c>
      <c r="BF411" s="19">
        <f t="shared" ref="BF411:BF417" si="387">O411</f>
        <v>0</v>
      </c>
      <c r="BH411" s="19">
        <f t="shared" ref="BH411:BH417" si="388">G411*AO411</f>
        <v>0</v>
      </c>
      <c r="BI411" s="19">
        <f t="shared" ref="BI411:BI417" si="389">G411*AP411</f>
        <v>0</v>
      </c>
      <c r="BJ411" s="19">
        <f t="shared" ref="BJ411:BJ417" si="390">G411*H411</f>
        <v>0</v>
      </c>
      <c r="BK411" s="19"/>
      <c r="BL411" s="19">
        <v>34</v>
      </c>
      <c r="BW411" s="19" t="str">
        <f t="shared" ref="BW411:BW417" si="391">I411</f>
        <v>12</v>
      </c>
      <c r="BX411" s="4" t="s">
        <v>206</v>
      </c>
    </row>
    <row r="412" spans="1:76" x14ac:dyDescent="0.25">
      <c r="A412" s="1" t="s">
        <v>810</v>
      </c>
      <c r="B412" s="2" t="s">
        <v>303</v>
      </c>
      <c r="C412" s="2" t="s">
        <v>207</v>
      </c>
      <c r="D412" s="108" t="s">
        <v>208</v>
      </c>
      <c r="E412" s="102"/>
      <c r="F412" s="2" t="s">
        <v>100</v>
      </c>
      <c r="G412" s="19">
        <f>'Rozpočet - vybrané sloupce'!J379</f>
        <v>24</v>
      </c>
      <c r="H412" s="19">
        <f>'Rozpočet - vybrané sloupce'!K379</f>
        <v>0</v>
      </c>
      <c r="I412" s="87" t="s">
        <v>427</v>
      </c>
      <c r="J412" s="19">
        <f t="shared" si="366"/>
        <v>0</v>
      </c>
      <c r="K412" s="19">
        <f t="shared" si="367"/>
        <v>0</v>
      </c>
      <c r="L412" s="19">
        <f t="shared" si="368"/>
        <v>0</v>
      </c>
      <c r="M412" s="19">
        <f t="shared" si="369"/>
        <v>0</v>
      </c>
      <c r="N412" s="19">
        <v>0</v>
      </c>
      <c r="O412" s="19">
        <f t="shared" si="370"/>
        <v>0</v>
      </c>
      <c r="P412" s="88" t="s">
        <v>428</v>
      </c>
      <c r="Z412" s="19">
        <f t="shared" si="371"/>
        <v>0</v>
      </c>
      <c r="AB412" s="19">
        <f t="shared" si="372"/>
        <v>0</v>
      </c>
      <c r="AC412" s="19">
        <f t="shared" si="373"/>
        <v>0</v>
      </c>
      <c r="AD412" s="19">
        <f t="shared" si="374"/>
        <v>0</v>
      </c>
      <c r="AE412" s="19">
        <f t="shared" si="375"/>
        <v>0</v>
      </c>
      <c r="AF412" s="19">
        <f t="shared" si="376"/>
        <v>0</v>
      </c>
      <c r="AG412" s="19">
        <f t="shared" si="377"/>
        <v>0</v>
      </c>
      <c r="AH412" s="19">
        <f t="shared" si="378"/>
        <v>0</v>
      </c>
      <c r="AI412" s="16" t="s">
        <v>303</v>
      </c>
      <c r="AJ412" s="19">
        <f t="shared" si="379"/>
        <v>0</v>
      </c>
      <c r="AK412" s="19">
        <f t="shared" si="380"/>
        <v>0</v>
      </c>
      <c r="AL412" s="19">
        <f t="shared" si="381"/>
        <v>0</v>
      </c>
      <c r="AN412" s="19">
        <v>12</v>
      </c>
      <c r="AO412" s="19">
        <f>H412*0</f>
        <v>0</v>
      </c>
      <c r="AP412" s="19">
        <f>H412*(1-0)</f>
        <v>0</v>
      </c>
      <c r="AQ412" s="87" t="s">
        <v>426</v>
      </c>
      <c r="AV412" s="19">
        <f t="shared" si="382"/>
        <v>0</v>
      </c>
      <c r="AW412" s="19">
        <f t="shared" si="383"/>
        <v>0</v>
      </c>
      <c r="AX412" s="19">
        <f t="shared" si="384"/>
        <v>0</v>
      </c>
      <c r="AY412" s="87" t="s">
        <v>698</v>
      </c>
      <c r="AZ412" s="87" t="s">
        <v>808</v>
      </c>
      <c r="BA412" s="16" t="s">
        <v>809</v>
      </c>
      <c r="BC412" s="19">
        <f t="shared" si="385"/>
        <v>0</v>
      </c>
      <c r="BD412" s="19">
        <f t="shared" si="386"/>
        <v>0</v>
      </c>
      <c r="BE412" s="19">
        <v>0</v>
      </c>
      <c r="BF412" s="19">
        <f t="shared" si="387"/>
        <v>0</v>
      </c>
      <c r="BH412" s="19">
        <f t="shared" si="388"/>
        <v>0</v>
      </c>
      <c r="BI412" s="19">
        <f t="shared" si="389"/>
        <v>0</v>
      </c>
      <c r="BJ412" s="19">
        <f t="shared" si="390"/>
        <v>0</v>
      </c>
      <c r="BK412" s="19"/>
      <c r="BL412" s="19">
        <v>34</v>
      </c>
      <c r="BW412" s="19" t="str">
        <f t="shared" si="391"/>
        <v>12</v>
      </c>
      <c r="BX412" s="4" t="s">
        <v>208</v>
      </c>
    </row>
    <row r="413" spans="1:76" x14ac:dyDescent="0.25">
      <c r="A413" s="1" t="s">
        <v>811</v>
      </c>
      <c r="B413" s="2" t="s">
        <v>303</v>
      </c>
      <c r="C413" s="2" t="s">
        <v>209</v>
      </c>
      <c r="D413" s="108" t="s">
        <v>210</v>
      </c>
      <c r="E413" s="102"/>
      <c r="F413" s="2" t="s">
        <v>62</v>
      </c>
      <c r="G413" s="19">
        <f>'Rozpočet - vybrané sloupce'!J380</f>
        <v>24</v>
      </c>
      <c r="H413" s="19">
        <f>'Rozpočet - vybrané sloupce'!K380</f>
        <v>0</v>
      </c>
      <c r="I413" s="87" t="s">
        <v>427</v>
      </c>
      <c r="J413" s="19">
        <f t="shared" si="366"/>
        <v>0</v>
      </c>
      <c r="K413" s="19">
        <f t="shared" si="367"/>
        <v>0</v>
      </c>
      <c r="L413" s="19">
        <f t="shared" si="368"/>
        <v>0</v>
      </c>
      <c r="M413" s="19">
        <f t="shared" si="369"/>
        <v>0</v>
      </c>
      <c r="N413" s="19">
        <v>0</v>
      </c>
      <c r="O413" s="19">
        <f t="shared" si="370"/>
        <v>0</v>
      </c>
      <c r="P413" s="88" t="s">
        <v>428</v>
      </c>
      <c r="Z413" s="19">
        <f t="shared" si="371"/>
        <v>0</v>
      </c>
      <c r="AB413" s="19">
        <f t="shared" si="372"/>
        <v>0</v>
      </c>
      <c r="AC413" s="19">
        <f t="shared" si="373"/>
        <v>0</v>
      </c>
      <c r="AD413" s="19">
        <f t="shared" si="374"/>
        <v>0</v>
      </c>
      <c r="AE413" s="19">
        <f t="shared" si="375"/>
        <v>0</v>
      </c>
      <c r="AF413" s="19">
        <f t="shared" si="376"/>
        <v>0</v>
      </c>
      <c r="AG413" s="19">
        <f t="shared" si="377"/>
        <v>0</v>
      </c>
      <c r="AH413" s="19">
        <f t="shared" si="378"/>
        <v>0</v>
      </c>
      <c r="AI413" s="16" t="s">
        <v>303</v>
      </c>
      <c r="AJ413" s="19">
        <f t="shared" si="379"/>
        <v>0</v>
      </c>
      <c r="AK413" s="19">
        <f t="shared" si="380"/>
        <v>0</v>
      </c>
      <c r="AL413" s="19">
        <f t="shared" si="381"/>
        <v>0</v>
      </c>
      <c r="AN413" s="19">
        <v>12</v>
      </c>
      <c r="AO413" s="19">
        <f>H413*1</f>
        <v>0</v>
      </c>
      <c r="AP413" s="19">
        <f>H413*(1-1)</f>
        <v>0</v>
      </c>
      <c r="AQ413" s="87" t="s">
        <v>426</v>
      </c>
      <c r="AV413" s="19">
        <f t="shared" si="382"/>
        <v>0</v>
      </c>
      <c r="AW413" s="19">
        <f t="shared" si="383"/>
        <v>0</v>
      </c>
      <c r="AX413" s="19">
        <f t="shared" si="384"/>
        <v>0</v>
      </c>
      <c r="AY413" s="87" t="s">
        <v>698</v>
      </c>
      <c r="AZ413" s="87" t="s">
        <v>808</v>
      </c>
      <c r="BA413" s="16" t="s">
        <v>809</v>
      </c>
      <c r="BC413" s="19">
        <f t="shared" si="385"/>
        <v>0</v>
      </c>
      <c r="BD413" s="19">
        <f t="shared" si="386"/>
        <v>0</v>
      </c>
      <c r="BE413" s="19">
        <v>0</v>
      </c>
      <c r="BF413" s="19">
        <f t="shared" si="387"/>
        <v>0</v>
      </c>
      <c r="BH413" s="19">
        <f t="shared" si="388"/>
        <v>0</v>
      </c>
      <c r="BI413" s="19">
        <f t="shared" si="389"/>
        <v>0</v>
      </c>
      <c r="BJ413" s="19">
        <f t="shared" si="390"/>
        <v>0</v>
      </c>
      <c r="BK413" s="19"/>
      <c r="BL413" s="19">
        <v>34</v>
      </c>
      <c r="BW413" s="19" t="str">
        <f t="shared" si="391"/>
        <v>12</v>
      </c>
      <c r="BX413" s="4" t="s">
        <v>210</v>
      </c>
    </row>
    <row r="414" spans="1:76" x14ac:dyDescent="0.25">
      <c r="A414" s="1" t="s">
        <v>812</v>
      </c>
      <c r="B414" s="2" t="s">
        <v>303</v>
      </c>
      <c r="C414" s="2" t="s">
        <v>211</v>
      </c>
      <c r="D414" s="108" t="s">
        <v>212</v>
      </c>
      <c r="E414" s="102"/>
      <c r="F414" s="2" t="s">
        <v>62</v>
      </c>
      <c r="G414" s="19">
        <f>'Rozpočet - vybrané sloupce'!J381</f>
        <v>24</v>
      </c>
      <c r="H414" s="19">
        <f>'Rozpočet - vybrané sloupce'!K381</f>
        <v>0</v>
      </c>
      <c r="I414" s="87" t="s">
        <v>427</v>
      </c>
      <c r="J414" s="19">
        <f t="shared" si="366"/>
        <v>0</v>
      </c>
      <c r="K414" s="19">
        <f t="shared" si="367"/>
        <v>0</v>
      </c>
      <c r="L414" s="19">
        <f t="shared" si="368"/>
        <v>0</v>
      </c>
      <c r="M414" s="19">
        <f t="shared" si="369"/>
        <v>0</v>
      </c>
      <c r="N414" s="19">
        <v>2.4000000000000001E-4</v>
      </c>
      <c r="O414" s="19">
        <f t="shared" si="370"/>
        <v>5.7600000000000004E-3</v>
      </c>
      <c r="P414" s="88" t="s">
        <v>428</v>
      </c>
      <c r="Z414" s="19">
        <f t="shared" si="371"/>
        <v>0</v>
      </c>
      <c r="AB414" s="19">
        <f t="shared" si="372"/>
        <v>0</v>
      </c>
      <c r="AC414" s="19">
        <f t="shared" si="373"/>
        <v>0</v>
      </c>
      <c r="AD414" s="19">
        <f t="shared" si="374"/>
        <v>0</v>
      </c>
      <c r="AE414" s="19">
        <f t="shared" si="375"/>
        <v>0</v>
      </c>
      <c r="AF414" s="19">
        <f t="shared" si="376"/>
        <v>0</v>
      </c>
      <c r="AG414" s="19">
        <f t="shared" si="377"/>
        <v>0</v>
      </c>
      <c r="AH414" s="19">
        <f t="shared" si="378"/>
        <v>0</v>
      </c>
      <c r="AI414" s="16" t="s">
        <v>303</v>
      </c>
      <c r="AJ414" s="19">
        <f t="shared" si="379"/>
        <v>0</v>
      </c>
      <c r="AK414" s="19">
        <f t="shared" si="380"/>
        <v>0</v>
      </c>
      <c r="AL414" s="19">
        <f t="shared" si="381"/>
        <v>0</v>
      </c>
      <c r="AN414" s="19">
        <v>12</v>
      </c>
      <c r="AO414" s="19">
        <f>H414*0.022541149</f>
        <v>0</v>
      </c>
      <c r="AP414" s="19">
        <f>H414*(1-0.022541149)</f>
        <v>0</v>
      </c>
      <c r="AQ414" s="87" t="s">
        <v>426</v>
      </c>
      <c r="AV414" s="19">
        <f t="shared" si="382"/>
        <v>0</v>
      </c>
      <c r="AW414" s="19">
        <f t="shared" si="383"/>
        <v>0</v>
      </c>
      <c r="AX414" s="19">
        <f t="shared" si="384"/>
        <v>0</v>
      </c>
      <c r="AY414" s="87" t="s">
        <v>698</v>
      </c>
      <c r="AZ414" s="87" t="s">
        <v>808</v>
      </c>
      <c r="BA414" s="16" t="s">
        <v>809</v>
      </c>
      <c r="BC414" s="19">
        <f t="shared" si="385"/>
        <v>0</v>
      </c>
      <c r="BD414" s="19">
        <f t="shared" si="386"/>
        <v>0</v>
      </c>
      <c r="BE414" s="19">
        <v>0</v>
      </c>
      <c r="BF414" s="19">
        <f t="shared" si="387"/>
        <v>5.7600000000000004E-3</v>
      </c>
      <c r="BH414" s="19">
        <f t="shared" si="388"/>
        <v>0</v>
      </c>
      <c r="BI414" s="19">
        <f t="shared" si="389"/>
        <v>0</v>
      </c>
      <c r="BJ414" s="19">
        <f t="shared" si="390"/>
        <v>0</v>
      </c>
      <c r="BK414" s="19"/>
      <c r="BL414" s="19">
        <v>34</v>
      </c>
      <c r="BW414" s="19" t="str">
        <f t="shared" si="391"/>
        <v>12</v>
      </c>
      <c r="BX414" s="4" t="s">
        <v>212</v>
      </c>
    </row>
    <row r="415" spans="1:76" x14ac:dyDescent="0.25">
      <c r="A415" s="1" t="s">
        <v>813</v>
      </c>
      <c r="B415" s="2" t="s">
        <v>303</v>
      </c>
      <c r="C415" s="2" t="s">
        <v>213</v>
      </c>
      <c r="D415" s="108" t="s">
        <v>214</v>
      </c>
      <c r="E415" s="102"/>
      <c r="F415" s="2" t="s">
        <v>62</v>
      </c>
      <c r="G415" s="19">
        <f>'Rozpočet - vybrané sloupce'!J382</f>
        <v>24</v>
      </c>
      <c r="H415" s="19">
        <f>'Rozpočet - vybrané sloupce'!K382</f>
        <v>0</v>
      </c>
      <c r="I415" s="87" t="s">
        <v>427</v>
      </c>
      <c r="J415" s="19">
        <f t="shared" si="366"/>
        <v>0</v>
      </c>
      <c r="K415" s="19">
        <f t="shared" si="367"/>
        <v>0</v>
      </c>
      <c r="L415" s="19">
        <f t="shared" si="368"/>
        <v>0</v>
      </c>
      <c r="M415" s="19">
        <f t="shared" si="369"/>
        <v>0</v>
      </c>
      <c r="N415" s="19">
        <v>0</v>
      </c>
      <c r="O415" s="19">
        <f t="shared" si="370"/>
        <v>0</v>
      </c>
      <c r="P415" s="88" t="s">
        <v>428</v>
      </c>
      <c r="Z415" s="19">
        <f t="shared" si="371"/>
        <v>0</v>
      </c>
      <c r="AB415" s="19">
        <f t="shared" si="372"/>
        <v>0</v>
      </c>
      <c r="AC415" s="19">
        <f t="shared" si="373"/>
        <v>0</v>
      </c>
      <c r="AD415" s="19">
        <f t="shared" si="374"/>
        <v>0</v>
      </c>
      <c r="AE415" s="19">
        <f t="shared" si="375"/>
        <v>0</v>
      </c>
      <c r="AF415" s="19">
        <f t="shared" si="376"/>
        <v>0</v>
      </c>
      <c r="AG415" s="19">
        <f t="shared" si="377"/>
        <v>0</v>
      </c>
      <c r="AH415" s="19">
        <f t="shared" si="378"/>
        <v>0</v>
      </c>
      <c r="AI415" s="16" t="s">
        <v>303</v>
      </c>
      <c r="AJ415" s="19">
        <f t="shared" si="379"/>
        <v>0</v>
      </c>
      <c r="AK415" s="19">
        <f t="shared" si="380"/>
        <v>0</v>
      </c>
      <c r="AL415" s="19">
        <f t="shared" si="381"/>
        <v>0</v>
      </c>
      <c r="AN415" s="19">
        <v>12</v>
      </c>
      <c r="AO415" s="19">
        <f>H415*1</f>
        <v>0</v>
      </c>
      <c r="AP415" s="19">
        <f>H415*(1-1)</f>
        <v>0</v>
      </c>
      <c r="AQ415" s="87" t="s">
        <v>426</v>
      </c>
      <c r="AV415" s="19">
        <f t="shared" si="382"/>
        <v>0</v>
      </c>
      <c r="AW415" s="19">
        <f t="shared" si="383"/>
        <v>0</v>
      </c>
      <c r="AX415" s="19">
        <f t="shared" si="384"/>
        <v>0</v>
      </c>
      <c r="AY415" s="87" t="s">
        <v>698</v>
      </c>
      <c r="AZ415" s="87" t="s">
        <v>808</v>
      </c>
      <c r="BA415" s="16" t="s">
        <v>809</v>
      </c>
      <c r="BC415" s="19">
        <f t="shared" si="385"/>
        <v>0</v>
      </c>
      <c r="BD415" s="19">
        <f t="shared" si="386"/>
        <v>0</v>
      </c>
      <c r="BE415" s="19">
        <v>0</v>
      </c>
      <c r="BF415" s="19">
        <f t="shared" si="387"/>
        <v>0</v>
      </c>
      <c r="BH415" s="19">
        <f t="shared" si="388"/>
        <v>0</v>
      </c>
      <c r="BI415" s="19">
        <f t="shared" si="389"/>
        <v>0</v>
      </c>
      <c r="BJ415" s="19">
        <f t="shared" si="390"/>
        <v>0</v>
      </c>
      <c r="BK415" s="19"/>
      <c r="BL415" s="19">
        <v>34</v>
      </c>
      <c r="BW415" s="19" t="str">
        <f t="shared" si="391"/>
        <v>12</v>
      </c>
      <c r="BX415" s="4" t="s">
        <v>214</v>
      </c>
    </row>
    <row r="416" spans="1:76" x14ac:dyDescent="0.25">
      <c r="A416" s="1" t="s">
        <v>814</v>
      </c>
      <c r="B416" s="2" t="s">
        <v>303</v>
      </c>
      <c r="C416" s="2" t="s">
        <v>215</v>
      </c>
      <c r="D416" s="108" t="s">
        <v>216</v>
      </c>
      <c r="E416" s="102"/>
      <c r="F416" s="2" t="s">
        <v>217</v>
      </c>
      <c r="G416" s="19">
        <f>'Rozpočet - vybrané sloupce'!J383</f>
        <v>2.4</v>
      </c>
      <c r="H416" s="19">
        <f>'Rozpočet - vybrané sloupce'!K383</f>
        <v>0</v>
      </c>
      <c r="I416" s="87" t="s">
        <v>427</v>
      </c>
      <c r="J416" s="19">
        <f t="shared" si="366"/>
        <v>0</v>
      </c>
      <c r="K416" s="19">
        <f t="shared" si="367"/>
        <v>0</v>
      </c>
      <c r="L416" s="19">
        <f t="shared" si="368"/>
        <v>0</v>
      </c>
      <c r="M416" s="19">
        <f t="shared" si="369"/>
        <v>0</v>
      </c>
      <c r="N416" s="19">
        <v>0.25897999999999999</v>
      </c>
      <c r="O416" s="19">
        <f t="shared" si="370"/>
        <v>0.62155199999999999</v>
      </c>
      <c r="P416" s="88" t="s">
        <v>428</v>
      </c>
      <c r="Z416" s="19">
        <f t="shared" si="371"/>
        <v>0</v>
      </c>
      <c r="AB416" s="19">
        <f t="shared" si="372"/>
        <v>0</v>
      </c>
      <c r="AC416" s="19">
        <f t="shared" si="373"/>
        <v>0</v>
      </c>
      <c r="AD416" s="19">
        <f t="shared" si="374"/>
        <v>0</v>
      </c>
      <c r="AE416" s="19">
        <f t="shared" si="375"/>
        <v>0</v>
      </c>
      <c r="AF416" s="19">
        <f t="shared" si="376"/>
        <v>0</v>
      </c>
      <c r="AG416" s="19">
        <f t="shared" si="377"/>
        <v>0</v>
      </c>
      <c r="AH416" s="19">
        <f t="shared" si="378"/>
        <v>0</v>
      </c>
      <c r="AI416" s="16" t="s">
        <v>303</v>
      </c>
      <c r="AJ416" s="19">
        <f t="shared" si="379"/>
        <v>0</v>
      </c>
      <c r="AK416" s="19">
        <f t="shared" si="380"/>
        <v>0</v>
      </c>
      <c r="AL416" s="19">
        <f t="shared" si="381"/>
        <v>0</v>
      </c>
      <c r="AN416" s="19">
        <v>12</v>
      </c>
      <c r="AO416" s="19">
        <f>H416*0.488679715</f>
        <v>0</v>
      </c>
      <c r="AP416" s="19">
        <f>H416*(1-0.488679715)</f>
        <v>0</v>
      </c>
      <c r="AQ416" s="87" t="s">
        <v>426</v>
      </c>
      <c r="AV416" s="19">
        <f t="shared" si="382"/>
        <v>0</v>
      </c>
      <c r="AW416" s="19">
        <f t="shared" si="383"/>
        <v>0</v>
      </c>
      <c r="AX416" s="19">
        <f t="shared" si="384"/>
        <v>0</v>
      </c>
      <c r="AY416" s="87" t="s">
        <v>698</v>
      </c>
      <c r="AZ416" s="87" t="s">
        <v>808</v>
      </c>
      <c r="BA416" s="16" t="s">
        <v>809</v>
      </c>
      <c r="BC416" s="19">
        <f t="shared" si="385"/>
        <v>0</v>
      </c>
      <c r="BD416" s="19">
        <f t="shared" si="386"/>
        <v>0</v>
      </c>
      <c r="BE416" s="19">
        <v>0</v>
      </c>
      <c r="BF416" s="19">
        <f t="shared" si="387"/>
        <v>0.62155199999999999</v>
      </c>
      <c r="BH416" s="19">
        <f t="shared" si="388"/>
        <v>0</v>
      </c>
      <c r="BI416" s="19">
        <f t="shared" si="389"/>
        <v>0</v>
      </c>
      <c r="BJ416" s="19">
        <f t="shared" si="390"/>
        <v>0</v>
      </c>
      <c r="BK416" s="19"/>
      <c r="BL416" s="19">
        <v>34</v>
      </c>
      <c r="BW416" s="19" t="str">
        <f t="shared" si="391"/>
        <v>12</v>
      </c>
      <c r="BX416" s="4" t="s">
        <v>216</v>
      </c>
    </row>
    <row r="417" spans="1:76" x14ac:dyDescent="0.25">
      <c r="A417" s="1" t="s">
        <v>815</v>
      </c>
      <c r="B417" s="2" t="s">
        <v>303</v>
      </c>
      <c r="C417" s="2" t="s">
        <v>218</v>
      </c>
      <c r="D417" s="108" t="s">
        <v>219</v>
      </c>
      <c r="E417" s="102"/>
      <c r="F417" s="2" t="s">
        <v>95</v>
      </c>
      <c r="G417" s="19">
        <f>'Rozpočet - vybrané sloupce'!J384</f>
        <v>0.8</v>
      </c>
      <c r="H417" s="19">
        <f>'Rozpočet - vybrané sloupce'!K384</f>
        <v>0</v>
      </c>
      <c r="I417" s="87" t="s">
        <v>427</v>
      </c>
      <c r="J417" s="19">
        <f t="shared" si="366"/>
        <v>0</v>
      </c>
      <c r="K417" s="19">
        <f t="shared" si="367"/>
        <v>0</v>
      </c>
      <c r="L417" s="19">
        <f t="shared" si="368"/>
        <v>0</v>
      </c>
      <c r="M417" s="19">
        <f t="shared" si="369"/>
        <v>0</v>
      </c>
      <c r="N417" s="19">
        <v>0</v>
      </c>
      <c r="O417" s="19">
        <f t="shared" si="370"/>
        <v>0</v>
      </c>
      <c r="P417" s="88" t="s">
        <v>428</v>
      </c>
      <c r="Z417" s="19">
        <f t="shared" si="371"/>
        <v>0</v>
      </c>
      <c r="AB417" s="19">
        <f t="shared" si="372"/>
        <v>0</v>
      </c>
      <c r="AC417" s="19">
        <f t="shared" si="373"/>
        <v>0</v>
      </c>
      <c r="AD417" s="19">
        <f t="shared" si="374"/>
        <v>0</v>
      </c>
      <c r="AE417" s="19">
        <f t="shared" si="375"/>
        <v>0</v>
      </c>
      <c r="AF417" s="19">
        <f t="shared" si="376"/>
        <v>0</v>
      </c>
      <c r="AG417" s="19">
        <f t="shared" si="377"/>
        <v>0</v>
      </c>
      <c r="AH417" s="19">
        <f t="shared" si="378"/>
        <v>0</v>
      </c>
      <c r="AI417" s="16" t="s">
        <v>303</v>
      </c>
      <c r="AJ417" s="19">
        <f t="shared" si="379"/>
        <v>0</v>
      </c>
      <c r="AK417" s="19">
        <f t="shared" si="380"/>
        <v>0</v>
      </c>
      <c r="AL417" s="19">
        <f t="shared" si="381"/>
        <v>0</v>
      </c>
      <c r="AN417" s="19">
        <v>12</v>
      </c>
      <c r="AO417" s="19">
        <f>H417*0</f>
        <v>0</v>
      </c>
      <c r="AP417" s="19">
        <f>H417*(1-0)</f>
        <v>0</v>
      </c>
      <c r="AQ417" s="87" t="s">
        <v>436</v>
      </c>
      <c r="AV417" s="19">
        <f t="shared" si="382"/>
        <v>0</v>
      </c>
      <c r="AW417" s="19">
        <f t="shared" si="383"/>
        <v>0</v>
      </c>
      <c r="AX417" s="19">
        <f t="shared" si="384"/>
        <v>0</v>
      </c>
      <c r="AY417" s="87" t="s">
        <v>698</v>
      </c>
      <c r="AZ417" s="87" t="s">
        <v>808</v>
      </c>
      <c r="BA417" s="16" t="s">
        <v>809</v>
      </c>
      <c r="BC417" s="19">
        <f t="shared" si="385"/>
        <v>0</v>
      </c>
      <c r="BD417" s="19">
        <f t="shared" si="386"/>
        <v>0</v>
      </c>
      <c r="BE417" s="19">
        <v>0</v>
      </c>
      <c r="BF417" s="19">
        <f t="shared" si="387"/>
        <v>0</v>
      </c>
      <c r="BH417" s="19">
        <f t="shared" si="388"/>
        <v>0</v>
      </c>
      <c r="BI417" s="19">
        <f t="shared" si="389"/>
        <v>0</v>
      </c>
      <c r="BJ417" s="19">
        <f t="shared" si="390"/>
        <v>0</v>
      </c>
      <c r="BK417" s="19"/>
      <c r="BL417" s="19">
        <v>34</v>
      </c>
      <c r="BW417" s="19" t="str">
        <f t="shared" si="391"/>
        <v>12</v>
      </c>
      <c r="BX417" s="4" t="s">
        <v>219</v>
      </c>
    </row>
    <row r="418" spans="1:76" x14ac:dyDescent="0.25">
      <c r="A418" s="84" t="s">
        <v>25</v>
      </c>
      <c r="B418" s="15" t="s">
        <v>303</v>
      </c>
      <c r="C418" s="15" t="s">
        <v>220</v>
      </c>
      <c r="D418" s="115" t="s">
        <v>221</v>
      </c>
      <c r="E418" s="116"/>
      <c r="F418" s="85" t="s">
        <v>23</v>
      </c>
      <c r="G418" s="85" t="s">
        <v>23</v>
      </c>
      <c r="H418" s="85" t="s">
        <v>23</v>
      </c>
      <c r="I418" s="85" t="s">
        <v>23</v>
      </c>
      <c r="J418" s="60">
        <f>SUM(J419:J419)</f>
        <v>0</v>
      </c>
      <c r="K418" s="60">
        <f>SUM(K419:K419)</f>
        <v>0</v>
      </c>
      <c r="L418" s="60">
        <f>SUM(L419:L419)</f>
        <v>0</v>
      </c>
      <c r="M418" s="60">
        <f>SUM(M419:M419)</f>
        <v>0</v>
      </c>
      <c r="N418" s="16" t="s">
        <v>25</v>
      </c>
      <c r="O418" s="60">
        <f>SUM(O419:O419)</f>
        <v>0</v>
      </c>
      <c r="P418" s="86" t="s">
        <v>25</v>
      </c>
      <c r="AI418" s="16" t="s">
        <v>303</v>
      </c>
      <c r="AS418" s="60">
        <f>SUM(AJ419:AJ419)</f>
        <v>0</v>
      </c>
      <c r="AT418" s="60">
        <f>SUM(AK419:AK419)</f>
        <v>0</v>
      </c>
      <c r="AU418" s="60">
        <f>SUM(AL419:AL419)</f>
        <v>0</v>
      </c>
    </row>
    <row r="419" spans="1:76" ht="25.5" x14ac:dyDescent="0.25">
      <c r="A419" s="1" t="s">
        <v>816</v>
      </c>
      <c r="B419" s="2" t="s">
        <v>303</v>
      </c>
      <c r="C419" s="2" t="s">
        <v>222</v>
      </c>
      <c r="D419" s="108" t="s">
        <v>223</v>
      </c>
      <c r="E419" s="102"/>
      <c r="F419" s="2" t="s">
        <v>62</v>
      </c>
      <c r="G419" s="19">
        <f>'Rozpočet - vybrané sloupce'!J386</f>
        <v>24</v>
      </c>
      <c r="H419" s="19">
        <f>'Rozpočet - vybrané sloupce'!K386</f>
        <v>0</v>
      </c>
      <c r="I419" s="87" t="s">
        <v>427</v>
      </c>
      <c r="J419" s="19">
        <f>G419*AO419</f>
        <v>0</v>
      </c>
      <c r="K419" s="19">
        <f>G419*AP419</f>
        <v>0</v>
      </c>
      <c r="L419" s="19">
        <f>G419*H419</f>
        <v>0</v>
      </c>
      <c r="M419" s="19">
        <f>L419*(1+BW419/100)</f>
        <v>0</v>
      </c>
      <c r="N419" s="19">
        <v>0</v>
      </c>
      <c r="O419" s="19">
        <f>G419*N419</f>
        <v>0</v>
      </c>
      <c r="P419" s="88" t="s">
        <v>428</v>
      </c>
      <c r="Z419" s="19">
        <f>IF(AQ419="5",BJ419,0)</f>
        <v>0</v>
      </c>
      <c r="AB419" s="19">
        <f>IF(AQ419="1",BH419,0)</f>
        <v>0</v>
      </c>
      <c r="AC419" s="19">
        <f>IF(AQ419="1",BI419,0)</f>
        <v>0</v>
      </c>
      <c r="AD419" s="19">
        <f>IF(AQ419="7",BH419,0)</f>
        <v>0</v>
      </c>
      <c r="AE419" s="19">
        <f>IF(AQ419="7",BI419,0)</f>
        <v>0</v>
      </c>
      <c r="AF419" s="19">
        <f>IF(AQ419="2",BH419,0)</f>
        <v>0</v>
      </c>
      <c r="AG419" s="19">
        <f>IF(AQ419="2",BI419,0)</f>
        <v>0</v>
      </c>
      <c r="AH419" s="19">
        <f>IF(AQ419="0",BJ419,0)</f>
        <v>0</v>
      </c>
      <c r="AI419" s="16" t="s">
        <v>303</v>
      </c>
      <c r="AJ419" s="19">
        <f>IF(AN419=0,L419,0)</f>
        <v>0</v>
      </c>
      <c r="AK419" s="19">
        <f>IF(AN419=12,L419,0)</f>
        <v>0</v>
      </c>
      <c r="AL419" s="19">
        <f>IF(AN419=21,L419,0)</f>
        <v>0</v>
      </c>
      <c r="AN419" s="19">
        <v>12</v>
      </c>
      <c r="AO419" s="19">
        <f>H419*0.542372881</f>
        <v>0</v>
      </c>
      <c r="AP419" s="19">
        <f>H419*(1-0.542372881)</f>
        <v>0</v>
      </c>
      <c r="AQ419" s="87" t="s">
        <v>426</v>
      </c>
      <c r="AV419" s="19">
        <f>AW419+AX419</f>
        <v>0</v>
      </c>
      <c r="AW419" s="19">
        <f>G419*AO419</f>
        <v>0</v>
      </c>
      <c r="AX419" s="19">
        <f>G419*AP419</f>
        <v>0</v>
      </c>
      <c r="AY419" s="87" t="s">
        <v>710</v>
      </c>
      <c r="AZ419" s="87" t="s">
        <v>817</v>
      </c>
      <c r="BA419" s="16" t="s">
        <v>809</v>
      </c>
      <c r="BC419" s="19">
        <f>AW419+AX419</f>
        <v>0</v>
      </c>
      <c r="BD419" s="19">
        <f>H419/(100-BE419)*100</f>
        <v>0</v>
      </c>
      <c r="BE419" s="19">
        <v>0</v>
      </c>
      <c r="BF419" s="19">
        <f>O419</f>
        <v>0</v>
      </c>
      <c r="BH419" s="19">
        <f>G419*AO419</f>
        <v>0</v>
      </c>
      <c r="BI419" s="19">
        <f>G419*AP419</f>
        <v>0</v>
      </c>
      <c r="BJ419" s="19">
        <f>G419*H419</f>
        <v>0</v>
      </c>
      <c r="BK419" s="19"/>
      <c r="BL419" s="19">
        <v>411</v>
      </c>
      <c r="BW419" s="19" t="str">
        <f>I419</f>
        <v>12</v>
      </c>
      <c r="BX419" s="4" t="s">
        <v>223</v>
      </c>
    </row>
    <row r="420" spans="1:76" x14ac:dyDescent="0.25">
      <c r="A420" s="84" t="s">
        <v>25</v>
      </c>
      <c r="B420" s="15" t="s">
        <v>303</v>
      </c>
      <c r="C420" s="15" t="s">
        <v>224</v>
      </c>
      <c r="D420" s="115" t="s">
        <v>225</v>
      </c>
      <c r="E420" s="116"/>
      <c r="F420" s="85" t="s">
        <v>23</v>
      </c>
      <c r="G420" s="85" t="s">
        <v>23</v>
      </c>
      <c r="H420" s="85" t="s">
        <v>23</v>
      </c>
      <c r="I420" s="85" t="s">
        <v>23</v>
      </c>
      <c r="J420" s="60">
        <f>SUM(J421:J421)</f>
        <v>0</v>
      </c>
      <c r="K420" s="60">
        <f>SUM(K421:K421)</f>
        <v>0</v>
      </c>
      <c r="L420" s="60">
        <f>SUM(L421:L421)</f>
        <v>0</v>
      </c>
      <c r="M420" s="60">
        <f>SUM(M421:M421)</f>
        <v>0</v>
      </c>
      <c r="N420" s="16" t="s">
        <v>25</v>
      </c>
      <c r="O420" s="60">
        <f>SUM(O421:O421)</f>
        <v>0</v>
      </c>
      <c r="P420" s="86" t="s">
        <v>25</v>
      </c>
      <c r="AI420" s="16" t="s">
        <v>303</v>
      </c>
      <c r="AS420" s="60">
        <f>SUM(AJ421:AJ421)</f>
        <v>0</v>
      </c>
      <c r="AT420" s="60">
        <f>SUM(AK421:AK421)</f>
        <v>0</v>
      </c>
      <c r="AU420" s="60">
        <f>SUM(AL421:AL421)</f>
        <v>0</v>
      </c>
    </row>
    <row r="421" spans="1:76" x14ac:dyDescent="0.25">
      <c r="A421" s="1" t="s">
        <v>818</v>
      </c>
      <c r="B421" s="2" t="s">
        <v>303</v>
      </c>
      <c r="C421" s="2" t="s">
        <v>226</v>
      </c>
      <c r="D421" s="108" t="s">
        <v>227</v>
      </c>
      <c r="E421" s="102"/>
      <c r="F421" s="2" t="s">
        <v>100</v>
      </c>
      <c r="G421" s="19">
        <f>'Rozpočet - vybrané sloupce'!J388</f>
        <v>24</v>
      </c>
      <c r="H421" s="19">
        <f>'Rozpočet - vybrané sloupce'!K388</f>
        <v>0</v>
      </c>
      <c r="I421" s="87" t="s">
        <v>427</v>
      </c>
      <c r="J421" s="19">
        <f>G421*AO421</f>
        <v>0</v>
      </c>
      <c r="K421" s="19">
        <f>G421*AP421</f>
        <v>0</v>
      </c>
      <c r="L421" s="19">
        <f>G421*H421</f>
        <v>0</v>
      </c>
      <c r="M421" s="19">
        <f>L421*(1+BW421/100)</f>
        <v>0</v>
      </c>
      <c r="N421" s="19">
        <v>0</v>
      </c>
      <c r="O421" s="19">
        <f>G421*N421</f>
        <v>0</v>
      </c>
      <c r="P421" s="88" t="s">
        <v>428</v>
      </c>
      <c r="Z421" s="19">
        <f>IF(AQ421="5",BJ421,0)</f>
        <v>0</v>
      </c>
      <c r="AB421" s="19">
        <f>IF(AQ421="1",BH421,0)</f>
        <v>0</v>
      </c>
      <c r="AC421" s="19">
        <f>IF(AQ421="1",BI421,0)</f>
        <v>0</v>
      </c>
      <c r="AD421" s="19">
        <f>IF(AQ421="7",BH421,0)</f>
        <v>0</v>
      </c>
      <c r="AE421" s="19">
        <f>IF(AQ421="7",BI421,0)</f>
        <v>0</v>
      </c>
      <c r="AF421" s="19">
        <f>IF(AQ421="2",BH421,0)</f>
        <v>0</v>
      </c>
      <c r="AG421" s="19">
        <f>IF(AQ421="2",BI421,0)</f>
        <v>0</v>
      </c>
      <c r="AH421" s="19">
        <f>IF(AQ421="0",BJ421,0)</f>
        <v>0</v>
      </c>
      <c r="AI421" s="16" t="s">
        <v>303</v>
      </c>
      <c r="AJ421" s="19">
        <f>IF(AN421=0,L421,0)</f>
        <v>0</v>
      </c>
      <c r="AK421" s="19">
        <f>IF(AN421=12,L421,0)</f>
        <v>0</v>
      </c>
      <c r="AL421" s="19">
        <f>IF(AN421=21,L421,0)</f>
        <v>0</v>
      </c>
      <c r="AN421" s="19">
        <v>12</v>
      </c>
      <c r="AO421" s="19">
        <f>H421*0.5</f>
        <v>0</v>
      </c>
      <c r="AP421" s="19">
        <f>H421*(1-0.5)</f>
        <v>0</v>
      </c>
      <c r="AQ421" s="87" t="s">
        <v>429</v>
      </c>
      <c r="AV421" s="19">
        <f>AW421+AX421</f>
        <v>0</v>
      </c>
      <c r="AW421" s="19">
        <f>G421*AO421</f>
        <v>0</v>
      </c>
      <c r="AX421" s="19">
        <f>G421*AP421</f>
        <v>0</v>
      </c>
      <c r="AY421" s="87" t="s">
        <v>713</v>
      </c>
      <c r="AZ421" s="87" t="s">
        <v>819</v>
      </c>
      <c r="BA421" s="16" t="s">
        <v>809</v>
      </c>
      <c r="BC421" s="19">
        <f>AW421+AX421</f>
        <v>0</v>
      </c>
      <c r="BD421" s="19">
        <f>H421/(100-BE421)*100</f>
        <v>0</v>
      </c>
      <c r="BE421" s="19">
        <v>0</v>
      </c>
      <c r="BF421" s="19">
        <f>O421</f>
        <v>0</v>
      </c>
      <c r="BH421" s="19">
        <f>G421*AO421</f>
        <v>0</v>
      </c>
      <c r="BI421" s="19">
        <f>G421*AP421</f>
        <v>0</v>
      </c>
      <c r="BJ421" s="19">
        <f>G421*H421</f>
        <v>0</v>
      </c>
      <c r="BK421" s="19"/>
      <c r="BL421" s="19">
        <v>74</v>
      </c>
      <c r="BW421" s="19" t="str">
        <f>I421</f>
        <v>12</v>
      </c>
      <c r="BX421" s="4" t="s">
        <v>227</v>
      </c>
    </row>
    <row r="422" spans="1:76" x14ac:dyDescent="0.25">
      <c r="A422" s="84" t="s">
        <v>25</v>
      </c>
      <c r="B422" s="15" t="s">
        <v>303</v>
      </c>
      <c r="C422" s="15" t="s">
        <v>228</v>
      </c>
      <c r="D422" s="115" t="s">
        <v>229</v>
      </c>
      <c r="E422" s="116"/>
      <c r="F422" s="85" t="s">
        <v>23</v>
      </c>
      <c r="G422" s="85" t="s">
        <v>23</v>
      </c>
      <c r="H422" s="85" t="s">
        <v>23</v>
      </c>
      <c r="I422" s="85" t="s">
        <v>23</v>
      </c>
      <c r="J422" s="60">
        <f>SUM(J423:J426)</f>
        <v>0</v>
      </c>
      <c r="K422" s="60">
        <f>SUM(K423:K426)</f>
        <v>0</v>
      </c>
      <c r="L422" s="60">
        <f>SUM(L423:L426)</f>
        <v>0</v>
      </c>
      <c r="M422" s="60">
        <f>SUM(M423:M426)</f>
        <v>0</v>
      </c>
      <c r="N422" s="16" t="s">
        <v>25</v>
      </c>
      <c r="O422" s="60">
        <f>SUM(O423:O426)</f>
        <v>1.1520000000000001E-2</v>
      </c>
      <c r="P422" s="86" t="s">
        <v>25</v>
      </c>
      <c r="AI422" s="16" t="s">
        <v>303</v>
      </c>
      <c r="AS422" s="60">
        <f>SUM(AJ423:AJ426)</f>
        <v>0</v>
      </c>
      <c r="AT422" s="60">
        <f>SUM(AK423:AK426)</f>
        <v>0</v>
      </c>
      <c r="AU422" s="60">
        <f>SUM(AL423:AL426)</f>
        <v>0</v>
      </c>
    </row>
    <row r="423" spans="1:76" x14ac:dyDescent="0.25">
      <c r="A423" s="1" t="s">
        <v>820</v>
      </c>
      <c r="B423" s="2" t="s">
        <v>303</v>
      </c>
      <c r="C423" s="2" t="s">
        <v>230</v>
      </c>
      <c r="D423" s="108" t="s">
        <v>231</v>
      </c>
      <c r="E423" s="102"/>
      <c r="F423" s="2" t="s">
        <v>232</v>
      </c>
      <c r="G423" s="19">
        <f>'Rozpočet - vybrané sloupce'!J390</f>
        <v>96</v>
      </c>
      <c r="H423" s="19">
        <f>'Rozpočet - vybrané sloupce'!K390</f>
        <v>0</v>
      </c>
      <c r="I423" s="87" t="s">
        <v>427</v>
      </c>
      <c r="J423" s="19">
        <f>G423*AO423</f>
        <v>0</v>
      </c>
      <c r="K423" s="19">
        <f>G423*AP423</f>
        <v>0</v>
      </c>
      <c r="L423" s="19">
        <f>G423*H423</f>
        <v>0</v>
      </c>
      <c r="M423" s="19">
        <f>L423*(1+BW423/100)</f>
        <v>0</v>
      </c>
      <c r="N423" s="19">
        <v>1.2E-4</v>
      </c>
      <c r="O423" s="19">
        <f>G423*N423</f>
        <v>1.1520000000000001E-2</v>
      </c>
      <c r="P423" s="88" t="s">
        <v>428</v>
      </c>
      <c r="Z423" s="19">
        <f>IF(AQ423="5",BJ423,0)</f>
        <v>0</v>
      </c>
      <c r="AB423" s="19">
        <f>IF(AQ423="1",BH423,0)</f>
        <v>0</v>
      </c>
      <c r="AC423" s="19">
        <f>IF(AQ423="1",BI423,0)</f>
        <v>0</v>
      </c>
      <c r="AD423" s="19">
        <f>IF(AQ423="7",BH423,0)</f>
        <v>0</v>
      </c>
      <c r="AE423" s="19">
        <f>IF(AQ423="7",BI423,0)</f>
        <v>0</v>
      </c>
      <c r="AF423" s="19">
        <f>IF(AQ423="2",BH423,0)</f>
        <v>0</v>
      </c>
      <c r="AG423" s="19">
        <f>IF(AQ423="2",BI423,0)</f>
        <v>0</v>
      </c>
      <c r="AH423" s="19">
        <f>IF(AQ423="0",BJ423,0)</f>
        <v>0</v>
      </c>
      <c r="AI423" s="16" t="s">
        <v>303</v>
      </c>
      <c r="AJ423" s="19">
        <f>IF(AN423=0,L423,0)</f>
        <v>0</v>
      </c>
      <c r="AK423" s="19">
        <f>IF(AN423=12,L423,0)</f>
        <v>0</v>
      </c>
      <c r="AL423" s="19">
        <f>IF(AN423=21,L423,0)</f>
        <v>0</v>
      </c>
      <c r="AN423" s="19">
        <v>12</v>
      </c>
      <c r="AO423" s="19">
        <f>H423*0.425439015</f>
        <v>0</v>
      </c>
      <c r="AP423" s="19">
        <f>H423*(1-0.425439015)</f>
        <v>0</v>
      </c>
      <c r="AQ423" s="87" t="s">
        <v>429</v>
      </c>
      <c r="AV423" s="19">
        <f>AW423+AX423</f>
        <v>0</v>
      </c>
      <c r="AW423" s="19">
        <f>G423*AO423</f>
        <v>0</v>
      </c>
      <c r="AX423" s="19">
        <f>G423*AP423</f>
        <v>0</v>
      </c>
      <c r="AY423" s="87" t="s">
        <v>716</v>
      </c>
      <c r="AZ423" s="87" t="s">
        <v>821</v>
      </c>
      <c r="BA423" s="16" t="s">
        <v>809</v>
      </c>
      <c r="BC423" s="19">
        <f>AW423+AX423</f>
        <v>0</v>
      </c>
      <c r="BD423" s="19">
        <f>H423/(100-BE423)*100</f>
        <v>0</v>
      </c>
      <c r="BE423" s="19">
        <v>0</v>
      </c>
      <c r="BF423" s="19">
        <f>O423</f>
        <v>1.1520000000000001E-2</v>
      </c>
      <c r="BH423" s="19">
        <f>G423*AO423</f>
        <v>0</v>
      </c>
      <c r="BI423" s="19">
        <f>G423*AP423</f>
        <v>0</v>
      </c>
      <c r="BJ423" s="19">
        <f>G423*H423</f>
        <v>0</v>
      </c>
      <c r="BK423" s="19"/>
      <c r="BL423" s="19">
        <v>767</v>
      </c>
      <c r="BW423" s="19" t="str">
        <f>I423</f>
        <v>12</v>
      </c>
      <c r="BX423" s="4" t="s">
        <v>231</v>
      </c>
    </row>
    <row r="424" spans="1:76" x14ac:dyDescent="0.25">
      <c r="A424" s="1" t="s">
        <v>822</v>
      </c>
      <c r="B424" s="2" t="s">
        <v>303</v>
      </c>
      <c r="C424" s="2" t="s">
        <v>237</v>
      </c>
      <c r="D424" s="108" t="s">
        <v>238</v>
      </c>
      <c r="E424" s="102"/>
      <c r="F424" s="2" t="s">
        <v>51</v>
      </c>
      <c r="G424" s="19">
        <f>'Rozpočet - vybrané sloupce'!J391</f>
        <v>480</v>
      </c>
      <c r="H424" s="19">
        <f>'Rozpočet - vybrané sloupce'!K391</f>
        <v>0</v>
      </c>
      <c r="I424" s="87" t="s">
        <v>427</v>
      </c>
      <c r="J424" s="19">
        <f>G424*AO424</f>
        <v>0</v>
      </c>
      <c r="K424" s="19">
        <f>G424*AP424</f>
        <v>0</v>
      </c>
      <c r="L424" s="19">
        <f>G424*H424</f>
        <v>0</v>
      </c>
      <c r="M424" s="19">
        <f>L424*(1+BW424/100)</f>
        <v>0</v>
      </c>
      <c r="N424" s="19">
        <v>0</v>
      </c>
      <c r="O424" s="19">
        <f>G424*N424</f>
        <v>0</v>
      </c>
      <c r="P424" s="88" t="s">
        <v>428</v>
      </c>
      <c r="Z424" s="19">
        <f>IF(AQ424="5",BJ424,0)</f>
        <v>0</v>
      </c>
      <c r="AB424" s="19">
        <f>IF(AQ424="1",BH424,0)</f>
        <v>0</v>
      </c>
      <c r="AC424" s="19">
        <f>IF(AQ424="1",BI424,0)</f>
        <v>0</v>
      </c>
      <c r="AD424" s="19">
        <f>IF(AQ424="7",BH424,0)</f>
        <v>0</v>
      </c>
      <c r="AE424" s="19">
        <f>IF(AQ424="7",BI424,0)</f>
        <v>0</v>
      </c>
      <c r="AF424" s="19">
        <f>IF(AQ424="2",BH424,0)</f>
        <v>0</v>
      </c>
      <c r="AG424" s="19">
        <f>IF(AQ424="2",BI424,0)</f>
        <v>0</v>
      </c>
      <c r="AH424" s="19">
        <f>IF(AQ424="0",BJ424,0)</f>
        <v>0</v>
      </c>
      <c r="AI424" s="16" t="s">
        <v>303</v>
      </c>
      <c r="AJ424" s="19">
        <f>IF(AN424=0,L424,0)</f>
        <v>0</v>
      </c>
      <c r="AK424" s="19">
        <f>IF(AN424=12,L424,0)</f>
        <v>0</v>
      </c>
      <c r="AL424" s="19">
        <f>IF(AN424=21,L424,0)</f>
        <v>0</v>
      </c>
      <c r="AN424" s="19">
        <v>12</v>
      </c>
      <c r="AO424" s="19">
        <f>H424*0</f>
        <v>0</v>
      </c>
      <c r="AP424" s="19">
        <f>H424*(1-0)</f>
        <v>0</v>
      </c>
      <c r="AQ424" s="87" t="s">
        <v>436</v>
      </c>
      <c r="AV424" s="19">
        <f>AW424+AX424</f>
        <v>0</v>
      </c>
      <c r="AW424" s="19">
        <f>G424*AO424</f>
        <v>0</v>
      </c>
      <c r="AX424" s="19">
        <f>G424*AP424</f>
        <v>0</v>
      </c>
      <c r="AY424" s="87" t="s">
        <v>716</v>
      </c>
      <c r="AZ424" s="87" t="s">
        <v>821</v>
      </c>
      <c r="BA424" s="16" t="s">
        <v>809</v>
      </c>
      <c r="BC424" s="19">
        <f>AW424+AX424</f>
        <v>0</v>
      </c>
      <c r="BD424" s="19">
        <f>H424/(100-BE424)*100</f>
        <v>0</v>
      </c>
      <c r="BE424" s="19">
        <v>0</v>
      </c>
      <c r="BF424" s="19">
        <f>O424</f>
        <v>0</v>
      </c>
      <c r="BH424" s="19">
        <f>G424*AO424</f>
        <v>0</v>
      </c>
      <c r="BI424" s="19">
        <f>G424*AP424</f>
        <v>0</v>
      </c>
      <c r="BJ424" s="19">
        <f>G424*H424</f>
        <v>0</v>
      </c>
      <c r="BK424" s="19"/>
      <c r="BL424" s="19">
        <v>767</v>
      </c>
      <c r="BW424" s="19" t="str">
        <f>I424</f>
        <v>12</v>
      </c>
      <c r="BX424" s="4" t="s">
        <v>238</v>
      </c>
    </row>
    <row r="425" spans="1:76" x14ac:dyDescent="0.25">
      <c r="A425" s="1" t="s">
        <v>823</v>
      </c>
      <c r="B425" s="2" t="s">
        <v>303</v>
      </c>
      <c r="C425" s="2" t="s">
        <v>233</v>
      </c>
      <c r="D425" s="108" t="s">
        <v>234</v>
      </c>
      <c r="E425" s="102"/>
      <c r="F425" s="2" t="s">
        <v>62</v>
      </c>
      <c r="G425" s="19">
        <f>'Rozpočet - vybrané sloupce'!J392</f>
        <v>48</v>
      </c>
      <c r="H425" s="19">
        <f>'Rozpočet - vybrané sloupce'!K392</f>
        <v>0</v>
      </c>
      <c r="I425" s="87" t="s">
        <v>427</v>
      </c>
      <c r="J425" s="19">
        <f>G425*AO425</f>
        <v>0</v>
      </c>
      <c r="K425" s="19">
        <f>G425*AP425</f>
        <v>0</v>
      </c>
      <c r="L425" s="19">
        <f>G425*H425</f>
        <v>0</v>
      </c>
      <c r="M425" s="19">
        <f>L425*(1+BW425/100)</f>
        <v>0</v>
      </c>
      <c r="N425" s="19">
        <v>0</v>
      </c>
      <c r="O425" s="19">
        <f>G425*N425</f>
        <v>0</v>
      </c>
      <c r="P425" s="88" t="s">
        <v>428</v>
      </c>
      <c r="Z425" s="19">
        <f>IF(AQ425="5",BJ425,0)</f>
        <v>0</v>
      </c>
      <c r="AB425" s="19">
        <f>IF(AQ425="1",BH425,0)</f>
        <v>0</v>
      </c>
      <c r="AC425" s="19">
        <f>IF(AQ425="1",BI425,0)</f>
        <v>0</v>
      </c>
      <c r="AD425" s="19">
        <f>IF(AQ425="7",BH425,0)</f>
        <v>0</v>
      </c>
      <c r="AE425" s="19">
        <f>IF(AQ425="7",BI425,0)</f>
        <v>0</v>
      </c>
      <c r="AF425" s="19">
        <f>IF(AQ425="2",BH425,0)</f>
        <v>0</v>
      </c>
      <c r="AG425" s="19">
        <f>IF(AQ425="2",BI425,0)</f>
        <v>0</v>
      </c>
      <c r="AH425" s="19">
        <f>IF(AQ425="0",BJ425,0)</f>
        <v>0</v>
      </c>
      <c r="AI425" s="16" t="s">
        <v>303</v>
      </c>
      <c r="AJ425" s="19">
        <f>IF(AN425=0,L425,0)</f>
        <v>0</v>
      </c>
      <c r="AK425" s="19">
        <f>IF(AN425=12,L425,0)</f>
        <v>0</v>
      </c>
      <c r="AL425" s="19">
        <f>IF(AN425=21,L425,0)</f>
        <v>0</v>
      </c>
      <c r="AN425" s="19">
        <v>12</v>
      </c>
      <c r="AO425" s="19">
        <f>H425*1</f>
        <v>0</v>
      </c>
      <c r="AP425" s="19">
        <f>H425*(1-1)</f>
        <v>0</v>
      </c>
      <c r="AQ425" s="87" t="s">
        <v>429</v>
      </c>
      <c r="AV425" s="19">
        <f>AW425+AX425</f>
        <v>0</v>
      </c>
      <c r="AW425" s="19">
        <f>G425*AO425</f>
        <v>0</v>
      </c>
      <c r="AX425" s="19">
        <f>G425*AP425</f>
        <v>0</v>
      </c>
      <c r="AY425" s="87" t="s">
        <v>716</v>
      </c>
      <c r="AZ425" s="87" t="s">
        <v>821</v>
      </c>
      <c r="BA425" s="16" t="s">
        <v>809</v>
      </c>
      <c r="BC425" s="19">
        <f>AW425+AX425</f>
        <v>0</v>
      </c>
      <c r="BD425" s="19">
        <f>H425/(100-BE425)*100</f>
        <v>0</v>
      </c>
      <c r="BE425" s="19">
        <v>0</v>
      </c>
      <c r="BF425" s="19">
        <f>O425</f>
        <v>0</v>
      </c>
      <c r="BH425" s="19">
        <f>G425*AO425</f>
        <v>0</v>
      </c>
      <c r="BI425" s="19">
        <f>G425*AP425</f>
        <v>0</v>
      </c>
      <c r="BJ425" s="19">
        <f>G425*H425</f>
        <v>0</v>
      </c>
      <c r="BK425" s="19"/>
      <c r="BL425" s="19">
        <v>767</v>
      </c>
      <c r="BW425" s="19" t="str">
        <f>I425</f>
        <v>12</v>
      </c>
      <c r="BX425" s="4" t="s">
        <v>234</v>
      </c>
    </row>
    <row r="426" spans="1:76" x14ac:dyDescent="0.25">
      <c r="A426" s="1" t="s">
        <v>824</v>
      </c>
      <c r="B426" s="2" t="s">
        <v>303</v>
      </c>
      <c r="C426" s="2" t="s">
        <v>235</v>
      </c>
      <c r="D426" s="108" t="s">
        <v>236</v>
      </c>
      <c r="E426" s="102"/>
      <c r="F426" s="2" t="s">
        <v>62</v>
      </c>
      <c r="G426" s="19">
        <f>'Rozpočet - vybrané sloupce'!J393</f>
        <v>96</v>
      </c>
      <c r="H426" s="19">
        <f>'Rozpočet - vybrané sloupce'!K393</f>
        <v>0</v>
      </c>
      <c r="I426" s="87" t="s">
        <v>427</v>
      </c>
      <c r="J426" s="19">
        <f>G426*AO426</f>
        <v>0</v>
      </c>
      <c r="K426" s="19">
        <f>G426*AP426</f>
        <v>0</v>
      </c>
      <c r="L426" s="19">
        <f>G426*H426</f>
        <v>0</v>
      </c>
      <c r="M426" s="19">
        <f>L426*(1+BW426/100)</f>
        <v>0</v>
      </c>
      <c r="N426" s="19">
        <v>0</v>
      </c>
      <c r="O426" s="19">
        <f>G426*N426</f>
        <v>0</v>
      </c>
      <c r="P426" s="88" t="s">
        <v>428</v>
      </c>
      <c r="Z426" s="19">
        <f>IF(AQ426="5",BJ426,0)</f>
        <v>0</v>
      </c>
      <c r="AB426" s="19">
        <f>IF(AQ426="1",BH426,0)</f>
        <v>0</v>
      </c>
      <c r="AC426" s="19">
        <f>IF(AQ426="1",BI426,0)</f>
        <v>0</v>
      </c>
      <c r="AD426" s="19">
        <f>IF(AQ426="7",BH426,0)</f>
        <v>0</v>
      </c>
      <c r="AE426" s="19">
        <f>IF(AQ426="7",BI426,0)</f>
        <v>0</v>
      </c>
      <c r="AF426" s="19">
        <f>IF(AQ426="2",BH426,0)</f>
        <v>0</v>
      </c>
      <c r="AG426" s="19">
        <f>IF(AQ426="2",BI426,0)</f>
        <v>0</v>
      </c>
      <c r="AH426" s="19">
        <f>IF(AQ426="0",BJ426,0)</f>
        <v>0</v>
      </c>
      <c r="AI426" s="16" t="s">
        <v>303</v>
      </c>
      <c r="AJ426" s="19">
        <f>IF(AN426=0,L426,0)</f>
        <v>0</v>
      </c>
      <c r="AK426" s="19">
        <f>IF(AN426=12,L426,0)</f>
        <v>0</v>
      </c>
      <c r="AL426" s="19">
        <f>IF(AN426=21,L426,0)</f>
        <v>0</v>
      </c>
      <c r="AN426" s="19">
        <v>12</v>
      </c>
      <c r="AO426" s="19">
        <f>H426*1</f>
        <v>0</v>
      </c>
      <c r="AP426" s="19">
        <f>H426*(1-1)</f>
        <v>0</v>
      </c>
      <c r="AQ426" s="87" t="s">
        <v>429</v>
      </c>
      <c r="AV426" s="19">
        <f>AW426+AX426</f>
        <v>0</v>
      </c>
      <c r="AW426" s="19">
        <f>G426*AO426</f>
        <v>0</v>
      </c>
      <c r="AX426" s="19">
        <f>G426*AP426</f>
        <v>0</v>
      </c>
      <c r="AY426" s="87" t="s">
        <v>716</v>
      </c>
      <c r="AZ426" s="87" t="s">
        <v>821</v>
      </c>
      <c r="BA426" s="16" t="s">
        <v>809</v>
      </c>
      <c r="BC426" s="19">
        <f>AW426+AX426</f>
        <v>0</v>
      </c>
      <c r="BD426" s="19">
        <f>H426/(100-BE426)*100</f>
        <v>0</v>
      </c>
      <c r="BE426" s="19">
        <v>0</v>
      </c>
      <c r="BF426" s="19">
        <f>O426</f>
        <v>0</v>
      </c>
      <c r="BH426" s="19">
        <f>G426*AO426</f>
        <v>0</v>
      </c>
      <c r="BI426" s="19">
        <f>G426*AP426</f>
        <v>0</v>
      </c>
      <c r="BJ426" s="19">
        <f>G426*H426</f>
        <v>0</v>
      </c>
      <c r="BK426" s="19"/>
      <c r="BL426" s="19">
        <v>767</v>
      </c>
      <c r="BW426" s="19" t="str">
        <f>I426</f>
        <v>12</v>
      </c>
      <c r="BX426" s="4" t="s">
        <v>236</v>
      </c>
    </row>
    <row r="427" spans="1:76" x14ac:dyDescent="0.25">
      <c r="A427" s="84" t="s">
        <v>25</v>
      </c>
      <c r="B427" s="15" t="s">
        <v>303</v>
      </c>
      <c r="C427" s="15" t="s">
        <v>239</v>
      </c>
      <c r="D427" s="115" t="s">
        <v>240</v>
      </c>
      <c r="E427" s="116"/>
      <c r="F427" s="85" t="s">
        <v>23</v>
      </c>
      <c r="G427" s="85" t="s">
        <v>23</v>
      </c>
      <c r="H427" s="85" t="s">
        <v>23</v>
      </c>
      <c r="I427" s="85" t="s">
        <v>23</v>
      </c>
      <c r="J427" s="60">
        <f>SUM(J428:J432)</f>
        <v>0</v>
      </c>
      <c r="K427" s="60">
        <f>SUM(K428:K432)</f>
        <v>0</v>
      </c>
      <c r="L427" s="60">
        <f>SUM(L428:L432)</f>
        <v>0</v>
      </c>
      <c r="M427" s="60">
        <f>SUM(M428:M432)</f>
        <v>0</v>
      </c>
      <c r="N427" s="16" t="s">
        <v>25</v>
      </c>
      <c r="O427" s="60">
        <f>SUM(O428:O432)</f>
        <v>1.3798839999999999</v>
      </c>
      <c r="P427" s="86" t="s">
        <v>25</v>
      </c>
      <c r="AI427" s="16" t="s">
        <v>303</v>
      </c>
      <c r="AS427" s="60">
        <f>SUM(AJ428:AJ432)</f>
        <v>0</v>
      </c>
      <c r="AT427" s="60">
        <f>SUM(AK428:AK432)</f>
        <v>0</v>
      </c>
      <c r="AU427" s="60">
        <f>SUM(AL428:AL432)</f>
        <v>0</v>
      </c>
    </row>
    <row r="428" spans="1:76" x14ac:dyDescent="0.25">
      <c r="A428" s="1" t="s">
        <v>825</v>
      </c>
      <c r="B428" s="2" t="s">
        <v>303</v>
      </c>
      <c r="C428" s="2" t="s">
        <v>241</v>
      </c>
      <c r="D428" s="108" t="s">
        <v>242</v>
      </c>
      <c r="E428" s="102"/>
      <c r="F428" s="2" t="s">
        <v>217</v>
      </c>
      <c r="G428" s="19">
        <f>'Rozpočet - vybrané sloupce'!J395</f>
        <v>44.4</v>
      </c>
      <c r="H428" s="19">
        <f>'Rozpočet - vybrané sloupce'!K395</f>
        <v>0</v>
      </c>
      <c r="I428" s="87" t="s">
        <v>427</v>
      </c>
      <c r="J428" s="19">
        <f>G428*AO428</f>
        <v>0</v>
      </c>
      <c r="K428" s="19">
        <f>G428*AP428</f>
        <v>0</v>
      </c>
      <c r="L428" s="19">
        <f>G428*H428</f>
        <v>0</v>
      </c>
      <c r="M428" s="19">
        <f>L428*(1+BW428/100)</f>
        <v>0</v>
      </c>
      <c r="N428" s="19">
        <v>2.1000000000000001E-4</v>
      </c>
      <c r="O428" s="19">
        <f>G428*N428</f>
        <v>9.3240000000000007E-3</v>
      </c>
      <c r="P428" s="88" t="s">
        <v>428</v>
      </c>
      <c r="Z428" s="19">
        <f>IF(AQ428="5",BJ428,0)</f>
        <v>0</v>
      </c>
      <c r="AB428" s="19">
        <f>IF(AQ428="1",BH428,0)</f>
        <v>0</v>
      </c>
      <c r="AC428" s="19">
        <f>IF(AQ428="1",BI428,0)</f>
        <v>0</v>
      </c>
      <c r="AD428" s="19">
        <f>IF(AQ428="7",BH428,0)</f>
        <v>0</v>
      </c>
      <c r="AE428" s="19">
        <f>IF(AQ428="7",BI428,0)</f>
        <v>0</v>
      </c>
      <c r="AF428" s="19">
        <f>IF(AQ428="2",BH428,0)</f>
        <v>0</v>
      </c>
      <c r="AG428" s="19">
        <f>IF(AQ428="2",BI428,0)</f>
        <v>0</v>
      </c>
      <c r="AH428" s="19">
        <f>IF(AQ428="0",BJ428,0)</f>
        <v>0</v>
      </c>
      <c r="AI428" s="16" t="s">
        <v>303</v>
      </c>
      <c r="AJ428" s="19">
        <f>IF(AN428=0,L428,0)</f>
        <v>0</v>
      </c>
      <c r="AK428" s="19">
        <f>IF(AN428=12,L428,0)</f>
        <v>0</v>
      </c>
      <c r="AL428" s="19">
        <f>IF(AN428=21,L428,0)</f>
        <v>0</v>
      </c>
      <c r="AN428" s="19">
        <v>12</v>
      </c>
      <c r="AO428" s="19">
        <f>H428*0.447072063</f>
        <v>0</v>
      </c>
      <c r="AP428" s="19">
        <f>H428*(1-0.447072063)</f>
        <v>0</v>
      </c>
      <c r="AQ428" s="87" t="s">
        <v>429</v>
      </c>
      <c r="AV428" s="19">
        <f>AW428+AX428</f>
        <v>0</v>
      </c>
      <c r="AW428" s="19">
        <f>G428*AO428</f>
        <v>0</v>
      </c>
      <c r="AX428" s="19">
        <f>G428*AP428</f>
        <v>0</v>
      </c>
      <c r="AY428" s="87" t="s">
        <v>722</v>
      </c>
      <c r="AZ428" s="87" t="s">
        <v>826</v>
      </c>
      <c r="BA428" s="16" t="s">
        <v>809</v>
      </c>
      <c r="BC428" s="19">
        <f>AW428+AX428</f>
        <v>0</v>
      </c>
      <c r="BD428" s="19">
        <f>H428/(100-BE428)*100</f>
        <v>0</v>
      </c>
      <c r="BE428" s="19">
        <v>0</v>
      </c>
      <c r="BF428" s="19">
        <f>O428</f>
        <v>9.3240000000000007E-3</v>
      </c>
      <c r="BH428" s="19">
        <f>G428*AO428</f>
        <v>0</v>
      </c>
      <c r="BI428" s="19">
        <f>G428*AP428</f>
        <v>0</v>
      </c>
      <c r="BJ428" s="19">
        <f>G428*H428</f>
        <v>0</v>
      </c>
      <c r="BK428" s="19"/>
      <c r="BL428" s="19">
        <v>781</v>
      </c>
      <c r="BW428" s="19" t="str">
        <f>I428</f>
        <v>12</v>
      </c>
      <c r="BX428" s="4" t="s">
        <v>242</v>
      </c>
    </row>
    <row r="429" spans="1:76" x14ac:dyDescent="0.25">
      <c r="A429" s="1" t="s">
        <v>827</v>
      </c>
      <c r="B429" s="2" t="s">
        <v>303</v>
      </c>
      <c r="C429" s="2" t="s">
        <v>243</v>
      </c>
      <c r="D429" s="108" t="s">
        <v>244</v>
      </c>
      <c r="E429" s="102"/>
      <c r="F429" s="2" t="s">
        <v>217</v>
      </c>
      <c r="G429" s="19">
        <f>'Rozpočet - vybrané sloupce'!J396</f>
        <v>44.4</v>
      </c>
      <c r="H429" s="19">
        <f>'Rozpočet - vybrané sloupce'!K396</f>
        <v>0</v>
      </c>
      <c r="I429" s="87" t="s">
        <v>427</v>
      </c>
      <c r="J429" s="19">
        <f>G429*AO429</f>
        <v>0</v>
      </c>
      <c r="K429" s="19">
        <f>G429*AP429</f>
        <v>0</v>
      </c>
      <c r="L429" s="19">
        <f>G429*H429</f>
        <v>0</v>
      </c>
      <c r="M429" s="19">
        <f>L429*(1+BW429/100)</f>
        <v>0</v>
      </c>
      <c r="N429" s="19">
        <v>0</v>
      </c>
      <c r="O429" s="19">
        <f>G429*N429</f>
        <v>0</v>
      </c>
      <c r="P429" s="88" t="s">
        <v>428</v>
      </c>
      <c r="Z429" s="19">
        <f>IF(AQ429="5",BJ429,0)</f>
        <v>0</v>
      </c>
      <c r="AB429" s="19">
        <f>IF(AQ429="1",BH429,0)</f>
        <v>0</v>
      </c>
      <c r="AC429" s="19">
        <f>IF(AQ429="1",BI429,0)</f>
        <v>0</v>
      </c>
      <c r="AD429" s="19">
        <f>IF(AQ429="7",BH429,0)</f>
        <v>0</v>
      </c>
      <c r="AE429" s="19">
        <f>IF(AQ429="7",BI429,0)</f>
        <v>0</v>
      </c>
      <c r="AF429" s="19">
        <f>IF(AQ429="2",BH429,0)</f>
        <v>0</v>
      </c>
      <c r="AG429" s="19">
        <f>IF(AQ429="2",BI429,0)</f>
        <v>0</v>
      </c>
      <c r="AH429" s="19">
        <f>IF(AQ429="0",BJ429,0)</f>
        <v>0</v>
      </c>
      <c r="AI429" s="16" t="s">
        <v>303</v>
      </c>
      <c r="AJ429" s="19">
        <f>IF(AN429=0,L429,0)</f>
        <v>0</v>
      </c>
      <c r="AK429" s="19">
        <f>IF(AN429=12,L429,0)</f>
        <v>0</v>
      </c>
      <c r="AL429" s="19">
        <f>IF(AN429=21,L429,0)</f>
        <v>0</v>
      </c>
      <c r="AN429" s="19">
        <v>12</v>
      </c>
      <c r="AO429" s="19">
        <f>H429*0</f>
        <v>0</v>
      </c>
      <c r="AP429" s="19">
        <f>H429*(1-0)</f>
        <v>0</v>
      </c>
      <c r="AQ429" s="87" t="s">
        <v>429</v>
      </c>
      <c r="AV429" s="19">
        <f>AW429+AX429</f>
        <v>0</v>
      </c>
      <c r="AW429" s="19">
        <f>G429*AO429</f>
        <v>0</v>
      </c>
      <c r="AX429" s="19">
        <f>G429*AP429</f>
        <v>0</v>
      </c>
      <c r="AY429" s="87" t="s">
        <v>722</v>
      </c>
      <c r="AZ429" s="87" t="s">
        <v>826</v>
      </c>
      <c r="BA429" s="16" t="s">
        <v>809</v>
      </c>
      <c r="BC429" s="19">
        <f>AW429+AX429</f>
        <v>0</v>
      </c>
      <c r="BD429" s="19">
        <f>H429/(100-BE429)*100</f>
        <v>0</v>
      </c>
      <c r="BE429" s="19">
        <v>0</v>
      </c>
      <c r="BF429" s="19">
        <f>O429</f>
        <v>0</v>
      </c>
      <c r="BH429" s="19">
        <f>G429*AO429</f>
        <v>0</v>
      </c>
      <c r="BI429" s="19">
        <f>G429*AP429</f>
        <v>0</v>
      </c>
      <c r="BJ429" s="19">
        <f>G429*H429</f>
        <v>0</v>
      </c>
      <c r="BK429" s="19"/>
      <c r="BL429" s="19">
        <v>781</v>
      </c>
      <c r="BW429" s="19" t="str">
        <f>I429</f>
        <v>12</v>
      </c>
      <c r="BX429" s="4" t="s">
        <v>244</v>
      </c>
    </row>
    <row r="430" spans="1:76" x14ac:dyDescent="0.25">
      <c r="A430" s="1" t="s">
        <v>828</v>
      </c>
      <c r="B430" s="2" t="s">
        <v>303</v>
      </c>
      <c r="C430" s="2" t="s">
        <v>245</v>
      </c>
      <c r="D430" s="108" t="s">
        <v>246</v>
      </c>
      <c r="E430" s="102"/>
      <c r="F430" s="2" t="s">
        <v>217</v>
      </c>
      <c r="G430" s="19">
        <f>'Rozpočet - vybrané sloupce'!J397</f>
        <v>46.6</v>
      </c>
      <c r="H430" s="19">
        <f>'Rozpočet - vybrané sloupce'!K397</f>
        <v>0</v>
      </c>
      <c r="I430" s="87" t="s">
        <v>427</v>
      </c>
      <c r="J430" s="19">
        <f>G430*AO430</f>
        <v>0</v>
      </c>
      <c r="K430" s="19">
        <f>G430*AP430</f>
        <v>0</v>
      </c>
      <c r="L430" s="19">
        <f>G430*H430</f>
        <v>0</v>
      </c>
      <c r="M430" s="19">
        <f>L430*(1+BW430/100)</f>
        <v>0</v>
      </c>
      <c r="N430" s="19">
        <v>1.3599999999999999E-2</v>
      </c>
      <c r="O430" s="19">
        <f>G430*N430</f>
        <v>0.63375999999999999</v>
      </c>
      <c r="P430" s="88" t="s">
        <v>428</v>
      </c>
      <c r="Z430" s="19">
        <f>IF(AQ430="5",BJ430,0)</f>
        <v>0</v>
      </c>
      <c r="AB430" s="19">
        <f>IF(AQ430="1",BH430,0)</f>
        <v>0</v>
      </c>
      <c r="AC430" s="19">
        <f>IF(AQ430="1",BI430,0)</f>
        <v>0</v>
      </c>
      <c r="AD430" s="19">
        <f>IF(AQ430="7",BH430,0)</f>
        <v>0</v>
      </c>
      <c r="AE430" s="19">
        <f>IF(AQ430="7",BI430,0)</f>
        <v>0</v>
      </c>
      <c r="AF430" s="19">
        <f>IF(AQ430="2",BH430,0)</f>
        <v>0</v>
      </c>
      <c r="AG430" s="19">
        <f>IF(AQ430="2",BI430,0)</f>
        <v>0</v>
      </c>
      <c r="AH430" s="19">
        <f>IF(AQ430="0",BJ430,0)</f>
        <v>0</v>
      </c>
      <c r="AI430" s="16" t="s">
        <v>303</v>
      </c>
      <c r="AJ430" s="19">
        <f>IF(AN430=0,L430,0)</f>
        <v>0</v>
      </c>
      <c r="AK430" s="19">
        <f>IF(AN430=12,L430,0)</f>
        <v>0</v>
      </c>
      <c r="AL430" s="19">
        <f>IF(AN430=21,L430,0)</f>
        <v>0</v>
      </c>
      <c r="AN430" s="19">
        <v>12</v>
      </c>
      <c r="AO430" s="19">
        <f>H430*1</f>
        <v>0</v>
      </c>
      <c r="AP430" s="19">
        <f>H430*(1-1)</f>
        <v>0</v>
      </c>
      <c r="AQ430" s="87" t="s">
        <v>429</v>
      </c>
      <c r="AV430" s="19">
        <f>AW430+AX430</f>
        <v>0</v>
      </c>
      <c r="AW430" s="19">
        <f>G430*AO430</f>
        <v>0</v>
      </c>
      <c r="AX430" s="19">
        <f>G430*AP430</f>
        <v>0</v>
      </c>
      <c r="AY430" s="87" t="s">
        <v>722</v>
      </c>
      <c r="AZ430" s="87" t="s">
        <v>826</v>
      </c>
      <c r="BA430" s="16" t="s">
        <v>809</v>
      </c>
      <c r="BC430" s="19">
        <f>AW430+AX430</f>
        <v>0</v>
      </c>
      <c r="BD430" s="19">
        <f>H430/(100-BE430)*100</f>
        <v>0</v>
      </c>
      <c r="BE430" s="19">
        <v>0</v>
      </c>
      <c r="BF430" s="19">
        <f>O430</f>
        <v>0.63375999999999999</v>
      </c>
      <c r="BH430" s="19">
        <f>G430*AO430</f>
        <v>0</v>
      </c>
      <c r="BI430" s="19">
        <f>G430*AP430</f>
        <v>0</v>
      </c>
      <c r="BJ430" s="19">
        <f>G430*H430</f>
        <v>0</v>
      </c>
      <c r="BK430" s="19"/>
      <c r="BL430" s="19">
        <v>781</v>
      </c>
      <c r="BW430" s="19" t="str">
        <f>I430</f>
        <v>12</v>
      </c>
      <c r="BX430" s="4" t="s">
        <v>246</v>
      </c>
    </row>
    <row r="431" spans="1:76" x14ac:dyDescent="0.25">
      <c r="A431" s="1" t="s">
        <v>829</v>
      </c>
      <c r="B431" s="2" t="s">
        <v>303</v>
      </c>
      <c r="C431" s="2" t="s">
        <v>247</v>
      </c>
      <c r="D431" s="108" t="s">
        <v>248</v>
      </c>
      <c r="E431" s="102"/>
      <c r="F431" s="2" t="s">
        <v>62</v>
      </c>
      <c r="G431" s="19">
        <f>'Rozpočet - vybrané sloupce'!J398</f>
        <v>240</v>
      </c>
      <c r="H431" s="19">
        <f>'Rozpočet - vybrané sloupce'!K398</f>
        <v>0</v>
      </c>
      <c r="I431" s="87" t="s">
        <v>427</v>
      </c>
      <c r="J431" s="19">
        <f>G431*AO431</f>
        <v>0</v>
      </c>
      <c r="K431" s="19">
        <f>G431*AP431</f>
        <v>0</v>
      </c>
      <c r="L431" s="19">
        <f>G431*H431</f>
        <v>0</v>
      </c>
      <c r="M431" s="19">
        <f>L431*(1+BW431/100)</f>
        <v>0</v>
      </c>
      <c r="N431" s="19">
        <v>3.0699999999999998E-3</v>
      </c>
      <c r="O431" s="19">
        <f>G431*N431</f>
        <v>0.7367999999999999</v>
      </c>
      <c r="P431" s="88" t="s">
        <v>428</v>
      </c>
      <c r="Z431" s="19">
        <f>IF(AQ431="5",BJ431,0)</f>
        <v>0</v>
      </c>
      <c r="AB431" s="19">
        <f>IF(AQ431="1",BH431,0)</f>
        <v>0</v>
      </c>
      <c r="AC431" s="19">
        <f>IF(AQ431="1",BI431,0)</f>
        <v>0</v>
      </c>
      <c r="AD431" s="19">
        <f>IF(AQ431="7",BH431,0)</f>
        <v>0</v>
      </c>
      <c r="AE431" s="19">
        <f>IF(AQ431="7",BI431,0)</f>
        <v>0</v>
      </c>
      <c r="AF431" s="19">
        <f>IF(AQ431="2",BH431,0)</f>
        <v>0</v>
      </c>
      <c r="AG431" s="19">
        <f>IF(AQ431="2",BI431,0)</f>
        <v>0</v>
      </c>
      <c r="AH431" s="19">
        <f>IF(AQ431="0",BJ431,0)</f>
        <v>0</v>
      </c>
      <c r="AI431" s="16" t="s">
        <v>303</v>
      </c>
      <c r="AJ431" s="19">
        <f>IF(AN431=0,L431,0)</f>
        <v>0</v>
      </c>
      <c r="AK431" s="19">
        <f>IF(AN431=12,L431,0)</f>
        <v>0</v>
      </c>
      <c r="AL431" s="19">
        <f>IF(AN431=21,L431,0)</f>
        <v>0</v>
      </c>
      <c r="AN431" s="19">
        <v>12</v>
      </c>
      <c r="AO431" s="19">
        <f>H431*0.283738739</f>
        <v>0</v>
      </c>
      <c r="AP431" s="19">
        <f>H431*(1-0.283738739)</f>
        <v>0</v>
      </c>
      <c r="AQ431" s="87" t="s">
        <v>429</v>
      </c>
      <c r="AV431" s="19">
        <f>AW431+AX431</f>
        <v>0</v>
      </c>
      <c r="AW431" s="19">
        <f>G431*AO431</f>
        <v>0</v>
      </c>
      <c r="AX431" s="19">
        <f>G431*AP431</f>
        <v>0</v>
      </c>
      <c r="AY431" s="87" t="s">
        <v>722</v>
      </c>
      <c r="AZ431" s="87" t="s">
        <v>826</v>
      </c>
      <c r="BA431" s="16" t="s">
        <v>809</v>
      </c>
      <c r="BC431" s="19">
        <f>AW431+AX431</f>
        <v>0</v>
      </c>
      <c r="BD431" s="19">
        <f>H431/(100-BE431)*100</f>
        <v>0</v>
      </c>
      <c r="BE431" s="19">
        <v>0</v>
      </c>
      <c r="BF431" s="19">
        <f>O431</f>
        <v>0.7367999999999999</v>
      </c>
      <c r="BH431" s="19">
        <f>G431*AO431</f>
        <v>0</v>
      </c>
      <c r="BI431" s="19">
        <f>G431*AP431</f>
        <v>0</v>
      </c>
      <c r="BJ431" s="19">
        <f>G431*H431</f>
        <v>0</v>
      </c>
      <c r="BK431" s="19"/>
      <c r="BL431" s="19">
        <v>781</v>
      </c>
      <c r="BW431" s="19" t="str">
        <f>I431</f>
        <v>12</v>
      </c>
      <c r="BX431" s="4" t="s">
        <v>248</v>
      </c>
    </row>
    <row r="432" spans="1:76" x14ac:dyDescent="0.25">
      <c r="A432" s="1" t="s">
        <v>830</v>
      </c>
      <c r="B432" s="2" t="s">
        <v>303</v>
      </c>
      <c r="C432" s="2" t="s">
        <v>249</v>
      </c>
      <c r="D432" s="108" t="s">
        <v>250</v>
      </c>
      <c r="E432" s="102"/>
      <c r="F432" s="2" t="s">
        <v>51</v>
      </c>
      <c r="G432" s="19">
        <f>'Rozpočet - vybrané sloupce'!J399</f>
        <v>1111</v>
      </c>
      <c r="H432" s="19">
        <f>'Rozpočet - vybrané sloupce'!K399</f>
        <v>0</v>
      </c>
      <c r="I432" s="87" t="s">
        <v>427</v>
      </c>
      <c r="J432" s="19">
        <f>G432*AO432</f>
        <v>0</v>
      </c>
      <c r="K432" s="19">
        <f>G432*AP432</f>
        <v>0</v>
      </c>
      <c r="L432" s="19">
        <f>G432*H432</f>
        <v>0</v>
      </c>
      <c r="M432" s="19">
        <f>L432*(1+BW432/100)</f>
        <v>0</v>
      </c>
      <c r="N432" s="19">
        <v>0</v>
      </c>
      <c r="O432" s="19">
        <f>G432*N432</f>
        <v>0</v>
      </c>
      <c r="P432" s="88" t="s">
        <v>428</v>
      </c>
      <c r="Z432" s="19">
        <f>IF(AQ432="5",BJ432,0)</f>
        <v>0</v>
      </c>
      <c r="AB432" s="19">
        <f>IF(AQ432="1",BH432,0)</f>
        <v>0</v>
      </c>
      <c r="AC432" s="19">
        <f>IF(AQ432="1",BI432,0)</f>
        <v>0</v>
      </c>
      <c r="AD432" s="19">
        <f>IF(AQ432="7",BH432,0)</f>
        <v>0</v>
      </c>
      <c r="AE432" s="19">
        <f>IF(AQ432="7",BI432,0)</f>
        <v>0</v>
      </c>
      <c r="AF432" s="19">
        <f>IF(AQ432="2",BH432,0)</f>
        <v>0</v>
      </c>
      <c r="AG432" s="19">
        <f>IF(AQ432="2",BI432,0)</f>
        <v>0</v>
      </c>
      <c r="AH432" s="19">
        <f>IF(AQ432="0",BJ432,0)</f>
        <v>0</v>
      </c>
      <c r="AI432" s="16" t="s">
        <v>303</v>
      </c>
      <c r="AJ432" s="19">
        <f>IF(AN432=0,L432,0)</f>
        <v>0</v>
      </c>
      <c r="AK432" s="19">
        <f>IF(AN432=12,L432,0)</f>
        <v>0</v>
      </c>
      <c r="AL432" s="19">
        <f>IF(AN432=21,L432,0)</f>
        <v>0</v>
      </c>
      <c r="AN432" s="19">
        <v>12</v>
      </c>
      <c r="AO432" s="19">
        <f>H432*0</f>
        <v>0</v>
      </c>
      <c r="AP432" s="19">
        <f>H432*(1-0)</f>
        <v>0</v>
      </c>
      <c r="AQ432" s="87" t="s">
        <v>436</v>
      </c>
      <c r="AV432" s="19">
        <f>AW432+AX432</f>
        <v>0</v>
      </c>
      <c r="AW432" s="19">
        <f>G432*AO432</f>
        <v>0</v>
      </c>
      <c r="AX432" s="19">
        <f>G432*AP432</f>
        <v>0</v>
      </c>
      <c r="AY432" s="87" t="s">
        <v>722</v>
      </c>
      <c r="AZ432" s="87" t="s">
        <v>826</v>
      </c>
      <c r="BA432" s="16" t="s">
        <v>809</v>
      </c>
      <c r="BC432" s="19">
        <f>AW432+AX432</f>
        <v>0</v>
      </c>
      <c r="BD432" s="19">
        <f>H432/(100-BE432)*100</f>
        <v>0</v>
      </c>
      <c r="BE432" s="19">
        <v>0</v>
      </c>
      <c r="BF432" s="19">
        <f>O432</f>
        <v>0</v>
      </c>
      <c r="BH432" s="19">
        <f>G432*AO432</f>
        <v>0</v>
      </c>
      <c r="BI432" s="19">
        <f>G432*AP432</f>
        <v>0</v>
      </c>
      <c r="BJ432" s="19">
        <f>G432*H432</f>
        <v>0</v>
      </c>
      <c r="BK432" s="19"/>
      <c r="BL432" s="19">
        <v>781</v>
      </c>
      <c r="BW432" s="19" t="str">
        <f>I432</f>
        <v>12</v>
      </c>
      <c r="BX432" s="4" t="s">
        <v>250</v>
      </c>
    </row>
    <row r="433" spans="1:76" x14ac:dyDescent="0.25">
      <c r="A433" s="84" t="s">
        <v>25</v>
      </c>
      <c r="B433" s="15" t="s">
        <v>303</v>
      </c>
      <c r="C433" s="15" t="s">
        <v>251</v>
      </c>
      <c r="D433" s="115" t="s">
        <v>252</v>
      </c>
      <c r="E433" s="116"/>
      <c r="F433" s="85" t="s">
        <v>23</v>
      </c>
      <c r="G433" s="85" t="s">
        <v>23</v>
      </c>
      <c r="H433" s="85" t="s">
        <v>23</v>
      </c>
      <c r="I433" s="85" t="s">
        <v>23</v>
      </c>
      <c r="J433" s="60">
        <f>SUM(J434:J435)</f>
        <v>0</v>
      </c>
      <c r="K433" s="60">
        <f>SUM(K434:K435)</f>
        <v>0</v>
      </c>
      <c r="L433" s="60">
        <f>SUM(L434:L435)</f>
        <v>0</v>
      </c>
      <c r="M433" s="60">
        <f>SUM(M434:M435)</f>
        <v>0</v>
      </c>
      <c r="N433" s="16" t="s">
        <v>25</v>
      </c>
      <c r="O433" s="60">
        <f>SUM(O434:O435)</f>
        <v>1.2264000000000001E-2</v>
      </c>
      <c r="P433" s="86" t="s">
        <v>25</v>
      </c>
      <c r="AI433" s="16" t="s">
        <v>303</v>
      </c>
      <c r="AS433" s="60">
        <f>SUM(AJ434:AJ435)</f>
        <v>0</v>
      </c>
      <c r="AT433" s="60">
        <f>SUM(AK434:AK435)</f>
        <v>0</v>
      </c>
      <c r="AU433" s="60">
        <f>SUM(AL434:AL435)</f>
        <v>0</v>
      </c>
    </row>
    <row r="434" spans="1:76" ht="25.5" x14ac:dyDescent="0.25">
      <c r="A434" s="1" t="s">
        <v>831</v>
      </c>
      <c r="B434" s="2" t="s">
        <v>303</v>
      </c>
      <c r="C434" s="2" t="s">
        <v>253</v>
      </c>
      <c r="D434" s="108" t="s">
        <v>254</v>
      </c>
      <c r="E434" s="102"/>
      <c r="F434" s="2" t="s">
        <v>217</v>
      </c>
      <c r="G434" s="19">
        <f>'Rozpočet - vybrané sloupce'!J401</f>
        <v>8.4</v>
      </c>
      <c r="H434" s="19">
        <f>'Rozpočet - vybrané sloupce'!K401</f>
        <v>0</v>
      </c>
      <c r="I434" s="87" t="s">
        <v>427</v>
      </c>
      <c r="J434" s="19">
        <f>G434*AO434</f>
        <v>0</v>
      </c>
      <c r="K434" s="19">
        <f>G434*AP434</f>
        <v>0</v>
      </c>
      <c r="L434" s="19">
        <f>G434*H434</f>
        <v>0</v>
      </c>
      <c r="M434" s="19">
        <f>L434*(1+BW434/100)</f>
        <v>0</v>
      </c>
      <c r="N434" s="19">
        <v>1.4599999999999999E-3</v>
      </c>
      <c r="O434" s="19">
        <f>G434*N434</f>
        <v>1.2264000000000001E-2</v>
      </c>
      <c r="P434" s="88" t="s">
        <v>428</v>
      </c>
      <c r="Z434" s="19">
        <f>IF(AQ434="5",BJ434,0)</f>
        <v>0</v>
      </c>
      <c r="AB434" s="19">
        <f>IF(AQ434="1",BH434,0)</f>
        <v>0</v>
      </c>
      <c r="AC434" s="19">
        <f>IF(AQ434="1",BI434,0)</f>
        <v>0</v>
      </c>
      <c r="AD434" s="19">
        <f>IF(AQ434="7",BH434,0)</f>
        <v>0</v>
      </c>
      <c r="AE434" s="19">
        <f>IF(AQ434="7",BI434,0)</f>
        <v>0</v>
      </c>
      <c r="AF434" s="19">
        <f>IF(AQ434="2",BH434,0)</f>
        <v>0</v>
      </c>
      <c r="AG434" s="19">
        <f>IF(AQ434="2",BI434,0)</f>
        <v>0</v>
      </c>
      <c r="AH434" s="19">
        <f>IF(AQ434="0",BJ434,0)</f>
        <v>0</v>
      </c>
      <c r="AI434" s="16" t="s">
        <v>303</v>
      </c>
      <c r="AJ434" s="19">
        <f>IF(AN434=0,L434,0)</f>
        <v>0</v>
      </c>
      <c r="AK434" s="19">
        <f>IF(AN434=12,L434,0)</f>
        <v>0</v>
      </c>
      <c r="AL434" s="19">
        <f>IF(AN434=21,L434,0)</f>
        <v>0</v>
      </c>
      <c r="AN434" s="19">
        <v>12</v>
      </c>
      <c r="AO434" s="19">
        <f>H434*0</f>
        <v>0</v>
      </c>
      <c r="AP434" s="19">
        <f>H434*(1-0)</f>
        <v>0</v>
      </c>
      <c r="AQ434" s="87" t="s">
        <v>429</v>
      </c>
      <c r="AV434" s="19">
        <f>AW434+AX434</f>
        <v>0</v>
      </c>
      <c r="AW434" s="19">
        <f>G434*AO434</f>
        <v>0</v>
      </c>
      <c r="AX434" s="19">
        <f>G434*AP434</f>
        <v>0</v>
      </c>
      <c r="AY434" s="87" t="s">
        <v>732</v>
      </c>
      <c r="AZ434" s="87" t="s">
        <v>826</v>
      </c>
      <c r="BA434" s="16" t="s">
        <v>809</v>
      </c>
      <c r="BC434" s="19">
        <f>AW434+AX434</f>
        <v>0</v>
      </c>
      <c r="BD434" s="19">
        <f>H434/(100-BE434)*100</f>
        <v>0</v>
      </c>
      <c r="BE434" s="19">
        <v>0</v>
      </c>
      <c r="BF434" s="19">
        <f>O434</f>
        <v>1.2264000000000001E-2</v>
      </c>
      <c r="BH434" s="19">
        <f>G434*AO434</f>
        <v>0</v>
      </c>
      <c r="BI434" s="19">
        <f>G434*AP434</f>
        <v>0</v>
      </c>
      <c r="BJ434" s="19">
        <f>G434*H434</f>
        <v>0</v>
      </c>
      <c r="BK434" s="19"/>
      <c r="BL434" s="19">
        <v>783</v>
      </c>
      <c r="BW434" s="19" t="str">
        <f>I434</f>
        <v>12</v>
      </c>
      <c r="BX434" s="4" t="s">
        <v>254</v>
      </c>
    </row>
    <row r="435" spans="1:76" x14ac:dyDescent="0.25">
      <c r="A435" s="1" t="s">
        <v>832</v>
      </c>
      <c r="B435" s="2" t="s">
        <v>303</v>
      </c>
      <c r="C435" s="2" t="s">
        <v>255</v>
      </c>
      <c r="D435" s="108" t="s">
        <v>256</v>
      </c>
      <c r="E435" s="102"/>
      <c r="F435" s="2" t="s">
        <v>257</v>
      </c>
      <c r="G435" s="19">
        <f>'Rozpočet - vybrané sloupce'!J402</f>
        <v>17.7</v>
      </c>
      <c r="H435" s="19">
        <f>'Rozpočet - vybrané sloupce'!K402</f>
        <v>0</v>
      </c>
      <c r="I435" s="87" t="s">
        <v>427</v>
      </c>
      <c r="J435" s="19">
        <f>G435*AO435</f>
        <v>0</v>
      </c>
      <c r="K435" s="19">
        <f>G435*AP435</f>
        <v>0</v>
      </c>
      <c r="L435" s="19">
        <f>G435*H435</f>
        <v>0</v>
      </c>
      <c r="M435" s="19">
        <f>L435*(1+BW435/100)</f>
        <v>0</v>
      </c>
      <c r="N435" s="19">
        <v>0</v>
      </c>
      <c r="O435" s="19">
        <f>G435*N435</f>
        <v>0</v>
      </c>
      <c r="P435" s="88" t="s">
        <v>428</v>
      </c>
      <c r="Z435" s="19">
        <f>IF(AQ435="5",BJ435,0)</f>
        <v>0</v>
      </c>
      <c r="AB435" s="19">
        <f>IF(AQ435="1",BH435,0)</f>
        <v>0</v>
      </c>
      <c r="AC435" s="19">
        <f>IF(AQ435="1",BI435,0)</f>
        <v>0</v>
      </c>
      <c r="AD435" s="19">
        <f>IF(AQ435="7",BH435,0)</f>
        <v>0</v>
      </c>
      <c r="AE435" s="19">
        <f>IF(AQ435="7",BI435,0)</f>
        <v>0</v>
      </c>
      <c r="AF435" s="19">
        <f>IF(AQ435="2",BH435,0)</f>
        <v>0</v>
      </c>
      <c r="AG435" s="19">
        <f>IF(AQ435="2",BI435,0)</f>
        <v>0</v>
      </c>
      <c r="AH435" s="19">
        <f>IF(AQ435="0",BJ435,0)</f>
        <v>0</v>
      </c>
      <c r="AI435" s="16" t="s">
        <v>303</v>
      </c>
      <c r="AJ435" s="19">
        <f>IF(AN435=0,L435,0)</f>
        <v>0</v>
      </c>
      <c r="AK435" s="19">
        <f>IF(AN435=12,L435,0)</f>
        <v>0</v>
      </c>
      <c r="AL435" s="19">
        <f>IF(AN435=21,L435,0)</f>
        <v>0</v>
      </c>
      <c r="AN435" s="19">
        <v>12</v>
      </c>
      <c r="AO435" s="19">
        <f>H435*1</f>
        <v>0</v>
      </c>
      <c r="AP435" s="19">
        <f>H435*(1-1)</f>
        <v>0</v>
      </c>
      <c r="AQ435" s="87" t="s">
        <v>429</v>
      </c>
      <c r="AV435" s="19">
        <f>AW435+AX435</f>
        <v>0</v>
      </c>
      <c r="AW435" s="19">
        <f>G435*AO435</f>
        <v>0</v>
      </c>
      <c r="AX435" s="19">
        <f>G435*AP435</f>
        <v>0</v>
      </c>
      <c r="AY435" s="87" t="s">
        <v>732</v>
      </c>
      <c r="AZ435" s="87" t="s">
        <v>826</v>
      </c>
      <c r="BA435" s="16" t="s">
        <v>809</v>
      </c>
      <c r="BC435" s="19">
        <f>AW435+AX435</f>
        <v>0</v>
      </c>
      <c r="BD435" s="19">
        <f>H435/(100-BE435)*100</f>
        <v>0</v>
      </c>
      <c r="BE435" s="19">
        <v>0</v>
      </c>
      <c r="BF435" s="19">
        <f>O435</f>
        <v>0</v>
      </c>
      <c r="BH435" s="19">
        <f>G435*AO435</f>
        <v>0</v>
      </c>
      <c r="BI435" s="19">
        <f>G435*AP435</f>
        <v>0</v>
      </c>
      <c r="BJ435" s="19">
        <f>G435*H435</f>
        <v>0</v>
      </c>
      <c r="BK435" s="19"/>
      <c r="BL435" s="19">
        <v>783</v>
      </c>
      <c r="BW435" s="19" t="str">
        <f>I435</f>
        <v>12</v>
      </c>
      <c r="BX435" s="4" t="s">
        <v>256</v>
      </c>
    </row>
    <row r="436" spans="1:76" x14ac:dyDescent="0.25">
      <c r="A436" s="84" t="s">
        <v>25</v>
      </c>
      <c r="B436" s="15" t="s">
        <v>303</v>
      </c>
      <c r="C436" s="15" t="s">
        <v>258</v>
      </c>
      <c r="D436" s="115" t="s">
        <v>259</v>
      </c>
      <c r="E436" s="116"/>
      <c r="F436" s="85" t="s">
        <v>23</v>
      </c>
      <c r="G436" s="85" t="s">
        <v>23</v>
      </c>
      <c r="H436" s="85" t="s">
        <v>23</v>
      </c>
      <c r="I436" s="85" t="s">
        <v>23</v>
      </c>
      <c r="J436" s="60">
        <f>SUM(J437:J437)</f>
        <v>0</v>
      </c>
      <c r="K436" s="60">
        <f>SUM(K437:K437)</f>
        <v>0</v>
      </c>
      <c r="L436" s="60">
        <f>SUM(L437:L437)</f>
        <v>0</v>
      </c>
      <c r="M436" s="60">
        <f>SUM(M437:M437)</f>
        <v>0</v>
      </c>
      <c r="N436" s="16" t="s">
        <v>25</v>
      </c>
      <c r="O436" s="60">
        <f>SUM(O437:O437)</f>
        <v>2.8080000000000001E-2</v>
      </c>
      <c r="P436" s="86" t="s">
        <v>25</v>
      </c>
      <c r="AI436" s="16" t="s">
        <v>303</v>
      </c>
      <c r="AS436" s="60">
        <f>SUM(AJ437:AJ437)</f>
        <v>0</v>
      </c>
      <c r="AT436" s="60">
        <f>SUM(AK437:AK437)</f>
        <v>0</v>
      </c>
      <c r="AU436" s="60">
        <f>SUM(AL437:AL437)</f>
        <v>0</v>
      </c>
    </row>
    <row r="437" spans="1:76" x14ac:dyDescent="0.25">
      <c r="A437" s="1" t="s">
        <v>833</v>
      </c>
      <c r="B437" s="2" t="s">
        <v>303</v>
      </c>
      <c r="C437" s="2" t="s">
        <v>260</v>
      </c>
      <c r="D437" s="108" t="s">
        <v>261</v>
      </c>
      <c r="E437" s="102"/>
      <c r="F437" s="2" t="s">
        <v>217</v>
      </c>
      <c r="G437" s="19">
        <f>'Rozpočet - vybrané sloupce'!J404</f>
        <v>72</v>
      </c>
      <c r="H437" s="19">
        <f>'Rozpočet - vybrané sloupce'!K404</f>
        <v>0</v>
      </c>
      <c r="I437" s="87" t="s">
        <v>427</v>
      </c>
      <c r="J437" s="19">
        <f>G437*AO437</f>
        <v>0</v>
      </c>
      <c r="K437" s="19">
        <f>G437*AP437</f>
        <v>0</v>
      </c>
      <c r="L437" s="19">
        <f>G437*H437</f>
        <v>0</v>
      </c>
      <c r="M437" s="19">
        <f>L437*(1+BW437/100)</f>
        <v>0</v>
      </c>
      <c r="N437" s="19">
        <v>3.8999999999999999E-4</v>
      </c>
      <c r="O437" s="19">
        <f>G437*N437</f>
        <v>2.8080000000000001E-2</v>
      </c>
      <c r="P437" s="88" t="s">
        <v>428</v>
      </c>
      <c r="Z437" s="19">
        <f>IF(AQ437="5",BJ437,0)</f>
        <v>0</v>
      </c>
      <c r="AB437" s="19">
        <f>IF(AQ437="1",BH437,0)</f>
        <v>0</v>
      </c>
      <c r="AC437" s="19">
        <f>IF(AQ437="1",BI437,0)</f>
        <v>0</v>
      </c>
      <c r="AD437" s="19">
        <f>IF(AQ437="7",BH437,0)</f>
        <v>0</v>
      </c>
      <c r="AE437" s="19">
        <f>IF(AQ437="7",BI437,0)</f>
        <v>0</v>
      </c>
      <c r="AF437" s="19">
        <f>IF(AQ437="2",BH437,0)</f>
        <v>0</v>
      </c>
      <c r="AG437" s="19">
        <f>IF(AQ437="2",BI437,0)</f>
        <v>0</v>
      </c>
      <c r="AH437" s="19">
        <f>IF(AQ437="0",BJ437,0)</f>
        <v>0</v>
      </c>
      <c r="AI437" s="16" t="s">
        <v>303</v>
      </c>
      <c r="AJ437" s="19">
        <f>IF(AN437=0,L437,0)</f>
        <v>0</v>
      </c>
      <c r="AK437" s="19">
        <f>IF(AN437=12,L437,0)</f>
        <v>0</v>
      </c>
      <c r="AL437" s="19">
        <f>IF(AN437=21,L437,0)</f>
        <v>0</v>
      </c>
      <c r="AN437" s="19">
        <v>12</v>
      </c>
      <c r="AO437" s="19">
        <f>H437*0.201516349</f>
        <v>0</v>
      </c>
      <c r="AP437" s="19">
        <f>H437*(1-0.201516349)</f>
        <v>0</v>
      </c>
      <c r="AQ437" s="87" t="s">
        <v>429</v>
      </c>
      <c r="AV437" s="19">
        <f>AW437+AX437</f>
        <v>0</v>
      </c>
      <c r="AW437" s="19">
        <f>G437*AO437</f>
        <v>0</v>
      </c>
      <c r="AX437" s="19">
        <f>G437*AP437</f>
        <v>0</v>
      </c>
      <c r="AY437" s="87" t="s">
        <v>735</v>
      </c>
      <c r="AZ437" s="87" t="s">
        <v>826</v>
      </c>
      <c r="BA437" s="16" t="s">
        <v>809</v>
      </c>
      <c r="BC437" s="19">
        <f>AW437+AX437</f>
        <v>0</v>
      </c>
      <c r="BD437" s="19">
        <f>H437/(100-BE437)*100</f>
        <v>0</v>
      </c>
      <c r="BE437" s="19">
        <v>0</v>
      </c>
      <c r="BF437" s="19">
        <f>O437</f>
        <v>2.8080000000000001E-2</v>
      </c>
      <c r="BH437" s="19">
        <f>G437*AO437</f>
        <v>0</v>
      </c>
      <c r="BI437" s="19">
        <f>G437*AP437</f>
        <v>0</v>
      </c>
      <c r="BJ437" s="19">
        <f>G437*H437</f>
        <v>0</v>
      </c>
      <c r="BK437" s="19"/>
      <c r="BL437" s="19">
        <v>784</v>
      </c>
      <c r="BW437" s="19" t="str">
        <f>I437</f>
        <v>12</v>
      </c>
      <c r="BX437" s="4" t="s">
        <v>261</v>
      </c>
    </row>
    <row r="438" spans="1:76" x14ac:dyDescent="0.25">
      <c r="A438" s="84" t="s">
        <v>25</v>
      </c>
      <c r="B438" s="15" t="s">
        <v>303</v>
      </c>
      <c r="C438" s="15" t="s">
        <v>262</v>
      </c>
      <c r="D438" s="115" t="s">
        <v>263</v>
      </c>
      <c r="E438" s="116"/>
      <c r="F438" s="85" t="s">
        <v>23</v>
      </c>
      <c r="G438" s="85" t="s">
        <v>23</v>
      </c>
      <c r="H438" s="85" t="s">
        <v>23</v>
      </c>
      <c r="I438" s="85" t="s">
        <v>23</v>
      </c>
      <c r="J438" s="60">
        <f>SUM(J439:J439)</f>
        <v>0</v>
      </c>
      <c r="K438" s="60">
        <f>SUM(K439:K439)</f>
        <v>0</v>
      </c>
      <c r="L438" s="60">
        <f>SUM(L439:L439)</f>
        <v>0</v>
      </c>
      <c r="M438" s="60">
        <f>SUM(M439:M439)</f>
        <v>0</v>
      </c>
      <c r="N438" s="16" t="s">
        <v>25</v>
      </c>
      <c r="O438" s="60">
        <f>SUM(O439:O439)</f>
        <v>0</v>
      </c>
      <c r="P438" s="86" t="s">
        <v>25</v>
      </c>
      <c r="AI438" s="16" t="s">
        <v>303</v>
      </c>
      <c r="AS438" s="60">
        <f>SUM(AJ439:AJ439)</f>
        <v>0</v>
      </c>
      <c r="AT438" s="60">
        <f>SUM(AK439:AK439)</f>
        <v>0</v>
      </c>
      <c r="AU438" s="60">
        <f>SUM(AL439:AL439)</f>
        <v>0</v>
      </c>
    </row>
    <row r="439" spans="1:76" x14ac:dyDescent="0.25">
      <c r="A439" s="1" t="s">
        <v>834</v>
      </c>
      <c r="B439" s="2" t="s">
        <v>303</v>
      </c>
      <c r="C439" s="2" t="s">
        <v>264</v>
      </c>
      <c r="D439" s="108" t="s">
        <v>265</v>
      </c>
      <c r="E439" s="102"/>
      <c r="F439" s="2" t="s">
        <v>217</v>
      </c>
      <c r="G439" s="19">
        <f>'Rozpočet - vybrané sloupce'!J406</f>
        <v>990</v>
      </c>
      <c r="H439" s="19">
        <f>'Rozpočet - vybrané sloupce'!K406</f>
        <v>0</v>
      </c>
      <c r="I439" s="87" t="s">
        <v>427</v>
      </c>
      <c r="J439" s="19">
        <f>G439*AO439</f>
        <v>0</v>
      </c>
      <c r="K439" s="19">
        <f>G439*AP439</f>
        <v>0</v>
      </c>
      <c r="L439" s="19">
        <f>G439*H439</f>
        <v>0</v>
      </c>
      <c r="M439" s="19">
        <f>L439*(1+BW439/100)</f>
        <v>0</v>
      </c>
      <c r="N439" s="19">
        <v>0</v>
      </c>
      <c r="O439" s="19">
        <f>G439*N439</f>
        <v>0</v>
      </c>
      <c r="P439" s="88" t="s">
        <v>428</v>
      </c>
      <c r="Z439" s="19">
        <f>IF(AQ439="5",BJ439,0)</f>
        <v>0</v>
      </c>
      <c r="AB439" s="19">
        <f>IF(AQ439="1",BH439,0)</f>
        <v>0</v>
      </c>
      <c r="AC439" s="19">
        <f>IF(AQ439="1",BI439,0)</f>
        <v>0</v>
      </c>
      <c r="AD439" s="19">
        <f>IF(AQ439="7",BH439,0)</f>
        <v>0</v>
      </c>
      <c r="AE439" s="19">
        <f>IF(AQ439="7",BI439,0)</f>
        <v>0</v>
      </c>
      <c r="AF439" s="19">
        <f>IF(AQ439="2",BH439,0)</f>
        <v>0</v>
      </c>
      <c r="AG439" s="19">
        <f>IF(AQ439="2",BI439,0)</f>
        <v>0</v>
      </c>
      <c r="AH439" s="19">
        <f>IF(AQ439="0",BJ439,0)</f>
        <v>0</v>
      </c>
      <c r="AI439" s="16" t="s">
        <v>303</v>
      </c>
      <c r="AJ439" s="19">
        <f>IF(AN439=0,L439,0)</f>
        <v>0</v>
      </c>
      <c r="AK439" s="19">
        <f>IF(AN439=12,L439,0)</f>
        <v>0</v>
      </c>
      <c r="AL439" s="19">
        <f>IF(AN439=21,L439,0)</f>
        <v>0</v>
      </c>
      <c r="AN439" s="19">
        <v>12</v>
      </c>
      <c r="AO439" s="19">
        <f>H439*0</f>
        <v>0</v>
      </c>
      <c r="AP439" s="19">
        <f>H439*(1-0)</f>
        <v>0</v>
      </c>
      <c r="AQ439" s="87" t="s">
        <v>426</v>
      </c>
      <c r="AV439" s="19">
        <f>AW439+AX439</f>
        <v>0</v>
      </c>
      <c r="AW439" s="19">
        <f>G439*AO439</f>
        <v>0</v>
      </c>
      <c r="AX439" s="19">
        <f>G439*AP439</f>
        <v>0</v>
      </c>
      <c r="AY439" s="87" t="s">
        <v>737</v>
      </c>
      <c r="AZ439" s="87" t="s">
        <v>835</v>
      </c>
      <c r="BA439" s="16" t="s">
        <v>809</v>
      </c>
      <c r="BC439" s="19">
        <f>AW439+AX439</f>
        <v>0</v>
      </c>
      <c r="BD439" s="19">
        <f>H439/(100-BE439)*100</f>
        <v>0</v>
      </c>
      <c r="BE439" s="19">
        <v>0</v>
      </c>
      <c r="BF439" s="19">
        <f>O439</f>
        <v>0</v>
      </c>
      <c r="BH439" s="19">
        <f>G439*AO439</f>
        <v>0</v>
      </c>
      <c r="BI439" s="19">
        <f>G439*AP439</f>
        <v>0</v>
      </c>
      <c r="BJ439" s="19">
        <f>G439*H439</f>
        <v>0</v>
      </c>
      <c r="BK439" s="19"/>
      <c r="BL439" s="19">
        <v>95</v>
      </c>
      <c r="BW439" s="19" t="str">
        <f>I439</f>
        <v>12</v>
      </c>
      <c r="BX439" s="4" t="s">
        <v>265</v>
      </c>
    </row>
    <row r="440" spans="1:76" x14ac:dyDescent="0.25">
      <c r="A440" s="84" t="s">
        <v>25</v>
      </c>
      <c r="B440" s="15" t="s">
        <v>303</v>
      </c>
      <c r="C440" s="15" t="s">
        <v>266</v>
      </c>
      <c r="D440" s="115" t="s">
        <v>267</v>
      </c>
      <c r="E440" s="116"/>
      <c r="F440" s="85" t="s">
        <v>23</v>
      </c>
      <c r="G440" s="85" t="s">
        <v>23</v>
      </c>
      <c r="H440" s="85" t="s">
        <v>23</v>
      </c>
      <c r="I440" s="85" t="s">
        <v>23</v>
      </c>
      <c r="J440" s="60">
        <f>SUM(J441:J441)</f>
        <v>0</v>
      </c>
      <c r="K440" s="60">
        <f>SUM(K441:K441)</f>
        <v>0</v>
      </c>
      <c r="L440" s="60">
        <f>SUM(L441:L441)</f>
        <v>0</v>
      </c>
      <c r="M440" s="60">
        <f>SUM(M441:M441)</f>
        <v>0</v>
      </c>
      <c r="N440" s="16" t="s">
        <v>25</v>
      </c>
      <c r="O440" s="60">
        <f>SUM(O441:O441)</f>
        <v>6.0510540000000006</v>
      </c>
      <c r="P440" s="86" t="s">
        <v>25</v>
      </c>
      <c r="AI440" s="16" t="s">
        <v>303</v>
      </c>
      <c r="AS440" s="60">
        <f>SUM(AJ441:AJ441)</f>
        <v>0</v>
      </c>
      <c r="AT440" s="60">
        <f>SUM(AK441:AK441)</f>
        <v>0</v>
      </c>
      <c r="AU440" s="60">
        <f>SUM(AL441:AL441)</f>
        <v>0</v>
      </c>
    </row>
    <row r="441" spans="1:76" x14ac:dyDescent="0.25">
      <c r="A441" s="1" t="s">
        <v>836</v>
      </c>
      <c r="B441" s="2" t="s">
        <v>303</v>
      </c>
      <c r="C441" s="2" t="s">
        <v>268</v>
      </c>
      <c r="D441" s="108" t="s">
        <v>269</v>
      </c>
      <c r="E441" s="102"/>
      <c r="F441" s="2" t="s">
        <v>217</v>
      </c>
      <c r="G441" s="19">
        <f>'Rozpočet - vybrané sloupce'!J408</f>
        <v>56.2</v>
      </c>
      <c r="H441" s="19">
        <f>'Rozpočet - vybrané sloupce'!K408</f>
        <v>0</v>
      </c>
      <c r="I441" s="87" t="s">
        <v>427</v>
      </c>
      <c r="J441" s="19">
        <f>G441*AO441</f>
        <v>0</v>
      </c>
      <c r="K441" s="19">
        <f>G441*AP441</f>
        <v>0</v>
      </c>
      <c r="L441" s="19">
        <f>G441*H441</f>
        <v>0</v>
      </c>
      <c r="M441" s="19">
        <f>L441*(1+BW441/100)</f>
        <v>0</v>
      </c>
      <c r="N441" s="19">
        <v>0.10767</v>
      </c>
      <c r="O441" s="19">
        <f>G441*N441</f>
        <v>6.0510540000000006</v>
      </c>
      <c r="P441" s="88" t="s">
        <v>740</v>
      </c>
      <c r="Z441" s="19">
        <f>IF(AQ441="5",BJ441,0)</f>
        <v>0</v>
      </c>
      <c r="AB441" s="19">
        <f>IF(AQ441="1",BH441,0)</f>
        <v>0</v>
      </c>
      <c r="AC441" s="19">
        <f>IF(AQ441="1",BI441,0)</f>
        <v>0</v>
      </c>
      <c r="AD441" s="19">
        <f>IF(AQ441="7",BH441,0)</f>
        <v>0</v>
      </c>
      <c r="AE441" s="19">
        <f>IF(AQ441="7",BI441,0)</f>
        <v>0</v>
      </c>
      <c r="AF441" s="19">
        <f>IF(AQ441="2",BH441,0)</f>
        <v>0</v>
      </c>
      <c r="AG441" s="19">
        <f>IF(AQ441="2",BI441,0)</f>
        <v>0</v>
      </c>
      <c r="AH441" s="19">
        <f>IF(AQ441="0",BJ441,0)</f>
        <v>0</v>
      </c>
      <c r="AI441" s="16" t="s">
        <v>303</v>
      </c>
      <c r="AJ441" s="19">
        <f>IF(AN441=0,L441,0)</f>
        <v>0</v>
      </c>
      <c r="AK441" s="19">
        <f>IF(AN441=12,L441,0)</f>
        <v>0</v>
      </c>
      <c r="AL441" s="19">
        <f>IF(AN441=21,L441,0)</f>
        <v>0</v>
      </c>
      <c r="AN441" s="19">
        <v>12</v>
      </c>
      <c r="AO441" s="19">
        <f>H441*0.197071898</f>
        <v>0</v>
      </c>
      <c r="AP441" s="19">
        <f>H441*(1-0.197071898)</f>
        <v>0</v>
      </c>
      <c r="AQ441" s="87" t="s">
        <v>426</v>
      </c>
      <c r="AV441" s="19">
        <f>AW441+AX441</f>
        <v>0</v>
      </c>
      <c r="AW441" s="19">
        <f>G441*AO441</f>
        <v>0</v>
      </c>
      <c r="AX441" s="19">
        <f>G441*AP441</f>
        <v>0</v>
      </c>
      <c r="AY441" s="87" t="s">
        <v>741</v>
      </c>
      <c r="AZ441" s="87" t="s">
        <v>835</v>
      </c>
      <c r="BA441" s="16" t="s">
        <v>809</v>
      </c>
      <c r="BC441" s="19">
        <f>AW441+AX441</f>
        <v>0</v>
      </c>
      <c r="BD441" s="19">
        <f>H441/(100-BE441)*100</f>
        <v>0</v>
      </c>
      <c r="BE441" s="19">
        <v>0</v>
      </c>
      <c r="BF441" s="19">
        <f>O441</f>
        <v>6.0510540000000006</v>
      </c>
      <c r="BH441" s="19">
        <f>G441*AO441</f>
        <v>0</v>
      </c>
      <c r="BI441" s="19">
        <f>G441*AP441</f>
        <v>0</v>
      </c>
      <c r="BJ441" s="19">
        <f>G441*H441</f>
        <v>0</v>
      </c>
      <c r="BK441" s="19"/>
      <c r="BL441" s="19">
        <v>96</v>
      </c>
      <c r="BW441" s="19" t="str">
        <f>I441</f>
        <v>12</v>
      </c>
      <c r="BX441" s="4" t="s">
        <v>269</v>
      </c>
    </row>
    <row r="442" spans="1:76" x14ac:dyDescent="0.25">
      <c r="A442" s="84" t="s">
        <v>25</v>
      </c>
      <c r="B442" s="15" t="s">
        <v>303</v>
      </c>
      <c r="C442" s="15" t="s">
        <v>270</v>
      </c>
      <c r="D442" s="115" t="s">
        <v>271</v>
      </c>
      <c r="E442" s="116"/>
      <c r="F442" s="85" t="s">
        <v>23</v>
      </c>
      <c r="G442" s="85" t="s">
        <v>23</v>
      </c>
      <c r="H442" s="85" t="s">
        <v>23</v>
      </c>
      <c r="I442" s="85" t="s">
        <v>23</v>
      </c>
      <c r="J442" s="60">
        <f>SUM(J443:J447)</f>
        <v>0</v>
      </c>
      <c r="K442" s="60">
        <f>SUM(K443:K447)</f>
        <v>0</v>
      </c>
      <c r="L442" s="60">
        <f>SUM(L443:L447)</f>
        <v>0</v>
      </c>
      <c r="M442" s="60">
        <f>SUM(M443:M447)</f>
        <v>0</v>
      </c>
      <c r="N442" s="16" t="s">
        <v>25</v>
      </c>
      <c r="O442" s="60">
        <f>SUM(O443:O447)</f>
        <v>2.2359439999999999</v>
      </c>
      <c r="P442" s="86" t="s">
        <v>25</v>
      </c>
      <c r="AI442" s="16" t="s">
        <v>303</v>
      </c>
      <c r="AS442" s="60">
        <f>SUM(AJ443:AJ447)</f>
        <v>0</v>
      </c>
      <c r="AT442" s="60">
        <f>SUM(AK443:AK447)</f>
        <v>0</v>
      </c>
      <c r="AU442" s="60">
        <f>SUM(AL443:AL447)</f>
        <v>0</v>
      </c>
    </row>
    <row r="443" spans="1:76" x14ac:dyDescent="0.25">
      <c r="A443" s="1" t="s">
        <v>837</v>
      </c>
      <c r="B443" s="2" t="s">
        <v>303</v>
      </c>
      <c r="C443" s="2" t="s">
        <v>272</v>
      </c>
      <c r="D443" s="108" t="s">
        <v>273</v>
      </c>
      <c r="E443" s="102"/>
      <c r="F443" s="2" t="s">
        <v>62</v>
      </c>
      <c r="G443" s="19">
        <f>'Rozpočet - vybrané sloupce'!J410</f>
        <v>24</v>
      </c>
      <c r="H443" s="19">
        <f>'Rozpočet - vybrané sloupce'!K410</f>
        <v>0</v>
      </c>
      <c r="I443" s="87" t="s">
        <v>427</v>
      </c>
      <c r="J443" s="19">
        <f>G443*AO443</f>
        <v>0</v>
      </c>
      <c r="K443" s="19">
        <f>G443*AP443</f>
        <v>0</v>
      </c>
      <c r="L443" s="19">
        <f>G443*H443</f>
        <v>0</v>
      </c>
      <c r="M443" s="19">
        <f>L443*(1+BW443/100)</f>
        <v>0</v>
      </c>
      <c r="N443" s="19">
        <v>0.09</v>
      </c>
      <c r="O443" s="19">
        <f>G443*N443</f>
        <v>2.16</v>
      </c>
      <c r="P443" s="88" t="s">
        <v>428</v>
      </c>
      <c r="Z443" s="19">
        <f>IF(AQ443="5",BJ443,0)</f>
        <v>0</v>
      </c>
      <c r="AB443" s="19">
        <f>IF(AQ443="1",BH443,0)</f>
        <v>0</v>
      </c>
      <c r="AC443" s="19">
        <f>IF(AQ443="1",BI443,0)</f>
        <v>0</v>
      </c>
      <c r="AD443" s="19">
        <f>IF(AQ443="7",BH443,0)</f>
        <v>0</v>
      </c>
      <c r="AE443" s="19">
        <f>IF(AQ443="7",BI443,0)</f>
        <v>0</v>
      </c>
      <c r="AF443" s="19">
        <f>IF(AQ443="2",BH443,0)</f>
        <v>0</v>
      </c>
      <c r="AG443" s="19">
        <f>IF(AQ443="2",BI443,0)</f>
        <v>0</v>
      </c>
      <c r="AH443" s="19">
        <f>IF(AQ443="0",BJ443,0)</f>
        <v>0</v>
      </c>
      <c r="AI443" s="16" t="s">
        <v>303</v>
      </c>
      <c r="AJ443" s="19">
        <f>IF(AN443=0,L443,0)</f>
        <v>0</v>
      </c>
      <c r="AK443" s="19">
        <f>IF(AN443=12,L443,0)</f>
        <v>0</v>
      </c>
      <c r="AL443" s="19">
        <f>IF(AN443=21,L443,0)</f>
        <v>0</v>
      </c>
      <c r="AN443" s="19">
        <v>12</v>
      </c>
      <c r="AO443" s="19">
        <f>H443*0</f>
        <v>0</v>
      </c>
      <c r="AP443" s="19">
        <f>H443*(1-0)</f>
        <v>0</v>
      </c>
      <c r="AQ443" s="87" t="s">
        <v>426</v>
      </c>
      <c r="AV443" s="19">
        <f>AW443+AX443</f>
        <v>0</v>
      </c>
      <c r="AW443" s="19">
        <f>G443*AO443</f>
        <v>0</v>
      </c>
      <c r="AX443" s="19">
        <f>G443*AP443</f>
        <v>0</v>
      </c>
      <c r="AY443" s="87" t="s">
        <v>743</v>
      </c>
      <c r="AZ443" s="87" t="s">
        <v>835</v>
      </c>
      <c r="BA443" s="16" t="s">
        <v>809</v>
      </c>
      <c r="BC443" s="19">
        <f>AW443+AX443</f>
        <v>0</v>
      </c>
      <c r="BD443" s="19">
        <f>H443/(100-BE443)*100</f>
        <v>0</v>
      </c>
      <c r="BE443" s="19">
        <v>0</v>
      </c>
      <c r="BF443" s="19">
        <f>O443</f>
        <v>2.16</v>
      </c>
      <c r="BH443" s="19">
        <f>G443*AO443</f>
        <v>0</v>
      </c>
      <c r="BI443" s="19">
        <f>G443*AP443</f>
        <v>0</v>
      </c>
      <c r="BJ443" s="19">
        <f>G443*H443</f>
        <v>0</v>
      </c>
      <c r="BK443" s="19"/>
      <c r="BL443" s="19">
        <v>97</v>
      </c>
      <c r="BW443" s="19" t="str">
        <f>I443</f>
        <v>12</v>
      </c>
      <c r="BX443" s="4" t="s">
        <v>273</v>
      </c>
    </row>
    <row r="444" spans="1:76" x14ac:dyDescent="0.25">
      <c r="A444" s="1" t="s">
        <v>838</v>
      </c>
      <c r="B444" s="2" t="s">
        <v>303</v>
      </c>
      <c r="C444" s="2" t="s">
        <v>274</v>
      </c>
      <c r="D444" s="108" t="s">
        <v>275</v>
      </c>
      <c r="E444" s="102"/>
      <c r="F444" s="2" t="s">
        <v>31</v>
      </c>
      <c r="G444" s="19">
        <f>'Rozpočet - vybrané sloupce'!J411</f>
        <v>2.2000000000000002</v>
      </c>
      <c r="H444" s="19">
        <f>'Rozpočet - vybrané sloupce'!K411</f>
        <v>0</v>
      </c>
      <c r="I444" s="87" t="s">
        <v>427</v>
      </c>
      <c r="J444" s="19">
        <f>G444*AO444</f>
        <v>0</v>
      </c>
      <c r="K444" s="19">
        <f>G444*AP444</f>
        <v>0</v>
      </c>
      <c r="L444" s="19">
        <f>G444*H444</f>
        <v>0</v>
      </c>
      <c r="M444" s="19">
        <f>L444*(1+BW444/100)</f>
        <v>0</v>
      </c>
      <c r="N444" s="19">
        <v>3.3169999999999998E-2</v>
      </c>
      <c r="O444" s="19">
        <f>G444*N444</f>
        <v>7.2973999999999997E-2</v>
      </c>
      <c r="P444" s="88" t="s">
        <v>428</v>
      </c>
      <c r="Z444" s="19">
        <f>IF(AQ444="5",BJ444,0)</f>
        <v>0</v>
      </c>
      <c r="AB444" s="19">
        <f>IF(AQ444="1",BH444,0)</f>
        <v>0</v>
      </c>
      <c r="AC444" s="19">
        <f>IF(AQ444="1",BI444,0)</f>
        <v>0</v>
      </c>
      <c r="AD444" s="19">
        <f>IF(AQ444="7",BH444,0)</f>
        <v>0</v>
      </c>
      <c r="AE444" s="19">
        <f>IF(AQ444="7",BI444,0)</f>
        <v>0</v>
      </c>
      <c r="AF444" s="19">
        <f>IF(AQ444="2",BH444,0)</f>
        <v>0</v>
      </c>
      <c r="AG444" s="19">
        <f>IF(AQ444="2",BI444,0)</f>
        <v>0</v>
      </c>
      <c r="AH444" s="19">
        <f>IF(AQ444="0",BJ444,0)</f>
        <v>0</v>
      </c>
      <c r="AI444" s="16" t="s">
        <v>303</v>
      </c>
      <c r="AJ444" s="19">
        <f>IF(AN444=0,L444,0)</f>
        <v>0</v>
      </c>
      <c r="AK444" s="19">
        <f>IF(AN444=12,L444,0)</f>
        <v>0</v>
      </c>
      <c r="AL444" s="19">
        <f>IF(AN444=21,L444,0)</f>
        <v>0</v>
      </c>
      <c r="AN444" s="19">
        <v>12</v>
      </c>
      <c r="AO444" s="19">
        <f>H444*0.310697219</f>
        <v>0</v>
      </c>
      <c r="AP444" s="19">
        <f>H444*(1-0.310697219)</f>
        <v>0</v>
      </c>
      <c r="AQ444" s="87" t="s">
        <v>426</v>
      </c>
      <c r="AV444" s="19">
        <f>AW444+AX444</f>
        <v>0</v>
      </c>
      <c r="AW444" s="19">
        <f>G444*AO444</f>
        <v>0</v>
      </c>
      <c r="AX444" s="19">
        <f>G444*AP444</f>
        <v>0</v>
      </c>
      <c r="AY444" s="87" t="s">
        <v>743</v>
      </c>
      <c r="AZ444" s="87" t="s">
        <v>835</v>
      </c>
      <c r="BA444" s="16" t="s">
        <v>809</v>
      </c>
      <c r="BC444" s="19">
        <f>AW444+AX444</f>
        <v>0</v>
      </c>
      <c r="BD444" s="19">
        <f>H444/(100-BE444)*100</f>
        <v>0</v>
      </c>
      <c r="BE444" s="19">
        <v>0</v>
      </c>
      <c r="BF444" s="19">
        <f>O444</f>
        <v>7.2973999999999997E-2</v>
      </c>
      <c r="BH444" s="19">
        <f>G444*AO444</f>
        <v>0</v>
      </c>
      <c r="BI444" s="19">
        <f>G444*AP444</f>
        <v>0</v>
      </c>
      <c r="BJ444" s="19">
        <f>G444*H444</f>
        <v>0</v>
      </c>
      <c r="BK444" s="19"/>
      <c r="BL444" s="19">
        <v>97</v>
      </c>
      <c r="BW444" s="19" t="str">
        <f>I444</f>
        <v>12</v>
      </c>
      <c r="BX444" s="4" t="s">
        <v>275</v>
      </c>
    </row>
    <row r="445" spans="1:76" x14ac:dyDescent="0.25">
      <c r="A445" s="1" t="s">
        <v>839</v>
      </c>
      <c r="B445" s="2" t="s">
        <v>303</v>
      </c>
      <c r="C445" s="2" t="s">
        <v>276</v>
      </c>
      <c r="D445" s="108" t="s">
        <v>277</v>
      </c>
      <c r="E445" s="102"/>
      <c r="F445" s="2" t="s">
        <v>31</v>
      </c>
      <c r="G445" s="19">
        <f>'Rozpočet - vybrané sloupce'!J412</f>
        <v>2.2000000000000002</v>
      </c>
      <c r="H445" s="19">
        <f>'Rozpočet - vybrané sloupce'!K412</f>
        <v>0</v>
      </c>
      <c r="I445" s="87" t="s">
        <v>427</v>
      </c>
      <c r="J445" s="19">
        <f>G445*AO445</f>
        <v>0</v>
      </c>
      <c r="K445" s="19">
        <f>G445*AP445</f>
        <v>0</v>
      </c>
      <c r="L445" s="19">
        <f>G445*H445</f>
        <v>0</v>
      </c>
      <c r="M445" s="19">
        <f>L445*(1+BW445/100)</f>
        <v>0</v>
      </c>
      <c r="N445" s="19">
        <v>1.0000000000000001E-5</v>
      </c>
      <c r="O445" s="19">
        <f>G445*N445</f>
        <v>2.2000000000000003E-5</v>
      </c>
      <c r="P445" s="88" t="s">
        <v>428</v>
      </c>
      <c r="Z445" s="19">
        <f>IF(AQ445="5",BJ445,0)</f>
        <v>0</v>
      </c>
      <c r="AB445" s="19">
        <f>IF(AQ445="1",BH445,0)</f>
        <v>0</v>
      </c>
      <c r="AC445" s="19">
        <f>IF(AQ445="1",BI445,0)</f>
        <v>0</v>
      </c>
      <c r="AD445" s="19">
        <f>IF(AQ445="7",BH445,0)</f>
        <v>0</v>
      </c>
      <c r="AE445" s="19">
        <f>IF(AQ445="7",BI445,0)</f>
        <v>0</v>
      </c>
      <c r="AF445" s="19">
        <f>IF(AQ445="2",BH445,0)</f>
        <v>0</v>
      </c>
      <c r="AG445" s="19">
        <f>IF(AQ445="2",BI445,0)</f>
        <v>0</v>
      </c>
      <c r="AH445" s="19">
        <f>IF(AQ445="0",BJ445,0)</f>
        <v>0</v>
      </c>
      <c r="AI445" s="16" t="s">
        <v>303</v>
      </c>
      <c r="AJ445" s="19">
        <f>IF(AN445=0,L445,0)</f>
        <v>0</v>
      </c>
      <c r="AK445" s="19">
        <f>IF(AN445=12,L445,0)</f>
        <v>0</v>
      </c>
      <c r="AL445" s="19">
        <f>IF(AN445=21,L445,0)</f>
        <v>0</v>
      </c>
      <c r="AN445" s="19">
        <v>12</v>
      </c>
      <c r="AO445" s="19">
        <f>H445*0.1705625</f>
        <v>0</v>
      </c>
      <c r="AP445" s="19">
        <f>H445*(1-0.1705625)</f>
        <v>0</v>
      </c>
      <c r="AQ445" s="87" t="s">
        <v>426</v>
      </c>
      <c r="AV445" s="19">
        <f>AW445+AX445</f>
        <v>0</v>
      </c>
      <c r="AW445" s="19">
        <f>G445*AO445</f>
        <v>0</v>
      </c>
      <c r="AX445" s="19">
        <f>G445*AP445</f>
        <v>0</v>
      </c>
      <c r="AY445" s="87" t="s">
        <v>743</v>
      </c>
      <c r="AZ445" s="87" t="s">
        <v>835</v>
      </c>
      <c r="BA445" s="16" t="s">
        <v>809</v>
      </c>
      <c r="BC445" s="19">
        <f>AW445+AX445</f>
        <v>0</v>
      </c>
      <c r="BD445" s="19">
        <f>H445/(100-BE445)*100</f>
        <v>0</v>
      </c>
      <c r="BE445" s="19">
        <v>0</v>
      </c>
      <c r="BF445" s="19">
        <f>O445</f>
        <v>2.2000000000000003E-5</v>
      </c>
      <c r="BH445" s="19">
        <f>G445*AO445</f>
        <v>0</v>
      </c>
      <c r="BI445" s="19">
        <f>G445*AP445</f>
        <v>0</v>
      </c>
      <c r="BJ445" s="19">
        <f>G445*H445</f>
        <v>0</v>
      </c>
      <c r="BK445" s="19"/>
      <c r="BL445" s="19">
        <v>97</v>
      </c>
      <c r="BW445" s="19" t="str">
        <f>I445</f>
        <v>12</v>
      </c>
      <c r="BX445" s="4" t="s">
        <v>277</v>
      </c>
    </row>
    <row r="446" spans="1:76" x14ac:dyDescent="0.25">
      <c r="A446" s="1" t="s">
        <v>840</v>
      </c>
      <c r="B446" s="2" t="s">
        <v>303</v>
      </c>
      <c r="C446" s="2" t="s">
        <v>278</v>
      </c>
      <c r="D446" s="108" t="s">
        <v>279</v>
      </c>
      <c r="E446" s="102"/>
      <c r="F446" s="2" t="s">
        <v>31</v>
      </c>
      <c r="G446" s="19">
        <f>'Rozpočet - vybrané sloupce'!J413</f>
        <v>2.2000000000000002</v>
      </c>
      <c r="H446" s="19">
        <f>'Rozpočet - vybrané sloupce'!K413</f>
        <v>0</v>
      </c>
      <c r="I446" s="87" t="s">
        <v>427</v>
      </c>
      <c r="J446" s="19">
        <f>G446*AO446</f>
        <v>0</v>
      </c>
      <c r="K446" s="19">
        <f>G446*AP446</f>
        <v>0</v>
      </c>
      <c r="L446" s="19">
        <f>G446*H446</f>
        <v>0</v>
      </c>
      <c r="M446" s="19">
        <f>L446*(1+BW446/100)</f>
        <v>0</v>
      </c>
      <c r="N446" s="19">
        <v>0</v>
      </c>
      <c r="O446" s="19">
        <f>G446*N446</f>
        <v>0</v>
      </c>
      <c r="P446" s="88" t="s">
        <v>428</v>
      </c>
      <c r="Z446" s="19">
        <f>IF(AQ446="5",BJ446,0)</f>
        <v>0</v>
      </c>
      <c r="AB446" s="19">
        <f>IF(AQ446="1",BH446,0)</f>
        <v>0</v>
      </c>
      <c r="AC446" s="19">
        <f>IF(AQ446="1",BI446,0)</f>
        <v>0</v>
      </c>
      <c r="AD446" s="19">
        <f>IF(AQ446="7",BH446,0)</f>
        <v>0</v>
      </c>
      <c r="AE446" s="19">
        <f>IF(AQ446="7",BI446,0)</f>
        <v>0</v>
      </c>
      <c r="AF446" s="19">
        <f>IF(AQ446="2",BH446,0)</f>
        <v>0</v>
      </c>
      <c r="AG446" s="19">
        <f>IF(AQ446="2",BI446,0)</f>
        <v>0</v>
      </c>
      <c r="AH446" s="19">
        <f>IF(AQ446="0",BJ446,0)</f>
        <v>0</v>
      </c>
      <c r="AI446" s="16" t="s">
        <v>303</v>
      </c>
      <c r="AJ446" s="19">
        <f>IF(AN446=0,L446,0)</f>
        <v>0</v>
      </c>
      <c r="AK446" s="19">
        <f>IF(AN446=12,L446,0)</f>
        <v>0</v>
      </c>
      <c r="AL446" s="19">
        <f>IF(AN446=21,L446,0)</f>
        <v>0</v>
      </c>
      <c r="AN446" s="19">
        <v>12</v>
      </c>
      <c r="AO446" s="19">
        <f>H446*0</f>
        <v>0</v>
      </c>
      <c r="AP446" s="19">
        <f>H446*(1-0)</f>
        <v>0</v>
      </c>
      <c r="AQ446" s="87" t="s">
        <v>426</v>
      </c>
      <c r="AV446" s="19">
        <f>AW446+AX446</f>
        <v>0</v>
      </c>
      <c r="AW446" s="19">
        <f>G446*AO446</f>
        <v>0</v>
      </c>
      <c r="AX446" s="19">
        <f>G446*AP446</f>
        <v>0</v>
      </c>
      <c r="AY446" s="87" t="s">
        <v>743</v>
      </c>
      <c r="AZ446" s="87" t="s">
        <v>835</v>
      </c>
      <c r="BA446" s="16" t="s">
        <v>809</v>
      </c>
      <c r="BC446" s="19">
        <f>AW446+AX446</f>
        <v>0</v>
      </c>
      <c r="BD446" s="19">
        <f>H446/(100-BE446)*100</f>
        <v>0</v>
      </c>
      <c r="BE446" s="19">
        <v>0</v>
      </c>
      <c r="BF446" s="19">
        <f>O446</f>
        <v>0</v>
      </c>
      <c r="BH446" s="19">
        <f>G446*AO446</f>
        <v>0</v>
      </c>
      <c r="BI446" s="19">
        <f>G446*AP446</f>
        <v>0</v>
      </c>
      <c r="BJ446" s="19">
        <f>G446*H446</f>
        <v>0</v>
      </c>
      <c r="BK446" s="19"/>
      <c r="BL446" s="19">
        <v>97</v>
      </c>
      <c r="BW446" s="19" t="str">
        <f>I446</f>
        <v>12</v>
      </c>
      <c r="BX446" s="4" t="s">
        <v>279</v>
      </c>
    </row>
    <row r="447" spans="1:76" x14ac:dyDescent="0.25">
      <c r="A447" s="1" t="s">
        <v>841</v>
      </c>
      <c r="B447" s="2" t="s">
        <v>303</v>
      </c>
      <c r="C447" s="2" t="s">
        <v>280</v>
      </c>
      <c r="D447" s="108" t="s">
        <v>281</v>
      </c>
      <c r="E447" s="102"/>
      <c r="F447" s="2" t="s">
        <v>31</v>
      </c>
      <c r="G447" s="19">
        <f>'Rozpočet - vybrané sloupce'!J414</f>
        <v>2.2000000000000002</v>
      </c>
      <c r="H447" s="19">
        <f>'Rozpočet - vybrané sloupce'!K414</f>
        <v>0</v>
      </c>
      <c r="I447" s="87" t="s">
        <v>427</v>
      </c>
      <c r="J447" s="19">
        <f>G447*AO447</f>
        <v>0</v>
      </c>
      <c r="K447" s="19">
        <f>G447*AP447</f>
        <v>0</v>
      </c>
      <c r="L447" s="19">
        <f>G447*H447</f>
        <v>0</v>
      </c>
      <c r="M447" s="19">
        <f>L447*(1+BW447/100)</f>
        <v>0</v>
      </c>
      <c r="N447" s="19">
        <v>1.34E-3</v>
      </c>
      <c r="O447" s="19">
        <f>G447*N447</f>
        <v>2.9480000000000005E-3</v>
      </c>
      <c r="P447" s="88" t="s">
        <v>428</v>
      </c>
      <c r="Z447" s="19">
        <f>IF(AQ447="5",BJ447,0)</f>
        <v>0</v>
      </c>
      <c r="AB447" s="19">
        <f>IF(AQ447="1",BH447,0)</f>
        <v>0</v>
      </c>
      <c r="AC447" s="19">
        <f>IF(AQ447="1",BI447,0)</f>
        <v>0</v>
      </c>
      <c r="AD447" s="19">
        <f>IF(AQ447="7",BH447,0)</f>
        <v>0</v>
      </c>
      <c r="AE447" s="19">
        <f>IF(AQ447="7",BI447,0)</f>
        <v>0</v>
      </c>
      <c r="AF447" s="19">
        <f>IF(AQ447="2",BH447,0)</f>
        <v>0</v>
      </c>
      <c r="AG447" s="19">
        <f>IF(AQ447="2",BI447,0)</f>
        <v>0</v>
      </c>
      <c r="AH447" s="19">
        <f>IF(AQ447="0",BJ447,0)</f>
        <v>0</v>
      </c>
      <c r="AI447" s="16" t="s">
        <v>303</v>
      </c>
      <c r="AJ447" s="19">
        <f>IF(AN447=0,L447,0)</f>
        <v>0</v>
      </c>
      <c r="AK447" s="19">
        <f>IF(AN447=12,L447,0)</f>
        <v>0</v>
      </c>
      <c r="AL447" s="19">
        <f>IF(AN447=21,L447,0)</f>
        <v>0</v>
      </c>
      <c r="AN447" s="19">
        <v>12</v>
      </c>
      <c r="AO447" s="19">
        <f>H447*0.075938824</f>
        <v>0</v>
      </c>
      <c r="AP447" s="19">
        <f>H447*(1-0.075938824)</f>
        <v>0</v>
      </c>
      <c r="AQ447" s="87" t="s">
        <v>426</v>
      </c>
      <c r="AV447" s="19">
        <f>AW447+AX447</f>
        <v>0</v>
      </c>
      <c r="AW447" s="19">
        <f>G447*AO447</f>
        <v>0</v>
      </c>
      <c r="AX447" s="19">
        <f>G447*AP447</f>
        <v>0</v>
      </c>
      <c r="AY447" s="87" t="s">
        <v>743</v>
      </c>
      <c r="AZ447" s="87" t="s">
        <v>835</v>
      </c>
      <c r="BA447" s="16" t="s">
        <v>809</v>
      </c>
      <c r="BC447" s="19">
        <f>AW447+AX447</f>
        <v>0</v>
      </c>
      <c r="BD447" s="19">
        <f>H447/(100-BE447)*100</f>
        <v>0</v>
      </c>
      <c r="BE447" s="19">
        <v>0</v>
      </c>
      <c r="BF447" s="19">
        <f>O447</f>
        <v>2.9480000000000005E-3</v>
      </c>
      <c r="BH447" s="19">
        <f>G447*AO447</f>
        <v>0</v>
      </c>
      <c r="BI447" s="19">
        <f>G447*AP447</f>
        <v>0</v>
      </c>
      <c r="BJ447" s="19">
        <f>G447*H447</f>
        <v>0</v>
      </c>
      <c r="BK447" s="19"/>
      <c r="BL447" s="19">
        <v>97</v>
      </c>
      <c r="BW447" s="19" t="str">
        <f>I447</f>
        <v>12</v>
      </c>
      <c r="BX447" s="4" t="s">
        <v>281</v>
      </c>
    </row>
    <row r="448" spans="1:76" x14ac:dyDescent="0.25">
      <c r="A448" s="84" t="s">
        <v>25</v>
      </c>
      <c r="B448" s="15" t="s">
        <v>303</v>
      </c>
      <c r="C448" s="15" t="s">
        <v>282</v>
      </c>
      <c r="D448" s="115" t="s">
        <v>283</v>
      </c>
      <c r="E448" s="116"/>
      <c r="F448" s="85" t="s">
        <v>23</v>
      </c>
      <c r="G448" s="85" t="s">
        <v>23</v>
      </c>
      <c r="H448" s="85" t="s">
        <v>23</v>
      </c>
      <c r="I448" s="85" t="s">
        <v>23</v>
      </c>
      <c r="J448" s="60">
        <f>SUM(J449:J456)</f>
        <v>0</v>
      </c>
      <c r="K448" s="60">
        <f>SUM(K449:K456)</f>
        <v>0</v>
      </c>
      <c r="L448" s="60">
        <f>SUM(L449:L456)</f>
        <v>0</v>
      </c>
      <c r="M448" s="60">
        <f>SUM(M449:M456)</f>
        <v>0</v>
      </c>
      <c r="N448" s="16" t="s">
        <v>25</v>
      </c>
      <c r="O448" s="60">
        <f>SUM(O449:O456)</f>
        <v>0</v>
      </c>
      <c r="P448" s="86" t="s">
        <v>25</v>
      </c>
      <c r="AI448" s="16" t="s">
        <v>303</v>
      </c>
      <c r="AS448" s="60">
        <f>SUM(AJ449:AJ456)</f>
        <v>0</v>
      </c>
      <c r="AT448" s="60">
        <f>SUM(AK449:AK456)</f>
        <v>0</v>
      </c>
      <c r="AU448" s="60">
        <f>SUM(AL449:AL456)</f>
        <v>0</v>
      </c>
    </row>
    <row r="449" spans="1:76" x14ac:dyDescent="0.25">
      <c r="A449" s="1" t="s">
        <v>842</v>
      </c>
      <c r="B449" s="2" t="s">
        <v>303</v>
      </c>
      <c r="C449" s="2" t="s">
        <v>284</v>
      </c>
      <c r="D449" s="108" t="s">
        <v>285</v>
      </c>
      <c r="E449" s="102"/>
      <c r="F449" s="2" t="s">
        <v>286</v>
      </c>
      <c r="G449" s="19">
        <f>'Rozpočet - vybrané sloupce'!J416</f>
        <v>45</v>
      </c>
      <c r="H449" s="19">
        <f>'Rozpočet - vybrané sloupce'!K416</f>
        <v>0</v>
      </c>
      <c r="I449" s="87" t="s">
        <v>427</v>
      </c>
      <c r="J449" s="19">
        <f t="shared" ref="J449:J456" si="392">G449*AO449</f>
        <v>0</v>
      </c>
      <c r="K449" s="19">
        <f t="shared" ref="K449:K456" si="393">G449*AP449</f>
        <v>0</v>
      </c>
      <c r="L449" s="19">
        <f t="shared" ref="L449:L456" si="394">G449*H449</f>
        <v>0</v>
      </c>
      <c r="M449" s="19">
        <f t="shared" ref="M449:M456" si="395">L449*(1+BW449/100)</f>
        <v>0</v>
      </c>
      <c r="N449" s="19">
        <v>0</v>
      </c>
      <c r="O449" s="19">
        <f t="shared" ref="O449:O456" si="396">G449*N449</f>
        <v>0</v>
      </c>
      <c r="P449" s="88" t="s">
        <v>428</v>
      </c>
      <c r="Z449" s="19">
        <f t="shared" ref="Z449:Z456" si="397">IF(AQ449="5",BJ449,0)</f>
        <v>0</v>
      </c>
      <c r="AB449" s="19">
        <f t="shared" ref="AB449:AB456" si="398">IF(AQ449="1",BH449,0)</f>
        <v>0</v>
      </c>
      <c r="AC449" s="19">
        <f t="shared" ref="AC449:AC456" si="399">IF(AQ449="1",BI449,0)</f>
        <v>0</v>
      </c>
      <c r="AD449" s="19">
        <f t="shared" ref="AD449:AD456" si="400">IF(AQ449="7",BH449,0)</f>
        <v>0</v>
      </c>
      <c r="AE449" s="19">
        <f t="shared" ref="AE449:AE456" si="401">IF(AQ449="7",BI449,0)</f>
        <v>0</v>
      </c>
      <c r="AF449" s="19">
        <f t="shared" ref="AF449:AF456" si="402">IF(AQ449="2",BH449,0)</f>
        <v>0</v>
      </c>
      <c r="AG449" s="19">
        <f t="shared" ref="AG449:AG456" si="403">IF(AQ449="2",BI449,0)</f>
        <v>0</v>
      </c>
      <c r="AH449" s="19">
        <f t="shared" ref="AH449:AH456" si="404">IF(AQ449="0",BJ449,0)</f>
        <v>0</v>
      </c>
      <c r="AI449" s="16" t="s">
        <v>303</v>
      </c>
      <c r="AJ449" s="19">
        <f t="shared" ref="AJ449:AJ456" si="405">IF(AN449=0,L449,0)</f>
        <v>0</v>
      </c>
      <c r="AK449" s="19">
        <f t="shared" ref="AK449:AK456" si="406">IF(AN449=12,L449,0)</f>
        <v>0</v>
      </c>
      <c r="AL449" s="19">
        <f t="shared" ref="AL449:AL456" si="407">IF(AN449=21,L449,0)</f>
        <v>0</v>
      </c>
      <c r="AN449" s="19">
        <v>12</v>
      </c>
      <c r="AO449" s="19">
        <f t="shared" ref="AO449:AO456" si="408">H449*0</f>
        <v>0</v>
      </c>
      <c r="AP449" s="19">
        <f t="shared" ref="AP449:AP456" si="409">H449*(1-0)</f>
        <v>0</v>
      </c>
      <c r="AQ449" s="87" t="s">
        <v>426</v>
      </c>
      <c r="AV449" s="19">
        <f t="shared" ref="AV449:AV456" si="410">AW449+AX449</f>
        <v>0</v>
      </c>
      <c r="AW449" s="19">
        <f t="shared" ref="AW449:AW456" si="411">G449*AO449</f>
        <v>0</v>
      </c>
      <c r="AX449" s="19">
        <f t="shared" ref="AX449:AX456" si="412">G449*AP449</f>
        <v>0</v>
      </c>
      <c r="AY449" s="87" t="s">
        <v>753</v>
      </c>
      <c r="AZ449" s="87" t="s">
        <v>835</v>
      </c>
      <c r="BA449" s="16" t="s">
        <v>809</v>
      </c>
      <c r="BC449" s="19">
        <f t="shared" ref="BC449:BC456" si="413">AW449+AX449</f>
        <v>0</v>
      </c>
      <c r="BD449" s="19">
        <f t="shared" ref="BD449:BD456" si="414">H449/(100-BE449)*100</f>
        <v>0</v>
      </c>
      <c r="BE449" s="19">
        <v>0</v>
      </c>
      <c r="BF449" s="19">
        <f t="shared" ref="BF449:BF456" si="415">O449</f>
        <v>0</v>
      </c>
      <c r="BH449" s="19">
        <f t="shared" ref="BH449:BH456" si="416">G449*AO449</f>
        <v>0</v>
      </c>
      <c r="BI449" s="19">
        <f t="shared" ref="BI449:BI456" si="417">G449*AP449</f>
        <v>0</v>
      </c>
      <c r="BJ449" s="19">
        <f t="shared" ref="BJ449:BJ456" si="418">G449*H449</f>
        <v>0</v>
      </c>
      <c r="BK449" s="19"/>
      <c r="BL449" s="19"/>
      <c r="BW449" s="19" t="str">
        <f t="shared" ref="BW449:BW456" si="419">I449</f>
        <v>12</v>
      </c>
      <c r="BX449" s="4" t="s">
        <v>285</v>
      </c>
    </row>
    <row r="450" spans="1:76" x14ac:dyDescent="0.25">
      <c r="A450" s="1" t="s">
        <v>843</v>
      </c>
      <c r="B450" s="2" t="s">
        <v>303</v>
      </c>
      <c r="C450" s="2" t="s">
        <v>287</v>
      </c>
      <c r="D450" s="108" t="s">
        <v>288</v>
      </c>
      <c r="E450" s="102"/>
      <c r="F450" s="2" t="s">
        <v>95</v>
      </c>
      <c r="G450" s="19">
        <f>'Rozpočet - vybrané sloupce'!J417</f>
        <v>2.1</v>
      </c>
      <c r="H450" s="19">
        <f>'Rozpočet - vybrané sloupce'!K417</f>
        <v>0</v>
      </c>
      <c r="I450" s="87" t="s">
        <v>427</v>
      </c>
      <c r="J450" s="19">
        <f t="shared" si="392"/>
        <v>0</v>
      </c>
      <c r="K450" s="19">
        <f t="shared" si="393"/>
        <v>0</v>
      </c>
      <c r="L450" s="19">
        <f t="shared" si="394"/>
        <v>0</v>
      </c>
      <c r="M450" s="19">
        <f t="shared" si="395"/>
        <v>0</v>
      </c>
      <c r="N450" s="19">
        <v>0</v>
      </c>
      <c r="O450" s="19">
        <f t="shared" si="396"/>
        <v>0</v>
      </c>
      <c r="P450" s="88" t="s">
        <v>428</v>
      </c>
      <c r="Z450" s="19">
        <f t="shared" si="397"/>
        <v>0</v>
      </c>
      <c r="AB450" s="19">
        <f t="shared" si="398"/>
        <v>0</v>
      </c>
      <c r="AC450" s="19">
        <f t="shared" si="399"/>
        <v>0</v>
      </c>
      <c r="AD450" s="19">
        <f t="shared" si="400"/>
        <v>0</v>
      </c>
      <c r="AE450" s="19">
        <f t="shared" si="401"/>
        <v>0</v>
      </c>
      <c r="AF450" s="19">
        <f t="shared" si="402"/>
        <v>0</v>
      </c>
      <c r="AG450" s="19">
        <f t="shared" si="403"/>
        <v>0</v>
      </c>
      <c r="AH450" s="19">
        <f t="shared" si="404"/>
        <v>0</v>
      </c>
      <c r="AI450" s="16" t="s">
        <v>303</v>
      </c>
      <c r="AJ450" s="19">
        <f t="shared" si="405"/>
        <v>0</v>
      </c>
      <c r="AK450" s="19">
        <f t="shared" si="406"/>
        <v>0</v>
      </c>
      <c r="AL450" s="19">
        <f t="shared" si="407"/>
        <v>0</v>
      </c>
      <c r="AN450" s="19">
        <v>12</v>
      </c>
      <c r="AO450" s="19">
        <f t="shared" si="408"/>
        <v>0</v>
      </c>
      <c r="AP450" s="19">
        <f t="shared" si="409"/>
        <v>0</v>
      </c>
      <c r="AQ450" s="87" t="s">
        <v>436</v>
      </c>
      <c r="AV450" s="19">
        <f t="shared" si="410"/>
        <v>0</v>
      </c>
      <c r="AW450" s="19">
        <f t="shared" si="411"/>
        <v>0</v>
      </c>
      <c r="AX450" s="19">
        <f t="shared" si="412"/>
        <v>0</v>
      </c>
      <c r="AY450" s="87" t="s">
        <v>753</v>
      </c>
      <c r="AZ450" s="87" t="s">
        <v>835</v>
      </c>
      <c r="BA450" s="16" t="s">
        <v>809</v>
      </c>
      <c r="BC450" s="19">
        <f t="shared" si="413"/>
        <v>0</v>
      </c>
      <c r="BD450" s="19">
        <f t="shared" si="414"/>
        <v>0</v>
      </c>
      <c r="BE450" s="19">
        <v>0</v>
      </c>
      <c r="BF450" s="19">
        <f t="shared" si="415"/>
        <v>0</v>
      </c>
      <c r="BH450" s="19">
        <f t="shared" si="416"/>
        <v>0</v>
      </c>
      <c r="BI450" s="19">
        <f t="shared" si="417"/>
        <v>0</v>
      </c>
      <c r="BJ450" s="19">
        <f t="shared" si="418"/>
        <v>0</v>
      </c>
      <c r="BK450" s="19"/>
      <c r="BL450" s="19"/>
      <c r="BW450" s="19" t="str">
        <f t="shared" si="419"/>
        <v>12</v>
      </c>
      <c r="BX450" s="4" t="s">
        <v>288</v>
      </c>
    </row>
    <row r="451" spans="1:76" x14ac:dyDescent="0.25">
      <c r="A451" s="1" t="s">
        <v>844</v>
      </c>
      <c r="B451" s="2" t="s">
        <v>303</v>
      </c>
      <c r="C451" s="2" t="s">
        <v>289</v>
      </c>
      <c r="D451" s="108" t="s">
        <v>290</v>
      </c>
      <c r="E451" s="102"/>
      <c r="F451" s="2" t="s">
        <v>95</v>
      </c>
      <c r="G451" s="19">
        <f>'Rozpočet - vybrané sloupce'!J418</f>
        <v>6.2</v>
      </c>
      <c r="H451" s="19">
        <f>'Rozpočet - vybrané sloupce'!K418</f>
        <v>0</v>
      </c>
      <c r="I451" s="87" t="s">
        <v>427</v>
      </c>
      <c r="J451" s="19">
        <f t="shared" si="392"/>
        <v>0</v>
      </c>
      <c r="K451" s="19">
        <f t="shared" si="393"/>
        <v>0</v>
      </c>
      <c r="L451" s="19">
        <f t="shared" si="394"/>
        <v>0</v>
      </c>
      <c r="M451" s="19">
        <f t="shared" si="395"/>
        <v>0</v>
      </c>
      <c r="N451" s="19">
        <v>0</v>
      </c>
      <c r="O451" s="19">
        <f t="shared" si="396"/>
        <v>0</v>
      </c>
      <c r="P451" s="88" t="s">
        <v>428</v>
      </c>
      <c r="Z451" s="19">
        <f t="shared" si="397"/>
        <v>0</v>
      </c>
      <c r="AB451" s="19">
        <f t="shared" si="398"/>
        <v>0</v>
      </c>
      <c r="AC451" s="19">
        <f t="shared" si="399"/>
        <v>0</v>
      </c>
      <c r="AD451" s="19">
        <f t="shared" si="400"/>
        <v>0</v>
      </c>
      <c r="AE451" s="19">
        <f t="shared" si="401"/>
        <v>0</v>
      </c>
      <c r="AF451" s="19">
        <f t="shared" si="402"/>
        <v>0</v>
      </c>
      <c r="AG451" s="19">
        <f t="shared" si="403"/>
        <v>0</v>
      </c>
      <c r="AH451" s="19">
        <f t="shared" si="404"/>
        <v>0</v>
      </c>
      <c r="AI451" s="16" t="s">
        <v>303</v>
      </c>
      <c r="AJ451" s="19">
        <f t="shared" si="405"/>
        <v>0</v>
      </c>
      <c r="AK451" s="19">
        <f t="shared" si="406"/>
        <v>0</v>
      </c>
      <c r="AL451" s="19">
        <f t="shared" si="407"/>
        <v>0</v>
      </c>
      <c r="AN451" s="19">
        <v>12</v>
      </c>
      <c r="AO451" s="19">
        <f t="shared" si="408"/>
        <v>0</v>
      </c>
      <c r="AP451" s="19">
        <f t="shared" si="409"/>
        <v>0</v>
      </c>
      <c r="AQ451" s="87" t="s">
        <v>436</v>
      </c>
      <c r="AV451" s="19">
        <f t="shared" si="410"/>
        <v>0</v>
      </c>
      <c r="AW451" s="19">
        <f t="shared" si="411"/>
        <v>0</v>
      </c>
      <c r="AX451" s="19">
        <f t="shared" si="412"/>
        <v>0</v>
      </c>
      <c r="AY451" s="87" t="s">
        <v>753</v>
      </c>
      <c r="AZ451" s="87" t="s">
        <v>835</v>
      </c>
      <c r="BA451" s="16" t="s">
        <v>809</v>
      </c>
      <c r="BC451" s="19">
        <f t="shared" si="413"/>
        <v>0</v>
      </c>
      <c r="BD451" s="19">
        <f t="shared" si="414"/>
        <v>0</v>
      </c>
      <c r="BE451" s="19">
        <v>0</v>
      </c>
      <c r="BF451" s="19">
        <f t="shared" si="415"/>
        <v>0</v>
      </c>
      <c r="BH451" s="19">
        <f t="shared" si="416"/>
        <v>0</v>
      </c>
      <c r="BI451" s="19">
        <f t="shared" si="417"/>
        <v>0</v>
      </c>
      <c r="BJ451" s="19">
        <f t="shared" si="418"/>
        <v>0</v>
      </c>
      <c r="BK451" s="19"/>
      <c r="BL451" s="19"/>
      <c r="BW451" s="19" t="str">
        <f t="shared" si="419"/>
        <v>12</v>
      </c>
      <c r="BX451" s="4" t="s">
        <v>290</v>
      </c>
    </row>
    <row r="452" spans="1:76" x14ac:dyDescent="0.25">
      <c r="A452" s="1" t="s">
        <v>845</v>
      </c>
      <c r="B452" s="2" t="s">
        <v>303</v>
      </c>
      <c r="C452" s="2" t="s">
        <v>291</v>
      </c>
      <c r="D452" s="108" t="s">
        <v>292</v>
      </c>
      <c r="E452" s="102"/>
      <c r="F452" s="2" t="s">
        <v>95</v>
      </c>
      <c r="G452" s="19">
        <f>'Rozpočet - vybrané sloupce'!J419</f>
        <v>8.3000000000000007</v>
      </c>
      <c r="H452" s="19">
        <f>'Rozpočet - vybrané sloupce'!K419</f>
        <v>0</v>
      </c>
      <c r="I452" s="87" t="s">
        <v>427</v>
      </c>
      <c r="J452" s="19">
        <f t="shared" si="392"/>
        <v>0</v>
      </c>
      <c r="K452" s="19">
        <f t="shared" si="393"/>
        <v>0</v>
      </c>
      <c r="L452" s="19">
        <f t="shared" si="394"/>
        <v>0</v>
      </c>
      <c r="M452" s="19">
        <f t="shared" si="395"/>
        <v>0</v>
      </c>
      <c r="N452" s="19">
        <v>0</v>
      </c>
      <c r="O452" s="19">
        <f t="shared" si="396"/>
        <v>0</v>
      </c>
      <c r="P452" s="88" t="s">
        <v>428</v>
      </c>
      <c r="Z452" s="19">
        <f t="shared" si="397"/>
        <v>0</v>
      </c>
      <c r="AB452" s="19">
        <f t="shared" si="398"/>
        <v>0</v>
      </c>
      <c r="AC452" s="19">
        <f t="shared" si="399"/>
        <v>0</v>
      </c>
      <c r="AD452" s="19">
        <f t="shared" si="400"/>
        <v>0</v>
      </c>
      <c r="AE452" s="19">
        <f t="shared" si="401"/>
        <v>0</v>
      </c>
      <c r="AF452" s="19">
        <f t="shared" si="402"/>
        <v>0</v>
      </c>
      <c r="AG452" s="19">
        <f t="shared" si="403"/>
        <v>0</v>
      </c>
      <c r="AH452" s="19">
        <f t="shared" si="404"/>
        <v>0</v>
      </c>
      <c r="AI452" s="16" t="s">
        <v>303</v>
      </c>
      <c r="AJ452" s="19">
        <f t="shared" si="405"/>
        <v>0</v>
      </c>
      <c r="AK452" s="19">
        <f t="shared" si="406"/>
        <v>0</v>
      </c>
      <c r="AL452" s="19">
        <f t="shared" si="407"/>
        <v>0</v>
      </c>
      <c r="AN452" s="19">
        <v>12</v>
      </c>
      <c r="AO452" s="19">
        <f t="shared" si="408"/>
        <v>0</v>
      </c>
      <c r="AP452" s="19">
        <f t="shared" si="409"/>
        <v>0</v>
      </c>
      <c r="AQ452" s="87" t="s">
        <v>436</v>
      </c>
      <c r="AV452" s="19">
        <f t="shared" si="410"/>
        <v>0</v>
      </c>
      <c r="AW452" s="19">
        <f t="shared" si="411"/>
        <v>0</v>
      </c>
      <c r="AX452" s="19">
        <f t="shared" si="412"/>
        <v>0</v>
      </c>
      <c r="AY452" s="87" t="s">
        <v>753</v>
      </c>
      <c r="AZ452" s="87" t="s">
        <v>835</v>
      </c>
      <c r="BA452" s="16" t="s">
        <v>809</v>
      </c>
      <c r="BC452" s="19">
        <f t="shared" si="413"/>
        <v>0</v>
      </c>
      <c r="BD452" s="19">
        <f t="shared" si="414"/>
        <v>0</v>
      </c>
      <c r="BE452" s="19">
        <v>0</v>
      </c>
      <c r="BF452" s="19">
        <f t="shared" si="415"/>
        <v>0</v>
      </c>
      <c r="BH452" s="19">
        <f t="shared" si="416"/>
        <v>0</v>
      </c>
      <c r="BI452" s="19">
        <f t="shared" si="417"/>
        <v>0</v>
      </c>
      <c r="BJ452" s="19">
        <f t="shared" si="418"/>
        <v>0</v>
      </c>
      <c r="BK452" s="19"/>
      <c r="BL452" s="19"/>
      <c r="BW452" s="19" t="str">
        <f t="shared" si="419"/>
        <v>12</v>
      </c>
      <c r="BX452" s="4" t="s">
        <v>292</v>
      </c>
    </row>
    <row r="453" spans="1:76" x14ac:dyDescent="0.25">
      <c r="A453" s="1" t="s">
        <v>846</v>
      </c>
      <c r="B453" s="2" t="s">
        <v>303</v>
      </c>
      <c r="C453" s="2" t="s">
        <v>293</v>
      </c>
      <c r="D453" s="108" t="s">
        <v>294</v>
      </c>
      <c r="E453" s="102"/>
      <c r="F453" s="2" t="s">
        <v>95</v>
      </c>
      <c r="G453" s="19">
        <f>'Rozpočet - vybrané sloupce'!J420</f>
        <v>8.3000000000000007</v>
      </c>
      <c r="H453" s="19">
        <f>'Rozpočet - vybrané sloupce'!K420</f>
        <v>0</v>
      </c>
      <c r="I453" s="87" t="s">
        <v>427</v>
      </c>
      <c r="J453" s="19">
        <f t="shared" si="392"/>
        <v>0</v>
      </c>
      <c r="K453" s="19">
        <f t="shared" si="393"/>
        <v>0</v>
      </c>
      <c r="L453" s="19">
        <f t="shared" si="394"/>
        <v>0</v>
      </c>
      <c r="M453" s="19">
        <f t="shared" si="395"/>
        <v>0</v>
      </c>
      <c r="N453" s="19">
        <v>0</v>
      </c>
      <c r="O453" s="19">
        <f t="shared" si="396"/>
        <v>0</v>
      </c>
      <c r="P453" s="88" t="s">
        <v>428</v>
      </c>
      <c r="Z453" s="19">
        <f t="shared" si="397"/>
        <v>0</v>
      </c>
      <c r="AB453" s="19">
        <f t="shared" si="398"/>
        <v>0</v>
      </c>
      <c r="AC453" s="19">
        <f t="shared" si="399"/>
        <v>0</v>
      </c>
      <c r="AD453" s="19">
        <f t="shared" si="400"/>
        <v>0</v>
      </c>
      <c r="AE453" s="19">
        <f t="shared" si="401"/>
        <v>0</v>
      </c>
      <c r="AF453" s="19">
        <f t="shared" si="402"/>
        <v>0</v>
      </c>
      <c r="AG453" s="19">
        <f t="shared" si="403"/>
        <v>0</v>
      </c>
      <c r="AH453" s="19">
        <f t="shared" si="404"/>
        <v>0</v>
      </c>
      <c r="AI453" s="16" t="s">
        <v>303</v>
      </c>
      <c r="AJ453" s="19">
        <f t="shared" si="405"/>
        <v>0</v>
      </c>
      <c r="AK453" s="19">
        <f t="shared" si="406"/>
        <v>0</v>
      </c>
      <c r="AL453" s="19">
        <f t="shared" si="407"/>
        <v>0</v>
      </c>
      <c r="AN453" s="19">
        <v>12</v>
      </c>
      <c r="AO453" s="19">
        <f t="shared" si="408"/>
        <v>0</v>
      </c>
      <c r="AP453" s="19">
        <f t="shared" si="409"/>
        <v>0</v>
      </c>
      <c r="AQ453" s="87" t="s">
        <v>436</v>
      </c>
      <c r="AV453" s="19">
        <f t="shared" si="410"/>
        <v>0</v>
      </c>
      <c r="AW453" s="19">
        <f t="shared" si="411"/>
        <v>0</v>
      </c>
      <c r="AX453" s="19">
        <f t="shared" si="412"/>
        <v>0</v>
      </c>
      <c r="AY453" s="87" t="s">
        <v>753</v>
      </c>
      <c r="AZ453" s="87" t="s">
        <v>835</v>
      </c>
      <c r="BA453" s="16" t="s">
        <v>809</v>
      </c>
      <c r="BC453" s="19">
        <f t="shared" si="413"/>
        <v>0</v>
      </c>
      <c r="BD453" s="19">
        <f t="shared" si="414"/>
        <v>0</v>
      </c>
      <c r="BE453" s="19">
        <v>0</v>
      </c>
      <c r="BF453" s="19">
        <f t="shared" si="415"/>
        <v>0</v>
      </c>
      <c r="BH453" s="19">
        <f t="shared" si="416"/>
        <v>0</v>
      </c>
      <c r="BI453" s="19">
        <f t="shared" si="417"/>
        <v>0</v>
      </c>
      <c r="BJ453" s="19">
        <f t="shared" si="418"/>
        <v>0</v>
      </c>
      <c r="BK453" s="19"/>
      <c r="BL453" s="19"/>
      <c r="BW453" s="19" t="str">
        <f t="shared" si="419"/>
        <v>12</v>
      </c>
      <c r="BX453" s="4" t="s">
        <v>294</v>
      </c>
    </row>
    <row r="454" spans="1:76" x14ac:dyDescent="0.25">
      <c r="A454" s="1" t="s">
        <v>847</v>
      </c>
      <c r="B454" s="2" t="s">
        <v>303</v>
      </c>
      <c r="C454" s="2" t="s">
        <v>295</v>
      </c>
      <c r="D454" s="108" t="s">
        <v>296</v>
      </c>
      <c r="E454" s="102"/>
      <c r="F454" s="2" t="s">
        <v>95</v>
      </c>
      <c r="G454" s="19">
        <f>'Rozpočet - vybrané sloupce'!J421</f>
        <v>8.3000000000000007</v>
      </c>
      <c r="H454" s="19">
        <f>'Rozpočet - vybrané sloupce'!K421</f>
        <v>0</v>
      </c>
      <c r="I454" s="87" t="s">
        <v>427</v>
      </c>
      <c r="J454" s="19">
        <f t="shared" si="392"/>
        <v>0</v>
      </c>
      <c r="K454" s="19">
        <f t="shared" si="393"/>
        <v>0</v>
      </c>
      <c r="L454" s="19">
        <f t="shared" si="394"/>
        <v>0</v>
      </c>
      <c r="M454" s="19">
        <f t="shared" si="395"/>
        <v>0</v>
      </c>
      <c r="N454" s="19">
        <v>0</v>
      </c>
      <c r="O454" s="19">
        <f t="shared" si="396"/>
        <v>0</v>
      </c>
      <c r="P454" s="88" t="s">
        <v>428</v>
      </c>
      <c r="Z454" s="19">
        <f t="shared" si="397"/>
        <v>0</v>
      </c>
      <c r="AB454" s="19">
        <f t="shared" si="398"/>
        <v>0</v>
      </c>
      <c r="AC454" s="19">
        <f t="shared" si="399"/>
        <v>0</v>
      </c>
      <c r="AD454" s="19">
        <f t="shared" si="400"/>
        <v>0</v>
      </c>
      <c r="AE454" s="19">
        <f t="shared" si="401"/>
        <v>0</v>
      </c>
      <c r="AF454" s="19">
        <f t="shared" si="402"/>
        <v>0</v>
      </c>
      <c r="AG454" s="19">
        <f t="shared" si="403"/>
        <v>0</v>
      </c>
      <c r="AH454" s="19">
        <f t="shared" si="404"/>
        <v>0</v>
      </c>
      <c r="AI454" s="16" t="s">
        <v>303</v>
      </c>
      <c r="AJ454" s="19">
        <f t="shared" si="405"/>
        <v>0</v>
      </c>
      <c r="AK454" s="19">
        <f t="shared" si="406"/>
        <v>0</v>
      </c>
      <c r="AL454" s="19">
        <f t="shared" si="407"/>
        <v>0</v>
      </c>
      <c r="AN454" s="19">
        <v>12</v>
      </c>
      <c r="AO454" s="19">
        <f t="shared" si="408"/>
        <v>0</v>
      </c>
      <c r="AP454" s="19">
        <f t="shared" si="409"/>
        <v>0</v>
      </c>
      <c r="AQ454" s="87" t="s">
        <v>436</v>
      </c>
      <c r="AV454" s="19">
        <f t="shared" si="410"/>
        <v>0</v>
      </c>
      <c r="AW454" s="19">
        <f t="shared" si="411"/>
        <v>0</v>
      </c>
      <c r="AX454" s="19">
        <f t="shared" si="412"/>
        <v>0</v>
      </c>
      <c r="AY454" s="87" t="s">
        <v>753</v>
      </c>
      <c r="AZ454" s="87" t="s">
        <v>835</v>
      </c>
      <c r="BA454" s="16" t="s">
        <v>809</v>
      </c>
      <c r="BC454" s="19">
        <f t="shared" si="413"/>
        <v>0</v>
      </c>
      <c r="BD454" s="19">
        <f t="shared" si="414"/>
        <v>0</v>
      </c>
      <c r="BE454" s="19">
        <v>0</v>
      </c>
      <c r="BF454" s="19">
        <f t="shared" si="415"/>
        <v>0</v>
      </c>
      <c r="BH454" s="19">
        <f t="shared" si="416"/>
        <v>0</v>
      </c>
      <c r="BI454" s="19">
        <f t="shared" si="417"/>
        <v>0</v>
      </c>
      <c r="BJ454" s="19">
        <f t="shared" si="418"/>
        <v>0</v>
      </c>
      <c r="BK454" s="19"/>
      <c r="BL454" s="19"/>
      <c r="BW454" s="19" t="str">
        <f t="shared" si="419"/>
        <v>12</v>
      </c>
      <c r="BX454" s="4" t="s">
        <v>296</v>
      </c>
    </row>
    <row r="455" spans="1:76" x14ac:dyDescent="0.25">
      <c r="A455" s="1" t="s">
        <v>848</v>
      </c>
      <c r="B455" s="2" t="s">
        <v>303</v>
      </c>
      <c r="C455" s="2" t="s">
        <v>297</v>
      </c>
      <c r="D455" s="108" t="s">
        <v>298</v>
      </c>
      <c r="E455" s="102"/>
      <c r="F455" s="2" t="s">
        <v>95</v>
      </c>
      <c r="G455" s="19">
        <f>'Rozpočet - vybrané sloupce'!J422</f>
        <v>83</v>
      </c>
      <c r="H455" s="19">
        <f>'Rozpočet - vybrané sloupce'!K422</f>
        <v>0</v>
      </c>
      <c r="I455" s="87" t="s">
        <v>427</v>
      </c>
      <c r="J455" s="19">
        <f t="shared" si="392"/>
        <v>0</v>
      </c>
      <c r="K455" s="19">
        <f t="shared" si="393"/>
        <v>0</v>
      </c>
      <c r="L455" s="19">
        <f t="shared" si="394"/>
        <v>0</v>
      </c>
      <c r="M455" s="19">
        <f t="shared" si="395"/>
        <v>0</v>
      </c>
      <c r="N455" s="19">
        <v>0</v>
      </c>
      <c r="O455" s="19">
        <f t="shared" si="396"/>
        <v>0</v>
      </c>
      <c r="P455" s="88" t="s">
        <v>428</v>
      </c>
      <c r="Z455" s="19">
        <f t="shared" si="397"/>
        <v>0</v>
      </c>
      <c r="AB455" s="19">
        <f t="shared" si="398"/>
        <v>0</v>
      </c>
      <c r="AC455" s="19">
        <f t="shared" si="399"/>
        <v>0</v>
      </c>
      <c r="AD455" s="19">
        <f t="shared" si="400"/>
        <v>0</v>
      </c>
      <c r="AE455" s="19">
        <f t="shared" si="401"/>
        <v>0</v>
      </c>
      <c r="AF455" s="19">
        <f t="shared" si="402"/>
        <v>0</v>
      </c>
      <c r="AG455" s="19">
        <f t="shared" si="403"/>
        <v>0</v>
      </c>
      <c r="AH455" s="19">
        <f t="shared" si="404"/>
        <v>0</v>
      </c>
      <c r="AI455" s="16" t="s">
        <v>303</v>
      </c>
      <c r="AJ455" s="19">
        <f t="shared" si="405"/>
        <v>0</v>
      </c>
      <c r="AK455" s="19">
        <f t="shared" si="406"/>
        <v>0</v>
      </c>
      <c r="AL455" s="19">
        <f t="shared" si="407"/>
        <v>0</v>
      </c>
      <c r="AN455" s="19">
        <v>12</v>
      </c>
      <c r="AO455" s="19">
        <f t="shared" si="408"/>
        <v>0</v>
      </c>
      <c r="AP455" s="19">
        <f t="shared" si="409"/>
        <v>0</v>
      </c>
      <c r="AQ455" s="87" t="s">
        <v>436</v>
      </c>
      <c r="AV455" s="19">
        <f t="shared" si="410"/>
        <v>0</v>
      </c>
      <c r="AW455" s="19">
        <f t="shared" si="411"/>
        <v>0</v>
      </c>
      <c r="AX455" s="19">
        <f t="shared" si="412"/>
        <v>0</v>
      </c>
      <c r="AY455" s="87" t="s">
        <v>753</v>
      </c>
      <c r="AZ455" s="87" t="s">
        <v>835</v>
      </c>
      <c r="BA455" s="16" t="s">
        <v>809</v>
      </c>
      <c r="BC455" s="19">
        <f t="shared" si="413"/>
        <v>0</v>
      </c>
      <c r="BD455" s="19">
        <f t="shared" si="414"/>
        <v>0</v>
      </c>
      <c r="BE455" s="19">
        <v>0</v>
      </c>
      <c r="BF455" s="19">
        <f t="shared" si="415"/>
        <v>0</v>
      </c>
      <c r="BH455" s="19">
        <f t="shared" si="416"/>
        <v>0</v>
      </c>
      <c r="BI455" s="19">
        <f t="shared" si="417"/>
        <v>0</v>
      </c>
      <c r="BJ455" s="19">
        <f t="shared" si="418"/>
        <v>0</v>
      </c>
      <c r="BK455" s="19"/>
      <c r="BL455" s="19"/>
      <c r="BW455" s="19" t="str">
        <f t="shared" si="419"/>
        <v>12</v>
      </c>
      <c r="BX455" s="4" t="s">
        <v>298</v>
      </c>
    </row>
    <row r="456" spans="1:76" x14ac:dyDescent="0.25">
      <c r="A456" s="1" t="s">
        <v>849</v>
      </c>
      <c r="B456" s="2" t="s">
        <v>303</v>
      </c>
      <c r="C456" s="2" t="s">
        <v>299</v>
      </c>
      <c r="D456" s="108" t="s">
        <v>300</v>
      </c>
      <c r="E456" s="102"/>
      <c r="F456" s="2" t="s">
        <v>95</v>
      </c>
      <c r="G456" s="19">
        <f>'Rozpočet - vybrané sloupce'!J423</f>
        <v>8.3000000000000007</v>
      </c>
      <c r="H456" s="19">
        <f>'Rozpočet - vybrané sloupce'!K423</f>
        <v>0</v>
      </c>
      <c r="I456" s="87" t="s">
        <v>427</v>
      </c>
      <c r="J456" s="19">
        <f t="shared" si="392"/>
        <v>0</v>
      </c>
      <c r="K456" s="19">
        <f t="shared" si="393"/>
        <v>0</v>
      </c>
      <c r="L456" s="19">
        <f t="shared" si="394"/>
        <v>0</v>
      </c>
      <c r="M456" s="19">
        <f t="shared" si="395"/>
        <v>0</v>
      </c>
      <c r="N456" s="19">
        <v>0</v>
      </c>
      <c r="O456" s="19">
        <f t="shared" si="396"/>
        <v>0</v>
      </c>
      <c r="P456" s="88" t="s">
        <v>428</v>
      </c>
      <c r="Z456" s="19">
        <f t="shared" si="397"/>
        <v>0</v>
      </c>
      <c r="AB456" s="19">
        <f t="shared" si="398"/>
        <v>0</v>
      </c>
      <c r="AC456" s="19">
        <f t="shared" si="399"/>
        <v>0</v>
      </c>
      <c r="AD456" s="19">
        <f t="shared" si="400"/>
        <v>0</v>
      </c>
      <c r="AE456" s="19">
        <f t="shared" si="401"/>
        <v>0</v>
      </c>
      <c r="AF456" s="19">
        <f t="shared" si="402"/>
        <v>0</v>
      </c>
      <c r="AG456" s="19">
        <f t="shared" si="403"/>
        <v>0</v>
      </c>
      <c r="AH456" s="19">
        <f t="shared" si="404"/>
        <v>0</v>
      </c>
      <c r="AI456" s="16" t="s">
        <v>303</v>
      </c>
      <c r="AJ456" s="19">
        <f t="shared" si="405"/>
        <v>0</v>
      </c>
      <c r="AK456" s="19">
        <f t="shared" si="406"/>
        <v>0</v>
      </c>
      <c r="AL456" s="19">
        <f t="shared" si="407"/>
        <v>0</v>
      </c>
      <c r="AN456" s="19">
        <v>12</v>
      </c>
      <c r="AO456" s="19">
        <f t="shared" si="408"/>
        <v>0</v>
      </c>
      <c r="AP456" s="19">
        <f t="shared" si="409"/>
        <v>0</v>
      </c>
      <c r="AQ456" s="87" t="s">
        <v>436</v>
      </c>
      <c r="AV456" s="19">
        <f t="shared" si="410"/>
        <v>0</v>
      </c>
      <c r="AW456" s="19">
        <f t="shared" si="411"/>
        <v>0</v>
      </c>
      <c r="AX456" s="19">
        <f t="shared" si="412"/>
        <v>0</v>
      </c>
      <c r="AY456" s="87" t="s">
        <v>753</v>
      </c>
      <c r="AZ456" s="87" t="s">
        <v>835</v>
      </c>
      <c r="BA456" s="16" t="s">
        <v>809</v>
      </c>
      <c r="BC456" s="19">
        <f t="shared" si="413"/>
        <v>0</v>
      </c>
      <c r="BD456" s="19">
        <f t="shared" si="414"/>
        <v>0</v>
      </c>
      <c r="BE456" s="19">
        <v>0</v>
      </c>
      <c r="BF456" s="19">
        <f t="shared" si="415"/>
        <v>0</v>
      </c>
      <c r="BH456" s="19">
        <f t="shared" si="416"/>
        <v>0</v>
      </c>
      <c r="BI456" s="19">
        <f t="shared" si="417"/>
        <v>0</v>
      </c>
      <c r="BJ456" s="19">
        <f t="shared" si="418"/>
        <v>0</v>
      </c>
      <c r="BK456" s="19"/>
      <c r="BL456" s="19"/>
      <c r="BW456" s="19" t="str">
        <f t="shared" si="419"/>
        <v>12</v>
      </c>
      <c r="BX456" s="4" t="s">
        <v>300</v>
      </c>
    </row>
    <row r="457" spans="1:76" x14ac:dyDescent="0.25">
      <c r="A457" s="84" t="s">
        <v>25</v>
      </c>
      <c r="B457" s="15" t="s">
        <v>305</v>
      </c>
      <c r="C457" s="15" t="s">
        <v>25</v>
      </c>
      <c r="D457" s="115" t="s">
        <v>306</v>
      </c>
      <c r="E457" s="116"/>
      <c r="F457" s="85" t="s">
        <v>23</v>
      </c>
      <c r="G457" s="85" t="s">
        <v>23</v>
      </c>
      <c r="H457" s="85" t="s">
        <v>23</v>
      </c>
      <c r="I457" s="85" t="s">
        <v>23</v>
      </c>
      <c r="J457" s="60">
        <f>J459+J461+J464</f>
        <v>0</v>
      </c>
      <c r="K457" s="60">
        <f>K459+K461+K464</f>
        <v>0</v>
      </c>
      <c r="L457" s="60">
        <f>L459+L461+L464</f>
        <v>0</v>
      </c>
      <c r="M457" s="60">
        <f>M459+M461+M464</f>
        <v>0</v>
      </c>
      <c r="N457" s="16" t="s">
        <v>25</v>
      </c>
      <c r="O457" s="60">
        <f>O459+O461+O464</f>
        <v>0</v>
      </c>
      <c r="P457" s="86" t="s">
        <v>25</v>
      </c>
    </row>
    <row r="458" spans="1:76" x14ac:dyDescent="0.25">
      <c r="A458" s="84" t="s">
        <v>25</v>
      </c>
      <c r="B458" s="15" t="s">
        <v>305</v>
      </c>
      <c r="C458" s="15" t="s">
        <v>307</v>
      </c>
      <c r="D458" s="115" t="s">
        <v>308</v>
      </c>
      <c r="E458" s="116"/>
      <c r="F458" s="85" t="s">
        <v>23</v>
      </c>
      <c r="G458" s="85" t="s">
        <v>23</v>
      </c>
      <c r="H458" s="85" t="s">
        <v>23</v>
      </c>
      <c r="I458" s="85" t="s">
        <v>23</v>
      </c>
      <c r="J458" s="60">
        <f>J459+J461+J464</f>
        <v>0</v>
      </c>
      <c r="K458" s="60">
        <f>K459+K461+K464</f>
        <v>0</v>
      </c>
      <c r="L458" s="60">
        <f>L459+L461+L464</f>
        <v>0</v>
      </c>
      <c r="M458" s="60">
        <f>M459+M461+M464</f>
        <v>0</v>
      </c>
      <c r="N458" s="16" t="s">
        <v>25</v>
      </c>
      <c r="O458" s="60">
        <f>O459+O461+O464</f>
        <v>0</v>
      </c>
      <c r="P458" s="86" t="s">
        <v>25</v>
      </c>
      <c r="AI458" s="16" t="s">
        <v>305</v>
      </c>
    </row>
    <row r="459" spans="1:76" x14ac:dyDescent="0.25">
      <c r="A459" s="84" t="s">
        <v>25</v>
      </c>
      <c r="B459" s="15" t="s">
        <v>305</v>
      </c>
      <c r="C459" s="15" t="s">
        <v>309</v>
      </c>
      <c r="D459" s="115" t="s">
        <v>310</v>
      </c>
      <c r="E459" s="116"/>
      <c r="F459" s="85" t="s">
        <v>23</v>
      </c>
      <c r="G459" s="85" t="s">
        <v>23</v>
      </c>
      <c r="H459" s="85" t="s">
        <v>23</v>
      </c>
      <c r="I459" s="85" t="s">
        <v>23</v>
      </c>
      <c r="J459" s="60">
        <f>SUM(J460:J460)</f>
        <v>0</v>
      </c>
      <c r="K459" s="60">
        <f>SUM(K460:K460)</f>
        <v>0</v>
      </c>
      <c r="L459" s="60">
        <f>SUM(L460:L460)</f>
        <v>0</v>
      </c>
      <c r="M459" s="60">
        <f>SUM(M460:M460)</f>
        <v>0</v>
      </c>
      <c r="N459" s="16" t="s">
        <v>25</v>
      </c>
      <c r="O459" s="60">
        <f>SUM(O460:O460)</f>
        <v>0</v>
      </c>
      <c r="P459" s="86" t="s">
        <v>25</v>
      </c>
      <c r="AI459" s="16" t="s">
        <v>305</v>
      </c>
      <c r="AS459" s="60">
        <f>SUM(AJ460:AJ460)</f>
        <v>0</v>
      </c>
      <c r="AT459" s="60">
        <f>SUM(AK460:AK460)</f>
        <v>0</v>
      </c>
      <c r="AU459" s="60">
        <f>SUM(AL460:AL460)</f>
        <v>0</v>
      </c>
    </row>
    <row r="460" spans="1:76" x14ac:dyDescent="0.25">
      <c r="A460" s="1" t="s">
        <v>850</v>
      </c>
      <c r="B460" s="2" t="s">
        <v>305</v>
      </c>
      <c r="C460" s="2" t="s">
        <v>311</v>
      </c>
      <c r="D460" s="108" t="s">
        <v>312</v>
      </c>
      <c r="E460" s="102"/>
      <c r="F460" s="2" t="s">
        <v>313</v>
      </c>
      <c r="G460" s="19">
        <f>'Rozpočet - vybrané sloupce'!J427</f>
        <v>24</v>
      </c>
      <c r="H460" s="19">
        <f>'Rozpočet - vybrané sloupce'!K427</f>
        <v>0</v>
      </c>
      <c r="I460" s="87" t="s">
        <v>427</v>
      </c>
      <c r="J460" s="19">
        <f>G460*AO460</f>
        <v>0</v>
      </c>
      <c r="K460" s="19">
        <f>G460*AP460</f>
        <v>0</v>
      </c>
      <c r="L460" s="19">
        <f>G460*H460</f>
        <v>0</v>
      </c>
      <c r="M460" s="19">
        <f>L460*(1+BW460/100)</f>
        <v>0</v>
      </c>
      <c r="N460" s="19">
        <v>0</v>
      </c>
      <c r="O460" s="19">
        <f>G460*N460</f>
        <v>0</v>
      </c>
      <c r="P460" s="88" t="s">
        <v>740</v>
      </c>
      <c r="Z460" s="19">
        <f>IF(AQ460="5",BJ460,0)</f>
        <v>0</v>
      </c>
      <c r="AB460" s="19">
        <f>IF(AQ460="1",BH460,0)</f>
        <v>0</v>
      </c>
      <c r="AC460" s="19">
        <f>IF(AQ460="1",BI460,0)</f>
        <v>0</v>
      </c>
      <c r="AD460" s="19">
        <f>IF(AQ460="7",BH460,0)</f>
        <v>0</v>
      </c>
      <c r="AE460" s="19">
        <f>IF(AQ460="7",BI460,0)</f>
        <v>0</v>
      </c>
      <c r="AF460" s="19">
        <f>IF(AQ460="2",BH460,0)</f>
        <v>0</v>
      </c>
      <c r="AG460" s="19">
        <f>IF(AQ460="2",BI460,0)</f>
        <v>0</v>
      </c>
      <c r="AH460" s="19">
        <f>IF(AQ460="0",BJ460,0)</f>
        <v>0</v>
      </c>
      <c r="AI460" s="16" t="s">
        <v>305</v>
      </c>
      <c r="AJ460" s="19">
        <f>IF(AN460=0,L460,0)</f>
        <v>0</v>
      </c>
      <c r="AK460" s="19">
        <f>IF(AN460=12,L460,0)</f>
        <v>0</v>
      </c>
      <c r="AL460" s="19">
        <f>IF(AN460=21,L460,0)</f>
        <v>0</v>
      </c>
      <c r="AN460" s="19">
        <v>12</v>
      </c>
      <c r="AO460" s="19">
        <f>H460*0</f>
        <v>0</v>
      </c>
      <c r="AP460" s="19">
        <f>H460*(1-0)</f>
        <v>0</v>
      </c>
      <c r="AQ460" s="87" t="s">
        <v>538</v>
      </c>
      <c r="AV460" s="19">
        <f>AW460+AX460</f>
        <v>0</v>
      </c>
      <c r="AW460" s="19">
        <f>G460*AO460</f>
        <v>0</v>
      </c>
      <c r="AX460" s="19">
        <f>G460*AP460</f>
        <v>0</v>
      </c>
      <c r="AY460" s="87" t="s">
        <v>851</v>
      </c>
      <c r="AZ460" s="87" t="s">
        <v>852</v>
      </c>
      <c r="BA460" s="16" t="s">
        <v>853</v>
      </c>
      <c r="BC460" s="19">
        <f>AW460+AX460</f>
        <v>0</v>
      </c>
      <c r="BD460" s="19">
        <f>H460/(100-BE460)*100</f>
        <v>0</v>
      </c>
      <c r="BE460" s="19">
        <v>0</v>
      </c>
      <c r="BF460" s="19">
        <f>O460</f>
        <v>0</v>
      </c>
      <c r="BH460" s="19">
        <f>G460*AO460</f>
        <v>0</v>
      </c>
      <c r="BI460" s="19">
        <f>G460*AP460</f>
        <v>0</v>
      </c>
      <c r="BJ460" s="19">
        <f>G460*H460</f>
        <v>0</v>
      </c>
      <c r="BK460" s="19"/>
      <c r="BL460" s="19"/>
      <c r="BM460" s="19">
        <f>G460*H460</f>
        <v>0</v>
      </c>
      <c r="BW460" s="19" t="str">
        <f>I460</f>
        <v>12</v>
      </c>
      <c r="BX460" s="4" t="s">
        <v>312</v>
      </c>
    </row>
    <row r="461" spans="1:76" x14ac:dyDescent="0.25">
      <c r="A461" s="84" t="s">
        <v>25</v>
      </c>
      <c r="B461" s="15" t="s">
        <v>305</v>
      </c>
      <c r="C461" s="15" t="s">
        <v>314</v>
      </c>
      <c r="D461" s="115" t="s">
        <v>315</v>
      </c>
      <c r="E461" s="116"/>
      <c r="F461" s="85" t="s">
        <v>23</v>
      </c>
      <c r="G461" s="85" t="s">
        <v>23</v>
      </c>
      <c r="H461" s="85" t="s">
        <v>23</v>
      </c>
      <c r="I461" s="85" t="s">
        <v>23</v>
      </c>
      <c r="J461" s="60">
        <f>SUM(J462:J463)</f>
        <v>0</v>
      </c>
      <c r="K461" s="60">
        <f>SUM(K462:K463)</f>
        <v>0</v>
      </c>
      <c r="L461" s="60">
        <f>SUM(L462:L463)</f>
        <v>0</v>
      </c>
      <c r="M461" s="60">
        <f>SUM(M462:M463)</f>
        <v>0</v>
      </c>
      <c r="N461" s="16" t="s">
        <v>25</v>
      </c>
      <c r="O461" s="60">
        <f>SUM(O462:O463)</f>
        <v>0</v>
      </c>
      <c r="P461" s="86" t="s">
        <v>25</v>
      </c>
      <c r="AI461" s="16" t="s">
        <v>305</v>
      </c>
      <c r="AS461" s="60">
        <f>SUM(AJ462:AJ463)</f>
        <v>0</v>
      </c>
      <c r="AT461" s="60">
        <f>SUM(AK462:AK463)</f>
        <v>0</v>
      </c>
      <c r="AU461" s="60">
        <f>SUM(AL462:AL463)</f>
        <v>0</v>
      </c>
    </row>
    <row r="462" spans="1:76" x14ac:dyDescent="0.25">
      <c r="A462" s="1" t="s">
        <v>854</v>
      </c>
      <c r="B462" s="2" t="s">
        <v>305</v>
      </c>
      <c r="C462" s="2" t="s">
        <v>316</v>
      </c>
      <c r="D462" s="108" t="s">
        <v>315</v>
      </c>
      <c r="E462" s="102"/>
      <c r="F462" s="2" t="s">
        <v>317</v>
      </c>
      <c r="G462" s="19">
        <f>'Rozpočet - vybrané sloupce'!J429</f>
        <v>1</v>
      </c>
      <c r="H462" s="19">
        <f>'Rozpočet - vybrané sloupce'!K429</f>
        <v>0</v>
      </c>
      <c r="I462" s="87" t="s">
        <v>427</v>
      </c>
      <c r="J462" s="19">
        <f>G462*AO462</f>
        <v>0</v>
      </c>
      <c r="K462" s="19">
        <f>G462*AP462</f>
        <v>0</v>
      </c>
      <c r="L462" s="19">
        <f>G462*H462</f>
        <v>0</v>
      </c>
      <c r="M462" s="19">
        <f>L462*(1+BW462/100)</f>
        <v>0</v>
      </c>
      <c r="N462" s="19">
        <v>0</v>
      </c>
      <c r="O462" s="19">
        <f>G462*N462</f>
        <v>0</v>
      </c>
      <c r="P462" s="88" t="s">
        <v>740</v>
      </c>
      <c r="Z462" s="19">
        <f>IF(AQ462="5",BJ462,0)</f>
        <v>0</v>
      </c>
      <c r="AB462" s="19">
        <f>IF(AQ462="1",BH462,0)</f>
        <v>0</v>
      </c>
      <c r="AC462" s="19">
        <f>IF(AQ462="1",BI462,0)</f>
        <v>0</v>
      </c>
      <c r="AD462" s="19">
        <f>IF(AQ462="7",BH462,0)</f>
        <v>0</v>
      </c>
      <c r="AE462" s="19">
        <f>IF(AQ462="7",BI462,0)</f>
        <v>0</v>
      </c>
      <c r="AF462" s="19">
        <f>IF(AQ462="2",BH462,0)</f>
        <v>0</v>
      </c>
      <c r="AG462" s="19">
        <f>IF(AQ462="2",BI462,0)</f>
        <v>0</v>
      </c>
      <c r="AH462" s="19">
        <f>IF(AQ462="0",BJ462,0)</f>
        <v>0</v>
      </c>
      <c r="AI462" s="16" t="s">
        <v>305</v>
      </c>
      <c r="AJ462" s="19">
        <f>IF(AN462=0,L462,0)</f>
        <v>0</v>
      </c>
      <c r="AK462" s="19">
        <f>IF(AN462=12,L462,0)</f>
        <v>0</v>
      </c>
      <c r="AL462" s="19">
        <f>IF(AN462=21,L462,0)</f>
        <v>0</v>
      </c>
      <c r="AN462" s="19">
        <v>12</v>
      </c>
      <c r="AO462" s="19">
        <f>H462*0</f>
        <v>0</v>
      </c>
      <c r="AP462" s="19">
        <f>H462*(1-0)</f>
        <v>0</v>
      </c>
      <c r="AQ462" s="87" t="s">
        <v>538</v>
      </c>
      <c r="AV462" s="19">
        <f>AW462+AX462</f>
        <v>0</v>
      </c>
      <c r="AW462" s="19">
        <f>G462*AO462</f>
        <v>0</v>
      </c>
      <c r="AX462" s="19">
        <f>G462*AP462</f>
        <v>0</v>
      </c>
      <c r="AY462" s="87" t="s">
        <v>855</v>
      </c>
      <c r="AZ462" s="87" t="s">
        <v>852</v>
      </c>
      <c r="BA462" s="16" t="s">
        <v>853</v>
      </c>
      <c r="BC462" s="19">
        <f>AW462+AX462</f>
        <v>0</v>
      </c>
      <c r="BD462" s="19">
        <f>H462/(100-BE462)*100</f>
        <v>0</v>
      </c>
      <c r="BE462" s="19">
        <v>0</v>
      </c>
      <c r="BF462" s="19">
        <f>O462</f>
        <v>0</v>
      </c>
      <c r="BH462" s="19">
        <f>G462*AO462</f>
        <v>0</v>
      </c>
      <c r="BI462" s="19">
        <f>G462*AP462</f>
        <v>0</v>
      </c>
      <c r="BJ462" s="19">
        <f>G462*H462</f>
        <v>0</v>
      </c>
      <c r="BK462" s="19"/>
      <c r="BL462" s="19"/>
      <c r="BO462" s="19">
        <f>G462*H462</f>
        <v>0</v>
      </c>
      <c r="BW462" s="19" t="str">
        <f>I462</f>
        <v>12</v>
      </c>
      <c r="BX462" s="4" t="s">
        <v>315</v>
      </c>
    </row>
    <row r="463" spans="1:76" x14ac:dyDescent="0.25">
      <c r="A463" s="1" t="s">
        <v>856</v>
      </c>
      <c r="B463" s="2" t="s">
        <v>305</v>
      </c>
      <c r="C463" s="2" t="s">
        <v>318</v>
      </c>
      <c r="D463" s="108" t="s">
        <v>319</v>
      </c>
      <c r="E463" s="102"/>
      <c r="F463" s="2" t="s">
        <v>317</v>
      </c>
      <c r="G463" s="19">
        <f>'Rozpočet - vybrané sloupce'!J430</f>
        <v>1</v>
      </c>
      <c r="H463" s="19">
        <f>'Rozpočet - vybrané sloupce'!K430</f>
        <v>0</v>
      </c>
      <c r="I463" s="87" t="s">
        <v>427</v>
      </c>
      <c r="J463" s="19">
        <f>G463*AO463</f>
        <v>0</v>
      </c>
      <c r="K463" s="19">
        <f>G463*AP463</f>
        <v>0</v>
      </c>
      <c r="L463" s="19">
        <f>G463*H463</f>
        <v>0</v>
      </c>
      <c r="M463" s="19">
        <f>L463*(1+BW463/100)</f>
        <v>0</v>
      </c>
      <c r="N463" s="19">
        <v>0</v>
      </c>
      <c r="O463" s="19">
        <f>G463*N463</f>
        <v>0</v>
      </c>
      <c r="P463" s="88" t="s">
        <v>740</v>
      </c>
      <c r="Z463" s="19">
        <f>IF(AQ463="5",BJ463,0)</f>
        <v>0</v>
      </c>
      <c r="AB463" s="19">
        <f>IF(AQ463="1",BH463,0)</f>
        <v>0</v>
      </c>
      <c r="AC463" s="19">
        <f>IF(AQ463="1",BI463,0)</f>
        <v>0</v>
      </c>
      <c r="AD463" s="19">
        <f>IF(AQ463="7",BH463,0)</f>
        <v>0</v>
      </c>
      <c r="AE463" s="19">
        <f>IF(AQ463="7",BI463,0)</f>
        <v>0</v>
      </c>
      <c r="AF463" s="19">
        <f>IF(AQ463="2",BH463,0)</f>
        <v>0</v>
      </c>
      <c r="AG463" s="19">
        <f>IF(AQ463="2",BI463,0)</f>
        <v>0</v>
      </c>
      <c r="AH463" s="19">
        <f>IF(AQ463="0",BJ463,0)</f>
        <v>0</v>
      </c>
      <c r="AI463" s="16" t="s">
        <v>305</v>
      </c>
      <c r="AJ463" s="19">
        <f>IF(AN463=0,L463,0)</f>
        <v>0</v>
      </c>
      <c r="AK463" s="19">
        <f>IF(AN463=12,L463,0)</f>
        <v>0</v>
      </c>
      <c r="AL463" s="19">
        <f>IF(AN463=21,L463,0)</f>
        <v>0</v>
      </c>
      <c r="AN463" s="19">
        <v>12</v>
      </c>
      <c r="AO463" s="19">
        <f>H463*0</f>
        <v>0</v>
      </c>
      <c r="AP463" s="19">
        <f>H463*(1-0)</f>
        <v>0</v>
      </c>
      <c r="AQ463" s="87" t="s">
        <v>538</v>
      </c>
      <c r="AV463" s="19">
        <f>AW463+AX463</f>
        <v>0</v>
      </c>
      <c r="AW463" s="19">
        <f>G463*AO463</f>
        <v>0</v>
      </c>
      <c r="AX463" s="19">
        <f>G463*AP463</f>
        <v>0</v>
      </c>
      <c r="AY463" s="87" t="s">
        <v>855</v>
      </c>
      <c r="AZ463" s="87" t="s">
        <v>852</v>
      </c>
      <c r="BA463" s="16" t="s">
        <v>853</v>
      </c>
      <c r="BC463" s="19">
        <f>AW463+AX463</f>
        <v>0</v>
      </c>
      <c r="BD463" s="19">
        <f>H463/(100-BE463)*100</f>
        <v>0</v>
      </c>
      <c r="BE463" s="19">
        <v>0</v>
      </c>
      <c r="BF463" s="19">
        <f>O463</f>
        <v>0</v>
      </c>
      <c r="BH463" s="19">
        <f>G463*AO463</f>
        <v>0</v>
      </c>
      <c r="BI463" s="19">
        <f>G463*AP463</f>
        <v>0</v>
      </c>
      <c r="BJ463" s="19">
        <f>G463*H463</f>
        <v>0</v>
      </c>
      <c r="BK463" s="19"/>
      <c r="BL463" s="19"/>
      <c r="BO463" s="19">
        <f>G463*H463</f>
        <v>0</v>
      </c>
      <c r="BW463" s="19" t="str">
        <f>I463</f>
        <v>12</v>
      </c>
      <c r="BX463" s="4" t="s">
        <v>319</v>
      </c>
    </row>
    <row r="464" spans="1:76" x14ac:dyDescent="0.25">
      <c r="A464" s="84" t="s">
        <v>25</v>
      </c>
      <c r="B464" s="15" t="s">
        <v>305</v>
      </c>
      <c r="C464" s="15" t="s">
        <v>320</v>
      </c>
      <c r="D464" s="115" t="s">
        <v>321</v>
      </c>
      <c r="E464" s="116"/>
      <c r="F464" s="85" t="s">
        <v>23</v>
      </c>
      <c r="G464" s="85" t="s">
        <v>23</v>
      </c>
      <c r="H464" s="85" t="s">
        <v>23</v>
      </c>
      <c r="I464" s="85" t="s">
        <v>23</v>
      </c>
      <c r="J464" s="60">
        <f>SUM(J465:J465)</f>
        <v>0</v>
      </c>
      <c r="K464" s="60">
        <f>SUM(K465:K465)</f>
        <v>0</v>
      </c>
      <c r="L464" s="60">
        <f>SUM(L465:L465)</f>
        <v>0</v>
      </c>
      <c r="M464" s="60">
        <f>SUM(M465:M465)</f>
        <v>0</v>
      </c>
      <c r="N464" s="16" t="s">
        <v>25</v>
      </c>
      <c r="O464" s="60">
        <f>SUM(O465:O465)</f>
        <v>0</v>
      </c>
      <c r="P464" s="86" t="s">
        <v>25</v>
      </c>
      <c r="AI464" s="16" t="s">
        <v>305</v>
      </c>
      <c r="AS464" s="60">
        <f>SUM(AJ465:AJ465)</f>
        <v>0</v>
      </c>
      <c r="AT464" s="60">
        <f>SUM(AK465:AK465)</f>
        <v>0</v>
      </c>
      <c r="AU464" s="60">
        <f>SUM(AL465:AL465)</f>
        <v>0</v>
      </c>
    </row>
    <row r="465" spans="1:76" x14ac:dyDescent="0.25">
      <c r="A465" s="1" t="s">
        <v>857</v>
      </c>
      <c r="B465" s="2" t="s">
        <v>305</v>
      </c>
      <c r="C465" s="2" t="s">
        <v>322</v>
      </c>
      <c r="D465" s="108" t="s">
        <v>321</v>
      </c>
      <c r="E465" s="102"/>
      <c r="F465" s="2" t="s">
        <v>317</v>
      </c>
      <c r="G465" s="19">
        <f>'Rozpočet - vybrané sloupce'!J432</f>
        <v>1</v>
      </c>
      <c r="H465" s="19">
        <f>'Rozpočet - vybrané sloupce'!K432</f>
        <v>0</v>
      </c>
      <c r="I465" s="87" t="s">
        <v>427</v>
      </c>
      <c r="J465" s="19">
        <f>G465*AO465</f>
        <v>0</v>
      </c>
      <c r="K465" s="19">
        <f>G465*AP465</f>
        <v>0</v>
      </c>
      <c r="L465" s="19">
        <f>G465*H465</f>
        <v>0</v>
      </c>
      <c r="M465" s="19">
        <f>L465*(1+BW465/100)</f>
        <v>0</v>
      </c>
      <c r="N465" s="19">
        <v>0</v>
      </c>
      <c r="O465" s="19">
        <f>G465*N465</f>
        <v>0</v>
      </c>
      <c r="P465" s="88" t="s">
        <v>740</v>
      </c>
      <c r="Z465" s="19">
        <f>IF(AQ465="5",BJ465,0)</f>
        <v>0</v>
      </c>
      <c r="AB465" s="19">
        <f>IF(AQ465="1",BH465,0)</f>
        <v>0</v>
      </c>
      <c r="AC465" s="19">
        <f>IF(AQ465="1",BI465,0)</f>
        <v>0</v>
      </c>
      <c r="AD465" s="19">
        <f>IF(AQ465="7",BH465,0)</f>
        <v>0</v>
      </c>
      <c r="AE465" s="19">
        <f>IF(AQ465="7",BI465,0)</f>
        <v>0</v>
      </c>
      <c r="AF465" s="19">
        <f>IF(AQ465="2",BH465,0)</f>
        <v>0</v>
      </c>
      <c r="AG465" s="19">
        <f>IF(AQ465="2",BI465,0)</f>
        <v>0</v>
      </c>
      <c r="AH465" s="19">
        <f>IF(AQ465="0",BJ465,0)</f>
        <v>0</v>
      </c>
      <c r="AI465" s="16" t="s">
        <v>305</v>
      </c>
      <c r="AJ465" s="19">
        <f>IF(AN465=0,L465,0)</f>
        <v>0</v>
      </c>
      <c r="AK465" s="19">
        <f>IF(AN465=12,L465,0)</f>
        <v>0</v>
      </c>
      <c r="AL465" s="19">
        <f>IF(AN465=21,L465,0)</f>
        <v>0</v>
      </c>
      <c r="AN465" s="19">
        <v>12</v>
      </c>
      <c r="AO465" s="19">
        <f>H465*0</f>
        <v>0</v>
      </c>
      <c r="AP465" s="19">
        <f>H465*(1-0)</f>
        <v>0</v>
      </c>
      <c r="AQ465" s="87" t="s">
        <v>538</v>
      </c>
      <c r="AV465" s="19">
        <f>AW465+AX465</f>
        <v>0</v>
      </c>
      <c r="AW465" s="19">
        <f>G465*AO465</f>
        <v>0</v>
      </c>
      <c r="AX465" s="19">
        <f>G465*AP465</f>
        <v>0</v>
      </c>
      <c r="AY465" s="87" t="s">
        <v>858</v>
      </c>
      <c r="AZ465" s="87" t="s">
        <v>852</v>
      </c>
      <c r="BA465" s="16" t="s">
        <v>853</v>
      </c>
      <c r="BC465" s="19">
        <f>AW465+AX465</f>
        <v>0</v>
      </c>
      <c r="BD465" s="19">
        <f>H465/(100-BE465)*100</f>
        <v>0</v>
      </c>
      <c r="BE465" s="19">
        <v>0</v>
      </c>
      <c r="BF465" s="19">
        <f>O465</f>
        <v>0</v>
      </c>
      <c r="BH465" s="19">
        <f>G465*AO465</f>
        <v>0</v>
      </c>
      <c r="BI465" s="19">
        <f>G465*AP465</f>
        <v>0</v>
      </c>
      <c r="BJ465" s="19">
        <f>G465*H465</f>
        <v>0</v>
      </c>
      <c r="BK465" s="19"/>
      <c r="BL465" s="19"/>
      <c r="BS465" s="19">
        <f>G465*H465</f>
        <v>0</v>
      </c>
      <c r="BW465" s="19" t="str">
        <f>I465</f>
        <v>12</v>
      </c>
      <c r="BX465" s="4" t="s">
        <v>321</v>
      </c>
    </row>
    <row r="466" spans="1:76" x14ac:dyDescent="0.25">
      <c r="A466" s="84" t="s">
        <v>25</v>
      </c>
      <c r="B466" s="15" t="s">
        <v>323</v>
      </c>
      <c r="C466" s="15" t="s">
        <v>25</v>
      </c>
      <c r="D466" s="115" t="s">
        <v>324</v>
      </c>
      <c r="E466" s="116"/>
      <c r="F466" s="85" t="s">
        <v>23</v>
      </c>
      <c r="G466" s="85" t="s">
        <v>23</v>
      </c>
      <c r="H466" s="85" t="s">
        <v>23</v>
      </c>
      <c r="I466" s="85" t="s">
        <v>23</v>
      </c>
      <c r="J466" s="60">
        <f>J468+J470+J473</f>
        <v>0</v>
      </c>
      <c r="K466" s="60">
        <f>K468+K470+K473</f>
        <v>0</v>
      </c>
      <c r="L466" s="60">
        <f>L468+L470+L473</f>
        <v>0</v>
      </c>
      <c r="M466" s="60">
        <f>M468+M470+M473</f>
        <v>0</v>
      </c>
      <c r="N466" s="16" t="s">
        <v>25</v>
      </c>
      <c r="O466" s="60">
        <f>O468+O470+O473</f>
        <v>0</v>
      </c>
      <c r="P466" s="86" t="s">
        <v>25</v>
      </c>
    </row>
    <row r="467" spans="1:76" x14ac:dyDescent="0.25">
      <c r="A467" s="84" t="s">
        <v>25</v>
      </c>
      <c r="B467" s="15" t="s">
        <v>323</v>
      </c>
      <c r="C467" s="15" t="s">
        <v>307</v>
      </c>
      <c r="D467" s="115" t="s">
        <v>308</v>
      </c>
      <c r="E467" s="116"/>
      <c r="F467" s="85" t="s">
        <v>23</v>
      </c>
      <c r="G467" s="85" t="s">
        <v>23</v>
      </c>
      <c r="H467" s="85" t="s">
        <v>23</v>
      </c>
      <c r="I467" s="85" t="s">
        <v>23</v>
      </c>
      <c r="J467" s="60">
        <f>J468+J470+J473</f>
        <v>0</v>
      </c>
      <c r="K467" s="60">
        <f>K468+K470+K473</f>
        <v>0</v>
      </c>
      <c r="L467" s="60">
        <f>L468+L470+L473</f>
        <v>0</v>
      </c>
      <c r="M467" s="60">
        <f>M468+M470+M473</f>
        <v>0</v>
      </c>
      <c r="N467" s="16" t="s">
        <v>25</v>
      </c>
      <c r="O467" s="60">
        <f>O468+O470+O473</f>
        <v>0</v>
      </c>
      <c r="P467" s="86" t="s">
        <v>25</v>
      </c>
      <c r="AI467" s="16" t="s">
        <v>323</v>
      </c>
    </row>
    <row r="468" spans="1:76" x14ac:dyDescent="0.25">
      <c r="A468" s="84" t="s">
        <v>25</v>
      </c>
      <c r="B468" s="15" t="s">
        <v>323</v>
      </c>
      <c r="C468" s="15" t="s">
        <v>309</v>
      </c>
      <c r="D468" s="115" t="s">
        <v>310</v>
      </c>
      <c r="E468" s="116"/>
      <c r="F468" s="85" t="s">
        <v>23</v>
      </c>
      <c r="G468" s="85" t="s">
        <v>23</v>
      </c>
      <c r="H468" s="85" t="s">
        <v>23</v>
      </c>
      <c r="I468" s="85" t="s">
        <v>23</v>
      </c>
      <c r="J468" s="60">
        <f>SUM(J469:J469)</f>
        <v>0</v>
      </c>
      <c r="K468" s="60">
        <f>SUM(K469:K469)</f>
        <v>0</v>
      </c>
      <c r="L468" s="60">
        <f>SUM(L469:L469)</f>
        <v>0</v>
      </c>
      <c r="M468" s="60">
        <f>SUM(M469:M469)</f>
        <v>0</v>
      </c>
      <c r="N468" s="16" t="s">
        <v>25</v>
      </c>
      <c r="O468" s="60">
        <f>SUM(O469:O469)</f>
        <v>0</v>
      </c>
      <c r="P468" s="86" t="s">
        <v>25</v>
      </c>
      <c r="AI468" s="16" t="s">
        <v>323</v>
      </c>
      <c r="AS468" s="60">
        <f>SUM(AJ469:AJ469)</f>
        <v>0</v>
      </c>
      <c r="AT468" s="60">
        <f>SUM(AK469:AK469)</f>
        <v>0</v>
      </c>
      <c r="AU468" s="60">
        <f>SUM(AL469:AL469)</f>
        <v>0</v>
      </c>
    </row>
    <row r="469" spans="1:76" x14ac:dyDescent="0.25">
      <c r="A469" s="1" t="s">
        <v>859</v>
      </c>
      <c r="B469" s="2" t="s">
        <v>323</v>
      </c>
      <c r="C469" s="2" t="s">
        <v>311</v>
      </c>
      <c r="D469" s="108" t="s">
        <v>312</v>
      </c>
      <c r="E469" s="102"/>
      <c r="F469" s="2" t="s">
        <v>313</v>
      </c>
      <c r="G469" s="19">
        <f>'Rozpočet - vybrané sloupce'!J436</f>
        <v>24</v>
      </c>
      <c r="H469" s="19">
        <f>'Rozpočet - vybrané sloupce'!K436</f>
        <v>0</v>
      </c>
      <c r="I469" s="87" t="s">
        <v>427</v>
      </c>
      <c r="J469" s="19">
        <f>G469*AO469</f>
        <v>0</v>
      </c>
      <c r="K469" s="19">
        <f>G469*AP469</f>
        <v>0</v>
      </c>
      <c r="L469" s="19">
        <f>G469*H469</f>
        <v>0</v>
      </c>
      <c r="M469" s="19">
        <f>L469*(1+BW469/100)</f>
        <v>0</v>
      </c>
      <c r="N469" s="19">
        <v>0</v>
      </c>
      <c r="O469" s="19">
        <f>G469*N469</f>
        <v>0</v>
      </c>
      <c r="P469" s="88" t="s">
        <v>740</v>
      </c>
      <c r="Z469" s="19">
        <f>IF(AQ469="5",BJ469,0)</f>
        <v>0</v>
      </c>
      <c r="AB469" s="19">
        <f>IF(AQ469="1",BH469,0)</f>
        <v>0</v>
      </c>
      <c r="AC469" s="19">
        <f>IF(AQ469="1",BI469,0)</f>
        <v>0</v>
      </c>
      <c r="AD469" s="19">
        <f>IF(AQ469="7",BH469,0)</f>
        <v>0</v>
      </c>
      <c r="AE469" s="19">
        <f>IF(AQ469="7",BI469,0)</f>
        <v>0</v>
      </c>
      <c r="AF469" s="19">
        <f>IF(AQ469="2",BH469,0)</f>
        <v>0</v>
      </c>
      <c r="AG469" s="19">
        <f>IF(AQ469="2",BI469,0)</f>
        <v>0</v>
      </c>
      <c r="AH469" s="19">
        <f>IF(AQ469="0",BJ469,0)</f>
        <v>0</v>
      </c>
      <c r="AI469" s="16" t="s">
        <v>323</v>
      </c>
      <c r="AJ469" s="19">
        <f>IF(AN469=0,L469,0)</f>
        <v>0</v>
      </c>
      <c r="AK469" s="19">
        <f>IF(AN469=12,L469,0)</f>
        <v>0</v>
      </c>
      <c r="AL469" s="19">
        <f>IF(AN469=21,L469,0)</f>
        <v>0</v>
      </c>
      <c r="AN469" s="19">
        <v>12</v>
      </c>
      <c r="AO469" s="19">
        <f>H469*0</f>
        <v>0</v>
      </c>
      <c r="AP469" s="19">
        <f>H469*(1-0)</f>
        <v>0</v>
      </c>
      <c r="AQ469" s="87" t="s">
        <v>538</v>
      </c>
      <c r="AV469" s="19">
        <f>AW469+AX469</f>
        <v>0</v>
      </c>
      <c r="AW469" s="19">
        <f>G469*AO469</f>
        <v>0</v>
      </c>
      <c r="AX469" s="19">
        <f>G469*AP469</f>
        <v>0</v>
      </c>
      <c r="AY469" s="87" t="s">
        <v>851</v>
      </c>
      <c r="AZ469" s="87" t="s">
        <v>860</v>
      </c>
      <c r="BA469" s="16" t="s">
        <v>861</v>
      </c>
      <c r="BC469" s="19">
        <f>AW469+AX469</f>
        <v>0</v>
      </c>
      <c r="BD469" s="19">
        <f>H469/(100-BE469)*100</f>
        <v>0</v>
      </c>
      <c r="BE469" s="19">
        <v>0</v>
      </c>
      <c r="BF469" s="19">
        <f>O469</f>
        <v>0</v>
      </c>
      <c r="BH469" s="19">
        <f>G469*AO469</f>
        <v>0</v>
      </c>
      <c r="BI469" s="19">
        <f>G469*AP469</f>
        <v>0</v>
      </c>
      <c r="BJ469" s="19">
        <f>G469*H469</f>
        <v>0</v>
      </c>
      <c r="BK469" s="19"/>
      <c r="BL469" s="19"/>
      <c r="BM469" s="19">
        <f>G469*H469</f>
        <v>0</v>
      </c>
      <c r="BW469" s="19" t="str">
        <f>I469</f>
        <v>12</v>
      </c>
      <c r="BX469" s="4" t="s">
        <v>312</v>
      </c>
    </row>
    <row r="470" spans="1:76" x14ac:dyDescent="0.25">
      <c r="A470" s="84" t="s">
        <v>25</v>
      </c>
      <c r="B470" s="15" t="s">
        <v>323</v>
      </c>
      <c r="C470" s="15" t="s">
        <v>314</v>
      </c>
      <c r="D470" s="115" t="s">
        <v>315</v>
      </c>
      <c r="E470" s="116"/>
      <c r="F470" s="85" t="s">
        <v>23</v>
      </c>
      <c r="G470" s="85" t="s">
        <v>23</v>
      </c>
      <c r="H470" s="85" t="s">
        <v>23</v>
      </c>
      <c r="I470" s="85" t="s">
        <v>23</v>
      </c>
      <c r="J470" s="60">
        <f>SUM(J471:J472)</f>
        <v>0</v>
      </c>
      <c r="K470" s="60">
        <f>SUM(K471:K472)</f>
        <v>0</v>
      </c>
      <c r="L470" s="60">
        <f>SUM(L471:L472)</f>
        <v>0</v>
      </c>
      <c r="M470" s="60">
        <f>SUM(M471:M472)</f>
        <v>0</v>
      </c>
      <c r="N470" s="16" t="s">
        <v>25</v>
      </c>
      <c r="O470" s="60">
        <f>SUM(O471:O472)</f>
        <v>0</v>
      </c>
      <c r="P470" s="86" t="s">
        <v>25</v>
      </c>
      <c r="AI470" s="16" t="s">
        <v>323</v>
      </c>
      <c r="AS470" s="60">
        <f>SUM(AJ471:AJ472)</f>
        <v>0</v>
      </c>
      <c r="AT470" s="60">
        <f>SUM(AK471:AK472)</f>
        <v>0</v>
      </c>
      <c r="AU470" s="60">
        <f>SUM(AL471:AL472)</f>
        <v>0</v>
      </c>
    </row>
    <row r="471" spans="1:76" x14ac:dyDescent="0.25">
      <c r="A471" s="1" t="s">
        <v>862</v>
      </c>
      <c r="B471" s="2" t="s">
        <v>323</v>
      </c>
      <c r="C471" s="2" t="s">
        <v>316</v>
      </c>
      <c r="D471" s="108" t="s">
        <v>315</v>
      </c>
      <c r="E471" s="102"/>
      <c r="F471" s="2" t="s">
        <v>317</v>
      </c>
      <c r="G471" s="19">
        <f>'Rozpočet - vybrané sloupce'!J438</f>
        <v>1</v>
      </c>
      <c r="H471" s="19">
        <f>'Rozpočet - vybrané sloupce'!K438</f>
        <v>0</v>
      </c>
      <c r="I471" s="87" t="s">
        <v>427</v>
      </c>
      <c r="J471" s="19">
        <f>G471*AO471</f>
        <v>0</v>
      </c>
      <c r="K471" s="19">
        <f>G471*AP471</f>
        <v>0</v>
      </c>
      <c r="L471" s="19">
        <f>G471*H471</f>
        <v>0</v>
      </c>
      <c r="M471" s="19">
        <f>L471*(1+BW471/100)</f>
        <v>0</v>
      </c>
      <c r="N471" s="19">
        <v>0</v>
      </c>
      <c r="O471" s="19">
        <f>G471*N471</f>
        <v>0</v>
      </c>
      <c r="P471" s="88" t="s">
        <v>740</v>
      </c>
      <c r="Z471" s="19">
        <f>IF(AQ471="5",BJ471,0)</f>
        <v>0</v>
      </c>
      <c r="AB471" s="19">
        <f>IF(AQ471="1",BH471,0)</f>
        <v>0</v>
      </c>
      <c r="AC471" s="19">
        <f>IF(AQ471="1",BI471,0)</f>
        <v>0</v>
      </c>
      <c r="AD471" s="19">
        <f>IF(AQ471="7",BH471,0)</f>
        <v>0</v>
      </c>
      <c r="AE471" s="19">
        <f>IF(AQ471="7",BI471,0)</f>
        <v>0</v>
      </c>
      <c r="AF471" s="19">
        <f>IF(AQ471="2",BH471,0)</f>
        <v>0</v>
      </c>
      <c r="AG471" s="19">
        <f>IF(AQ471="2",BI471,0)</f>
        <v>0</v>
      </c>
      <c r="AH471" s="19">
        <f>IF(AQ471="0",BJ471,0)</f>
        <v>0</v>
      </c>
      <c r="AI471" s="16" t="s">
        <v>323</v>
      </c>
      <c r="AJ471" s="19">
        <f>IF(AN471=0,L471,0)</f>
        <v>0</v>
      </c>
      <c r="AK471" s="19">
        <f>IF(AN471=12,L471,0)</f>
        <v>0</v>
      </c>
      <c r="AL471" s="19">
        <f>IF(AN471=21,L471,0)</f>
        <v>0</v>
      </c>
      <c r="AN471" s="19">
        <v>12</v>
      </c>
      <c r="AO471" s="19">
        <f>H471*0</f>
        <v>0</v>
      </c>
      <c r="AP471" s="19">
        <f>H471*(1-0)</f>
        <v>0</v>
      </c>
      <c r="AQ471" s="87" t="s">
        <v>538</v>
      </c>
      <c r="AV471" s="19">
        <f>AW471+AX471</f>
        <v>0</v>
      </c>
      <c r="AW471" s="19">
        <f>G471*AO471</f>
        <v>0</v>
      </c>
      <c r="AX471" s="19">
        <f>G471*AP471</f>
        <v>0</v>
      </c>
      <c r="AY471" s="87" t="s">
        <v>855</v>
      </c>
      <c r="AZ471" s="87" t="s">
        <v>860</v>
      </c>
      <c r="BA471" s="16" t="s">
        <v>861</v>
      </c>
      <c r="BC471" s="19">
        <f>AW471+AX471</f>
        <v>0</v>
      </c>
      <c r="BD471" s="19">
        <f>H471/(100-BE471)*100</f>
        <v>0</v>
      </c>
      <c r="BE471" s="19">
        <v>0</v>
      </c>
      <c r="BF471" s="19">
        <f>O471</f>
        <v>0</v>
      </c>
      <c r="BH471" s="19">
        <f>G471*AO471</f>
        <v>0</v>
      </c>
      <c r="BI471" s="19">
        <f>G471*AP471</f>
        <v>0</v>
      </c>
      <c r="BJ471" s="19">
        <f>G471*H471</f>
        <v>0</v>
      </c>
      <c r="BK471" s="19"/>
      <c r="BL471" s="19"/>
      <c r="BO471" s="19">
        <f>G471*H471</f>
        <v>0</v>
      </c>
      <c r="BW471" s="19" t="str">
        <f>I471</f>
        <v>12</v>
      </c>
      <c r="BX471" s="4" t="s">
        <v>315</v>
      </c>
    </row>
    <row r="472" spans="1:76" x14ac:dyDescent="0.25">
      <c r="A472" s="1" t="s">
        <v>863</v>
      </c>
      <c r="B472" s="2" t="s">
        <v>323</v>
      </c>
      <c r="C472" s="2" t="s">
        <v>318</v>
      </c>
      <c r="D472" s="108" t="s">
        <v>319</v>
      </c>
      <c r="E472" s="102"/>
      <c r="F472" s="2" t="s">
        <v>317</v>
      </c>
      <c r="G472" s="19">
        <f>'Rozpočet - vybrané sloupce'!J439</f>
        <v>1</v>
      </c>
      <c r="H472" s="19">
        <f>'Rozpočet - vybrané sloupce'!K439</f>
        <v>0</v>
      </c>
      <c r="I472" s="87" t="s">
        <v>427</v>
      </c>
      <c r="J472" s="19">
        <f>G472*AO472</f>
        <v>0</v>
      </c>
      <c r="K472" s="19">
        <f>G472*AP472</f>
        <v>0</v>
      </c>
      <c r="L472" s="19">
        <f>G472*H472</f>
        <v>0</v>
      </c>
      <c r="M472" s="19">
        <f>L472*(1+BW472/100)</f>
        <v>0</v>
      </c>
      <c r="N472" s="19">
        <v>0</v>
      </c>
      <c r="O472" s="19">
        <f>G472*N472</f>
        <v>0</v>
      </c>
      <c r="P472" s="88" t="s">
        <v>740</v>
      </c>
      <c r="Z472" s="19">
        <f>IF(AQ472="5",BJ472,0)</f>
        <v>0</v>
      </c>
      <c r="AB472" s="19">
        <f>IF(AQ472="1",BH472,0)</f>
        <v>0</v>
      </c>
      <c r="AC472" s="19">
        <f>IF(AQ472="1",BI472,0)</f>
        <v>0</v>
      </c>
      <c r="AD472" s="19">
        <f>IF(AQ472="7",BH472,0)</f>
        <v>0</v>
      </c>
      <c r="AE472" s="19">
        <f>IF(AQ472="7",BI472,0)</f>
        <v>0</v>
      </c>
      <c r="AF472" s="19">
        <f>IF(AQ472="2",BH472,0)</f>
        <v>0</v>
      </c>
      <c r="AG472" s="19">
        <f>IF(AQ472="2",BI472,0)</f>
        <v>0</v>
      </c>
      <c r="AH472" s="19">
        <f>IF(AQ472="0",BJ472,0)</f>
        <v>0</v>
      </c>
      <c r="AI472" s="16" t="s">
        <v>323</v>
      </c>
      <c r="AJ472" s="19">
        <f>IF(AN472=0,L472,0)</f>
        <v>0</v>
      </c>
      <c r="AK472" s="19">
        <f>IF(AN472=12,L472,0)</f>
        <v>0</v>
      </c>
      <c r="AL472" s="19">
        <f>IF(AN472=21,L472,0)</f>
        <v>0</v>
      </c>
      <c r="AN472" s="19">
        <v>12</v>
      </c>
      <c r="AO472" s="19">
        <f>H472*0</f>
        <v>0</v>
      </c>
      <c r="AP472" s="19">
        <f>H472*(1-0)</f>
        <v>0</v>
      </c>
      <c r="AQ472" s="87" t="s">
        <v>538</v>
      </c>
      <c r="AV472" s="19">
        <f>AW472+AX472</f>
        <v>0</v>
      </c>
      <c r="AW472" s="19">
        <f>G472*AO472</f>
        <v>0</v>
      </c>
      <c r="AX472" s="19">
        <f>G472*AP472</f>
        <v>0</v>
      </c>
      <c r="AY472" s="87" t="s">
        <v>855</v>
      </c>
      <c r="AZ472" s="87" t="s">
        <v>860</v>
      </c>
      <c r="BA472" s="16" t="s">
        <v>861</v>
      </c>
      <c r="BC472" s="19">
        <f>AW472+AX472</f>
        <v>0</v>
      </c>
      <c r="BD472" s="19">
        <f>H472/(100-BE472)*100</f>
        <v>0</v>
      </c>
      <c r="BE472" s="19">
        <v>0</v>
      </c>
      <c r="BF472" s="19">
        <f>O472</f>
        <v>0</v>
      </c>
      <c r="BH472" s="19">
        <f>G472*AO472</f>
        <v>0</v>
      </c>
      <c r="BI472" s="19">
        <f>G472*AP472</f>
        <v>0</v>
      </c>
      <c r="BJ472" s="19">
        <f>G472*H472</f>
        <v>0</v>
      </c>
      <c r="BK472" s="19"/>
      <c r="BL472" s="19"/>
      <c r="BO472" s="19">
        <f>G472*H472</f>
        <v>0</v>
      </c>
      <c r="BW472" s="19" t="str">
        <f>I472</f>
        <v>12</v>
      </c>
      <c r="BX472" s="4" t="s">
        <v>319</v>
      </c>
    </row>
    <row r="473" spans="1:76" x14ac:dyDescent="0.25">
      <c r="A473" s="84" t="s">
        <v>25</v>
      </c>
      <c r="B473" s="15" t="s">
        <v>323</v>
      </c>
      <c r="C473" s="15" t="s">
        <v>320</v>
      </c>
      <c r="D473" s="115" t="s">
        <v>321</v>
      </c>
      <c r="E473" s="116"/>
      <c r="F473" s="85" t="s">
        <v>23</v>
      </c>
      <c r="G473" s="85" t="s">
        <v>23</v>
      </c>
      <c r="H473" s="85" t="s">
        <v>23</v>
      </c>
      <c r="I473" s="85" t="s">
        <v>23</v>
      </c>
      <c r="J473" s="60">
        <f>SUM(J474:J474)</f>
        <v>0</v>
      </c>
      <c r="K473" s="60">
        <f>SUM(K474:K474)</f>
        <v>0</v>
      </c>
      <c r="L473" s="60">
        <f>SUM(L474:L474)</f>
        <v>0</v>
      </c>
      <c r="M473" s="60">
        <f>SUM(M474:M474)</f>
        <v>0</v>
      </c>
      <c r="N473" s="16" t="s">
        <v>25</v>
      </c>
      <c r="O473" s="60">
        <f>SUM(O474:O474)</f>
        <v>0</v>
      </c>
      <c r="P473" s="86" t="s">
        <v>25</v>
      </c>
      <c r="AI473" s="16" t="s">
        <v>323</v>
      </c>
      <c r="AS473" s="60">
        <f>SUM(AJ474:AJ474)</f>
        <v>0</v>
      </c>
      <c r="AT473" s="60">
        <f>SUM(AK474:AK474)</f>
        <v>0</v>
      </c>
      <c r="AU473" s="60">
        <f>SUM(AL474:AL474)</f>
        <v>0</v>
      </c>
    </row>
    <row r="474" spans="1:76" x14ac:dyDescent="0.25">
      <c r="A474" s="1" t="s">
        <v>864</v>
      </c>
      <c r="B474" s="2" t="s">
        <v>323</v>
      </c>
      <c r="C474" s="2" t="s">
        <v>322</v>
      </c>
      <c r="D474" s="108" t="s">
        <v>321</v>
      </c>
      <c r="E474" s="102"/>
      <c r="F474" s="2" t="s">
        <v>317</v>
      </c>
      <c r="G474" s="19">
        <f>'Rozpočet - vybrané sloupce'!J441</f>
        <v>1</v>
      </c>
      <c r="H474" s="19">
        <f>'Rozpočet - vybrané sloupce'!K441</f>
        <v>0</v>
      </c>
      <c r="I474" s="87" t="s">
        <v>427</v>
      </c>
      <c r="J474" s="19">
        <f>G474*AO474</f>
        <v>0</v>
      </c>
      <c r="K474" s="19">
        <f>G474*AP474</f>
        <v>0</v>
      </c>
      <c r="L474" s="19">
        <f>G474*H474</f>
        <v>0</v>
      </c>
      <c r="M474" s="19">
        <f>L474*(1+BW474/100)</f>
        <v>0</v>
      </c>
      <c r="N474" s="19">
        <v>0</v>
      </c>
      <c r="O474" s="19">
        <f>G474*N474</f>
        <v>0</v>
      </c>
      <c r="P474" s="88" t="s">
        <v>740</v>
      </c>
      <c r="Z474" s="19">
        <f>IF(AQ474="5",BJ474,0)</f>
        <v>0</v>
      </c>
      <c r="AB474" s="19">
        <f>IF(AQ474="1",BH474,0)</f>
        <v>0</v>
      </c>
      <c r="AC474" s="19">
        <f>IF(AQ474="1",BI474,0)</f>
        <v>0</v>
      </c>
      <c r="AD474" s="19">
        <f>IF(AQ474="7",BH474,0)</f>
        <v>0</v>
      </c>
      <c r="AE474" s="19">
        <f>IF(AQ474="7",BI474,0)</f>
        <v>0</v>
      </c>
      <c r="AF474" s="19">
        <f>IF(AQ474="2",BH474,0)</f>
        <v>0</v>
      </c>
      <c r="AG474" s="19">
        <f>IF(AQ474="2",BI474,0)</f>
        <v>0</v>
      </c>
      <c r="AH474" s="19">
        <f>IF(AQ474="0",BJ474,0)</f>
        <v>0</v>
      </c>
      <c r="AI474" s="16" t="s">
        <v>323</v>
      </c>
      <c r="AJ474" s="19">
        <f>IF(AN474=0,L474,0)</f>
        <v>0</v>
      </c>
      <c r="AK474" s="19">
        <f>IF(AN474=12,L474,0)</f>
        <v>0</v>
      </c>
      <c r="AL474" s="19">
        <f>IF(AN474=21,L474,0)</f>
        <v>0</v>
      </c>
      <c r="AN474" s="19">
        <v>12</v>
      </c>
      <c r="AO474" s="19">
        <f>H474*0</f>
        <v>0</v>
      </c>
      <c r="AP474" s="19">
        <f>H474*(1-0)</f>
        <v>0</v>
      </c>
      <c r="AQ474" s="87" t="s">
        <v>538</v>
      </c>
      <c r="AV474" s="19">
        <f>AW474+AX474</f>
        <v>0</v>
      </c>
      <c r="AW474" s="19">
        <f>G474*AO474</f>
        <v>0</v>
      </c>
      <c r="AX474" s="19">
        <f>G474*AP474</f>
        <v>0</v>
      </c>
      <c r="AY474" s="87" t="s">
        <v>858</v>
      </c>
      <c r="AZ474" s="87" t="s">
        <v>860</v>
      </c>
      <c r="BA474" s="16" t="s">
        <v>861</v>
      </c>
      <c r="BC474" s="19">
        <f>AW474+AX474</f>
        <v>0</v>
      </c>
      <c r="BD474" s="19">
        <f>H474/(100-BE474)*100</f>
        <v>0</v>
      </c>
      <c r="BE474" s="19">
        <v>0</v>
      </c>
      <c r="BF474" s="19">
        <f>O474</f>
        <v>0</v>
      </c>
      <c r="BH474" s="19">
        <f>G474*AO474</f>
        <v>0</v>
      </c>
      <c r="BI474" s="19">
        <f>G474*AP474</f>
        <v>0</v>
      </c>
      <c r="BJ474" s="19">
        <f>G474*H474</f>
        <v>0</v>
      </c>
      <c r="BK474" s="19"/>
      <c r="BL474" s="19"/>
      <c r="BS474" s="19">
        <f>G474*H474</f>
        <v>0</v>
      </c>
      <c r="BW474" s="19" t="str">
        <f>I474</f>
        <v>12</v>
      </c>
      <c r="BX474" s="4" t="s">
        <v>321</v>
      </c>
    </row>
    <row r="475" spans="1:76" x14ac:dyDescent="0.25">
      <c r="A475" s="84" t="s">
        <v>25</v>
      </c>
      <c r="B475" s="15" t="s">
        <v>325</v>
      </c>
      <c r="C475" s="15" t="s">
        <v>25</v>
      </c>
      <c r="D475" s="115" t="s">
        <v>326</v>
      </c>
      <c r="E475" s="116"/>
      <c r="F475" s="85" t="s">
        <v>23</v>
      </c>
      <c r="G475" s="85" t="s">
        <v>23</v>
      </c>
      <c r="H475" s="85" t="s">
        <v>23</v>
      </c>
      <c r="I475" s="85" t="s">
        <v>23</v>
      </c>
      <c r="J475" s="60">
        <f>J477+J479+J482</f>
        <v>0</v>
      </c>
      <c r="K475" s="60">
        <f>K477+K479+K482</f>
        <v>0</v>
      </c>
      <c r="L475" s="60">
        <f>L477+L479+L482</f>
        <v>0</v>
      </c>
      <c r="M475" s="60">
        <f>M477+M479+M482</f>
        <v>0</v>
      </c>
      <c r="N475" s="16" t="s">
        <v>25</v>
      </c>
      <c r="O475" s="60">
        <f>O477+O479+O482</f>
        <v>0</v>
      </c>
      <c r="P475" s="86" t="s">
        <v>25</v>
      </c>
    </row>
    <row r="476" spans="1:76" x14ac:dyDescent="0.25">
      <c r="A476" s="84" t="s">
        <v>25</v>
      </c>
      <c r="B476" s="15" t="s">
        <v>325</v>
      </c>
      <c r="C476" s="15" t="s">
        <v>307</v>
      </c>
      <c r="D476" s="115" t="s">
        <v>308</v>
      </c>
      <c r="E476" s="116"/>
      <c r="F476" s="85" t="s">
        <v>23</v>
      </c>
      <c r="G476" s="85" t="s">
        <v>23</v>
      </c>
      <c r="H476" s="85" t="s">
        <v>23</v>
      </c>
      <c r="I476" s="85" t="s">
        <v>23</v>
      </c>
      <c r="J476" s="60">
        <f>J477+J479+J482</f>
        <v>0</v>
      </c>
      <c r="K476" s="60">
        <f>K477+K479+K482</f>
        <v>0</v>
      </c>
      <c r="L476" s="60">
        <f>L477+L479+L482</f>
        <v>0</v>
      </c>
      <c r="M476" s="60">
        <f>M477+M479+M482</f>
        <v>0</v>
      </c>
      <c r="N476" s="16" t="s">
        <v>25</v>
      </c>
      <c r="O476" s="60">
        <f>O477+O479+O482</f>
        <v>0</v>
      </c>
      <c r="P476" s="86" t="s">
        <v>25</v>
      </c>
      <c r="AI476" s="16" t="s">
        <v>325</v>
      </c>
    </row>
    <row r="477" spans="1:76" x14ac:dyDescent="0.25">
      <c r="A477" s="84" t="s">
        <v>25</v>
      </c>
      <c r="B477" s="15" t="s">
        <v>325</v>
      </c>
      <c r="C477" s="15" t="s">
        <v>309</v>
      </c>
      <c r="D477" s="115" t="s">
        <v>310</v>
      </c>
      <c r="E477" s="116"/>
      <c r="F477" s="85" t="s">
        <v>23</v>
      </c>
      <c r="G477" s="85" t="s">
        <v>23</v>
      </c>
      <c r="H477" s="85" t="s">
        <v>23</v>
      </c>
      <c r="I477" s="85" t="s">
        <v>23</v>
      </c>
      <c r="J477" s="60">
        <f>SUM(J478:J478)</f>
        <v>0</v>
      </c>
      <c r="K477" s="60">
        <f>SUM(K478:K478)</f>
        <v>0</v>
      </c>
      <c r="L477" s="60">
        <f>SUM(L478:L478)</f>
        <v>0</v>
      </c>
      <c r="M477" s="60">
        <f>SUM(M478:M478)</f>
        <v>0</v>
      </c>
      <c r="N477" s="16" t="s">
        <v>25</v>
      </c>
      <c r="O477" s="60">
        <f>SUM(O478:O478)</f>
        <v>0</v>
      </c>
      <c r="P477" s="86" t="s">
        <v>25</v>
      </c>
      <c r="AI477" s="16" t="s">
        <v>325</v>
      </c>
      <c r="AS477" s="60">
        <f>SUM(AJ478:AJ478)</f>
        <v>0</v>
      </c>
      <c r="AT477" s="60">
        <f>SUM(AK478:AK478)</f>
        <v>0</v>
      </c>
      <c r="AU477" s="60">
        <f>SUM(AL478:AL478)</f>
        <v>0</v>
      </c>
    </row>
    <row r="478" spans="1:76" x14ac:dyDescent="0.25">
      <c r="A478" s="1" t="s">
        <v>865</v>
      </c>
      <c r="B478" s="2" t="s">
        <v>325</v>
      </c>
      <c r="C478" s="2" t="s">
        <v>311</v>
      </c>
      <c r="D478" s="108" t="s">
        <v>312</v>
      </c>
      <c r="E478" s="102"/>
      <c r="F478" s="2" t="s">
        <v>313</v>
      </c>
      <c r="G478" s="19">
        <f>'Rozpočet - vybrané sloupce'!J445</f>
        <v>24</v>
      </c>
      <c r="H478" s="19">
        <f>'Rozpočet - vybrané sloupce'!K445</f>
        <v>0</v>
      </c>
      <c r="I478" s="87" t="s">
        <v>427</v>
      </c>
      <c r="J478" s="19">
        <f>G478*AO478</f>
        <v>0</v>
      </c>
      <c r="K478" s="19">
        <f>G478*AP478</f>
        <v>0</v>
      </c>
      <c r="L478" s="19">
        <f>G478*H478</f>
        <v>0</v>
      </c>
      <c r="M478" s="19">
        <f>L478*(1+BW478/100)</f>
        <v>0</v>
      </c>
      <c r="N478" s="19">
        <v>0</v>
      </c>
      <c r="O478" s="19">
        <f>G478*N478</f>
        <v>0</v>
      </c>
      <c r="P478" s="88" t="s">
        <v>740</v>
      </c>
      <c r="Z478" s="19">
        <f>IF(AQ478="5",BJ478,0)</f>
        <v>0</v>
      </c>
      <c r="AB478" s="19">
        <f>IF(AQ478="1",BH478,0)</f>
        <v>0</v>
      </c>
      <c r="AC478" s="19">
        <f>IF(AQ478="1",BI478,0)</f>
        <v>0</v>
      </c>
      <c r="AD478" s="19">
        <f>IF(AQ478="7",BH478,0)</f>
        <v>0</v>
      </c>
      <c r="AE478" s="19">
        <f>IF(AQ478="7",BI478,0)</f>
        <v>0</v>
      </c>
      <c r="AF478" s="19">
        <f>IF(AQ478="2",BH478,0)</f>
        <v>0</v>
      </c>
      <c r="AG478" s="19">
        <f>IF(AQ478="2",BI478,0)</f>
        <v>0</v>
      </c>
      <c r="AH478" s="19">
        <f>IF(AQ478="0",BJ478,0)</f>
        <v>0</v>
      </c>
      <c r="AI478" s="16" t="s">
        <v>325</v>
      </c>
      <c r="AJ478" s="19">
        <f>IF(AN478=0,L478,0)</f>
        <v>0</v>
      </c>
      <c r="AK478" s="19">
        <f>IF(AN478=12,L478,0)</f>
        <v>0</v>
      </c>
      <c r="AL478" s="19">
        <f>IF(AN478=21,L478,0)</f>
        <v>0</v>
      </c>
      <c r="AN478" s="19">
        <v>12</v>
      </c>
      <c r="AO478" s="19">
        <f>H478*0</f>
        <v>0</v>
      </c>
      <c r="AP478" s="19">
        <f>H478*(1-0)</f>
        <v>0</v>
      </c>
      <c r="AQ478" s="87" t="s">
        <v>538</v>
      </c>
      <c r="AV478" s="19">
        <f>AW478+AX478</f>
        <v>0</v>
      </c>
      <c r="AW478" s="19">
        <f>G478*AO478</f>
        <v>0</v>
      </c>
      <c r="AX478" s="19">
        <f>G478*AP478</f>
        <v>0</v>
      </c>
      <c r="AY478" s="87" t="s">
        <v>851</v>
      </c>
      <c r="AZ478" s="87" t="s">
        <v>866</v>
      </c>
      <c r="BA478" s="16" t="s">
        <v>867</v>
      </c>
      <c r="BC478" s="19">
        <f>AW478+AX478</f>
        <v>0</v>
      </c>
      <c r="BD478" s="19">
        <f>H478/(100-BE478)*100</f>
        <v>0</v>
      </c>
      <c r="BE478" s="19">
        <v>0</v>
      </c>
      <c r="BF478" s="19">
        <f>O478</f>
        <v>0</v>
      </c>
      <c r="BH478" s="19">
        <f>G478*AO478</f>
        <v>0</v>
      </c>
      <c r="BI478" s="19">
        <f>G478*AP478</f>
        <v>0</v>
      </c>
      <c r="BJ478" s="19">
        <f>G478*H478</f>
        <v>0</v>
      </c>
      <c r="BK478" s="19"/>
      <c r="BL478" s="19"/>
      <c r="BM478" s="19">
        <f>G478*H478</f>
        <v>0</v>
      </c>
      <c r="BW478" s="19" t="str">
        <f>I478</f>
        <v>12</v>
      </c>
      <c r="BX478" s="4" t="s">
        <v>312</v>
      </c>
    </row>
    <row r="479" spans="1:76" x14ac:dyDescent="0.25">
      <c r="A479" s="84" t="s">
        <v>25</v>
      </c>
      <c r="B479" s="15" t="s">
        <v>325</v>
      </c>
      <c r="C479" s="15" t="s">
        <v>314</v>
      </c>
      <c r="D479" s="115" t="s">
        <v>315</v>
      </c>
      <c r="E479" s="116"/>
      <c r="F479" s="85" t="s">
        <v>23</v>
      </c>
      <c r="G479" s="85" t="s">
        <v>23</v>
      </c>
      <c r="H479" s="85" t="s">
        <v>23</v>
      </c>
      <c r="I479" s="85" t="s">
        <v>23</v>
      </c>
      <c r="J479" s="60">
        <f>SUM(J480:J481)</f>
        <v>0</v>
      </c>
      <c r="K479" s="60">
        <f>SUM(K480:K481)</f>
        <v>0</v>
      </c>
      <c r="L479" s="60">
        <f>SUM(L480:L481)</f>
        <v>0</v>
      </c>
      <c r="M479" s="60">
        <f>SUM(M480:M481)</f>
        <v>0</v>
      </c>
      <c r="N479" s="16" t="s">
        <v>25</v>
      </c>
      <c r="O479" s="60">
        <f>SUM(O480:O481)</f>
        <v>0</v>
      </c>
      <c r="P479" s="86" t="s">
        <v>25</v>
      </c>
      <c r="AI479" s="16" t="s">
        <v>325</v>
      </c>
      <c r="AS479" s="60">
        <f>SUM(AJ480:AJ481)</f>
        <v>0</v>
      </c>
      <c r="AT479" s="60">
        <f>SUM(AK480:AK481)</f>
        <v>0</v>
      </c>
      <c r="AU479" s="60">
        <f>SUM(AL480:AL481)</f>
        <v>0</v>
      </c>
    </row>
    <row r="480" spans="1:76" x14ac:dyDescent="0.25">
      <c r="A480" s="1" t="s">
        <v>868</v>
      </c>
      <c r="B480" s="2" t="s">
        <v>325</v>
      </c>
      <c r="C480" s="2" t="s">
        <v>316</v>
      </c>
      <c r="D480" s="108" t="s">
        <v>315</v>
      </c>
      <c r="E480" s="102"/>
      <c r="F480" s="2" t="s">
        <v>317</v>
      </c>
      <c r="G480" s="19">
        <f>'Rozpočet - vybrané sloupce'!J447</f>
        <v>1</v>
      </c>
      <c r="H480" s="19">
        <f>'Rozpočet - vybrané sloupce'!K447</f>
        <v>0</v>
      </c>
      <c r="I480" s="87" t="s">
        <v>427</v>
      </c>
      <c r="J480" s="19">
        <f>G480*AO480</f>
        <v>0</v>
      </c>
      <c r="K480" s="19">
        <f>G480*AP480</f>
        <v>0</v>
      </c>
      <c r="L480" s="19">
        <f>G480*H480</f>
        <v>0</v>
      </c>
      <c r="M480" s="19">
        <f>L480*(1+BW480/100)</f>
        <v>0</v>
      </c>
      <c r="N480" s="19">
        <v>0</v>
      </c>
      <c r="O480" s="19">
        <f>G480*N480</f>
        <v>0</v>
      </c>
      <c r="P480" s="88" t="s">
        <v>740</v>
      </c>
      <c r="Z480" s="19">
        <f>IF(AQ480="5",BJ480,0)</f>
        <v>0</v>
      </c>
      <c r="AB480" s="19">
        <f>IF(AQ480="1",BH480,0)</f>
        <v>0</v>
      </c>
      <c r="AC480" s="19">
        <f>IF(AQ480="1",BI480,0)</f>
        <v>0</v>
      </c>
      <c r="AD480" s="19">
        <f>IF(AQ480="7",BH480,0)</f>
        <v>0</v>
      </c>
      <c r="AE480" s="19">
        <f>IF(AQ480="7",BI480,0)</f>
        <v>0</v>
      </c>
      <c r="AF480" s="19">
        <f>IF(AQ480="2",BH480,0)</f>
        <v>0</v>
      </c>
      <c r="AG480" s="19">
        <f>IF(AQ480="2",BI480,0)</f>
        <v>0</v>
      </c>
      <c r="AH480" s="19">
        <f>IF(AQ480="0",BJ480,0)</f>
        <v>0</v>
      </c>
      <c r="AI480" s="16" t="s">
        <v>325</v>
      </c>
      <c r="AJ480" s="19">
        <f>IF(AN480=0,L480,0)</f>
        <v>0</v>
      </c>
      <c r="AK480" s="19">
        <f>IF(AN480=12,L480,0)</f>
        <v>0</v>
      </c>
      <c r="AL480" s="19">
        <f>IF(AN480=21,L480,0)</f>
        <v>0</v>
      </c>
      <c r="AN480" s="19">
        <v>12</v>
      </c>
      <c r="AO480" s="19">
        <f>H480*0</f>
        <v>0</v>
      </c>
      <c r="AP480" s="19">
        <f>H480*(1-0)</f>
        <v>0</v>
      </c>
      <c r="AQ480" s="87" t="s">
        <v>538</v>
      </c>
      <c r="AV480" s="19">
        <f>AW480+AX480</f>
        <v>0</v>
      </c>
      <c r="AW480" s="19">
        <f>G480*AO480</f>
        <v>0</v>
      </c>
      <c r="AX480" s="19">
        <f>G480*AP480</f>
        <v>0</v>
      </c>
      <c r="AY480" s="87" t="s">
        <v>855</v>
      </c>
      <c r="AZ480" s="87" t="s">
        <v>866</v>
      </c>
      <c r="BA480" s="16" t="s">
        <v>867</v>
      </c>
      <c r="BC480" s="19">
        <f>AW480+AX480</f>
        <v>0</v>
      </c>
      <c r="BD480" s="19">
        <f>H480/(100-BE480)*100</f>
        <v>0</v>
      </c>
      <c r="BE480" s="19">
        <v>0</v>
      </c>
      <c r="BF480" s="19">
        <f>O480</f>
        <v>0</v>
      </c>
      <c r="BH480" s="19">
        <f>G480*AO480</f>
        <v>0</v>
      </c>
      <c r="BI480" s="19">
        <f>G480*AP480</f>
        <v>0</v>
      </c>
      <c r="BJ480" s="19">
        <f>G480*H480</f>
        <v>0</v>
      </c>
      <c r="BK480" s="19"/>
      <c r="BL480" s="19"/>
      <c r="BO480" s="19">
        <f>G480*H480</f>
        <v>0</v>
      </c>
      <c r="BW480" s="19" t="str">
        <f>I480</f>
        <v>12</v>
      </c>
      <c r="BX480" s="4" t="s">
        <v>315</v>
      </c>
    </row>
    <row r="481" spans="1:76" x14ac:dyDescent="0.25">
      <c r="A481" s="1" t="s">
        <v>869</v>
      </c>
      <c r="B481" s="2" t="s">
        <v>325</v>
      </c>
      <c r="C481" s="2" t="s">
        <v>318</v>
      </c>
      <c r="D481" s="108" t="s">
        <v>319</v>
      </c>
      <c r="E481" s="102"/>
      <c r="F481" s="2" t="s">
        <v>317</v>
      </c>
      <c r="G481" s="19">
        <f>'Rozpočet - vybrané sloupce'!J448</f>
        <v>1</v>
      </c>
      <c r="H481" s="19">
        <f>'Rozpočet - vybrané sloupce'!K448</f>
        <v>0</v>
      </c>
      <c r="I481" s="87" t="s">
        <v>427</v>
      </c>
      <c r="J481" s="19">
        <f>G481*AO481</f>
        <v>0</v>
      </c>
      <c r="K481" s="19">
        <f>G481*AP481</f>
        <v>0</v>
      </c>
      <c r="L481" s="19">
        <f>G481*H481</f>
        <v>0</v>
      </c>
      <c r="M481" s="19">
        <f>L481*(1+BW481/100)</f>
        <v>0</v>
      </c>
      <c r="N481" s="19">
        <v>0</v>
      </c>
      <c r="O481" s="19">
        <f>G481*N481</f>
        <v>0</v>
      </c>
      <c r="P481" s="88" t="s">
        <v>740</v>
      </c>
      <c r="Z481" s="19">
        <f>IF(AQ481="5",BJ481,0)</f>
        <v>0</v>
      </c>
      <c r="AB481" s="19">
        <f>IF(AQ481="1",BH481,0)</f>
        <v>0</v>
      </c>
      <c r="AC481" s="19">
        <f>IF(AQ481="1",BI481,0)</f>
        <v>0</v>
      </c>
      <c r="AD481" s="19">
        <f>IF(AQ481="7",BH481,0)</f>
        <v>0</v>
      </c>
      <c r="AE481" s="19">
        <f>IF(AQ481="7",BI481,0)</f>
        <v>0</v>
      </c>
      <c r="AF481" s="19">
        <f>IF(AQ481="2",BH481,0)</f>
        <v>0</v>
      </c>
      <c r="AG481" s="19">
        <f>IF(AQ481="2",BI481,0)</f>
        <v>0</v>
      </c>
      <c r="AH481" s="19">
        <f>IF(AQ481="0",BJ481,0)</f>
        <v>0</v>
      </c>
      <c r="AI481" s="16" t="s">
        <v>325</v>
      </c>
      <c r="AJ481" s="19">
        <f>IF(AN481=0,L481,0)</f>
        <v>0</v>
      </c>
      <c r="AK481" s="19">
        <f>IF(AN481=12,L481,0)</f>
        <v>0</v>
      </c>
      <c r="AL481" s="19">
        <f>IF(AN481=21,L481,0)</f>
        <v>0</v>
      </c>
      <c r="AN481" s="19">
        <v>12</v>
      </c>
      <c r="AO481" s="19">
        <f>H481*0</f>
        <v>0</v>
      </c>
      <c r="AP481" s="19">
        <f>H481*(1-0)</f>
        <v>0</v>
      </c>
      <c r="AQ481" s="87" t="s">
        <v>538</v>
      </c>
      <c r="AV481" s="19">
        <f>AW481+AX481</f>
        <v>0</v>
      </c>
      <c r="AW481" s="19">
        <f>G481*AO481</f>
        <v>0</v>
      </c>
      <c r="AX481" s="19">
        <f>G481*AP481</f>
        <v>0</v>
      </c>
      <c r="AY481" s="87" t="s">
        <v>855</v>
      </c>
      <c r="AZ481" s="87" t="s">
        <v>866</v>
      </c>
      <c r="BA481" s="16" t="s">
        <v>867</v>
      </c>
      <c r="BC481" s="19">
        <f>AW481+AX481</f>
        <v>0</v>
      </c>
      <c r="BD481" s="19">
        <f>H481/(100-BE481)*100</f>
        <v>0</v>
      </c>
      <c r="BE481" s="19">
        <v>0</v>
      </c>
      <c r="BF481" s="19">
        <f>O481</f>
        <v>0</v>
      </c>
      <c r="BH481" s="19">
        <f>G481*AO481</f>
        <v>0</v>
      </c>
      <c r="BI481" s="19">
        <f>G481*AP481</f>
        <v>0</v>
      </c>
      <c r="BJ481" s="19">
        <f>G481*H481</f>
        <v>0</v>
      </c>
      <c r="BK481" s="19"/>
      <c r="BL481" s="19"/>
      <c r="BO481" s="19">
        <f>G481*H481</f>
        <v>0</v>
      </c>
      <c r="BW481" s="19" t="str">
        <f>I481</f>
        <v>12</v>
      </c>
      <c r="BX481" s="4" t="s">
        <v>319</v>
      </c>
    </row>
    <row r="482" spans="1:76" x14ac:dyDescent="0.25">
      <c r="A482" s="84" t="s">
        <v>25</v>
      </c>
      <c r="B482" s="15" t="s">
        <v>325</v>
      </c>
      <c r="C482" s="15" t="s">
        <v>320</v>
      </c>
      <c r="D482" s="115" t="s">
        <v>321</v>
      </c>
      <c r="E482" s="116"/>
      <c r="F482" s="85" t="s">
        <v>23</v>
      </c>
      <c r="G482" s="85" t="s">
        <v>23</v>
      </c>
      <c r="H482" s="85" t="s">
        <v>23</v>
      </c>
      <c r="I482" s="85" t="s">
        <v>23</v>
      </c>
      <c r="J482" s="60">
        <f>SUM(J483:J483)</f>
        <v>0</v>
      </c>
      <c r="K482" s="60">
        <f>SUM(K483:K483)</f>
        <v>0</v>
      </c>
      <c r="L482" s="60">
        <f>SUM(L483:L483)</f>
        <v>0</v>
      </c>
      <c r="M482" s="60">
        <f>SUM(M483:M483)</f>
        <v>0</v>
      </c>
      <c r="N482" s="16" t="s">
        <v>25</v>
      </c>
      <c r="O482" s="60">
        <f>SUM(O483:O483)</f>
        <v>0</v>
      </c>
      <c r="P482" s="86" t="s">
        <v>25</v>
      </c>
      <c r="AI482" s="16" t="s">
        <v>325</v>
      </c>
      <c r="AS482" s="60">
        <f>SUM(AJ483:AJ483)</f>
        <v>0</v>
      </c>
      <c r="AT482" s="60">
        <f>SUM(AK483:AK483)</f>
        <v>0</v>
      </c>
      <c r="AU482" s="60">
        <f>SUM(AL483:AL483)</f>
        <v>0</v>
      </c>
    </row>
    <row r="483" spans="1:76" x14ac:dyDescent="0.25">
      <c r="A483" s="5" t="s">
        <v>870</v>
      </c>
      <c r="B483" s="6" t="s">
        <v>325</v>
      </c>
      <c r="C483" s="6" t="s">
        <v>322</v>
      </c>
      <c r="D483" s="117" t="s">
        <v>321</v>
      </c>
      <c r="E483" s="105"/>
      <c r="F483" s="6" t="s">
        <v>317</v>
      </c>
      <c r="G483" s="23">
        <f>'Rozpočet - vybrané sloupce'!J450</f>
        <v>1</v>
      </c>
      <c r="H483" s="23">
        <f>'Rozpočet - vybrané sloupce'!K450</f>
        <v>0</v>
      </c>
      <c r="I483" s="92" t="s">
        <v>427</v>
      </c>
      <c r="J483" s="23">
        <f>G483*AO483</f>
        <v>0</v>
      </c>
      <c r="K483" s="23">
        <f>G483*AP483</f>
        <v>0</v>
      </c>
      <c r="L483" s="23">
        <f>G483*H483</f>
        <v>0</v>
      </c>
      <c r="M483" s="23">
        <f>L483*(1+BW483/100)</f>
        <v>0</v>
      </c>
      <c r="N483" s="23">
        <v>0</v>
      </c>
      <c r="O483" s="23">
        <f>G483*N483</f>
        <v>0</v>
      </c>
      <c r="P483" s="93" t="s">
        <v>740</v>
      </c>
      <c r="Z483" s="19">
        <f>IF(AQ483="5",BJ483,0)</f>
        <v>0</v>
      </c>
      <c r="AB483" s="19">
        <f>IF(AQ483="1",BH483,0)</f>
        <v>0</v>
      </c>
      <c r="AC483" s="19">
        <f>IF(AQ483="1",BI483,0)</f>
        <v>0</v>
      </c>
      <c r="AD483" s="19">
        <f>IF(AQ483="7",BH483,0)</f>
        <v>0</v>
      </c>
      <c r="AE483" s="19">
        <f>IF(AQ483="7",BI483,0)</f>
        <v>0</v>
      </c>
      <c r="AF483" s="19">
        <f>IF(AQ483="2",BH483,0)</f>
        <v>0</v>
      </c>
      <c r="AG483" s="19">
        <f>IF(AQ483="2",BI483,0)</f>
        <v>0</v>
      </c>
      <c r="AH483" s="19">
        <f>IF(AQ483="0",BJ483,0)</f>
        <v>0</v>
      </c>
      <c r="AI483" s="16" t="s">
        <v>325</v>
      </c>
      <c r="AJ483" s="19">
        <f>IF(AN483=0,L483,0)</f>
        <v>0</v>
      </c>
      <c r="AK483" s="19">
        <f>IF(AN483=12,L483,0)</f>
        <v>0</v>
      </c>
      <c r="AL483" s="19">
        <f>IF(AN483=21,L483,0)</f>
        <v>0</v>
      </c>
      <c r="AN483" s="19">
        <v>12</v>
      </c>
      <c r="AO483" s="19">
        <f>H483*0</f>
        <v>0</v>
      </c>
      <c r="AP483" s="19">
        <f>H483*(1-0)</f>
        <v>0</v>
      </c>
      <c r="AQ483" s="87" t="s">
        <v>538</v>
      </c>
      <c r="AV483" s="19">
        <f>AW483+AX483</f>
        <v>0</v>
      </c>
      <c r="AW483" s="19">
        <f>G483*AO483</f>
        <v>0</v>
      </c>
      <c r="AX483" s="19">
        <f>G483*AP483</f>
        <v>0</v>
      </c>
      <c r="AY483" s="87" t="s">
        <v>858</v>
      </c>
      <c r="AZ483" s="87" t="s">
        <v>866</v>
      </c>
      <c r="BA483" s="16" t="s">
        <v>867</v>
      </c>
      <c r="BC483" s="19">
        <f>AW483+AX483</f>
        <v>0</v>
      </c>
      <c r="BD483" s="19">
        <f>H483/(100-BE483)*100</f>
        <v>0</v>
      </c>
      <c r="BE483" s="19">
        <v>0</v>
      </c>
      <c r="BF483" s="19">
        <f>O483</f>
        <v>0</v>
      </c>
      <c r="BH483" s="19">
        <f>G483*AO483</f>
        <v>0</v>
      </c>
      <c r="BI483" s="19">
        <f>G483*AP483</f>
        <v>0</v>
      </c>
      <c r="BJ483" s="19">
        <f>G483*H483</f>
        <v>0</v>
      </c>
      <c r="BK483" s="19"/>
      <c r="BL483" s="19"/>
      <c r="BS483" s="19">
        <f>G483*H483</f>
        <v>0</v>
      </c>
      <c r="BW483" s="19" t="str">
        <f>I483</f>
        <v>12</v>
      </c>
      <c r="BX483" s="4" t="s">
        <v>321</v>
      </c>
    </row>
    <row r="484" spans="1:76" x14ac:dyDescent="0.25">
      <c r="J484" s="190" t="s">
        <v>327</v>
      </c>
      <c r="K484" s="190"/>
      <c r="L484" s="37">
        <f>ROUND(L13+L28+L40+L52+L89+L94+L122+L127+L155+L160+L194+L225+L254+L272+L287+L302+L312+L314+L316+L321+L330+L333+L335+L337+L339+L349+L362+L370+L372+L374+L379+L385+L388+L390+L392+L394+L400+L410+L418+L420+L422+L427+L433+L436+L438+L440+L442+L448+L459+L461+L464+L468+L470+L473+L477+L479+L482,0)</f>
        <v>0</v>
      </c>
      <c r="M484" s="37">
        <f>ROUND(M13+M28+M40+M52+M89+M94+M122+M127+M155+M160+M194+M225+M254+M272+M287+M302+M312+M314+M316+M321+M330+M333+M335+M337+M339+M349+M362+M370+M372+M374+M379+M385+M388+M390+M392+M394+M400+M410+M418+M420+M422+M427+M433+M436+M438+M440+M442+M448+M459+M461+M464+M468+M470+M473+M477+M479+M482,0)</f>
        <v>0</v>
      </c>
    </row>
    <row r="485" spans="1:76" x14ac:dyDescent="0.25">
      <c r="A485" s="94" t="s">
        <v>379</v>
      </c>
    </row>
    <row r="486" spans="1:76" ht="12.75" customHeight="1" x14ac:dyDescent="0.25">
      <c r="A486" s="108" t="s">
        <v>25</v>
      </c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</row>
  </sheetData>
  <mergeCells count="503">
    <mergeCell ref="J484:K484"/>
    <mergeCell ref="A486:P486"/>
    <mergeCell ref="D479:E479"/>
    <mergeCell ref="D480:E480"/>
    <mergeCell ref="D481:E481"/>
    <mergeCell ref="D482:E482"/>
    <mergeCell ref="D483:E483"/>
    <mergeCell ref="D474:E474"/>
    <mergeCell ref="D475:E475"/>
    <mergeCell ref="D476:E476"/>
    <mergeCell ref="D477:E477"/>
    <mergeCell ref="D478:E478"/>
    <mergeCell ref="D469:E469"/>
    <mergeCell ref="D470:E470"/>
    <mergeCell ref="D471:E471"/>
    <mergeCell ref="D472:E472"/>
    <mergeCell ref="D473:E473"/>
    <mergeCell ref="D464:E464"/>
    <mergeCell ref="D465:E465"/>
    <mergeCell ref="D466:E466"/>
    <mergeCell ref="D467:E467"/>
    <mergeCell ref="D468:E468"/>
    <mergeCell ref="D459:E459"/>
    <mergeCell ref="D460:E460"/>
    <mergeCell ref="D461:E461"/>
    <mergeCell ref="D462:E462"/>
    <mergeCell ref="D463:E463"/>
    <mergeCell ref="D454:E454"/>
    <mergeCell ref="D455:E455"/>
    <mergeCell ref="D456:E456"/>
    <mergeCell ref="D457:E457"/>
    <mergeCell ref="D458:E458"/>
    <mergeCell ref="D449:E449"/>
    <mergeCell ref="D450:E450"/>
    <mergeCell ref="D451:E451"/>
    <mergeCell ref="D452:E452"/>
    <mergeCell ref="D453:E453"/>
    <mergeCell ref="D444:E444"/>
    <mergeCell ref="D445:E445"/>
    <mergeCell ref="D446:E446"/>
    <mergeCell ref="D447:E447"/>
    <mergeCell ref="D448:E448"/>
    <mergeCell ref="D439:E439"/>
    <mergeCell ref="D440:E440"/>
    <mergeCell ref="D441:E441"/>
    <mergeCell ref="D442:E442"/>
    <mergeCell ref="D443:E443"/>
    <mergeCell ref="D434:E434"/>
    <mergeCell ref="D435:E435"/>
    <mergeCell ref="D436:E436"/>
    <mergeCell ref="D437:E437"/>
    <mergeCell ref="D438:E438"/>
    <mergeCell ref="D429:E429"/>
    <mergeCell ref="D430:E430"/>
    <mergeCell ref="D431:E431"/>
    <mergeCell ref="D432:E432"/>
    <mergeCell ref="D433:E433"/>
    <mergeCell ref="D424:E424"/>
    <mergeCell ref="D425:E425"/>
    <mergeCell ref="D426:E426"/>
    <mergeCell ref="D427:E427"/>
    <mergeCell ref="D428:E428"/>
    <mergeCell ref="D419:E419"/>
    <mergeCell ref="D420:E420"/>
    <mergeCell ref="D421:E421"/>
    <mergeCell ref="D422:E422"/>
    <mergeCell ref="D423:E423"/>
    <mergeCell ref="D414:E414"/>
    <mergeCell ref="D415:E415"/>
    <mergeCell ref="D416:E416"/>
    <mergeCell ref="D417:E417"/>
    <mergeCell ref="D418:E418"/>
    <mergeCell ref="D409:E409"/>
    <mergeCell ref="D410:E410"/>
    <mergeCell ref="D411:E411"/>
    <mergeCell ref="D412:E412"/>
    <mergeCell ref="D413:E413"/>
    <mergeCell ref="D404:E404"/>
    <mergeCell ref="D405:E405"/>
    <mergeCell ref="D406:E406"/>
    <mergeCell ref="D407:E407"/>
    <mergeCell ref="D408:E408"/>
    <mergeCell ref="D399:E399"/>
    <mergeCell ref="D400:E400"/>
    <mergeCell ref="D401:E401"/>
    <mergeCell ref="D402:E402"/>
    <mergeCell ref="D403:E403"/>
    <mergeCell ref="D394:E394"/>
    <mergeCell ref="D395:E395"/>
    <mergeCell ref="D396:E396"/>
    <mergeCell ref="D397:E397"/>
    <mergeCell ref="D398:E398"/>
    <mergeCell ref="D389:E389"/>
    <mergeCell ref="D390:E390"/>
    <mergeCell ref="D391:E391"/>
    <mergeCell ref="D392:E392"/>
    <mergeCell ref="D393:E393"/>
    <mergeCell ref="D384:E384"/>
    <mergeCell ref="D385:E385"/>
    <mergeCell ref="D386:E386"/>
    <mergeCell ref="D387:E387"/>
    <mergeCell ref="D388:E388"/>
    <mergeCell ref="D379:E379"/>
    <mergeCell ref="D380:E380"/>
    <mergeCell ref="D381:E381"/>
    <mergeCell ref="D382:E382"/>
    <mergeCell ref="D383:E383"/>
    <mergeCell ref="D374:E374"/>
    <mergeCell ref="D375:E375"/>
    <mergeCell ref="D376:E376"/>
    <mergeCell ref="D377:E377"/>
    <mergeCell ref="D378:E378"/>
    <mergeCell ref="D369:E369"/>
    <mergeCell ref="D370:E370"/>
    <mergeCell ref="D371:E371"/>
    <mergeCell ref="D372:E372"/>
    <mergeCell ref="D373:E373"/>
    <mergeCell ref="D364:E364"/>
    <mergeCell ref="D365:E365"/>
    <mergeCell ref="D366:E366"/>
    <mergeCell ref="D367:E367"/>
    <mergeCell ref="D368:E368"/>
    <mergeCell ref="D359:E359"/>
    <mergeCell ref="D360:E360"/>
    <mergeCell ref="D361:E361"/>
    <mergeCell ref="D362:E362"/>
    <mergeCell ref="D363:E363"/>
    <mergeCell ref="D354:E354"/>
    <mergeCell ref="D355:P355"/>
    <mergeCell ref="D356:E356"/>
    <mergeCell ref="D357:P357"/>
    <mergeCell ref="D358:E358"/>
    <mergeCell ref="D349:E349"/>
    <mergeCell ref="D350:E350"/>
    <mergeCell ref="D351:E351"/>
    <mergeCell ref="D352:P352"/>
    <mergeCell ref="D353:E353"/>
    <mergeCell ref="D344:P344"/>
    <mergeCell ref="D345:E345"/>
    <mergeCell ref="D346:P346"/>
    <mergeCell ref="D347:E347"/>
    <mergeCell ref="D348:P348"/>
    <mergeCell ref="D339:E339"/>
    <mergeCell ref="D340:E340"/>
    <mergeCell ref="D341:P341"/>
    <mergeCell ref="D342:E342"/>
    <mergeCell ref="D343:E343"/>
    <mergeCell ref="D334:E334"/>
    <mergeCell ref="D335:E335"/>
    <mergeCell ref="D336:E336"/>
    <mergeCell ref="D337:E337"/>
    <mergeCell ref="D338:E338"/>
    <mergeCell ref="D329:E329"/>
    <mergeCell ref="D330:E330"/>
    <mergeCell ref="D331:E331"/>
    <mergeCell ref="D332:E332"/>
    <mergeCell ref="D333:E333"/>
    <mergeCell ref="D324:E324"/>
    <mergeCell ref="D325:P325"/>
    <mergeCell ref="D326:E326"/>
    <mergeCell ref="D327:P327"/>
    <mergeCell ref="D328:E328"/>
    <mergeCell ref="D319:E319"/>
    <mergeCell ref="D320:E320"/>
    <mergeCell ref="D321:E321"/>
    <mergeCell ref="D322:E322"/>
    <mergeCell ref="D323:P323"/>
    <mergeCell ref="D314:E314"/>
    <mergeCell ref="D315:E315"/>
    <mergeCell ref="D316:E316"/>
    <mergeCell ref="D317:E317"/>
    <mergeCell ref="D318:E318"/>
    <mergeCell ref="D309:E309"/>
    <mergeCell ref="D310:P310"/>
    <mergeCell ref="D311:E311"/>
    <mergeCell ref="D312:E312"/>
    <mergeCell ref="D313:E313"/>
    <mergeCell ref="D304:E304"/>
    <mergeCell ref="D305:E305"/>
    <mergeCell ref="D306:E306"/>
    <mergeCell ref="D307:P307"/>
    <mergeCell ref="D308:E308"/>
    <mergeCell ref="D299:E299"/>
    <mergeCell ref="D300:E300"/>
    <mergeCell ref="D301:E301"/>
    <mergeCell ref="D302:E302"/>
    <mergeCell ref="D303:E303"/>
    <mergeCell ref="D294:E294"/>
    <mergeCell ref="D295:E295"/>
    <mergeCell ref="D296:E296"/>
    <mergeCell ref="D297:E297"/>
    <mergeCell ref="D298:E298"/>
    <mergeCell ref="D289:E289"/>
    <mergeCell ref="D290:E290"/>
    <mergeCell ref="D291:E291"/>
    <mergeCell ref="D292:E292"/>
    <mergeCell ref="D293:E293"/>
    <mergeCell ref="D284:E284"/>
    <mergeCell ref="D285:E285"/>
    <mergeCell ref="D286:E286"/>
    <mergeCell ref="D287:E287"/>
    <mergeCell ref="D288:E288"/>
    <mergeCell ref="D279:E279"/>
    <mergeCell ref="D280:E280"/>
    <mergeCell ref="D281:E281"/>
    <mergeCell ref="D282:E282"/>
    <mergeCell ref="D283:E283"/>
    <mergeCell ref="D274:E274"/>
    <mergeCell ref="D275:E275"/>
    <mergeCell ref="D276:E276"/>
    <mergeCell ref="D277:E277"/>
    <mergeCell ref="D278:E278"/>
    <mergeCell ref="D269:P269"/>
    <mergeCell ref="D270:E270"/>
    <mergeCell ref="D271:E271"/>
    <mergeCell ref="D272:E272"/>
    <mergeCell ref="D273:E273"/>
    <mergeCell ref="D264:E264"/>
    <mergeCell ref="D265:E265"/>
    <mergeCell ref="D266:E266"/>
    <mergeCell ref="D267:E267"/>
    <mergeCell ref="D268:E268"/>
    <mergeCell ref="D259:P259"/>
    <mergeCell ref="D260:E260"/>
    <mergeCell ref="D261:E261"/>
    <mergeCell ref="D262:E262"/>
    <mergeCell ref="D263:E263"/>
    <mergeCell ref="D254:E254"/>
    <mergeCell ref="D255:E255"/>
    <mergeCell ref="D256:E256"/>
    <mergeCell ref="D257:P257"/>
    <mergeCell ref="D258:E258"/>
    <mergeCell ref="D249:E249"/>
    <mergeCell ref="D250:E250"/>
    <mergeCell ref="D251:E251"/>
    <mergeCell ref="D252:E252"/>
    <mergeCell ref="D253:E253"/>
    <mergeCell ref="D244:E244"/>
    <mergeCell ref="D245:E245"/>
    <mergeCell ref="D246:E246"/>
    <mergeCell ref="D247:E247"/>
    <mergeCell ref="D248:E248"/>
    <mergeCell ref="D239:E239"/>
    <mergeCell ref="D240:E240"/>
    <mergeCell ref="D241:E241"/>
    <mergeCell ref="D242:E242"/>
    <mergeCell ref="D243:E243"/>
    <mergeCell ref="D234:E234"/>
    <mergeCell ref="D235:E235"/>
    <mergeCell ref="D236:E236"/>
    <mergeCell ref="D237:E237"/>
    <mergeCell ref="D238:E238"/>
    <mergeCell ref="D229:E229"/>
    <mergeCell ref="D230:E230"/>
    <mergeCell ref="D231:E231"/>
    <mergeCell ref="D232:E232"/>
    <mergeCell ref="D233:E233"/>
    <mergeCell ref="D224:E224"/>
    <mergeCell ref="D225:E225"/>
    <mergeCell ref="D226:E226"/>
    <mergeCell ref="D227:E227"/>
    <mergeCell ref="D228:E228"/>
    <mergeCell ref="D219:E219"/>
    <mergeCell ref="D220:E220"/>
    <mergeCell ref="D221:E221"/>
    <mergeCell ref="D222:E222"/>
    <mergeCell ref="D223:E223"/>
    <mergeCell ref="D214:E214"/>
    <mergeCell ref="D215:E215"/>
    <mergeCell ref="D216:E216"/>
    <mergeCell ref="D217:E217"/>
    <mergeCell ref="D218:E218"/>
    <mergeCell ref="D209:E209"/>
    <mergeCell ref="D210:E210"/>
    <mergeCell ref="D211:E211"/>
    <mergeCell ref="D212:E212"/>
    <mergeCell ref="D213:E213"/>
    <mergeCell ref="D204:E204"/>
    <mergeCell ref="D205:E205"/>
    <mergeCell ref="D206:E206"/>
    <mergeCell ref="D207:E207"/>
    <mergeCell ref="D208:E208"/>
    <mergeCell ref="D199:E199"/>
    <mergeCell ref="D200:E200"/>
    <mergeCell ref="D201:E201"/>
    <mergeCell ref="D202:E202"/>
    <mergeCell ref="D203:E203"/>
    <mergeCell ref="D194:E194"/>
    <mergeCell ref="D195:E195"/>
    <mergeCell ref="D196:E196"/>
    <mergeCell ref="D197:E197"/>
    <mergeCell ref="D198:E198"/>
    <mergeCell ref="D189:E189"/>
    <mergeCell ref="D190:E190"/>
    <mergeCell ref="D191:P191"/>
    <mergeCell ref="D192:E192"/>
    <mergeCell ref="D193:E193"/>
    <mergeCell ref="D184:E184"/>
    <mergeCell ref="D185:E185"/>
    <mergeCell ref="D186:E186"/>
    <mergeCell ref="D187:E187"/>
    <mergeCell ref="D188:E188"/>
    <mergeCell ref="D179:E179"/>
    <mergeCell ref="D180:E180"/>
    <mergeCell ref="D181:E181"/>
    <mergeCell ref="D182:E182"/>
    <mergeCell ref="D183:E183"/>
    <mergeCell ref="D174:E174"/>
    <mergeCell ref="D175:E175"/>
    <mergeCell ref="D176:E176"/>
    <mergeCell ref="D177:E177"/>
    <mergeCell ref="D178:E178"/>
    <mergeCell ref="D169:P169"/>
    <mergeCell ref="D170:E170"/>
    <mergeCell ref="D171:P171"/>
    <mergeCell ref="D172:E172"/>
    <mergeCell ref="D173:E173"/>
    <mergeCell ref="D164:E164"/>
    <mergeCell ref="D165:P165"/>
    <mergeCell ref="D166:E166"/>
    <mergeCell ref="D167:P167"/>
    <mergeCell ref="D168:E168"/>
    <mergeCell ref="D159:E159"/>
    <mergeCell ref="D160:E160"/>
    <mergeCell ref="D161:E161"/>
    <mergeCell ref="D162:E162"/>
    <mergeCell ref="D163:E163"/>
    <mergeCell ref="D154:E154"/>
    <mergeCell ref="D155:E155"/>
    <mergeCell ref="D156:E156"/>
    <mergeCell ref="D157:E157"/>
    <mergeCell ref="D158:E158"/>
    <mergeCell ref="D149:E149"/>
    <mergeCell ref="D150:E150"/>
    <mergeCell ref="D151:E151"/>
    <mergeCell ref="D152:E152"/>
    <mergeCell ref="D153:E153"/>
    <mergeCell ref="D144:E144"/>
    <mergeCell ref="D145:E145"/>
    <mergeCell ref="D146:E146"/>
    <mergeCell ref="D147:E147"/>
    <mergeCell ref="D148:E148"/>
    <mergeCell ref="D139:E139"/>
    <mergeCell ref="D140:E140"/>
    <mergeCell ref="D141:E141"/>
    <mergeCell ref="D142:E142"/>
    <mergeCell ref="D143:E143"/>
    <mergeCell ref="D134:E134"/>
    <mergeCell ref="D135:E135"/>
    <mergeCell ref="D136:E136"/>
    <mergeCell ref="D137:E137"/>
    <mergeCell ref="D138:E138"/>
    <mergeCell ref="D129:E129"/>
    <mergeCell ref="D130:E130"/>
    <mergeCell ref="D131:E131"/>
    <mergeCell ref="D132:E132"/>
    <mergeCell ref="D133:E133"/>
    <mergeCell ref="D124:E124"/>
    <mergeCell ref="D125:E125"/>
    <mergeCell ref="D126:E126"/>
    <mergeCell ref="D127:E127"/>
    <mergeCell ref="D128:E128"/>
    <mergeCell ref="D119:E119"/>
    <mergeCell ref="D120:E120"/>
    <mergeCell ref="D121:E121"/>
    <mergeCell ref="D122:E122"/>
    <mergeCell ref="D123:E123"/>
    <mergeCell ref="D114:E114"/>
    <mergeCell ref="D115:E115"/>
    <mergeCell ref="D116:E116"/>
    <mergeCell ref="D117:E117"/>
    <mergeCell ref="D118:E118"/>
    <mergeCell ref="D109:E109"/>
    <mergeCell ref="D110:E110"/>
    <mergeCell ref="D111:E111"/>
    <mergeCell ref="D112:E112"/>
    <mergeCell ref="D113:E113"/>
    <mergeCell ref="D104:E104"/>
    <mergeCell ref="D105:E105"/>
    <mergeCell ref="D106:E106"/>
    <mergeCell ref="D107:E107"/>
    <mergeCell ref="D108:E108"/>
    <mergeCell ref="D99:E99"/>
    <mergeCell ref="D100:E100"/>
    <mergeCell ref="D101:E101"/>
    <mergeCell ref="D102:E102"/>
    <mergeCell ref="D103:E103"/>
    <mergeCell ref="D94:E94"/>
    <mergeCell ref="D95:E95"/>
    <mergeCell ref="D96:E96"/>
    <mergeCell ref="D97:E97"/>
    <mergeCell ref="D98:E98"/>
    <mergeCell ref="D89:E89"/>
    <mergeCell ref="D90:E90"/>
    <mergeCell ref="D91:E91"/>
    <mergeCell ref="D92:E92"/>
    <mergeCell ref="D93:E93"/>
    <mergeCell ref="D84:E84"/>
    <mergeCell ref="D85:E85"/>
    <mergeCell ref="D86:E86"/>
    <mergeCell ref="D87:P87"/>
    <mergeCell ref="D88:E88"/>
    <mergeCell ref="D79:E79"/>
    <mergeCell ref="D80:E80"/>
    <mergeCell ref="D81:E81"/>
    <mergeCell ref="D82:E82"/>
    <mergeCell ref="D83:E83"/>
    <mergeCell ref="D74:E74"/>
    <mergeCell ref="D75:P75"/>
    <mergeCell ref="D76:E76"/>
    <mergeCell ref="D77:P77"/>
    <mergeCell ref="D78:E78"/>
    <mergeCell ref="D69:P69"/>
    <mergeCell ref="D70:E70"/>
    <mergeCell ref="D71:P71"/>
    <mergeCell ref="D72:E72"/>
    <mergeCell ref="D73:P73"/>
    <mergeCell ref="D64:E64"/>
    <mergeCell ref="D65:P65"/>
    <mergeCell ref="D66:E66"/>
    <mergeCell ref="D67:P67"/>
    <mergeCell ref="D68:E68"/>
    <mergeCell ref="D59:E59"/>
    <mergeCell ref="D60:E60"/>
    <mergeCell ref="D61:E61"/>
    <mergeCell ref="D62:E62"/>
    <mergeCell ref="D63:E63"/>
    <mergeCell ref="D54:E54"/>
    <mergeCell ref="D55:E55"/>
    <mergeCell ref="D56:E56"/>
    <mergeCell ref="D57:P57"/>
    <mergeCell ref="D58:E58"/>
    <mergeCell ref="D49:E49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P19"/>
    <mergeCell ref="D20:E20"/>
    <mergeCell ref="D21:P21"/>
    <mergeCell ref="D22:E22"/>
    <mergeCell ref="D23:P23"/>
    <mergeCell ref="D14:E14"/>
    <mergeCell ref="D15:E15"/>
    <mergeCell ref="D16:E16"/>
    <mergeCell ref="D17:E17"/>
    <mergeCell ref="D18:E18"/>
    <mergeCell ref="D11:E11"/>
    <mergeCell ref="J10:L10"/>
    <mergeCell ref="N10:O10"/>
    <mergeCell ref="D12:E12"/>
    <mergeCell ref="D13:E13"/>
    <mergeCell ref="J2:P3"/>
    <mergeCell ref="J4:P5"/>
    <mergeCell ref="J6:P7"/>
    <mergeCell ref="J8:P9"/>
    <mergeCell ref="D10:E10"/>
    <mergeCell ref="D8:E9"/>
    <mergeCell ref="H2:H3"/>
    <mergeCell ref="H4:H5"/>
    <mergeCell ref="H6:H7"/>
    <mergeCell ref="H8:H9"/>
    <mergeCell ref="A1:P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Krycí list rozpočtu</vt:lpstr>
      <vt:lpstr>Stavební rozpočet - součet</vt:lpstr>
      <vt:lpstr>Rozpočet - vybrané sloupce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Radim</cp:lastModifiedBy>
  <cp:lastPrinted>2024-10-25T09:09:33Z</cp:lastPrinted>
  <dcterms:created xsi:type="dcterms:W3CDTF">2021-06-10T20:06:38Z</dcterms:created>
  <dcterms:modified xsi:type="dcterms:W3CDTF">2024-10-25T09:12:33Z</dcterms:modified>
</cp:coreProperties>
</file>