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im\Documents\Projekty\ETRACOM 2025\Kyjonka 2025\Z2025-011 PD-Výměna rozvodů K-V-P Karvinská 1275-37 Havířov\Rozpočet\"/>
    </mc:Choice>
  </mc:AlternateContent>
  <xr:revisionPtr revIDLastSave="0" documentId="13_ncr:1_{2857A8D7-C36E-413D-9634-34AC16D5F107}" xr6:coauthVersionLast="47" xr6:coauthVersionMax="47" xr10:uidLastSave="{00000000-0000-0000-0000-000000000000}"/>
  <bookViews>
    <workbookView xWindow="3210" yWindow="2535" windowWidth="28800" windowHeight="15345" activeTab="2" xr2:uid="{00000000-000D-0000-FFFF-FFFF00000000}"/>
  </bookViews>
  <sheets>
    <sheet name="Krycí list rozpočtu" sheetId="3" r:id="rId1"/>
    <sheet name="Stavební rozpočet - součet" sheetId="2" r:id="rId2"/>
    <sheet name="Rozpočet - vybrané sloupce" sheetId="1" r:id="rId3"/>
    <sheet name="VORN" sheetId="4" state="hidden" r:id="rId4"/>
    <sheet name="Stavební rozpočet" sheetId="5" state="hidden" r:id="rId5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289" i="5" l="1"/>
  <c r="AL289" i="5"/>
  <c r="AU288" i="5" s="1"/>
  <c r="AJ289" i="5"/>
  <c r="AS288" i="5" s="1"/>
  <c r="AH289" i="5"/>
  <c r="AG289" i="5"/>
  <c r="AF289" i="5"/>
  <c r="AE289" i="5"/>
  <c r="AD289" i="5"/>
  <c r="AC289" i="5"/>
  <c r="AB289" i="5"/>
  <c r="Z289" i="5"/>
  <c r="H289" i="5"/>
  <c r="G289" i="5"/>
  <c r="BW287" i="5"/>
  <c r="AP287" i="5"/>
  <c r="AL287" i="5"/>
  <c r="AU286" i="5" s="1"/>
  <c r="AJ287" i="5"/>
  <c r="AS286" i="5" s="1"/>
  <c r="AH287" i="5"/>
  <c r="AG287" i="5"/>
  <c r="AF287" i="5"/>
  <c r="AE287" i="5"/>
  <c r="AD287" i="5"/>
  <c r="AC287" i="5"/>
  <c r="AB287" i="5"/>
  <c r="Z287" i="5"/>
  <c r="H287" i="5"/>
  <c r="BD287" i="5" s="1"/>
  <c r="G287" i="5"/>
  <c r="BW285" i="5"/>
  <c r="AL285" i="5"/>
  <c r="AJ285" i="5"/>
  <c r="AH285" i="5"/>
  <c r="AG285" i="5"/>
  <c r="AF285" i="5"/>
  <c r="AE285" i="5"/>
  <c r="AD285" i="5"/>
  <c r="AC285" i="5"/>
  <c r="AB285" i="5"/>
  <c r="Z285" i="5"/>
  <c r="O285" i="5"/>
  <c r="BF285" i="5" s="1"/>
  <c r="H285" i="5"/>
  <c r="BD285" i="5" s="1"/>
  <c r="G285" i="5"/>
  <c r="BW284" i="5"/>
  <c r="AL284" i="5"/>
  <c r="AU283" i="5" s="1"/>
  <c r="AJ284" i="5"/>
  <c r="AS283" i="5" s="1"/>
  <c r="AH284" i="5"/>
  <c r="AG284" i="5"/>
  <c r="AF284" i="5"/>
  <c r="AE284" i="5"/>
  <c r="AD284" i="5"/>
  <c r="AC284" i="5"/>
  <c r="AB284" i="5"/>
  <c r="Z284" i="5"/>
  <c r="H284" i="5"/>
  <c r="G284" i="5"/>
  <c r="BW282" i="5"/>
  <c r="BJ282" i="5"/>
  <c r="AL282" i="5"/>
  <c r="AJ282" i="5"/>
  <c r="AS281" i="5" s="1"/>
  <c r="AH282" i="5"/>
  <c r="AG282" i="5"/>
  <c r="AF282" i="5"/>
  <c r="AE282" i="5"/>
  <c r="AD282" i="5"/>
  <c r="AC282" i="5"/>
  <c r="AB282" i="5"/>
  <c r="Z282" i="5"/>
  <c r="H282" i="5"/>
  <c r="G282" i="5"/>
  <c r="AU281" i="5"/>
  <c r="BW278" i="5"/>
  <c r="BD278" i="5"/>
  <c r="AP278" i="5"/>
  <c r="AX278" i="5" s="1"/>
  <c r="AL278" i="5"/>
  <c r="AJ278" i="5"/>
  <c r="AH278" i="5"/>
  <c r="AG278" i="5"/>
  <c r="AF278" i="5"/>
  <c r="AE278" i="5"/>
  <c r="AD278" i="5"/>
  <c r="AC278" i="5"/>
  <c r="AB278" i="5"/>
  <c r="O278" i="5"/>
  <c r="BF278" i="5" s="1"/>
  <c r="L278" i="5"/>
  <c r="H278" i="5"/>
  <c r="AO278" i="5" s="1"/>
  <c r="AW278" i="5" s="1"/>
  <c r="BC278" i="5" s="1"/>
  <c r="G278" i="5"/>
  <c r="BW277" i="5"/>
  <c r="BH277" i="5"/>
  <c r="AD277" i="5" s="1"/>
  <c r="AO277" i="5"/>
  <c r="J277" i="5" s="1"/>
  <c r="AL277" i="5"/>
  <c r="AJ277" i="5"/>
  <c r="AH277" i="5"/>
  <c r="AG277" i="5"/>
  <c r="AF277" i="5"/>
  <c r="AC277" i="5"/>
  <c r="AB277" i="5"/>
  <c r="Z277" i="5"/>
  <c r="O277" i="5"/>
  <c r="BF277" i="5" s="1"/>
  <c r="L277" i="5"/>
  <c r="H277" i="5"/>
  <c r="BD277" i="5" s="1"/>
  <c r="G277" i="5"/>
  <c r="BW275" i="5"/>
  <c r="AL275" i="5"/>
  <c r="AJ275" i="5"/>
  <c r="AH275" i="5"/>
  <c r="AG275" i="5"/>
  <c r="AF275" i="5"/>
  <c r="AC275" i="5"/>
  <c r="AB275" i="5"/>
  <c r="Z275" i="5"/>
  <c r="L275" i="5"/>
  <c r="H275" i="5"/>
  <c r="BD275" i="5" s="1"/>
  <c r="G275" i="5"/>
  <c r="BW273" i="5"/>
  <c r="BF273" i="5"/>
  <c r="AL273" i="5"/>
  <c r="AJ273" i="5"/>
  <c r="AH273" i="5"/>
  <c r="AG273" i="5"/>
  <c r="AF273" i="5"/>
  <c r="AC273" i="5"/>
  <c r="AB273" i="5"/>
  <c r="Z273" i="5"/>
  <c r="O273" i="5"/>
  <c r="H273" i="5"/>
  <c r="G273" i="5"/>
  <c r="BW271" i="5"/>
  <c r="AL271" i="5"/>
  <c r="AU270" i="5" s="1"/>
  <c r="AJ271" i="5"/>
  <c r="AH271" i="5"/>
  <c r="AG271" i="5"/>
  <c r="AF271" i="5"/>
  <c r="AC271" i="5"/>
  <c r="AB271" i="5"/>
  <c r="Z271" i="5"/>
  <c r="H271" i="5"/>
  <c r="G271" i="5"/>
  <c r="BW267" i="5"/>
  <c r="AO267" i="5"/>
  <c r="AL267" i="5"/>
  <c r="AJ267" i="5"/>
  <c r="AH267" i="5"/>
  <c r="AG267" i="5"/>
  <c r="AF267" i="5"/>
  <c r="AE267" i="5"/>
  <c r="AD267" i="5"/>
  <c r="AC267" i="5"/>
  <c r="AB267" i="5"/>
  <c r="H267" i="5"/>
  <c r="BD267" i="5" s="1"/>
  <c r="G267" i="5"/>
  <c r="BW266" i="5"/>
  <c r="AL266" i="5"/>
  <c r="AJ266" i="5"/>
  <c r="AH266" i="5"/>
  <c r="AG266" i="5"/>
  <c r="AF266" i="5"/>
  <c r="AE266" i="5"/>
  <c r="AD266" i="5"/>
  <c r="AC266" i="5"/>
  <c r="AB266" i="5"/>
  <c r="H266" i="5"/>
  <c r="G266" i="5"/>
  <c r="BW265" i="5"/>
  <c r="AL265" i="5"/>
  <c r="AJ265" i="5"/>
  <c r="AH265" i="5"/>
  <c r="AG265" i="5"/>
  <c r="AF265" i="5"/>
  <c r="AE265" i="5"/>
  <c r="AD265" i="5"/>
  <c r="AC265" i="5"/>
  <c r="AB265" i="5"/>
  <c r="O265" i="5"/>
  <c r="BF265" i="5" s="1"/>
  <c r="H265" i="5"/>
  <c r="BD265" i="5" s="1"/>
  <c r="G265" i="5"/>
  <c r="BW264" i="5"/>
  <c r="BJ264" i="5"/>
  <c r="Z264" i="5" s="1"/>
  <c r="AL264" i="5"/>
  <c r="AJ264" i="5"/>
  <c r="AH264" i="5"/>
  <c r="AG264" i="5"/>
  <c r="AF264" i="5"/>
  <c r="AE264" i="5"/>
  <c r="AD264" i="5"/>
  <c r="AC264" i="5"/>
  <c r="AB264" i="5"/>
  <c r="L264" i="5"/>
  <c r="AK264" i="5" s="1"/>
  <c r="H264" i="5"/>
  <c r="BD264" i="5" s="1"/>
  <c r="G264" i="5"/>
  <c r="BW262" i="5"/>
  <c r="AO262" i="5"/>
  <c r="J262" i="5" s="1"/>
  <c r="AL262" i="5"/>
  <c r="AJ262" i="5"/>
  <c r="AH262" i="5"/>
  <c r="AG262" i="5"/>
  <c r="AF262" i="5"/>
  <c r="AE262" i="5"/>
  <c r="AD262" i="5"/>
  <c r="AC262" i="5"/>
  <c r="AB262" i="5"/>
  <c r="H262" i="5"/>
  <c r="BD262" i="5" s="1"/>
  <c r="G262" i="5"/>
  <c r="BW260" i="5"/>
  <c r="BF260" i="5"/>
  <c r="AL260" i="5"/>
  <c r="AJ260" i="5"/>
  <c r="AH260" i="5"/>
  <c r="AG260" i="5"/>
  <c r="AF260" i="5"/>
  <c r="AE260" i="5"/>
  <c r="AD260" i="5"/>
  <c r="AC260" i="5"/>
  <c r="AB260" i="5"/>
  <c r="O260" i="5"/>
  <c r="H260" i="5"/>
  <c r="BD260" i="5" s="1"/>
  <c r="G260" i="5"/>
  <c r="BW259" i="5"/>
  <c r="AP259" i="5"/>
  <c r="AO259" i="5"/>
  <c r="AL259" i="5"/>
  <c r="AJ259" i="5"/>
  <c r="AH259" i="5"/>
  <c r="AG259" i="5"/>
  <c r="AF259" i="5"/>
  <c r="AE259" i="5"/>
  <c r="AD259" i="5"/>
  <c r="AC259" i="5"/>
  <c r="AB259" i="5"/>
  <c r="O259" i="5"/>
  <c r="BF259" i="5" s="1"/>
  <c r="L259" i="5"/>
  <c r="AK259" i="5" s="1"/>
  <c r="H259" i="5"/>
  <c r="BD259" i="5" s="1"/>
  <c r="G259" i="5"/>
  <c r="BW257" i="5"/>
  <c r="AL257" i="5"/>
  <c r="AJ257" i="5"/>
  <c r="AH257" i="5"/>
  <c r="AG257" i="5"/>
  <c r="AF257" i="5"/>
  <c r="AE257" i="5"/>
  <c r="AD257" i="5"/>
  <c r="AC257" i="5"/>
  <c r="AB257" i="5"/>
  <c r="H257" i="5"/>
  <c r="G257" i="5"/>
  <c r="BW256" i="5"/>
  <c r="AP256" i="5"/>
  <c r="K256" i="5" s="1"/>
  <c r="AL256" i="5"/>
  <c r="AJ256" i="5"/>
  <c r="AH256" i="5"/>
  <c r="AG256" i="5"/>
  <c r="AF256" i="5"/>
  <c r="AE256" i="5"/>
  <c r="AD256" i="5"/>
  <c r="Z256" i="5"/>
  <c r="H256" i="5"/>
  <c r="BD256" i="5" s="1"/>
  <c r="G256" i="5"/>
  <c r="BW253" i="5"/>
  <c r="BD253" i="5"/>
  <c r="AL253" i="5"/>
  <c r="AJ253" i="5"/>
  <c r="AH253" i="5"/>
  <c r="AG253" i="5"/>
  <c r="AF253" i="5"/>
  <c r="AE253" i="5"/>
  <c r="AD253" i="5"/>
  <c r="Z253" i="5"/>
  <c r="H253" i="5"/>
  <c r="G253" i="5"/>
  <c r="BW251" i="5"/>
  <c r="BJ251" i="5"/>
  <c r="AP251" i="5"/>
  <c r="AO251" i="5"/>
  <c r="BH251" i="5" s="1"/>
  <c r="AB251" i="5" s="1"/>
  <c r="AL251" i="5"/>
  <c r="AJ251" i="5"/>
  <c r="AH251" i="5"/>
  <c r="AG251" i="5"/>
  <c r="AF251" i="5"/>
  <c r="AE251" i="5"/>
  <c r="AD251" i="5"/>
  <c r="Z251" i="5"/>
  <c r="O251" i="5"/>
  <c r="BF251" i="5" s="1"/>
  <c r="L251" i="5"/>
  <c r="AK251" i="5" s="1"/>
  <c r="J251" i="5"/>
  <c r="H251" i="5"/>
  <c r="BD251" i="5" s="1"/>
  <c r="G251" i="5"/>
  <c r="BW249" i="5"/>
  <c r="AP249" i="5"/>
  <c r="K249" i="5" s="1"/>
  <c r="AO249" i="5"/>
  <c r="BH249" i="5" s="1"/>
  <c r="AB249" i="5" s="1"/>
  <c r="AL249" i="5"/>
  <c r="AJ249" i="5"/>
  <c r="AH249" i="5"/>
  <c r="AG249" i="5"/>
  <c r="AF249" i="5"/>
  <c r="AE249" i="5"/>
  <c r="AD249" i="5"/>
  <c r="Z249" i="5"/>
  <c r="H249" i="5"/>
  <c r="BD249" i="5" s="1"/>
  <c r="G249" i="5"/>
  <c r="AX249" i="5" s="1"/>
  <c r="BW248" i="5"/>
  <c r="AL248" i="5"/>
  <c r="AJ248" i="5"/>
  <c r="AH248" i="5"/>
  <c r="AG248" i="5"/>
  <c r="AF248" i="5"/>
  <c r="AE248" i="5"/>
  <c r="AD248" i="5"/>
  <c r="Z248" i="5"/>
  <c r="H248" i="5"/>
  <c r="BD248" i="5" s="1"/>
  <c r="G248" i="5"/>
  <c r="BW246" i="5"/>
  <c r="AL246" i="5"/>
  <c r="AJ246" i="5"/>
  <c r="AH246" i="5"/>
  <c r="AG246" i="5"/>
  <c r="AF246" i="5"/>
  <c r="AE246" i="5"/>
  <c r="AD246" i="5"/>
  <c r="Z246" i="5"/>
  <c r="O246" i="5"/>
  <c r="BF246" i="5" s="1"/>
  <c r="L246" i="5"/>
  <c r="M246" i="5" s="1"/>
  <c r="H246" i="5"/>
  <c r="BD246" i="5" s="1"/>
  <c r="G246" i="5"/>
  <c r="BW244" i="5"/>
  <c r="BJ244" i="5"/>
  <c r="BI244" i="5"/>
  <c r="AC244" i="5" s="1"/>
  <c r="AP244" i="5"/>
  <c r="AX244" i="5" s="1"/>
  <c r="AL244" i="5"/>
  <c r="AU243" i="5" s="1"/>
  <c r="AJ244" i="5"/>
  <c r="AH244" i="5"/>
  <c r="AG244" i="5"/>
  <c r="AF244" i="5"/>
  <c r="AE244" i="5"/>
  <c r="AD244" i="5"/>
  <c r="Z244" i="5"/>
  <c r="O244" i="5"/>
  <c r="BF244" i="5" s="1"/>
  <c r="L244" i="5"/>
  <c r="AK244" i="5" s="1"/>
  <c r="AT243" i="5" s="1"/>
  <c r="K244" i="5"/>
  <c r="K243" i="5" s="1"/>
  <c r="H244" i="5"/>
  <c r="BD244" i="5" s="1"/>
  <c r="G244" i="5"/>
  <c r="AS243" i="5"/>
  <c r="BW242" i="5"/>
  <c r="AL242" i="5"/>
  <c r="AU241" i="5" s="1"/>
  <c r="AJ242" i="5"/>
  <c r="AH242" i="5"/>
  <c r="AG242" i="5"/>
  <c r="AF242" i="5"/>
  <c r="AE242" i="5"/>
  <c r="AD242" i="5"/>
  <c r="Z242" i="5"/>
  <c r="L242" i="5"/>
  <c r="AK242" i="5" s="1"/>
  <c r="AT241" i="5" s="1"/>
  <c r="H242" i="5"/>
  <c r="AO242" i="5" s="1"/>
  <c r="G242" i="5"/>
  <c r="AS241" i="5"/>
  <c r="L241" i="5"/>
  <c r="F35" i="2" s="1"/>
  <c r="I35" i="2" s="1"/>
  <c r="BW240" i="5"/>
  <c r="AL240" i="5"/>
  <c r="AJ240" i="5"/>
  <c r="AS239" i="5" s="1"/>
  <c r="AH240" i="5"/>
  <c r="AG240" i="5"/>
  <c r="AF240" i="5"/>
  <c r="AC240" i="5"/>
  <c r="AB240" i="5"/>
  <c r="Z240" i="5"/>
  <c r="O240" i="5"/>
  <c r="O239" i="5" s="1"/>
  <c r="H240" i="5"/>
  <c r="AP240" i="5" s="1"/>
  <c r="G240" i="5"/>
  <c r="AU239" i="5"/>
  <c r="BW237" i="5"/>
  <c r="BD237" i="5"/>
  <c r="AL237" i="5"/>
  <c r="AJ237" i="5"/>
  <c r="AH237" i="5"/>
  <c r="AG237" i="5"/>
  <c r="AF237" i="5"/>
  <c r="AC237" i="5"/>
  <c r="AB237" i="5"/>
  <c r="Z237" i="5"/>
  <c r="L237" i="5"/>
  <c r="AK237" i="5" s="1"/>
  <c r="AT235" i="5" s="1"/>
  <c r="H237" i="5"/>
  <c r="G237" i="5"/>
  <c r="BW236" i="5"/>
  <c r="M236" i="5" s="1"/>
  <c r="BJ236" i="5"/>
  <c r="AP236" i="5"/>
  <c r="AO236" i="5"/>
  <c r="AL236" i="5"/>
  <c r="AJ236" i="5"/>
  <c r="AS235" i="5" s="1"/>
  <c r="AH236" i="5"/>
  <c r="AG236" i="5"/>
  <c r="AF236" i="5"/>
  <c r="AC236" i="5"/>
  <c r="AB236" i="5"/>
  <c r="Z236" i="5"/>
  <c r="O236" i="5"/>
  <c r="BF236" i="5" s="1"/>
  <c r="L236" i="5"/>
  <c r="AK236" i="5" s="1"/>
  <c r="H236" i="5"/>
  <c r="BD236" i="5" s="1"/>
  <c r="G236" i="5"/>
  <c r="BW234" i="5"/>
  <c r="BJ234" i="5"/>
  <c r="Z234" i="5" s="1"/>
  <c r="AP234" i="5"/>
  <c r="AL234" i="5"/>
  <c r="AJ234" i="5"/>
  <c r="AH234" i="5"/>
  <c r="AG234" i="5"/>
  <c r="AF234" i="5"/>
  <c r="AE234" i="5"/>
  <c r="AD234" i="5"/>
  <c r="AC234" i="5"/>
  <c r="AB234" i="5"/>
  <c r="K234" i="5"/>
  <c r="H234" i="5"/>
  <c r="AO234" i="5" s="1"/>
  <c r="AW234" i="5" s="1"/>
  <c r="G234" i="5"/>
  <c r="BW233" i="5"/>
  <c r="BF233" i="5"/>
  <c r="AO233" i="5"/>
  <c r="BH233" i="5" s="1"/>
  <c r="AD233" i="5" s="1"/>
  <c r="AL233" i="5"/>
  <c r="AJ233" i="5"/>
  <c r="AH233" i="5"/>
  <c r="AG233" i="5"/>
  <c r="AF233" i="5"/>
  <c r="AC233" i="5"/>
  <c r="AB233" i="5"/>
  <c r="Z233" i="5"/>
  <c r="O233" i="5"/>
  <c r="H233" i="5"/>
  <c r="AP233" i="5" s="1"/>
  <c r="G233" i="5"/>
  <c r="BW232" i="5"/>
  <c r="AL232" i="5"/>
  <c r="AU230" i="5" s="1"/>
  <c r="AJ232" i="5"/>
  <c r="AS230" i="5" s="1"/>
  <c r="AH232" i="5"/>
  <c r="AG232" i="5"/>
  <c r="AF232" i="5"/>
  <c r="AC232" i="5"/>
  <c r="AB232" i="5"/>
  <c r="Z232" i="5"/>
  <c r="H232" i="5"/>
  <c r="BD232" i="5" s="1"/>
  <c r="G232" i="5"/>
  <c r="BW231" i="5"/>
  <c r="AL231" i="5"/>
  <c r="AJ231" i="5"/>
  <c r="AH231" i="5"/>
  <c r="AG231" i="5"/>
  <c r="AF231" i="5"/>
  <c r="AC231" i="5"/>
  <c r="AB231" i="5"/>
  <c r="Z231" i="5"/>
  <c r="O231" i="5"/>
  <c r="H231" i="5"/>
  <c r="AP231" i="5" s="1"/>
  <c r="AX231" i="5" s="1"/>
  <c r="G231" i="5"/>
  <c r="BW229" i="5"/>
  <c r="BD229" i="5"/>
  <c r="AP229" i="5"/>
  <c r="K229" i="5" s="1"/>
  <c r="K228" i="5" s="1"/>
  <c r="AL229" i="5"/>
  <c r="AJ229" i="5"/>
  <c r="AS228" i="5" s="1"/>
  <c r="AH229" i="5"/>
  <c r="AG229" i="5"/>
  <c r="AF229" i="5"/>
  <c r="AC229" i="5"/>
  <c r="AB229" i="5"/>
  <c r="Z229" i="5"/>
  <c r="H229" i="5"/>
  <c r="AO229" i="5" s="1"/>
  <c r="G229" i="5"/>
  <c r="AU228" i="5"/>
  <c r="BW227" i="5"/>
  <c r="BF227" i="5"/>
  <c r="AX227" i="5"/>
  <c r="AL227" i="5"/>
  <c r="AJ227" i="5"/>
  <c r="AH227" i="5"/>
  <c r="AG227" i="5"/>
  <c r="AF227" i="5"/>
  <c r="AE227" i="5"/>
  <c r="AD227" i="5"/>
  <c r="AC227" i="5"/>
  <c r="AB227" i="5"/>
  <c r="O227" i="5"/>
  <c r="H227" i="5"/>
  <c r="AP227" i="5" s="1"/>
  <c r="G227" i="5"/>
  <c r="BW225" i="5"/>
  <c r="AL225" i="5"/>
  <c r="AJ225" i="5"/>
  <c r="AH225" i="5"/>
  <c r="AG225" i="5"/>
  <c r="AF225" i="5"/>
  <c r="AE225" i="5"/>
  <c r="AD225" i="5"/>
  <c r="Z225" i="5"/>
  <c r="H225" i="5"/>
  <c r="BD225" i="5" s="1"/>
  <c r="G225" i="5"/>
  <c r="BW224" i="5"/>
  <c r="BH224" i="5"/>
  <c r="AB224" i="5" s="1"/>
  <c r="AX224" i="5"/>
  <c r="AW224" i="5"/>
  <c r="AO224" i="5"/>
  <c r="AL224" i="5"/>
  <c r="AJ224" i="5"/>
  <c r="AS223" i="5" s="1"/>
  <c r="AH224" i="5"/>
  <c r="AG224" i="5"/>
  <c r="AF224" i="5"/>
  <c r="AE224" i="5"/>
  <c r="AD224" i="5"/>
  <c r="Z224" i="5"/>
  <c r="O224" i="5"/>
  <c r="J224" i="5"/>
  <c r="H224" i="5"/>
  <c r="AP224" i="5" s="1"/>
  <c r="G224" i="5"/>
  <c r="AU223" i="5"/>
  <c r="BW222" i="5"/>
  <c r="AL222" i="5"/>
  <c r="AJ222" i="5"/>
  <c r="AH222" i="5"/>
  <c r="AG222" i="5"/>
  <c r="AF222" i="5"/>
  <c r="AE222" i="5"/>
  <c r="AD222" i="5"/>
  <c r="AC222" i="5"/>
  <c r="AB222" i="5"/>
  <c r="H222" i="5"/>
  <c r="G222" i="5"/>
  <c r="BW220" i="5"/>
  <c r="BF220" i="5"/>
  <c r="AP220" i="5"/>
  <c r="BI220" i="5" s="1"/>
  <c r="AC220" i="5" s="1"/>
  <c r="AL220" i="5"/>
  <c r="AJ220" i="5"/>
  <c r="AH220" i="5"/>
  <c r="AG220" i="5"/>
  <c r="AF220" i="5"/>
  <c r="AE220" i="5"/>
  <c r="AD220" i="5"/>
  <c r="Z220" i="5"/>
  <c r="O220" i="5"/>
  <c r="H220" i="5"/>
  <c r="AO220" i="5" s="1"/>
  <c r="G220" i="5"/>
  <c r="BW218" i="5"/>
  <c r="AL218" i="5"/>
  <c r="AJ218" i="5"/>
  <c r="AH218" i="5"/>
  <c r="AG218" i="5"/>
  <c r="AF218" i="5"/>
  <c r="AE218" i="5"/>
  <c r="AD218" i="5"/>
  <c r="Z218" i="5"/>
  <c r="H218" i="5"/>
  <c r="G218" i="5"/>
  <c r="BW216" i="5"/>
  <c r="AL216" i="5"/>
  <c r="AJ216" i="5"/>
  <c r="AH216" i="5"/>
  <c r="AG216" i="5"/>
  <c r="AF216" i="5"/>
  <c r="AE216" i="5"/>
  <c r="AD216" i="5"/>
  <c r="Z216" i="5"/>
  <c r="O216" i="5"/>
  <c r="BF216" i="5" s="1"/>
  <c r="H216" i="5"/>
  <c r="G216" i="5"/>
  <c r="BW214" i="5"/>
  <c r="AL214" i="5"/>
  <c r="AJ214" i="5"/>
  <c r="AH214" i="5"/>
  <c r="AG214" i="5"/>
  <c r="AF214" i="5"/>
  <c r="AE214" i="5"/>
  <c r="AD214" i="5"/>
  <c r="Z214" i="5"/>
  <c r="H214" i="5"/>
  <c r="G214" i="5"/>
  <c r="BW212" i="5"/>
  <c r="BD212" i="5"/>
  <c r="AP212" i="5"/>
  <c r="AX212" i="5" s="1"/>
  <c r="AL212" i="5"/>
  <c r="AJ212" i="5"/>
  <c r="AH212" i="5"/>
  <c r="AG212" i="5"/>
  <c r="AF212" i="5"/>
  <c r="AE212" i="5"/>
  <c r="AD212" i="5"/>
  <c r="Z212" i="5"/>
  <c r="O212" i="5"/>
  <c r="BF212" i="5" s="1"/>
  <c r="H212" i="5"/>
  <c r="AO212" i="5" s="1"/>
  <c r="G212" i="5"/>
  <c r="BW211" i="5"/>
  <c r="AL211" i="5"/>
  <c r="AJ211" i="5"/>
  <c r="AH211" i="5"/>
  <c r="AG211" i="5"/>
  <c r="AF211" i="5"/>
  <c r="AE211" i="5"/>
  <c r="AD211" i="5"/>
  <c r="Z211" i="5"/>
  <c r="O211" i="5"/>
  <c r="BF211" i="5" s="1"/>
  <c r="H211" i="5"/>
  <c r="G211" i="5"/>
  <c r="BW209" i="5"/>
  <c r="BJ209" i="5"/>
  <c r="AL209" i="5"/>
  <c r="AJ209" i="5"/>
  <c r="AH209" i="5"/>
  <c r="AG209" i="5"/>
  <c r="AF209" i="5"/>
  <c r="AE209" i="5"/>
  <c r="AD209" i="5"/>
  <c r="Z209" i="5"/>
  <c r="H209" i="5"/>
  <c r="G209" i="5"/>
  <c r="BW208" i="5"/>
  <c r="BD208" i="5"/>
  <c r="AL208" i="5"/>
  <c r="AJ208" i="5"/>
  <c r="AH208" i="5"/>
  <c r="AG208" i="5"/>
  <c r="AF208" i="5"/>
  <c r="AE208" i="5"/>
  <c r="AD208" i="5"/>
  <c r="Z208" i="5"/>
  <c r="H208" i="5"/>
  <c r="G208" i="5"/>
  <c r="BW207" i="5"/>
  <c r="AL207" i="5"/>
  <c r="AJ207" i="5"/>
  <c r="AH207" i="5"/>
  <c r="AG207" i="5"/>
  <c r="AF207" i="5"/>
  <c r="AE207" i="5"/>
  <c r="AD207" i="5"/>
  <c r="Z207" i="5"/>
  <c r="O207" i="5"/>
  <c r="H207" i="5"/>
  <c r="G207" i="5"/>
  <c r="BW204" i="5"/>
  <c r="BF204" i="5"/>
  <c r="AO204" i="5"/>
  <c r="BH204" i="5" s="1"/>
  <c r="AL204" i="5"/>
  <c r="AJ204" i="5"/>
  <c r="AH204" i="5"/>
  <c r="AG204" i="5"/>
  <c r="AF204" i="5"/>
  <c r="AE204" i="5"/>
  <c r="AD204" i="5"/>
  <c r="AC204" i="5"/>
  <c r="AB204" i="5"/>
  <c r="O204" i="5"/>
  <c r="H204" i="5"/>
  <c r="G204" i="5"/>
  <c r="BW202" i="5"/>
  <c r="BD202" i="5"/>
  <c r="AL202" i="5"/>
  <c r="AJ202" i="5"/>
  <c r="AH202" i="5"/>
  <c r="AG202" i="5"/>
  <c r="AF202" i="5"/>
  <c r="AC202" i="5"/>
  <c r="AB202" i="5"/>
  <c r="Z202" i="5"/>
  <c r="H202" i="5"/>
  <c r="AP202" i="5" s="1"/>
  <c r="G202" i="5"/>
  <c r="BW201" i="5"/>
  <c r="AX201" i="5"/>
  <c r="AW201" i="5"/>
  <c r="AP201" i="5"/>
  <c r="AO201" i="5"/>
  <c r="BH201" i="5" s="1"/>
  <c r="AD201" i="5" s="1"/>
  <c r="AL201" i="5"/>
  <c r="AJ201" i="5"/>
  <c r="AH201" i="5"/>
  <c r="AG201" i="5"/>
  <c r="AF201" i="5"/>
  <c r="AC201" i="5"/>
  <c r="AB201" i="5"/>
  <c r="Z201" i="5"/>
  <c r="O201" i="5"/>
  <c r="BF201" i="5" s="1"/>
  <c r="J201" i="5"/>
  <c r="H201" i="5"/>
  <c r="BD201" i="5" s="1"/>
  <c r="G201" i="5"/>
  <c r="BW200" i="5"/>
  <c r="BJ200" i="5"/>
  <c r="AL200" i="5"/>
  <c r="AJ200" i="5"/>
  <c r="AH200" i="5"/>
  <c r="AG200" i="5"/>
  <c r="AF200" i="5"/>
  <c r="AC200" i="5"/>
  <c r="AB200" i="5"/>
  <c r="Z200" i="5"/>
  <c r="H200" i="5"/>
  <c r="G200" i="5"/>
  <c r="BW199" i="5"/>
  <c r="BF199" i="5"/>
  <c r="AO199" i="5"/>
  <c r="AL199" i="5"/>
  <c r="AJ199" i="5"/>
  <c r="AH199" i="5"/>
  <c r="AG199" i="5"/>
  <c r="AF199" i="5"/>
  <c r="AC199" i="5"/>
  <c r="AB199" i="5"/>
  <c r="Z199" i="5"/>
  <c r="O199" i="5"/>
  <c r="H199" i="5"/>
  <c r="G199" i="5"/>
  <c r="BW198" i="5"/>
  <c r="BD198" i="5"/>
  <c r="AL198" i="5"/>
  <c r="AJ198" i="5"/>
  <c r="AH198" i="5"/>
  <c r="AG198" i="5"/>
  <c r="AF198" i="5"/>
  <c r="AC198" i="5"/>
  <c r="AB198" i="5"/>
  <c r="Z198" i="5"/>
  <c r="H198" i="5"/>
  <c r="AP198" i="5" s="1"/>
  <c r="G198" i="5"/>
  <c r="BW197" i="5"/>
  <c r="AP197" i="5"/>
  <c r="AX197" i="5" s="1"/>
  <c r="AL197" i="5"/>
  <c r="AJ197" i="5"/>
  <c r="AH197" i="5"/>
  <c r="AG197" i="5"/>
  <c r="AF197" i="5"/>
  <c r="AC197" i="5"/>
  <c r="AB197" i="5"/>
  <c r="Z197" i="5"/>
  <c r="O197" i="5"/>
  <c r="BF197" i="5" s="1"/>
  <c r="H197" i="5"/>
  <c r="G197" i="5"/>
  <c r="BW196" i="5"/>
  <c r="AL196" i="5"/>
  <c r="AJ196" i="5"/>
  <c r="AH196" i="5"/>
  <c r="AG196" i="5"/>
  <c r="AF196" i="5"/>
  <c r="AC196" i="5"/>
  <c r="AB196" i="5"/>
  <c r="Z196" i="5"/>
  <c r="H196" i="5"/>
  <c r="G196" i="5"/>
  <c r="BW195" i="5"/>
  <c r="BF195" i="5"/>
  <c r="AO195" i="5"/>
  <c r="J195" i="5" s="1"/>
  <c r="AL195" i="5"/>
  <c r="AJ195" i="5"/>
  <c r="AH195" i="5"/>
  <c r="AG195" i="5"/>
  <c r="AF195" i="5"/>
  <c r="AC195" i="5"/>
  <c r="AB195" i="5"/>
  <c r="Z195" i="5"/>
  <c r="O195" i="5"/>
  <c r="H195" i="5"/>
  <c r="G195" i="5"/>
  <c r="BW194" i="5"/>
  <c r="AL194" i="5"/>
  <c r="AJ194" i="5"/>
  <c r="AH194" i="5"/>
  <c r="AG194" i="5"/>
  <c r="AF194" i="5"/>
  <c r="AC194" i="5"/>
  <c r="AB194" i="5"/>
  <c r="Z194" i="5"/>
  <c r="H194" i="5"/>
  <c r="G194" i="5"/>
  <c r="BW192" i="5"/>
  <c r="BD192" i="5"/>
  <c r="AL192" i="5"/>
  <c r="AJ192" i="5"/>
  <c r="AH192" i="5"/>
  <c r="AG192" i="5"/>
  <c r="AF192" i="5"/>
  <c r="AC192" i="5"/>
  <c r="AB192" i="5"/>
  <c r="Z192" i="5"/>
  <c r="O192" i="5"/>
  <c r="BF192" i="5" s="1"/>
  <c r="H192" i="5"/>
  <c r="AP192" i="5" s="1"/>
  <c r="AX192" i="5" s="1"/>
  <c r="G192" i="5"/>
  <c r="BW190" i="5"/>
  <c r="BD190" i="5"/>
  <c r="AL190" i="5"/>
  <c r="AJ190" i="5"/>
  <c r="AH190" i="5"/>
  <c r="AG190" i="5"/>
  <c r="AF190" i="5"/>
  <c r="AC190" i="5"/>
  <c r="AB190" i="5"/>
  <c r="Z190" i="5"/>
  <c r="H190" i="5"/>
  <c r="G190" i="5"/>
  <c r="BW189" i="5"/>
  <c r="AL189" i="5"/>
  <c r="AJ189" i="5"/>
  <c r="AH189" i="5"/>
  <c r="AG189" i="5"/>
  <c r="AF189" i="5"/>
  <c r="AC189" i="5"/>
  <c r="AB189" i="5"/>
  <c r="Z189" i="5"/>
  <c r="O189" i="5"/>
  <c r="H189" i="5"/>
  <c r="G189" i="5"/>
  <c r="BW186" i="5"/>
  <c r="BF186" i="5"/>
  <c r="AL186" i="5"/>
  <c r="AJ186" i="5"/>
  <c r="AH186" i="5"/>
  <c r="AG186" i="5"/>
  <c r="AF186" i="5"/>
  <c r="AE186" i="5"/>
  <c r="AD186" i="5"/>
  <c r="AC186" i="5"/>
  <c r="AB186" i="5"/>
  <c r="O186" i="5"/>
  <c r="H186" i="5"/>
  <c r="G186" i="5"/>
  <c r="BW184" i="5"/>
  <c r="BJ184" i="5"/>
  <c r="AP184" i="5"/>
  <c r="AO184" i="5"/>
  <c r="BH184" i="5" s="1"/>
  <c r="AD184" i="5" s="1"/>
  <c r="AL184" i="5"/>
  <c r="AJ184" i="5"/>
  <c r="AH184" i="5"/>
  <c r="AG184" i="5"/>
  <c r="AF184" i="5"/>
  <c r="AC184" i="5"/>
  <c r="AB184" i="5"/>
  <c r="Z184" i="5"/>
  <c r="L184" i="5"/>
  <c r="H184" i="5"/>
  <c r="BD184" i="5" s="1"/>
  <c r="G184" i="5"/>
  <c r="AX184" i="5" s="1"/>
  <c r="BW183" i="5"/>
  <c r="AW183" i="5"/>
  <c r="AO183" i="5"/>
  <c r="AL183" i="5"/>
  <c r="AJ183" i="5"/>
  <c r="AH183" i="5"/>
  <c r="AG183" i="5"/>
  <c r="AF183" i="5"/>
  <c r="AC183" i="5"/>
  <c r="AB183" i="5"/>
  <c r="Z183" i="5"/>
  <c r="H183" i="5"/>
  <c r="AP183" i="5" s="1"/>
  <c r="G183" i="5"/>
  <c r="BW182" i="5"/>
  <c r="AL182" i="5"/>
  <c r="AJ182" i="5"/>
  <c r="AH182" i="5"/>
  <c r="AG182" i="5"/>
  <c r="AF182" i="5"/>
  <c r="AC182" i="5"/>
  <c r="AB182" i="5"/>
  <c r="Z182" i="5"/>
  <c r="O182" i="5"/>
  <c r="BF182" i="5" s="1"/>
  <c r="H182" i="5"/>
  <c r="G182" i="5"/>
  <c r="BW181" i="5"/>
  <c r="AL181" i="5"/>
  <c r="AJ181" i="5"/>
  <c r="AH181" i="5"/>
  <c r="AG181" i="5"/>
  <c r="AF181" i="5"/>
  <c r="AC181" i="5"/>
  <c r="AB181" i="5"/>
  <c r="Z181" i="5"/>
  <c r="O181" i="5"/>
  <c r="BF181" i="5" s="1"/>
  <c r="H181" i="5"/>
  <c r="G181" i="5"/>
  <c r="BW180" i="5"/>
  <c r="BJ180" i="5"/>
  <c r="AO180" i="5"/>
  <c r="AL180" i="5"/>
  <c r="AJ180" i="5"/>
  <c r="AH180" i="5"/>
  <c r="AG180" i="5"/>
  <c r="AF180" i="5"/>
  <c r="AC180" i="5"/>
  <c r="AB180" i="5"/>
  <c r="Z180" i="5"/>
  <c r="H180" i="5"/>
  <c r="BD180" i="5" s="1"/>
  <c r="G180" i="5"/>
  <c r="BW179" i="5"/>
  <c r="BD179" i="5"/>
  <c r="AO179" i="5"/>
  <c r="AL179" i="5"/>
  <c r="AJ179" i="5"/>
  <c r="AH179" i="5"/>
  <c r="AG179" i="5"/>
  <c r="AF179" i="5"/>
  <c r="AC179" i="5"/>
  <c r="AB179" i="5"/>
  <c r="Z179" i="5"/>
  <c r="H179" i="5"/>
  <c r="AP179" i="5" s="1"/>
  <c r="G179" i="5"/>
  <c r="BW178" i="5"/>
  <c r="AL178" i="5"/>
  <c r="AJ178" i="5"/>
  <c r="AH178" i="5"/>
  <c r="AG178" i="5"/>
  <c r="AF178" i="5"/>
  <c r="AC178" i="5"/>
  <c r="AB178" i="5"/>
  <c r="Z178" i="5"/>
  <c r="O178" i="5"/>
  <c r="BF178" i="5" s="1"/>
  <c r="H178" i="5"/>
  <c r="G178" i="5"/>
  <c r="BW177" i="5"/>
  <c r="AO177" i="5"/>
  <c r="AL177" i="5"/>
  <c r="AJ177" i="5"/>
  <c r="AH177" i="5"/>
  <c r="AG177" i="5"/>
  <c r="AF177" i="5"/>
  <c r="AC177" i="5"/>
  <c r="AB177" i="5"/>
  <c r="Z177" i="5"/>
  <c r="O177" i="5"/>
  <c r="BF177" i="5" s="1"/>
  <c r="H177" i="5"/>
  <c r="G177" i="5"/>
  <c r="BW176" i="5"/>
  <c r="BD176" i="5"/>
  <c r="AP176" i="5"/>
  <c r="BI176" i="5" s="1"/>
  <c r="AE176" i="5" s="1"/>
  <c r="AL176" i="5"/>
  <c r="AJ176" i="5"/>
  <c r="AH176" i="5"/>
  <c r="AG176" i="5"/>
  <c r="AF176" i="5"/>
  <c r="AC176" i="5"/>
  <c r="AB176" i="5"/>
  <c r="Z176" i="5"/>
  <c r="H176" i="5"/>
  <c r="AO176" i="5" s="1"/>
  <c r="G176" i="5"/>
  <c r="BW175" i="5"/>
  <c r="AL175" i="5"/>
  <c r="AJ175" i="5"/>
  <c r="AH175" i="5"/>
  <c r="AG175" i="5"/>
  <c r="AF175" i="5"/>
  <c r="AC175" i="5"/>
  <c r="AB175" i="5"/>
  <c r="Z175" i="5"/>
  <c r="O175" i="5"/>
  <c r="BF175" i="5" s="1"/>
  <c r="L175" i="5"/>
  <c r="H175" i="5"/>
  <c r="G175" i="5"/>
  <c r="BW174" i="5"/>
  <c r="AO174" i="5"/>
  <c r="AL174" i="5"/>
  <c r="AJ174" i="5"/>
  <c r="AH174" i="5"/>
  <c r="AG174" i="5"/>
  <c r="AF174" i="5"/>
  <c r="AC174" i="5"/>
  <c r="AB174" i="5"/>
  <c r="Z174" i="5"/>
  <c r="L174" i="5"/>
  <c r="M174" i="5" s="1"/>
  <c r="H174" i="5"/>
  <c r="AP174" i="5" s="1"/>
  <c r="G174" i="5"/>
  <c r="BW173" i="5"/>
  <c r="BD173" i="5"/>
  <c r="AL173" i="5"/>
  <c r="AJ173" i="5"/>
  <c r="AH173" i="5"/>
  <c r="AG173" i="5"/>
  <c r="AF173" i="5"/>
  <c r="AC173" i="5"/>
  <c r="AB173" i="5"/>
  <c r="Z173" i="5"/>
  <c r="H173" i="5"/>
  <c r="G173" i="5"/>
  <c r="BW172" i="5"/>
  <c r="AL172" i="5"/>
  <c r="AJ172" i="5"/>
  <c r="AH172" i="5"/>
  <c r="AG172" i="5"/>
  <c r="AF172" i="5"/>
  <c r="AC172" i="5"/>
  <c r="AB172" i="5"/>
  <c r="Z172" i="5"/>
  <c r="O172" i="5"/>
  <c r="BF172" i="5" s="1"/>
  <c r="H172" i="5"/>
  <c r="BD172" i="5" s="1"/>
  <c r="G172" i="5"/>
  <c r="BW171" i="5"/>
  <c r="BF171" i="5"/>
  <c r="AL171" i="5"/>
  <c r="AJ171" i="5"/>
  <c r="AH171" i="5"/>
  <c r="AG171" i="5"/>
  <c r="AF171" i="5"/>
  <c r="AC171" i="5"/>
  <c r="AB171" i="5"/>
  <c r="Z171" i="5"/>
  <c r="O171" i="5"/>
  <c r="H171" i="5"/>
  <c r="L171" i="5" s="1"/>
  <c r="G171" i="5"/>
  <c r="BW170" i="5"/>
  <c r="AO170" i="5"/>
  <c r="AL170" i="5"/>
  <c r="AJ170" i="5"/>
  <c r="AH170" i="5"/>
  <c r="AG170" i="5"/>
  <c r="AF170" i="5"/>
  <c r="AC170" i="5"/>
  <c r="AB170" i="5"/>
  <c r="Z170" i="5"/>
  <c r="H170" i="5"/>
  <c r="G170" i="5"/>
  <c r="BW169" i="5"/>
  <c r="BD169" i="5"/>
  <c r="AO169" i="5"/>
  <c r="AW169" i="5" s="1"/>
  <c r="AL169" i="5"/>
  <c r="AJ169" i="5"/>
  <c r="AH169" i="5"/>
  <c r="AG169" i="5"/>
  <c r="AF169" i="5"/>
  <c r="AC169" i="5"/>
  <c r="AB169" i="5"/>
  <c r="Z169" i="5"/>
  <c r="H169" i="5"/>
  <c r="AP169" i="5" s="1"/>
  <c r="G169" i="5"/>
  <c r="BW168" i="5"/>
  <c r="AP168" i="5"/>
  <c r="AL168" i="5"/>
  <c r="AJ168" i="5"/>
  <c r="AH168" i="5"/>
  <c r="AG168" i="5"/>
  <c r="AF168" i="5"/>
  <c r="AC168" i="5"/>
  <c r="AB168" i="5"/>
  <c r="Z168" i="5"/>
  <c r="H168" i="5"/>
  <c r="AO168" i="5" s="1"/>
  <c r="G168" i="5"/>
  <c r="BW167" i="5"/>
  <c r="BJ167" i="5"/>
  <c r="BF167" i="5"/>
  <c r="AL167" i="5"/>
  <c r="AJ167" i="5"/>
  <c r="AH167" i="5"/>
  <c r="AG167" i="5"/>
  <c r="AF167" i="5"/>
  <c r="AC167" i="5"/>
  <c r="AB167" i="5"/>
  <c r="Z167" i="5"/>
  <c r="O167" i="5"/>
  <c r="L167" i="5"/>
  <c r="H167" i="5"/>
  <c r="G167" i="5"/>
  <c r="BW165" i="5"/>
  <c r="AO165" i="5"/>
  <c r="J165" i="5" s="1"/>
  <c r="AL165" i="5"/>
  <c r="AJ165" i="5"/>
  <c r="AH165" i="5"/>
  <c r="AG165" i="5"/>
  <c r="AF165" i="5"/>
  <c r="AC165" i="5"/>
  <c r="AB165" i="5"/>
  <c r="Z165" i="5"/>
  <c r="L165" i="5"/>
  <c r="H165" i="5"/>
  <c r="G165" i="5"/>
  <c r="BW163" i="5"/>
  <c r="BD163" i="5"/>
  <c r="AL163" i="5"/>
  <c r="AJ163" i="5"/>
  <c r="AH163" i="5"/>
  <c r="AG163" i="5"/>
  <c r="AF163" i="5"/>
  <c r="AC163" i="5"/>
  <c r="AB163" i="5"/>
  <c r="Z163" i="5"/>
  <c r="H163" i="5"/>
  <c r="G163" i="5"/>
  <c r="BW161" i="5"/>
  <c r="BD161" i="5"/>
  <c r="AL161" i="5"/>
  <c r="AJ161" i="5"/>
  <c r="AH161" i="5"/>
  <c r="AG161" i="5"/>
  <c r="AF161" i="5"/>
  <c r="AC161" i="5"/>
  <c r="AB161" i="5"/>
  <c r="Z161" i="5"/>
  <c r="H161" i="5"/>
  <c r="G161" i="5"/>
  <c r="BW159" i="5"/>
  <c r="AL159" i="5"/>
  <c r="AJ159" i="5"/>
  <c r="AH159" i="5"/>
  <c r="AG159" i="5"/>
  <c r="AF159" i="5"/>
  <c r="AC159" i="5"/>
  <c r="AB159" i="5"/>
  <c r="Z159" i="5"/>
  <c r="O159" i="5"/>
  <c r="BF159" i="5" s="1"/>
  <c r="H159" i="5"/>
  <c r="G159" i="5"/>
  <c r="BW158" i="5"/>
  <c r="AL158" i="5"/>
  <c r="AJ158" i="5"/>
  <c r="AH158" i="5"/>
  <c r="AG158" i="5"/>
  <c r="AF158" i="5"/>
  <c r="AC158" i="5"/>
  <c r="AB158" i="5"/>
  <c r="Z158" i="5"/>
  <c r="H158" i="5"/>
  <c r="AO158" i="5" s="1"/>
  <c r="G158" i="5"/>
  <c r="BW155" i="5"/>
  <c r="BJ155" i="5"/>
  <c r="Z155" i="5" s="1"/>
  <c r="AL155" i="5"/>
  <c r="AJ155" i="5"/>
  <c r="AH155" i="5"/>
  <c r="AG155" i="5"/>
  <c r="AF155" i="5"/>
  <c r="AE155" i="5"/>
  <c r="AD155" i="5"/>
  <c r="AC155" i="5"/>
  <c r="AB155" i="5"/>
  <c r="H155" i="5"/>
  <c r="AP155" i="5" s="1"/>
  <c r="G155" i="5"/>
  <c r="BW154" i="5"/>
  <c r="AP154" i="5"/>
  <c r="AO154" i="5"/>
  <c r="BH154" i="5" s="1"/>
  <c r="AD154" i="5" s="1"/>
  <c r="AL154" i="5"/>
  <c r="AJ154" i="5"/>
  <c r="AH154" i="5"/>
  <c r="AG154" i="5"/>
  <c r="AF154" i="5"/>
  <c r="AC154" i="5"/>
  <c r="AB154" i="5"/>
  <c r="Z154" i="5"/>
  <c r="J154" i="5"/>
  <c r="H154" i="5"/>
  <c r="BD154" i="5" s="1"/>
  <c r="G154" i="5"/>
  <c r="BW153" i="5"/>
  <c r="AP153" i="5"/>
  <c r="AL153" i="5"/>
  <c r="AJ153" i="5"/>
  <c r="AH153" i="5"/>
  <c r="AG153" i="5"/>
  <c r="AF153" i="5"/>
  <c r="AC153" i="5"/>
  <c r="AB153" i="5"/>
  <c r="Z153" i="5"/>
  <c r="H153" i="5"/>
  <c r="G153" i="5"/>
  <c r="BW151" i="5"/>
  <c r="AL151" i="5"/>
  <c r="AJ151" i="5"/>
  <c r="AH151" i="5"/>
  <c r="AG151" i="5"/>
  <c r="AF151" i="5"/>
  <c r="AE151" i="5"/>
  <c r="AD151" i="5"/>
  <c r="AC151" i="5"/>
  <c r="AB151" i="5"/>
  <c r="O151" i="5"/>
  <c r="BF151" i="5" s="1"/>
  <c r="H151" i="5"/>
  <c r="G151" i="5"/>
  <c r="BW149" i="5"/>
  <c r="BJ149" i="5"/>
  <c r="AO149" i="5"/>
  <c r="AL149" i="5"/>
  <c r="AJ149" i="5"/>
  <c r="AH149" i="5"/>
  <c r="AG149" i="5"/>
  <c r="AF149" i="5"/>
  <c r="AC149" i="5"/>
  <c r="AB149" i="5"/>
  <c r="Z149" i="5"/>
  <c r="L149" i="5"/>
  <c r="H149" i="5"/>
  <c r="BD149" i="5" s="1"/>
  <c r="G149" i="5"/>
  <c r="BW148" i="5"/>
  <c r="AO148" i="5"/>
  <c r="BH148" i="5" s="1"/>
  <c r="AD148" i="5" s="1"/>
  <c r="AL148" i="5"/>
  <c r="AJ148" i="5"/>
  <c r="AH148" i="5"/>
  <c r="AG148" i="5"/>
  <c r="AF148" i="5"/>
  <c r="AC148" i="5"/>
  <c r="AB148" i="5"/>
  <c r="Z148" i="5"/>
  <c r="K148" i="5"/>
  <c r="H148" i="5"/>
  <c r="AP148" i="5" s="1"/>
  <c r="G148" i="5"/>
  <c r="BI148" i="5" s="1"/>
  <c r="AE148" i="5" s="1"/>
  <c r="BW147" i="5"/>
  <c r="BD147" i="5"/>
  <c r="AL147" i="5"/>
  <c r="AJ147" i="5"/>
  <c r="AH147" i="5"/>
  <c r="AG147" i="5"/>
  <c r="AF147" i="5"/>
  <c r="AC147" i="5"/>
  <c r="AB147" i="5"/>
  <c r="Z147" i="5"/>
  <c r="H147" i="5"/>
  <c r="AO147" i="5" s="1"/>
  <c r="G147" i="5"/>
  <c r="BW146" i="5"/>
  <c r="AL146" i="5"/>
  <c r="AJ146" i="5"/>
  <c r="AH146" i="5"/>
  <c r="AG146" i="5"/>
  <c r="AF146" i="5"/>
  <c r="AC146" i="5"/>
  <c r="AB146" i="5"/>
  <c r="Z146" i="5"/>
  <c r="O146" i="5"/>
  <c r="BF146" i="5" s="1"/>
  <c r="H146" i="5"/>
  <c r="G146" i="5"/>
  <c r="BW145" i="5"/>
  <c r="BJ145" i="5"/>
  <c r="BH145" i="5"/>
  <c r="AD145" i="5" s="1"/>
  <c r="AO145" i="5"/>
  <c r="AW145" i="5" s="1"/>
  <c r="AL145" i="5"/>
  <c r="AJ145" i="5"/>
  <c r="AH145" i="5"/>
  <c r="AG145" i="5"/>
  <c r="AF145" i="5"/>
  <c r="AC145" i="5"/>
  <c r="AB145" i="5"/>
  <c r="Z145" i="5"/>
  <c r="L145" i="5"/>
  <c r="J145" i="5"/>
  <c r="H145" i="5"/>
  <c r="BD145" i="5" s="1"/>
  <c r="G145" i="5"/>
  <c r="BW144" i="5"/>
  <c r="AL144" i="5"/>
  <c r="AJ144" i="5"/>
  <c r="AH144" i="5"/>
  <c r="AG144" i="5"/>
  <c r="AF144" i="5"/>
  <c r="AC144" i="5"/>
  <c r="AB144" i="5"/>
  <c r="Z144" i="5"/>
  <c r="H144" i="5"/>
  <c r="BD144" i="5" s="1"/>
  <c r="G144" i="5"/>
  <c r="BW143" i="5"/>
  <c r="BF143" i="5"/>
  <c r="AL143" i="5"/>
  <c r="AJ143" i="5"/>
  <c r="AH143" i="5"/>
  <c r="AG143" i="5"/>
  <c r="AF143" i="5"/>
  <c r="AC143" i="5"/>
  <c r="AB143" i="5"/>
  <c r="Z143" i="5"/>
  <c r="O143" i="5"/>
  <c r="H143" i="5"/>
  <c r="G143" i="5"/>
  <c r="BW142" i="5"/>
  <c r="AP142" i="5"/>
  <c r="AL142" i="5"/>
  <c r="AJ142" i="5"/>
  <c r="AH142" i="5"/>
  <c r="AG142" i="5"/>
  <c r="AF142" i="5"/>
  <c r="AC142" i="5"/>
  <c r="AB142" i="5"/>
  <c r="Z142" i="5"/>
  <c r="H142" i="5"/>
  <c r="BJ142" i="5" s="1"/>
  <c r="G142" i="5"/>
  <c r="BW141" i="5"/>
  <c r="AL141" i="5"/>
  <c r="AJ141" i="5"/>
  <c r="AH141" i="5"/>
  <c r="AG141" i="5"/>
  <c r="AF141" i="5"/>
  <c r="AC141" i="5"/>
  <c r="AB141" i="5"/>
  <c r="Z141" i="5"/>
  <c r="H141" i="5"/>
  <c r="G141" i="5"/>
  <c r="BW139" i="5"/>
  <c r="AL139" i="5"/>
  <c r="AJ139" i="5"/>
  <c r="AH139" i="5"/>
  <c r="AG139" i="5"/>
  <c r="AF139" i="5"/>
  <c r="AC139" i="5"/>
  <c r="AB139" i="5"/>
  <c r="Z139" i="5"/>
  <c r="O139" i="5"/>
  <c r="BF139" i="5" s="1"/>
  <c r="H139" i="5"/>
  <c r="AP139" i="5" s="1"/>
  <c r="AX139" i="5" s="1"/>
  <c r="G139" i="5"/>
  <c r="BW137" i="5"/>
  <c r="BJ137" i="5"/>
  <c r="BF137" i="5"/>
  <c r="AL137" i="5"/>
  <c r="AJ137" i="5"/>
  <c r="AH137" i="5"/>
  <c r="AG137" i="5"/>
  <c r="AF137" i="5"/>
  <c r="AC137" i="5"/>
  <c r="AB137" i="5"/>
  <c r="Z137" i="5"/>
  <c r="O137" i="5"/>
  <c r="H137" i="5"/>
  <c r="AP137" i="5" s="1"/>
  <c r="AX137" i="5" s="1"/>
  <c r="G137" i="5"/>
  <c r="BW135" i="5"/>
  <c r="BH135" i="5"/>
  <c r="AD135" i="5" s="1"/>
  <c r="AO135" i="5"/>
  <c r="AW135" i="5" s="1"/>
  <c r="AL135" i="5"/>
  <c r="AJ135" i="5"/>
  <c r="AH135" i="5"/>
  <c r="AG135" i="5"/>
  <c r="AF135" i="5"/>
  <c r="AC135" i="5"/>
  <c r="AB135" i="5"/>
  <c r="Z135" i="5"/>
  <c r="L135" i="5"/>
  <c r="AK135" i="5" s="1"/>
  <c r="J135" i="5"/>
  <c r="H135" i="5"/>
  <c r="G135" i="5"/>
  <c r="BW133" i="5"/>
  <c r="AL133" i="5"/>
  <c r="AJ133" i="5"/>
  <c r="AH133" i="5"/>
  <c r="AG133" i="5"/>
  <c r="AF133" i="5"/>
  <c r="AC133" i="5"/>
  <c r="AB133" i="5"/>
  <c r="Z133" i="5"/>
  <c r="H133" i="5"/>
  <c r="G133" i="5"/>
  <c r="BW131" i="5"/>
  <c r="AL131" i="5"/>
  <c r="AJ131" i="5"/>
  <c r="AH131" i="5"/>
  <c r="AG131" i="5"/>
  <c r="AF131" i="5"/>
  <c r="AC131" i="5"/>
  <c r="AB131" i="5"/>
  <c r="Z131" i="5"/>
  <c r="O131" i="5"/>
  <c r="BF131" i="5" s="1"/>
  <c r="H131" i="5"/>
  <c r="AP131" i="5" s="1"/>
  <c r="AX131" i="5" s="1"/>
  <c r="G131" i="5"/>
  <c r="BW129" i="5"/>
  <c r="BJ129" i="5"/>
  <c r="BF129" i="5"/>
  <c r="AL129" i="5"/>
  <c r="AJ129" i="5"/>
  <c r="AH129" i="5"/>
  <c r="AG129" i="5"/>
  <c r="AF129" i="5"/>
  <c r="AC129" i="5"/>
  <c r="AB129" i="5"/>
  <c r="Z129" i="5"/>
  <c r="O129" i="5"/>
  <c r="H129" i="5"/>
  <c r="G129" i="5"/>
  <c r="BW127" i="5"/>
  <c r="BJ127" i="5"/>
  <c r="AP127" i="5"/>
  <c r="AO127" i="5"/>
  <c r="AW127" i="5" s="1"/>
  <c r="AL127" i="5"/>
  <c r="AJ127" i="5"/>
  <c r="AH127" i="5"/>
  <c r="AG127" i="5"/>
  <c r="AF127" i="5"/>
  <c r="AC127" i="5"/>
  <c r="AB127" i="5"/>
  <c r="Z127" i="5"/>
  <c r="L127" i="5"/>
  <c r="H127" i="5"/>
  <c r="BD127" i="5" s="1"/>
  <c r="G127" i="5"/>
  <c r="BW126" i="5"/>
  <c r="AL126" i="5"/>
  <c r="AJ126" i="5"/>
  <c r="AH126" i="5"/>
  <c r="AG126" i="5"/>
  <c r="AF126" i="5"/>
  <c r="AC126" i="5"/>
  <c r="AB126" i="5"/>
  <c r="Z126" i="5"/>
  <c r="H126" i="5"/>
  <c r="G126" i="5"/>
  <c r="BW125" i="5"/>
  <c r="AX125" i="5"/>
  <c r="AL125" i="5"/>
  <c r="AJ125" i="5"/>
  <c r="AH125" i="5"/>
  <c r="AG125" i="5"/>
  <c r="AF125" i="5"/>
  <c r="AC125" i="5"/>
  <c r="AB125" i="5"/>
  <c r="Z125" i="5"/>
  <c r="O125" i="5"/>
  <c r="BF125" i="5" s="1"/>
  <c r="H125" i="5"/>
  <c r="AP125" i="5" s="1"/>
  <c r="G125" i="5"/>
  <c r="BW124" i="5"/>
  <c r="BJ124" i="5"/>
  <c r="BF124" i="5"/>
  <c r="AL124" i="5"/>
  <c r="AJ124" i="5"/>
  <c r="AH124" i="5"/>
  <c r="AG124" i="5"/>
  <c r="AF124" i="5"/>
  <c r="AC124" i="5"/>
  <c r="AB124" i="5"/>
  <c r="Z124" i="5"/>
  <c r="O124" i="5"/>
  <c r="L124" i="5"/>
  <c r="AK124" i="5" s="1"/>
  <c r="H124" i="5"/>
  <c r="AP124" i="5" s="1"/>
  <c r="G124" i="5"/>
  <c r="BW123" i="5"/>
  <c r="BH123" i="5"/>
  <c r="AD123" i="5" s="1"/>
  <c r="AO123" i="5"/>
  <c r="AW123" i="5" s="1"/>
  <c r="AL123" i="5"/>
  <c r="AJ123" i="5"/>
  <c r="AH123" i="5"/>
  <c r="AG123" i="5"/>
  <c r="AF123" i="5"/>
  <c r="AC123" i="5"/>
  <c r="AB123" i="5"/>
  <c r="Z123" i="5"/>
  <c r="J123" i="5"/>
  <c r="H123" i="5"/>
  <c r="G123" i="5"/>
  <c r="BW122" i="5"/>
  <c r="AL122" i="5"/>
  <c r="AJ122" i="5"/>
  <c r="AH122" i="5"/>
  <c r="AG122" i="5"/>
  <c r="AF122" i="5"/>
  <c r="AC122" i="5"/>
  <c r="AB122" i="5"/>
  <c r="Z122" i="5"/>
  <c r="H122" i="5"/>
  <c r="G122" i="5"/>
  <c r="BW121" i="5"/>
  <c r="BF121" i="5"/>
  <c r="AL121" i="5"/>
  <c r="AJ121" i="5"/>
  <c r="AH121" i="5"/>
  <c r="AG121" i="5"/>
  <c r="AF121" i="5"/>
  <c r="AC121" i="5"/>
  <c r="AB121" i="5"/>
  <c r="Z121" i="5"/>
  <c r="O121" i="5"/>
  <c r="H121" i="5"/>
  <c r="G121" i="5"/>
  <c r="BW119" i="5"/>
  <c r="BF119" i="5"/>
  <c r="AL119" i="5"/>
  <c r="AJ119" i="5"/>
  <c r="AH119" i="5"/>
  <c r="AG119" i="5"/>
  <c r="AF119" i="5"/>
  <c r="AC119" i="5"/>
  <c r="AB119" i="5"/>
  <c r="Z119" i="5"/>
  <c r="O119" i="5"/>
  <c r="H119" i="5"/>
  <c r="AP119" i="5" s="1"/>
  <c r="AX119" i="5" s="1"/>
  <c r="G119" i="5"/>
  <c r="BW118" i="5"/>
  <c r="BJ118" i="5"/>
  <c r="AL118" i="5"/>
  <c r="AJ118" i="5"/>
  <c r="AH118" i="5"/>
  <c r="AG118" i="5"/>
  <c r="AF118" i="5"/>
  <c r="AC118" i="5"/>
  <c r="AB118" i="5"/>
  <c r="Z118" i="5"/>
  <c r="H118" i="5"/>
  <c r="BD118" i="5" s="1"/>
  <c r="G118" i="5"/>
  <c r="BW117" i="5"/>
  <c r="AP117" i="5"/>
  <c r="AL117" i="5"/>
  <c r="AJ117" i="5"/>
  <c r="AH117" i="5"/>
  <c r="AG117" i="5"/>
  <c r="AF117" i="5"/>
  <c r="AC117" i="5"/>
  <c r="AB117" i="5"/>
  <c r="Z117" i="5"/>
  <c r="H117" i="5"/>
  <c r="AO117" i="5" s="1"/>
  <c r="G117" i="5"/>
  <c r="BW115" i="5"/>
  <c r="BF115" i="5"/>
  <c r="AL115" i="5"/>
  <c r="AJ115" i="5"/>
  <c r="AH115" i="5"/>
  <c r="AG115" i="5"/>
  <c r="AF115" i="5"/>
  <c r="AE115" i="5"/>
  <c r="AD115" i="5"/>
  <c r="AC115" i="5"/>
  <c r="AB115" i="5"/>
  <c r="O115" i="5"/>
  <c r="H115" i="5"/>
  <c r="G115" i="5"/>
  <c r="BW114" i="5"/>
  <c r="BF114" i="5"/>
  <c r="AL114" i="5"/>
  <c r="AJ114" i="5"/>
  <c r="AH114" i="5"/>
  <c r="AG114" i="5"/>
  <c r="AF114" i="5"/>
  <c r="AC114" i="5"/>
  <c r="AB114" i="5"/>
  <c r="Z114" i="5"/>
  <c r="O114" i="5"/>
  <c r="H114" i="5"/>
  <c r="L114" i="5" s="1"/>
  <c r="G114" i="5"/>
  <c r="BW113" i="5"/>
  <c r="BJ113" i="5"/>
  <c r="AL113" i="5"/>
  <c r="AJ113" i="5"/>
  <c r="AS111" i="5" s="1"/>
  <c r="AH113" i="5"/>
  <c r="AG113" i="5"/>
  <c r="AF113" i="5"/>
  <c r="AC113" i="5"/>
  <c r="AB113" i="5"/>
  <c r="Z113" i="5"/>
  <c r="H113" i="5"/>
  <c r="G113" i="5"/>
  <c r="BW112" i="5"/>
  <c r="BD112" i="5"/>
  <c r="AL112" i="5"/>
  <c r="AJ112" i="5"/>
  <c r="AH112" i="5"/>
  <c r="AG112" i="5"/>
  <c r="AF112" i="5"/>
  <c r="AC112" i="5"/>
  <c r="AB112" i="5"/>
  <c r="Z112" i="5"/>
  <c r="H112" i="5"/>
  <c r="G112" i="5"/>
  <c r="BW109" i="5"/>
  <c r="BJ109" i="5"/>
  <c r="Z109" i="5" s="1"/>
  <c r="BD109" i="5"/>
  <c r="AP109" i="5"/>
  <c r="BI109" i="5" s="1"/>
  <c r="AL109" i="5"/>
  <c r="AJ109" i="5"/>
  <c r="AH109" i="5"/>
  <c r="AG109" i="5"/>
  <c r="AF109" i="5"/>
  <c r="AE109" i="5"/>
  <c r="AD109" i="5"/>
  <c r="AC109" i="5"/>
  <c r="AB109" i="5"/>
  <c r="O109" i="5"/>
  <c r="BF109" i="5" s="1"/>
  <c r="L109" i="5"/>
  <c r="M109" i="5" s="1"/>
  <c r="K109" i="5"/>
  <c r="H109" i="5"/>
  <c r="AO109" i="5" s="1"/>
  <c r="G109" i="5"/>
  <c r="BW107" i="5"/>
  <c r="BF107" i="5"/>
  <c r="AL107" i="5"/>
  <c r="AJ107" i="5"/>
  <c r="AH107" i="5"/>
  <c r="AG107" i="5"/>
  <c r="AF107" i="5"/>
  <c r="AC107" i="5"/>
  <c r="AB107" i="5"/>
  <c r="Z107" i="5"/>
  <c r="O107" i="5"/>
  <c r="H107" i="5"/>
  <c r="L107" i="5" s="1"/>
  <c r="G107" i="5"/>
  <c r="BW106" i="5"/>
  <c r="AL106" i="5"/>
  <c r="AJ106" i="5"/>
  <c r="AH106" i="5"/>
  <c r="AG106" i="5"/>
  <c r="AF106" i="5"/>
  <c r="AC106" i="5"/>
  <c r="AB106" i="5"/>
  <c r="Z106" i="5"/>
  <c r="H106" i="5"/>
  <c r="AP106" i="5" s="1"/>
  <c r="G106" i="5"/>
  <c r="BW105" i="5"/>
  <c r="BD105" i="5"/>
  <c r="AL105" i="5"/>
  <c r="AJ105" i="5"/>
  <c r="AH105" i="5"/>
  <c r="AG105" i="5"/>
  <c r="AF105" i="5"/>
  <c r="AC105" i="5"/>
  <c r="AB105" i="5"/>
  <c r="Z105" i="5"/>
  <c r="H105" i="5"/>
  <c r="G105" i="5"/>
  <c r="BW104" i="5"/>
  <c r="AL104" i="5"/>
  <c r="AJ104" i="5"/>
  <c r="AH104" i="5"/>
  <c r="AG104" i="5"/>
  <c r="AF104" i="5"/>
  <c r="AC104" i="5"/>
  <c r="AB104" i="5"/>
  <c r="Z104" i="5"/>
  <c r="O104" i="5"/>
  <c r="BF104" i="5" s="1"/>
  <c r="L104" i="5"/>
  <c r="H104" i="5"/>
  <c r="BD104" i="5" s="1"/>
  <c r="G104" i="5"/>
  <c r="BW102" i="5"/>
  <c r="BF102" i="5"/>
  <c r="AL102" i="5"/>
  <c r="AJ102" i="5"/>
  <c r="AH102" i="5"/>
  <c r="AG102" i="5"/>
  <c r="AF102" i="5"/>
  <c r="AC102" i="5"/>
  <c r="AB102" i="5"/>
  <c r="Z102" i="5"/>
  <c r="O102" i="5"/>
  <c r="H102" i="5"/>
  <c r="AO102" i="5" s="1"/>
  <c r="G102" i="5"/>
  <c r="BW101" i="5"/>
  <c r="BJ101" i="5"/>
  <c r="AO101" i="5"/>
  <c r="AL101" i="5"/>
  <c r="AJ101" i="5"/>
  <c r="AH101" i="5"/>
  <c r="AG101" i="5"/>
  <c r="AF101" i="5"/>
  <c r="AC101" i="5"/>
  <c r="AB101" i="5"/>
  <c r="Z101" i="5"/>
  <c r="L101" i="5"/>
  <c r="H101" i="5"/>
  <c r="AP101" i="5" s="1"/>
  <c r="G101" i="5"/>
  <c r="BW99" i="5"/>
  <c r="BD99" i="5"/>
  <c r="AL99" i="5"/>
  <c r="AJ99" i="5"/>
  <c r="AH99" i="5"/>
  <c r="AG99" i="5"/>
  <c r="AF99" i="5"/>
  <c r="AC99" i="5"/>
  <c r="AB99" i="5"/>
  <c r="Z99" i="5"/>
  <c r="H99" i="5"/>
  <c r="G99" i="5"/>
  <c r="BW97" i="5"/>
  <c r="BF97" i="5"/>
  <c r="AL97" i="5"/>
  <c r="AJ97" i="5"/>
  <c r="AH97" i="5"/>
  <c r="AG97" i="5"/>
  <c r="AF97" i="5"/>
  <c r="AC97" i="5"/>
  <c r="AB97" i="5"/>
  <c r="Z97" i="5"/>
  <c r="O97" i="5"/>
  <c r="H97" i="5"/>
  <c r="G97" i="5"/>
  <c r="BW95" i="5"/>
  <c r="AL95" i="5"/>
  <c r="AJ95" i="5"/>
  <c r="AH95" i="5"/>
  <c r="AG95" i="5"/>
  <c r="AF95" i="5"/>
  <c r="AC95" i="5"/>
  <c r="AB95" i="5"/>
  <c r="Z95" i="5"/>
  <c r="H95" i="5"/>
  <c r="AP95" i="5" s="1"/>
  <c r="G95" i="5"/>
  <c r="BW94" i="5"/>
  <c r="BF94" i="5"/>
  <c r="AL94" i="5"/>
  <c r="AJ94" i="5"/>
  <c r="AH94" i="5"/>
  <c r="AG94" i="5"/>
  <c r="AF94" i="5"/>
  <c r="AC94" i="5"/>
  <c r="AB94" i="5"/>
  <c r="Z94" i="5"/>
  <c r="O94" i="5"/>
  <c r="H94" i="5"/>
  <c r="G94" i="5"/>
  <c r="BW93" i="5"/>
  <c r="BD93" i="5"/>
  <c r="AP93" i="5"/>
  <c r="AL93" i="5"/>
  <c r="AJ93" i="5"/>
  <c r="AH93" i="5"/>
  <c r="AG93" i="5"/>
  <c r="AF93" i="5"/>
  <c r="AC93" i="5"/>
  <c r="AB93" i="5"/>
  <c r="Z93" i="5"/>
  <c r="H93" i="5"/>
  <c r="AO93" i="5" s="1"/>
  <c r="AW93" i="5" s="1"/>
  <c r="G93" i="5"/>
  <c r="BW92" i="5"/>
  <c r="BF92" i="5"/>
  <c r="AL92" i="5"/>
  <c r="AJ92" i="5"/>
  <c r="AH92" i="5"/>
  <c r="AG92" i="5"/>
  <c r="AF92" i="5"/>
  <c r="AC92" i="5"/>
  <c r="AB92" i="5"/>
  <c r="Z92" i="5"/>
  <c r="O92" i="5"/>
  <c r="H92" i="5"/>
  <c r="G92" i="5"/>
  <c r="BW91" i="5"/>
  <c r="AL91" i="5"/>
  <c r="AJ91" i="5"/>
  <c r="AH91" i="5"/>
  <c r="AG91" i="5"/>
  <c r="AF91" i="5"/>
  <c r="AC91" i="5"/>
  <c r="AB91" i="5"/>
  <c r="Z91" i="5"/>
  <c r="H91" i="5"/>
  <c r="AP91" i="5" s="1"/>
  <c r="G91" i="5"/>
  <c r="BW90" i="5"/>
  <c r="BF90" i="5"/>
  <c r="AL90" i="5"/>
  <c r="AJ90" i="5"/>
  <c r="AH90" i="5"/>
  <c r="AG90" i="5"/>
  <c r="AF90" i="5"/>
  <c r="AC90" i="5"/>
  <c r="AB90" i="5"/>
  <c r="Z90" i="5"/>
  <c r="O90" i="5"/>
  <c r="H90" i="5"/>
  <c r="G90" i="5"/>
  <c r="BW89" i="5"/>
  <c r="BD89" i="5"/>
  <c r="AL89" i="5"/>
  <c r="AJ89" i="5"/>
  <c r="AH89" i="5"/>
  <c r="AG89" i="5"/>
  <c r="AF89" i="5"/>
  <c r="AC89" i="5"/>
  <c r="AB89" i="5"/>
  <c r="Z89" i="5"/>
  <c r="H89" i="5"/>
  <c r="G89" i="5"/>
  <c r="BW88" i="5"/>
  <c r="BF88" i="5"/>
  <c r="AL88" i="5"/>
  <c r="AJ88" i="5"/>
  <c r="AH88" i="5"/>
  <c r="AG88" i="5"/>
  <c r="AF88" i="5"/>
  <c r="AC88" i="5"/>
  <c r="AB88" i="5"/>
  <c r="Z88" i="5"/>
  <c r="O88" i="5"/>
  <c r="H88" i="5"/>
  <c r="G88" i="5"/>
  <c r="BW87" i="5"/>
  <c r="AP87" i="5"/>
  <c r="AL87" i="5"/>
  <c r="AJ87" i="5"/>
  <c r="AH87" i="5"/>
  <c r="AG87" i="5"/>
  <c r="AF87" i="5"/>
  <c r="AC87" i="5"/>
  <c r="AB87" i="5"/>
  <c r="Z87" i="5"/>
  <c r="H87" i="5"/>
  <c r="G87" i="5"/>
  <c r="BW86" i="5"/>
  <c r="BF86" i="5"/>
  <c r="AL86" i="5"/>
  <c r="AJ86" i="5"/>
  <c r="AH86" i="5"/>
  <c r="AG86" i="5"/>
  <c r="AF86" i="5"/>
  <c r="AC86" i="5"/>
  <c r="AB86" i="5"/>
  <c r="Z86" i="5"/>
  <c r="O86" i="5"/>
  <c r="H86" i="5"/>
  <c r="G86" i="5"/>
  <c r="BW85" i="5"/>
  <c r="BD85" i="5"/>
  <c r="AL85" i="5"/>
  <c r="AJ85" i="5"/>
  <c r="AH85" i="5"/>
  <c r="AG85" i="5"/>
  <c r="AF85" i="5"/>
  <c r="AC85" i="5"/>
  <c r="AB85" i="5"/>
  <c r="Z85" i="5"/>
  <c r="H85" i="5"/>
  <c r="AO85" i="5" s="1"/>
  <c r="AW85" i="5" s="1"/>
  <c r="G85" i="5"/>
  <c r="BW84" i="5"/>
  <c r="BF84" i="5"/>
  <c r="AL84" i="5"/>
  <c r="AJ84" i="5"/>
  <c r="AH84" i="5"/>
  <c r="AG84" i="5"/>
  <c r="AF84" i="5"/>
  <c r="AC84" i="5"/>
  <c r="AB84" i="5"/>
  <c r="Z84" i="5"/>
  <c r="O84" i="5"/>
  <c r="H84" i="5"/>
  <c r="G84" i="5"/>
  <c r="BW83" i="5"/>
  <c r="AL83" i="5"/>
  <c r="AJ83" i="5"/>
  <c r="AH83" i="5"/>
  <c r="AG83" i="5"/>
  <c r="AF83" i="5"/>
  <c r="AC83" i="5"/>
  <c r="AB83" i="5"/>
  <c r="Z83" i="5"/>
  <c r="H83" i="5"/>
  <c r="AP83" i="5" s="1"/>
  <c r="G83" i="5"/>
  <c r="BW82" i="5"/>
  <c r="BF82" i="5"/>
  <c r="AL82" i="5"/>
  <c r="AJ82" i="5"/>
  <c r="AH82" i="5"/>
  <c r="AG82" i="5"/>
  <c r="AF82" i="5"/>
  <c r="AC82" i="5"/>
  <c r="AB82" i="5"/>
  <c r="Z82" i="5"/>
  <c r="O82" i="5"/>
  <c r="H82" i="5"/>
  <c r="G82" i="5"/>
  <c r="BW81" i="5"/>
  <c r="AL81" i="5"/>
  <c r="AJ81" i="5"/>
  <c r="AH81" i="5"/>
  <c r="AG81" i="5"/>
  <c r="AF81" i="5"/>
  <c r="AC81" i="5"/>
  <c r="AB81" i="5"/>
  <c r="Z81" i="5"/>
  <c r="H81" i="5"/>
  <c r="G81" i="5"/>
  <c r="BW80" i="5"/>
  <c r="BF80" i="5"/>
  <c r="AL80" i="5"/>
  <c r="AJ80" i="5"/>
  <c r="AH80" i="5"/>
  <c r="AG80" i="5"/>
  <c r="AF80" i="5"/>
  <c r="AC80" i="5"/>
  <c r="AB80" i="5"/>
  <c r="Z80" i="5"/>
  <c r="O80" i="5"/>
  <c r="H80" i="5"/>
  <c r="G80" i="5"/>
  <c r="BW79" i="5"/>
  <c r="AL79" i="5"/>
  <c r="AJ79" i="5"/>
  <c r="AH79" i="5"/>
  <c r="AG79" i="5"/>
  <c r="AF79" i="5"/>
  <c r="AC79" i="5"/>
  <c r="AB79" i="5"/>
  <c r="Z79" i="5"/>
  <c r="H79" i="5"/>
  <c r="AP79" i="5" s="1"/>
  <c r="G79" i="5"/>
  <c r="BW78" i="5"/>
  <c r="BF78" i="5"/>
  <c r="AL78" i="5"/>
  <c r="AJ78" i="5"/>
  <c r="AH78" i="5"/>
  <c r="AG78" i="5"/>
  <c r="AF78" i="5"/>
  <c r="AC78" i="5"/>
  <c r="AB78" i="5"/>
  <c r="Z78" i="5"/>
  <c r="O78" i="5"/>
  <c r="H78" i="5"/>
  <c r="G78" i="5"/>
  <c r="BW77" i="5"/>
  <c r="BD77" i="5"/>
  <c r="AL77" i="5"/>
  <c r="AJ77" i="5"/>
  <c r="AH77" i="5"/>
  <c r="AG77" i="5"/>
  <c r="AF77" i="5"/>
  <c r="AC77" i="5"/>
  <c r="AB77" i="5"/>
  <c r="Z77" i="5"/>
  <c r="H77" i="5"/>
  <c r="AO77" i="5" s="1"/>
  <c r="AW77" i="5" s="1"/>
  <c r="G77" i="5"/>
  <c r="BW76" i="5"/>
  <c r="BF76" i="5"/>
  <c r="AL76" i="5"/>
  <c r="AJ76" i="5"/>
  <c r="AH76" i="5"/>
  <c r="AG76" i="5"/>
  <c r="AF76" i="5"/>
  <c r="AC76" i="5"/>
  <c r="AB76" i="5"/>
  <c r="Z76" i="5"/>
  <c r="O76" i="5"/>
  <c r="H76" i="5"/>
  <c r="BD76" i="5" s="1"/>
  <c r="G76" i="5"/>
  <c r="BW74" i="5"/>
  <c r="BJ74" i="5"/>
  <c r="AL74" i="5"/>
  <c r="AJ74" i="5"/>
  <c r="AH74" i="5"/>
  <c r="AG74" i="5"/>
  <c r="AF74" i="5"/>
  <c r="AC74" i="5"/>
  <c r="AB74" i="5"/>
  <c r="Z74" i="5"/>
  <c r="H74" i="5"/>
  <c r="AO74" i="5" s="1"/>
  <c r="AW74" i="5" s="1"/>
  <c r="G74" i="5"/>
  <c r="BW72" i="5"/>
  <c r="AO72" i="5"/>
  <c r="AL72" i="5"/>
  <c r="AJ72" i="5"/>
  <c r="AH72" i="5"/>
  <c r="AG72" i="5"/>
  <c r="AF72" i="5"/>
  <c r="AC72" i="5"/>
  <c r="AB72" i="5"/>
  <c r="Z72" i="5"/>
  <c r="O72" i="5"/>
  <c r="BF72" i="5" s="1"/>
  <c r="H72" i="5"/>
  <c r="BD72" i="5" s="1"/>
  <c r="G72" i="5"/>
  <c r="BJ72" i="5" s="1"/>
  <c r="BW70" i="5"/>
  <c r="AP70" i="5"/>
  <c r="AL70" i="5"/>
  <c r="AJ70" i="5"/>
  <c r="AH70" i="5"/>
  <c r="AG70" i="5"/>
  <c r="AF70" i="5"/>
  <c r="AC70" i="5"/>
  <c r="AB70" i="5"/>
  <c r="Z70" i="5"/>
  <c r="H70" i="5"/>
  <c r="AO70" i="5" s="1"/>
  <c r="G70" i="5"/>
  <c r="BW68" i="5"/>
  <c r="AL68" i="5"/>
  <c r="AJ68" i="5"/>
  <c r="AH68" i="5"/>
  <c r="AG68" i="5"/>
  <c r="AF68" i="5"/>
  <c r="AC68" i="5"/>
  <c r="AB68" i="5"/>
  <c r="Z68" i="5"/>
  <c r="O68" i="5"/>
  <c r="BF68" i="5" s="1"/>
  <c r="H68" i="5"/>
  <c r="G68" i="5"/>
  <c r="BW66" i="5"/>
  <c r="AL66" i="5"/>
  <c r="AJ66" i="5"/>
  <c r="AH66" i="5"/>
  <c r="AG66" i="5"/>
  <c r="AF66" i="5"/>
  <c r="AC66" i="5"/>
  <c r="AB66" i="5"/>
  <c r="Z66" i="5"/>
  <c r="H66" i="5"/>
  <c r="G66" i="5"/>
  <c r="BW64" i="5"/>
  <c r="AO64" i="5"/>
  <c r="BH64" i="5" s="1"/>
  <c r="AD64" i="5" s="1"/>
  <c r="AL64" i="5"/>
  <c r="AJ64" i="5"/>
  <c r="AH64" i="5"/>
  <c r="AG64" i="5"/>
  <c r="AF64" i="5"/>
  <c r="AC64" i="5"/>
  <c r="AB64" i="5"/>
  <c r="Z64" i="5"/>
  <c r="O64" i="5"/>
  <c r="BF64" i="5" s="1"/>
  <c r="H64" i="5"/>
  <c r="G64" i="5"/>
  <c r="BJ64" i="5" s="1"/>
  <c r="BW62" i="5"/>
  <c r="BD62" i="5"/>
  <c r="AL62" i="5"/>
  <c r="AJ62" i="5"/>
  <c r="AH62" i="5"/>
  <c r="AG62" i="5"/>
  <c r="AF62" i="5"/>
  <c r="AC62" i="5"/>
  <c r="AB62" i="5"/>
  <c r="Z62" i="5"/>
  <c r="H62" i="5"/>
  <c r="AO62" i="5" s="1"/>
  <c r="G62" i="5"/>
  <c r="BW61" i="5"/>
  <c r="AL61" i="5"/>
  <c r="AJ61" i="5"/>
  <c r="AH61" i="5"/>
  <c r="AG61" i="5"/>
  <c r="AF61" i="5"/>
  <c r="AC61" i="5"/>
  <c r="AB61" i="5"/>
  <c r="Z61" i="5"/>
  <c r="O61" i="5"/>
  <c r="BF61" i="5" s="1"/>
  <c r="H61" i="5"/>
  <c r="AP61" i="5" s="1"/>
  <c r="BI61" i="5" s="1"/>
  <c r="AE61" i="5" s="1"/>
  <c r="G61" i="5"/>
  <c r="BW60" i="5"/>
  <c r="AL60" i="5"/>
  <c r="AJ60" i="5"/>
  <c r="AH60" i="5"/>
  <c r="AG60" i="5"/>
  <c r="AF60" i="5"/>
  <c r="AC60" i="5"/>
  <c r="AB60" i="5"/>
  <c r="Z60" i="5"/>
  <c r="H60" i="5"/>
  <c r="G60" i="5"/>
  <c r="BW59" i="5"/>
  <c r="BF59" i="5"/>
  <c r="AL59" i="5"/>
  <c r="AJ59" i="5"/>
  <c r="AH59" i="5"/>
  <c r="AG59" i="5"/>
  <c r="AF59" i="5"/>
  <c r="AC59" i="5"/>
  <c r="AB59" i="5"/>
  <c r="Z59" i="5"/>
  <c r="O59" i="5"/>
  <c r="H59" i="5"/>
  <c r="AO59" i="5" s="1"/>
  <c r="BH59" i="5" s="1"/>
  <c r="AD59" i="5" s="1"/>
  <c r="G59" i="5"/>
  <c r="BW58" i="5"/>
  <c r="BD58" i="5"/>
  <c r="AL58" i="5"/>
  <c r="AJ58" i="5"/>
  <c r="AH58" i="5"/>
  <c r="AG58" i="5"/>
  <c r="AF58" i="5"/>
  <c r="AC58" i="5"/>
  <c r="AB58" i="5"/>
  <c r="Z58" i="5"/>
  <c r="L58" i="5"/>
  <c r="H58" i="5"/>
  <c r="AO58" i="5" s="1"/>
  <c r="AW58" i="5" s="1"/>
  <c r="G58" i="5"/>
  <c r="BW56" i="5"/>
  <c r="BF56" i="5"/>
  <c r="AL56" i="5"/>
  <c r="AJ56" i="5"/>
  <c r="AH56" i="5"/>
  <c r="AG56" i="5"/>
  <c r="AF56" i="5"/>
  <c r="AC56" i="5"/>
  <c r="AB56" i="5"/>
  <c r="Z56" i="5"/>
  <c r="O56" i="5"/>
  <c r="H56" i="5"/>
  <c r="G56" i="5"/>
  <c r="BW55" i="5"/>
  <c r="AL55" i="5"/>
  <c r="AJ55" i="5"/>
  <c r="AH55" i="5"/>
  <c r="AG55" i="5"/>
  <c r="AF55" i="5"/>
  <c r="AC55" i="5"/>
  <c r="AB55" i="5"/>
  <c r="Z55" i="5"/>
  <c r="H55" i="5"/>
  <c r="AO55" i="5" s="1"/>
  <c r="G55" i="5"/>
  <c r="BW54" i="5"/>
  <c r="AL54" i="5"/>
  <c r="AJ54" i="5"/>
  <c r="AH54" i="5"/>
  <c r="AG54" i="5"/>
  <c r="AF54" i="5"/>
  <c r="AC54" i="5"/>
  <c r="AB54" i="5"/>
  <c r="Z54" i="5"/>
  <c r="O54" i="5"/>
  <c r="BF54" i="5" s="1"/>
  <c r="H54" i="5"/>
  <c r="G54" i="5"/>
  <c r="BW53" i="5"/>
  <c r="BD53" i="5"/>
  <c r="AP53" i="5"/>
  <c r="K53" i="5" s="1"/>
  <c r="AO53" i="5"/>
  <c r="AW53" i="5" s="1"/>
  <c r="AL53" i="5"/>
  <c r="AJ53" i="5"/>
  <c r="AH53" i="5"/>
  <c r="AG53" i="5"/>
  <c r="AF53" i="5"/>
  <c r="AC53" i="5"/>
  <c r="AB53" i="5"/>
  <c r="Z53" i="5"/>
  <c r="O53" i="5"/>
  <c r="BF53" i="5" s="1"/>
  <c r="L53" i="5"/>
  <c r="AK53" i="5" s="1"/>
  <c r="H53" i="5"/>
  <c r="BJ53" i="5" s="1"/>
  <c r="G53" i="5"/>
  <c r="BW52" i="5"/>
  <c r="BF52" i="5"/>
  <c r="AL52" i="5"/>
  <c r="AJ52" i="5"/>
  <c r="AH52" i="5"/>
  <c r="AG52" i="5"/>
  <c r="AF52" i="5"/>
  <c r="AC52" i="5"/>
  <c r="AB52" i="5"/>
  <c r="Z52" i="5"/>
  <c r="O52" i="5"/>
  <c r="H52" i="5"/>
  <c r="AP52" i="5" s="1"/>
  <c r="G52" i="5"/>
  <c r="BW49" i="5"/>
  <c r="AL49" i="5"/>
  <c r="AJ49" i="5"/>
  <c r="AH49" i="5"/>
  <c r="AG49" i="5"/>
  <c r="AF49" i="5"/>
  <c r="AE49" i="5"/>
  <c r="AD49" i="5"/>
  <c r="AC49" i="5"/>
  <c r="AB49" i="5"/>
  <c r="O49" i="5"/>
  <c r="BF49" i="5" s="1"/>
  <c r="L49" i="5"/>
  <c r="H49" i="5"/>
  <c r="BJ49" i="5" s="1"/>
  <c r="Z49" i="5" s="1"/>
  <c r="G49" i="5"/>
  <c r="BW47" i="5"/>
  <c r="AO47" i="5"/>
  <c r="AL47" i="5"/>
  <c r="AJ47" i="5"/>
  <c r="AH47" i="5"/>
  <c r="AG47" i="5"/>
  <c r="AF47" i="5"/>
  <c r="AC47" i="5"/>
  <c r="AB47" i="5"/>
  <c r="Z47" i="5"/>
  <c r="O47" i="5"/>
  <c r="BF47" i="5" s="1"/>
  <c r="H47" i="5"/>
  <c r="G47" i="5"/>
  <c r="BW46" i="5"/>
  <c r="BI46" i="5"/>
  <c r="AE46" i="5" s="1"/>
  <c r="BD46" i="5"/>
  <c r="AP46" i="5"/>
  <c r="K46" i="5" s="1"/>
  <c r="AL46" i="5"/>
  <c r="AJ46" i="5"/>
  <c r="AH46" i="5"/>
  <c r="AG46" i="5"/>
  <c r="AF46" i="5"/>
  <c r="AC46" i="5"/>
  <c r="AB46" i="5"/>
  <c r="Z46" i="5"/>
  <c r="H46" i="5"/>
  <c r="AO46" i="5" s="1"/>
  <c r="G46" i="5"/>
  <c r="BW45" i="5"/>
  <c r="AL45" i="5"/>
  <c r="AJ45" i="5"/>
  <c r="AH45" i="5"/>
  <c r="AG45" i="5"/>
  <c r="AF45" i="5"/>
  <c r="AC45" i="5"/>
  <c r="AB45" i="5"/>
  <c r="Z45" i="5"/>
  <c r="H45" i="5"/>
  <c r="G45" i="5"/>
  <c r="BW44" i="5"/>
  <c r="BD44" i="5"/>
  <c r="AL44" i="5"/>
  <c r="AJ44" i="5"/>
  <c r="AH44" i="5"/>
  <c r="AG44" i="5"/>
  <c r="AF44" i="5"/>
  <c r="AC44" i="5"/>
  <c r="AB44" i="5"/>
  <c r="Z44" i="5"/>
  <c r="O44" i="5"/>
  <c r="BF44" i="5" s="1"/>
  <c r="H44" i="5"/>
  <c r="G44" i="5"/>
  <c r="BW43" i="5"/>
  <c r="BJ43" i="5"/>
  <c r="AO43" i="5"/>
  <c r="BH43" i="5" s="1"/>
  <c r="AD43" i="5" s="1"/>
  <c r="AL43" i="5"/>
  <c r="AJ43" i="5"/>
  <c r="AH43" i="5"/>
  <c r="AG43" i="5"/>
  <c r="AF43" i="5"/>
  <c r="AC43" i="5"/>
  <c r="AB43" i="5"/>
  <c r="Z43" i="5"/>
  <c r="O43" i="5"/>
  <c r="BF43" i="5" s="1"/>
  <c r="H43" i="5"/>
  <c r="G43" i="5"/>
  <c r="BW42" i="5"/>
  <c r="AP42" i="5"/>
  <c r="AO42" i="5"/>
  <c r="AL42" i="5"/>
  <c r="AJ42" i="5"/>
  <c r="AH42" i="5"/>
  <c r="AG42" i="5"/>
  <c r="AF42" i="5"/>
  <c r="AC42" i="5"/>
  <c r="AB42" i="5"/>
  <c r="Z42" i="5"/>
  <c r="H42" i="5"/>
  <c r="BD42" i="5" s="1"/>
  <c r="G42" i="5"/>
  <c r="BW41" i="5"/>
  <c r="AL41" i="5"/>
  <c r="AJ41" i="5"/>
  <c r="AH41" i="5"/>
  <c r="AG41" i="5"/>
  <c r="AF41" i="5"/>
  <c r="AC41" i="5"/>
  <c r="AB41" i="5"/>
  <c r="Z41" i="5"/>
  <c r="H41" i="5"/>
  <c r="BD41" i="5" s="1"/>
  <c r="G41" i="5"/>
  <c r="BW40" i="5"/>
  <c r="BJ40" i="5"/>
  <c r="AL40" i="5"/>
  <c r="AJ40" i="5"/>
  <c r="AH40" i="5"/>
  <c r="AG40" i="5"/>
  <c r="AF40" i="5"/>
  <c r="AC40" i="5"/>
  <c r="AB40" i="5"/>
  <c r="Z40" i="5"/>
  <c r="O40" i="5"/>
  <c r="BF40" i="5" s="1"/>
  <c r="L40" i="5"/>
  <c r="H40" i="5"/>
  <c r="G40" i="5"/>
  <c r="BW39" i="5"/>
  <c r="BJ39" i="5"/>
  <c r="AL39" i="5"/>
  <c r="AJ39" i="5"/>
  <c r="AH39" i="5"/>
  <c r="AG39" i="5"/>
  <c r="AF39" i="5"/>
  <c r="AC39" i="5"/>
  <c r="AB39" i="5"/>
  <c r="Z39" i="5"/>
  <c r="O39" i="5"/>
  <c r="BF39" i="5" s="1"/>
  <c r="M39" i="5"/>
  <c r="L39" i="5"/>
  <c r="AK39" i="5" s="1"/>
  <c r="H39" i="5"/>
  <c r="AP39" i="5" s="1"/>
  <c r="G39" i="5"/>
  <c r="BW38" i="5"/>
  <c r="BH38" i="5"/>
  <c r="AD38" i="5" s="1"/>
  <c r="BD38" i="5"/>
  <c r="AP38" i="5"/>
  <c r="K38" i="5" s="1"/>
  <c r="AL38" i="5"/>
  <c r="AJ38" i="5"/>
  <c r="AH38" i="5"/>
  <c r="AG38" i="5"/>
  <c r="AF38" i="5"/>
  <c r="AC38" i="5"/>
  <c r="AB38" i="5"/>
  <c r="Z38" i="5"/>
  <c r="H38" i="5"/>
  <c r="AO38" i="5" s="1"/>
  <c r="J38" i="5" s="1"/>
  <c r="G38" i="5"/>
  <c r="BW36" i="5"/>
  <c r="BD36" i="5"/>
  <c r="AL36" i="5"/>
  <c r="AJ36" i="5"/>
  <c r="AH36" i="5"/>
  <c r="AG36" i="5"/>
  <c r="AF36" i="5"/>
  <c r="AC36" i="5"/>
  <c r="AB36" i="5"/>
  <c r="Z36" i="5"/>
  <c r="O36" i="5"/>
  <c r="BF36" i="5" s="1"/>
  <c r="H36" i="5"/>
  <c r="G36" i="5"/>
  <c r="BW35" i="5"/>
  <c r="BD35" i="5"/>
  <c r="AX35" i="5"/>
  <c r="AL35" i="5"/>
  <c r="AJ35" i="5"/>
  <c r="AH35" i="5"/>
  <c r="AG35" i="5"/>
  <c r="AF35" i="5"/>
  <c r="AC35" i="5"/>
  <c r="AB35" i="5"/>
  <c r="Z35" i="5"/>
  <c r="O35" i="5"/>
  <c r="BF35" i="5" s="1"/>
  <c r="L35" i="5"/>
  <c r="H35" i="5"/>
  <c r="AP35" i="5" s="1"/>
  <c r="G35" i="5"/>
  <c r="BW33" i="5"/>
  <c r="AP33" i="5"/>
  <c r="AX33" i="5" s="1"/>
  <c r="AO33" i="5"/>
  <c r="BH33" i="5" s="1"/>
  <c r="AL33" i="5"/>
  <c r="AJ33" i="5"/>
  <c r="AH33" i="5"/>
  <c r="AG33" i="5"/>
  <c r="AF33" i="5"/>
  <c r="AE33" i="5"/>
  <c r="AD33" i="5"/>
  <c r="AC33" i="5"/>
  <c r="AB33" i="5"/>
  <c r="O33" i="5"/>
  <c r="BF33" i="5" s="1"/>
  <c r="L33" i="5"/>
  <c r="AK33" i="5" s="1"/>
  <c r="K33" i="5"/>
  <c r="H33" i="5"/>
  <c r="BD33" i="5" s="1"/>
  <c r="G33" i="5"/>
  <c r="BW31" i="5"/>
  <c r="BD31" i="5"/>
  <c r="AO31" i="5"/>
  <c r="AL31" i="5"/>
  <c r="AU30" i="5" s="1"/>
  <c r="AJ31" i="5"/>
  <c r="AH31" i="5"/>
  <c r="AG31" i="5"/>
  <c r="AF31" i="5"/>
  <c r="AC31" i="5"/>
  <c r="AB31" i="5"/>
  <c r="Z31" i="5"/>
  <c r="K31" i="5"/>
  <c r="K30" i="5" s="1"/>
  <c r="E16" i="2" s="1"/>
  <c r="H31" i="5"/>
  <c r="AP31" i="5" s="1"/>
  <c r="BI31" i="5" s="1"/>
  <c r="AE31" i="5" s="1"/>
  <c r="G31" i="5"/>
  <c r="AS30" i="5"/>
  <c r="BW28" i="5"/>
  <c r="BJ28" i="5"/>
  <c r="Z28" i="5" s="1"/>
  <c r="AP28" i="5"/>
  <c r="BI28" i="5" s="1"/>
  <c r="AL28" i="5"/>
  <c r="AJ28" i="5"/>
  <c r="AH28" i="5"/>
  <c r="AG28" i="5"/>
  <c r="AF28" i="5"/>
  <c r="AE28" i="5"/>
  <c r="AD28" i="5"/>
  <c r="AC28" i="5"/>
  <c r="AB28" i="5"/>
  <c r="O28" i="5"/>
  <c r="BF28" i="5" s="1"/>
  <c r="L28" i="5"/>
  <c r="AK28" i="5" s="1"/>
  <c r="H28" i="5"/>
  <c r="G28" i="5"/>
  <c r="BW27" i="5"/>
  <c r="BF27" i="5"/>
  <c r="AL27" i="5"/>
  <c r="AJ27" i="5"/>
  <c r="AH27" i="5"/>
  <c r="AG27" i="5"/>
  <c r="AF27" i="5"/>
  <c r="AC27" i="5"/>
  <c r="AB27" i="5"/>
  <c r="Z27" i="5"/>
  <c r="O27" i="5"/>
  <c r="H27" i="5"/>
  <c r="BJ27" i="5" s="1"/>
  <c r="G27" i="5"/>
  <c r="BW25" i="5"/>
  <c r="AL25" i="5"/>
  <c r="AJ25" i="5"/>
  <c r="AH25" i="5"/>
  <c r="AG25" i="5"/>
  <c r="AF25" i="5"/>
  <c r="AC25" i="5"/>
  <c r="AB25" i="5"/>
  <c r="Z25" i="5"/>
  <c r="H25" i="5"/>
  <c r="AP25" i="5" s="1"/>
  <c r="G25" i="5"/>
  <c r="BW24" i="5"/>
  <c r="AL24" i="5"/>
  <c r="AJ24" i="5"/>
  <c r="AH24" i="5"/>
  <c r="AG24" i="5"/>
  <c r="AF24" i="5"/>
  <c r="AC24" i="5"/>
  <c r="AB24" i="5"/>
  <c r="Z24" i="5"/>
  <c r="O24" i="5"/>
  <c r="BF24" i="5" s="1"/>
  <c r="H24" i="5"/>
  <c r="G24" i="5"/>
  <c r="BW23" i="5"/>
  <c r="AL23" i="5"/>
  <c r="AJ23" i="5"/>
  <c r="AH23" i="5"/>
  <c r="AG23" i="5"/>
  <c r="AF23" i="5"/>
  <c r="AC23" i="5"/>
  <c r="AB23" i="5"/>
  <c r="Z23" i="5"/>
  <c r="O23" i="5"/>
  <c r="BF23" i="5" s="1"/>
  <c r="H23" i="5"/>
  <c r="G23" i="5"/>
  <c r="BW22" i="5"/>
  <c r="BF22" i="5"/>
  <c r="AL22" i="5"/>
  <c r="AJ22" i="5"/>
  <c r="AH22" i="5"/>
  <c r="AG22" i="5"/>
  <c r="AF22" i="5"/>
  <c r="AC22" i="5"/>
  <c r="AB22" i="5"/>
  <c r="Z22" i="5"/>
  <c r="O22" i="5"/>
  <c r="H22" i="5"/>
  <c r="G22" i="5"/>
  <c r="BW21" i="5"/>
  <c r="AL21" i="5"/>
  <c r="AJ21" i="5"/>
  <c r="AH21" i="5"/>
  <c r="AG21" i="5"/>
  <c r="AF21" i="5"/>
  <c r="AC21" i="5"/>
  <c r="AB21" i="5"/>
  <c r="Z21" i="5"/>
  <c r="H21" i="5"/>
  <c r="AP21" i="5" s="1"/>
  <c r="G21" i="5"/>
  <c r="BW18" i="5"/>
  <c r="BJ18" i="5"/>
  <c r="Z18" i="5" s="1"/>
  <c r="AL18" i="5"/>
  <c r="AJ18" i="5"/>
  <c r="AH18" i="5"/>
  <c r="AG18" i="5"/>
  <c r="AF18" i="5"/>
  <c r="AE18" i="5"/>
  <c r="AD18" i="5"/>
  <c r="AC18" i="5"/>
  <c r="AB18" i="5"/>
  <c r="O18" i="5"/>
  <c r="BF18" i="5" s="1"/>
  <c r="H18" i="5"/>
  <c r="G18" i="5"/>
  <c r="BW17" i="5"/>
  <c r="AL17" i="5"/>
  <c r="AJ17" i="5"/>
  <c r="AH17" i="5"/>
  <c r="AG17" i="5"/>
  <c r="AF17" i="5"/>
  <c r="AC17" i="5"/>
  <c r="AB17" i="5"/>
  <c r="Z17" i="5"/>
  <c r="H17" i="5"/>
  <c r="G17" i="5"/>
  <c r="BW16" i="5"/>
  <c r="AL16" i="5"/>
  <c r="AJ16" i="5"/>
  <c r="AS13" i="5" s="1"/>
  <c r="AH16" i="5"/>
  <c r="AG16" i="5"/>
  <c r="AF16" i="5"/>
  <c r="AC16" i="5"/>
  <c r="AB16" i="5"/>
  <c r="Z16" i="5"/>
  <c r="O16" i="5"/>
  <c r="BF16" i="5" s="1"/>
  <c r="H16" i="5"/>
  <c r="G16" i="5"/>
  <c r="BW15" i="5"/>
  <c r="AL15" i="5"/>
  <c r="AJ15" i="5"/>
  <c r="AH15" i="5"/>
  <c r="AG15" i="5"/>
  <c r="AF15" i="5"/>
  <c r="AC15" i="5"/>
  <c r="AB15" i="5"/>
  <c r="Z15" i="5"/>
  <c r="O15" i="5"/>
  <c r="BF15" i="5" s="1"/>
  <c r="H15" i="5"/>
  <c r="G15" i="5"/>
  <c r="BW14" i="5"/>
  <c r="AL14" i="5"/>
  <c r="AJ14" i="5"/>
  <c r="AH14" i="5"/>
  <c r="AG14" i="5"/>
  <c r="AF14" i="5"/>
  <c r="AC14" i="5"/>
  <c r="AB14" i="5"/>
  <c r="Z14" i="5"/>
  <c r="O14" i="5"/>
  <c r="BF14" i="5" s="1"/>
  <c r="H14" i="5"/>
  <c r="G14" i="5"/>
  <c r="AU1" i="5"/>
  <c r="AT1" i="5"/>
  <c r="AS1" i="5"/>
  <c r="F44" i="4"/>
  <c r="I44" i="4" s="1"/>
  <c r="I42" i="4"/>
  <c r="F42" i="4"/>
  <c r="F40" i="4"/>
  <c r="I40" i="4" s="1"/>
  <c r="F39" i="4"/>
  <c r="I39" i="4" s="1"/>
  <c r="I38" i="4"/>
  <c r="F38" i="4"/>
  <c r="F36" i="4"/>
  <c r="I36" i="4" s="1"/>
  <c r="I26" i="4"/>
  <c r="I25" i="4"/>
  <c r="I24" i="4"/>
  <c r="I23" i="4"/>
  <c r="I16" i="3" s="1"/>
  <c r="I22" i="4"/>
  <c r="I21" i="4"/>
  <c r="I18" i="4"/>
  <c r="I17" i="4"/>
  <c r="I16" i="4"/>
  <c r="I15" i="4"/>
  <c r="I10" i="4"/>
  <c r="F10" i="4"/>
  <c r="C10" i="4"/>
  <c r="F8" i="4"/>
  <c r="C8" i="4"/>
  <c r="F6" i="4"/>
  <c r="C6" i="4"/>
  <c r="F4" i="4"/>
  <c r="C4" i="4"/>
  <c r="F2" i="4"/>
  <c r="C2" i="4"/>
  <c r="I19" i="3"/>
  <c r="I18" i="3"/>
  <c r="I17" i="3"/>
  <c r="F16" i="3"/>
  <c r="I15" i="3"/>
  <c r="I22" i="3" s="1"/>
  <c r="F15" i="3"/>
  <c r="F22" i="3" s="1"/>
  <c r="I14" i="3"/>
  <c r="F14" i="3"/>
  <c r="I10" i="3"/>
  <c r="F10" i="3"/>
  <c r="C10" i="3"/>
  <c r="F8" i="3"/>
  <c r="C8" i="3"/>
  <c r="F6" i="3"/>
  <c r="C6" i="3"/>
  <c r="F4" i="3"/>
  <c r="C4" i="3"/>
  <c r="F2" i="3"/>
  <c r="C2" i="3"/>
  <c r="I42" i="2"/>
  <c r="I41" i="2"/>
  <c r="I39" i="2"/>
  <c r="E36" i="2"/>
  <c r="G34" i="2"/>
  <c r="E31" i="2"/>
  <c r="I28" i="2"/>
  <c r="I26" i="2"/>
  <c r="I24" i="2"/>
  <c r="I20" i="2"/>
  <c r="I18" i="2"/>
  <c r="I15" i="2"/>
  <c r="I13" i="2"/>
  <c r="I11" i="2"/>
  <c r="G8" i="2"/>
  <c r="C8" i="2"/>
  <c r="G6" i="2"/>
  <c r="C6" i="2"/>
  <c r="G4" i="2"/>
  <c r="C4" i="2"/>
  <c r="G2" i="2"/>
  <c r="C2" i="2"/>
  <c r="IS235" i="1"/>
  <c r="IR235" i="1"/>
  <c r="K235" i="1" s="1"/>
  <c r="K234" i="1" s="1"/>
  <c r="IS233" i="1"/>
  <c r="IR233" i="1"/>
  <c r="IS231" i="1"/>
  <c r="IR231" i="1"/>
  <c r="K231" i="1"/>
  <c r="IS230" i="1"/>
  <c r="K230" i="1" s="1"/>
  <c r="IR230" i="1"/>
  <c r="IS228" i="1"/>
  <c r="IR228" i="1"/>
  <c r="K228" i="1"/>
  <c r="K227" i="1" s="1"/>
  <c r="IS224" i="1"/>
  <c r="K224" i="1" s="1"/>
  <c r="IR224" i="1"/>
  <c r="IS223" i="1"/>
  <c r="IR223" i="1"/>
  <c r="K223" i="1"/>
  <c r="IS222" i="1"/>
  <c r="IR222" i="1"/>
  <c r="IS221" i="1"/>
  <c r="IR221" i="1"/>
  <c r="IS220" i="1"/>
  <c r="K220" i="1" s="1"/>
  <c r="IR220" i="1"/>
  <c r="IS217" i="1"/>
  <c r="IR217" i="1"/>
  <c r="K217" i="1" s="1"/>
  <c r="IS216" i="1"/>
  <c r="IR216" i="1"/>
  <c r="K216" i="1"/>
  <c r="IS215" i="1"/>
  <c r="IR215" i="1"/>
  <c r="IS214" i="1"/>
  <c r="IR214" i="1"/>
  <c r="IS213" i="1"/>
  <c r="IR213" i="1"/>
  <c r="IS212" i="1"/>
  <c r="IR212" i="1"/>
  <c r="K212" i="1" s="1"/>
  <c r="IS211" i="1"/>
  <c r="IR211" i="1"/>
  <c r="IS210" i="1"/>
  <c r="IR210" i="1"/>
  <c r="K210" i="1"/>
  <c r="IS209" i="1"/>
  <c r="IR209" i="1"/>
  <c r="K209" i="1"/>
  <c r="IS207" i="1"/>
  <c r="IR207" i="1"/>
  <c r="K207" i="1" s="1"/>
  <c r="IS206" i="1"/>
  <c r="IR206" i="1"/>
  <c r="K206" i="1" s="1"/>
  <c r="IS205" i="1"/>
  <c r="IR205" i="1"/>
  <c r="IS204" i="1"/>
  <c r="IR204" i="1"/>
  <c r="K204" i="1"/>
  <c r="IS203" i="1"/>
  <c r="IR203" i="1"/>
  <c r="K203" i="1"/>
  <c r="IS201" i="1"/>
  <c r="IR201" i="1"/>
  <c r="K201" i="1" s="1"/>
  <c r="K200" i="1" s="1"/>
  <c r="IS199" i="1"/>
  <c r="IR199" i="1"/>
  <c r="K199" i="1" s="1"/>
  <c r="K198" i="1" s="1"/>
  <c r="IS197" i="1"/>
  <c r="K197" i="1" s="1"/>
  <c r="IR197" i="1"/>
  <c r="K196" i="1"/>
  <c r="IS195" i="1"/>
  <c r="IR195" i="1"/>
  <c r="K195" i="1" s="1"/>
  <c r="K193" i="1" s="1"/>
  <c r="IS194" i="1"/>
  <c r="IR194" i="1"/>
  <c r="K194" i="1" s="1"/>
  <c r="IS192" i="1"/>
  <c r="IR192" i="1"/>
  <c r="IS191" i="1"/>
  <c r="K191" i="1" s="1"/>
  <c r="IR191" i="1"/>
  <c r="IS190" i="1"/>
  <c r="IR190" i="1"/>
  <c r="IS189" i="1"/>
  <c r="IR189" i="1"/>
  <c r="K189" i="1" s="1"/>
  <c r="IS187" i="1"/>
  <c r="IR187" i="1"/>
  <c r="K187" i="1"/>
  <c r="K186" i="1" s="1"/>
  <c r="IS185" i="1"/>
  <c r="IR185" i="1"/>
  <c r="K185" i="1"/>
  <c r="IS184" i="1"/>
  <c r="IR184" i="1"/>
  <c r="K184" i="1"/>
  <c r="IS183" i="1"/>
  <c r="IR183" i="1"/>
  <c r="IS181" i="1"/>
  <c r="IR181" i="1"/>
  <c r="IS180" i="1"/>
  <c r="K180" i="1" s="1"/>
  <c r="IR180" i="1"/>
  <c r="IS179" i="1"/>
  <c r="IR179" i="1"/>
  <c r="K179" i="1"/>
  <c r="IS178" i="1"/>
  <c r="K178" i="1" s="1"/>
  <c r="IR178" i="1"/>
  <c r="IS177" i="1"/>
  <c r="IR177" i="1"/>
  <c r="K177" i="1" s="1"/>
  <c r="IS176" i="1"/>
  <c r="IR176" i="1"/>
  <c r="IS175" i="1"/>
  <c r="IR175" i="1"/>
  <c r="K175" i="1" s="1"/>
  <c r="IS174" i="1"/>
  <c r="IR174" i="1"/>
  <c r="K174" i="1" s="1"/>
  <c r="IS173" i="1"/>
  <c r="IR173" i="1"/>
  <c r="IS172" i="1"/>
  <c r="K172" i="1" s="1"/>
  <c r="IR172" i="1"/>
  <c r="IS169" i="1"/>
  <c r="IR169" i="1"/>
  <c r="IS168" i="1"/>
  <c r="IR168" i="1"/>
  <c r="K168" i="1"/>
  <c r="IS167" i="1"/>
  <c r="K167" i="1" s="1"/>
  <c r="IR167" i="1"/>
  <c r="IS166" i="1"/>
  <c r="IR166" i="1"/>
  <c r="K166" i="1"/>
  <c r="IS165" i="1"/>
  <c r="IR165" i="1"/>
  <c r="K165" i="1" s="1"/>
  <c r="IS164" i="1"/>
  <c r="IR164" i="1"/>
  <c r="IS163" i="1"/>
  <c r="K163" i="1" s="1"/>
  <c r="IR163" i="1"/>
  <c r="IS162" i="1"/>
  <c r="IR162" i="1"/>
  <c r="IS161" i="1"/>
  <c r="IR161" i="1"/>
  <c r="IS160" i="1"/>
  <c r="IR160" i="1"/>
  <c r="IS159" i="1"/>
  <c r="IR159" i="1"/>
  <c r="K159" i="1" s="1"/>
  <c r="IS158" i="1"/>
  <c r="IR158" i="1"/>
  <c r="K158" i="1" s="1"/>
  <c r="IS157" i="1"/>
  <c r="IR157" i="1"/>
  <c r="IS154" i="1"/>
  <c r="IR154" i="1"/>
  <c r="K154" i="1" s="1"/>
  <c r="IS153" i="1"/>
  <c r="IR153" i="1"/>
  <c r="IS152" i="1"/>
  <c r="IR152" i="1"/>
  <c r="IS151" i="1"/>
  <c r="IR151" i="1"/>
  <c r="K151" i="1"/>
  <c r="IS150" i="1"/>
  <c r="IR150" i="1"/>
  <c r="K150" i="1" s="1"/>
  <c r="IS149" i="1"/>
  <c r="K149" i="1" s="1"/>
  <c r="IR149" i="1"/>
  <c r="IS148" i="1"/>
  <c r="K148" i="1" s="1"/>
  <c r="IR148" i="1"/>
  <c r="IS147" i="1"/>
  <c r="IR147" i="1"/>
  <c r="K147" i="1"/>
  <c r="IS146" i="1"/>
  <c r="IR146" i="1"/>
  <c r="K146" i="1" s="1"/>
  <c r="IS145" i="1"/>
  <c r="IR145" i="1"/>
  <c r="K145" i="1" s="1"/>
  <c r="IS144" i="1"/>
  <c r="IR144" i="1"/>
  <c r="IS143" i="1"/>
  <c r="IR143" i="1"/>
  <c r="K143" i="1" s="1"/>
  <c r="IS142" i="1"/>
  <c r="IR142" i="1"/>
  <c r="IS141" i="1"/>
  <c r="IR141" i="1"/>
  <c r="IS140" i="1"/>
  <c r="IR140" i="1"/>
  <c r="K140" i="1"/>
  <c r="IS139" i="1"/>
  <c r="IR139" i="1"/>
  <c r="IS138" i="1"/>
  <c r="IR138" i="1"/>
  <c r="K138" i="1" s="1"/>
  <c r="IS137" i="1"/>
  <c r="IR137" i="1"/>
  <c r="IS136" i="1"/>
  <c r="IR136" i="1"/>
  <c r="K136" i="1" s="1"/>
  <c r="IS135" i="1"/>
  <c r="IR135" i="1"/>
  <c r="K135" i="1"/>
  <c r="IS134" i="1"/>
  <c r="IR134" i="1"/>
  <c r="K134" i="1" s="1"/>
  <c r="IS133" i="1"/>
  <c r="IR133" i="1"/>
  <c r="IS132" i="1"/>
  <c r="K132" i="1" s="1"/>
  <c r="IR132" i="1"/>
  <c r="IS131" i="1"/>
  <c r="IR131" i="1"/>
  <c r="K131" i="1"/>
  <c r="IS128" i="1"/>
  <c r="IR128" i="1"/>
  <c r="K128" i="1"/>
  <c r="K125" i="1" s="1"/>
  <c r="IS127" i="1"/>
  <c r="IR127" i="1"/>
  <c r="K127" i="1"/>
  <c r="IS126" i="1"/>
  <c r="IR126" i="1"/>
  <c r="K126" i="1"/>
  <c r="IS124" i="1"/>
  <c r="IR124" i="1"/>
  <c r="K124" i="1" s="1"/>
  <c r="IS123" i="1"/>
  <c r="IR123" i="1"/>
  <c r="IS122" i="1"/>
  <c r="IR122" i="1"/>
  <c r="K122" i="1"/>
  <c r="IS121" i="1"/>
  <c r="IR121" i="1"/>
  <c r="K121" i="1"/>
  <c r="IS120" i="1"/>
  <c r="IR120" i="1"/>
  <c r="K120" i="1"/>
  <c r="IS119" i="1"/>
  <c r="IR119" i="1"/>
  <c r="K119" i="1" s="1"/>
  <c r="IS118" i="1"/>
  <c r="IR118" i="1"/>
  <c r="IS117" i="1"/>
  <c r="K117" i="1" s="1"/>
  <c r="IR117" i="1"/>
  <c r="IS116" i="1"/>
  <c r="IR116" i="1"/>
  <c r="IS115" i="1"/>
  <c r="IR115" i="1"/>
  <c r="IS114" i="1"/>
  <c r="IR114" i="1"/>
  <c r="IS113" i="1"/>
  <c r="IR113" i="1"/>
  <c r="K113" i="1" s="1"/>
  <c r="IS112" i="1"/>
  <c r="IR112" i="1"/>
  <c r="K112" i="1" s="1"/>
  <c r="IS111" i="1"/>
  <c r="IR111" i="1"/>
  <c r="IS110" i="1"/>
  <c r="IR110" i="1"/>
  <c r="K110" i="1" s="1"/>
  <c r="IS109" i="1"/>
  <c r="IR109" i="1"/>
  <c r="K109" i="1" s="1"/>
  <c r="IS108" i="1"/>
  <c r="IR108" i="1"/>
  <c r="K108" i="1" s="1"/>
  <c r="IS107" i="1"/>
  <c r="IR107" i="1"/>
  <c r="IS106" i="1"/>
  <c r="IR106" i="1"/>
  <c r="K106" i="1"/>
  <c r="IS105" i="1"/>
  <c r="K105" i="1" s="1"/>
  <c r="IR105" i="1"/>
  <c r="IS104" i="1"/>
  <c r="IR104" i="1"/>
  <c r="K104" i="1"/>
  <c r="IS103" i="1"/>
  <c r="IR103" i="1"/>
  <c r="K103" i="1" s="1"/>
  <c r="IS102" i="1"/>
  <c r="IR102" i="1"/>
  <c r="IS101" i="1"/>
  <c r="K101" i="1" s="1"/>
  <c r="IR101" i="1"/>
  <c r="IS100" i="1"/>
  <c r="IR100" i="1"/>
  <c r="IS99" i="1"/>
  <c r="K99" i="1" s="1"/>
  <c r="IR99" i="1"/>
  <c r="IS97" i="1"/>
  <c r="IR97" i="1"/>
  <c r="IS96" i="1"/>
  <c r="IR96" i="1"/>
  <c r="K96" i="1" s="1"/>
  <c r="IS95" i="1"/>
  <c r="IR95" i="1"/>
  <c r="K95" i="1"/>
  <c r="IS94" i="1"/>
  <c r="IR94" i="1"/>
  <c r="IS91" i="1"/>
  <c r="K91" i="1" s="1"/>
  <c r="IR91" i="1"/>
  <c r="IS90" i="1"/>
  <c r="IR90" i="1"/>
  <c r="IS89" i="1"/>
  <c r="IR89" i="1"/>
  <c r="IS88" i="1"/>
  <c r="IR88" i="1"/>
  <c r="IS87" i="1"/>
  <c r="IR87" i="1"/>
  <c r="K87" i="1" s="1"/>
  <c r="IS86" i="1"/>
  <c r="IR86" i="1"/>
  <c r="K86" i="1"/>
  <c r="IS85" i="1"/>
  <c r="IR85" i="1"/>
  <c r="IS84" i="1"/>
  <c r="IR84" i="1"/>
  <c r="K84" i="1" s="1"/>
  <c r="IS83" i="1"/>
  <c r="IR83" i="1"/>
  <c r="K83" i="1" s="1"/>
  <c r="IS82" i="1"/>
  <c r="IR82" i="1"/>
  <c r="K82" i="1" s="1"/>
  <c r="IS81" i="1"/>
  <c r="IR81" i="1"/>
  <c r="IS80" i="1"/>
  <c r="IR80" i="1"/>
  <c r="K80" i="1"/>
  <c r="IS79" i="1"/>
  <c r="IR79" i="1"/>
  <c r="K79" i="1"/>
  <c r="IS78" i="1"/>
  <c r="IR78" i="1"/>
  <c r="K78" i="1"/>
  <c r="IS77" i="1"/>
  <c r="IR77" i="1"/>
  <c r="K77" i="1" s="1"/>
  <c r="IS76" i="1"/>
  <c r="IR76" i="1"/>
  <c r="K76" i="1" s="1"/>
  <c r="IS75" i="1"/>
  <c r="K75" i="1" s="1"/>
  <c r="IR75" i="1"/>
  <c r="IS74" i="1"/>
  <c r="IR74" i="1"/>
  <c r="IS73" i="1"/>
  <c r="IR73" i="1"/>
  <c r="IS72" i="1"/>
  <c r="IR72" i="1"/>
  <c r="K72" i="1" s="1"/>
  <c r="IS71" i="1"/>
  <c r="IR71" i="1"/>
  <c r="K71" i="1" s="1"/>
  <c r="IS70" i="1"/>
  <c r="K70" i="1" s="1"/>
  <c r="IR70" i="1"/>
  <c r="IS69" i="1"/>
  <c r="IR69" i="1"/>
  <c r="IS68" i="1"/>
  <c r="IR68" i="1"/>
  <c r="K68" i="1" s="1"/>
  <c r="IS67" i="1"/>
  <c r="IR67" i="1"/>
  <c r="K67" i="1" s="1"/>
  <c r="IS66" i="1"/>
  <c r="IR66" i="1"/>
  <c r="K66" i="1" s="1"/>
  <c r="IS65" i="1"/>
  <c r="IR65" i="1"/>
  <c r="IS64" i="1"/>
  <c r="K64" i="1" s="1"/>
  <c r="IR64" i="1"/>
  <c r="IS63" i="1"/>
  <c r="IR63" i="1"/>
  <c r="K63" i="1"/>
  <c r="IS62" i="1"/>
  <c r="IR62" i="1"/>
  <c r="K62" i="1"/>
  <c r="IS61" i="1"/>
  <c r="IR61" i="1"/>
  <c r="K61" i="1" s="1"/>
  <c r="IS60" i="1"/>
  <c r="IR60" i="1"/>
  <c r="K60" i="1" s="1"/>
  <c r="IS59" i="1"/>
  <c r="K59" i="1" s="1"/>
  <c r="IR59" i="1"/>
  <c r="IS58" i="1"/>
  <c r="IR58" i="1"/>
  <c r="IS57" i="1"/>
  <c r="IR57" i="1"/>
  <c r="IS56" i="1"/>
  <c r="IR56" i="1"/>
  <c r="K56" i="1" s="1"/>
  <c r="IS55" i="1"/>
  <c r="IR55" i="1"/>
  <c r="K55" i="1" s="1"/>
  <c r="IS54" i="1"/>
  <c r="IR54" i="1"/>
  <c r="K54" i="1" s="1"/>
  <c r="IS53" i="1"/>
  <c r="IR53" i="1"/>
  <c r="IS52" i="1"/>
  <c r="IR52" i="1"/>
  <c r="K52" i="1" s="1"/>
  <c r="IS51" i="1"/>
  <c r="IR51" i="1"/>
  <c r="K51" i="1"/>
  <c r="IS50" i="1"/>
  <c r="IR50" i="1"/>
  <c r="K50" i="1" s="1"/>
  <c r="IS49" i="1"/>
  <c r="IR49" i="1"/>
  <c r="IS48" i="1"/>
  <c r="IR48" i="1"/>
  <c r="K48" i="1"/>
  <c r="IS47" i="1"/>
  <c r="K47" i="1" s="1"/>
  <c r="IR47" i="1"/>
  <c r="IS44" i="1"/>
  <c r="IR44" i="1"/>
  <c r="K44" i="1"/>
  <c r="IS43" i="1"/>
  <c r="IR43" i="1"/>
  <c r="K43" i="1"/>
  <c r="IS42" i="1"/>
  <c r="IR42" i="1"/>
  <c r="K42" i="1" s="1"/>
  <c r="IS41" i="1"/>
  <c r="IR41" i="1"/>
  <c r="K41" i="1" s="1"/>
  <c r="IS40" i="1"/>
  <c r="IR40" i="1"/>
  <c r="K40" i="1" s="1"/>
  <c r="IS39" i="1"/>
  <c r="IR39" i="1"/>
  <c r="K39" i="1" s="1"/>
  <c r="IS38" i="1"/>
  <c r="IR38" i="1"/>
  <c r="K38" i="1" s="1"/>
  <c r="IS37" i="1"/>
  <c r="K37" i="1" s="1"/>
  <c r="IR37" i="1"/>
  <c r="IS36" i="1"/>
  <c r="IR36" i="1"/>
  <c r="K36" i="1"/>
  <c r="IS35" i="1"/>
  <c r="K35" i="1" s="1"/>
  <c r="IR35" i="1"/>
  <c r="IS34" i="1"/>
  <c r="IR34" i="1"/>
  <c r="K34" i="1"/>
  <c r="IS33" i="1"/>
  <c r="IR33" i="1"/>
  <c r="K33" i="1" s="1"/>
  <c r="IS32" i="1"/>
  <c r="IR32" i="1"/>
  <c r="IS30" i="1"/>
  <c r="IR30" i="1"/>
  <c r="K30" i="1" s="1"/>
  <c r="IS29" i="1"/>
  <c r="IR29" i="1"/>
  <c r="K29" i="1" s="1"/>
  <c r="K28" i="1" s="1"/>
  <c r="IS26" i="1"/>
  <c r="K26" i="1" s="1"/>
  <c r="IR26" i="1"/>
  <c r="IS25" i="1"/>
  <c r="K25" i="1" s="1"/>
  <c r="IR25" i="1"/>
  <c r="IS24" i="1"/>
  <c r="IR24" i="1"/>
  <c r="K24" i="1" s="1"/>
  <c r="IS23" i="1"/>
  <c r="IR23" i="1"/>
  <c r="K23" i="1" s="1"/>
  <c r="IS22" i="1"/>
  <c r="IR22" i="1"/>
  <c r="IS21" i="1"/>
  <c r="IR21" i="1"/>
  <c r="K21" i="1"/>
  <c r="IS20" i="1"/>
  <c r="IR20" i="1"/>
  <c r="IS17" i="1"/>
  <c r="IR17" i="1"/>
  <c r="K17" i="1" s="1"/>
  <c r="IS16" i="1"/>
  <c r="IR16" i="1"/>
  <c r="IS15" i="1"/>
  <c r="IR15" i="1"/>
  <c r="IS14" i="1"/>
  <c r="IR14" i="1"/>
  <c r="K14" i="1"/>
  <c r="IS13" i="1"/>
  <c r="IR13" i="1"/>
  <c r="K13" i="1" s="1"/>
  <c r="H8" i="1"/>
  <c r="F8" i="1"/>
  <c r="C8" i="1"/>
  <c r="H6" i="1"/>
  <c r="F6" i="1"/>
  <c r="C6" i="1"/>
  <c r="H4" i="1"/>
  <c r="F4" i="1"/>
  <c r="C4" i="1"/>
  <c r="H2" i="1"/>
  <c r="F2" i="1"/>
  <c r="C2" i="1"/>
  <c r="AP15" i="5" l="1"/>
  <c r="AX15" i="5" s="1"/>
  <c r="BJ15" i="5"/>
  <c r="BD15" i="5"/>
  <c r="L15" i="5"/>
  <c r="AK15" i="5" s="1"/>
  <c r="K89" i="1"/>
  <c r="J47" i="5"/>
  <c r="BH47" i="5"/>
  <c r="AD47" i="5" s="1"/>
  <c r="AW47" i="5"/>
  <c r="K127" i="5"/>
  <c r="BI127" i="5"/>
  <c r="AE127" i="5" s="1"/>
  <c r="AK149" i="5"/>
  <c r="M149" i="5"/>
  <c r="AW177" i="5"/>
  <c r="BH177" i="5"/>
  <c r="AD177" i="5" s="1"/>
  <c r="J177" i="5"/>
  <c r="AX251" i="5"/>
  <c r="K251" i="5"/>
  <c r="BI251" i="5"/>
  <c r="AC251" i="5" s="1"/>
  <c r="K114" i="1"/>
  <c r="K118" i="1"/>
  <c r="K133" i="1"/>
  <c r="K137" i="1"/>
  <c r="K160" i="1"/>
  <c r="K164" i="1"/>
  <c r="K176" i="1"/>
  <c r="C19" i="3"/>
  <c r="C18" i="3"/>
  <c r="AO196" i="5"/>
  <c r="BJ196" i="5"/>
  <c r="AP196" i="5"/>
  <c r="L196" i="5"/>
  <c r="BD196" i="5"/>
  <c r="AP24" i="5"/>
  <c r="BD24" i="5"/>
  <c r="BD18" i="5"/>
  <c r="AP18" i="5"/>
  <c r="AO18" i="5"/>
  <c r="K15" i="1"/>
  <c r="K73" i="1"/>
  <c r="BD14" i="5"/>
  <c r="BJ14" i="5"/>
  <c r="AO14" i="5"/>
  <c r="BH14" i="5" s="1"/>
  <c r="AD14" i="5" s="1"/>
  <c r="AP14" i="5"/>
  <c r="L14" i="5"/>
  <c r="AK14" i="5" s="1"/>
  <c r="AO23" i="5"/>
  <c r="AW23" i="5" s="1"/>
  <c r="BJ23" i="5"/>
  <c r="AP23" i="5"/>
  <c r="BD23" i="5"/>
  <c r="L23" i="5"/>
  <c r="AK23" i="5" s="1"/>
  <c r="AU34" i="5"/>
  <c r="AK58" i="5"/>
  <c r="M58" i="5"/>
  <c r="K16" i="1"/>
  <c r="K97" i="1"/>
  <c r="K102" i="1"/>
  <c r="K115" i="1"/>
  <c r="K152" i="1"/>
  <c r="K161" i="1"/>
  <c r="K156" i="1" s="1"/>
  <c r="K155" i="1" s="1"/>
  <c r="L18" i="5"/>
  <c r="AK18" i="5" s="1"/>
  <c r="AK145" i="5"/>
  <c r="M145" i="5"/>
  <c r="BI155" i="5"/>
  <c r="K155" i="5"/>
  <c r="K88" i="1"/>
  <c r="K94" i="1"/>
  <c r="K93" i="1" s="1"/>
  <c r="K139" i="1"/>
  <c r="K130" i="1" s="1"/>
  <c r="K129" i="1" s="1"/>
  <c r="AX39" i="5"/>
  <c r="K39" i="5"/>
  <c r="BD56" i="5"/>
  <c r="AO56" i="5"/>
  <c r="BH180" i="5"/>
  <c r="AD180" i="5" s="1"/>
  <c r="J180" i="5"/>
  <c r="AP216" i="5"/>
  <c r="AX216" i="5" s="1"/>
  <c r="AO216" i="5"/>
  <c r="BH216" i="5" s="1"/>
  <c r="AB216" i="5" s="1"/>
  <c r="K57" i="1"/>
  <c r="K153" i="1"/>
  <c r="K183" i="1"/>
  <c r="K182" i="1" s="1"/>
  <c r="BI15" i="5"/>
  <c r="AE15" i="5" s="1"/>
  <c r="BD22" i="5"/>
  <c r="BJ22" i="5"/>
  <c r="AO22" i="5"/>
  <c r="L22" i="5"/>
  <c r="AK22" i="5" s="1"/>
  <c r="K142" i="5"/>
  <c r="BI142" i="5"/>
  <c r="AE142" i="5" s="1"/>
  <c r="BI168" i="5"/>
  <c r="AE168" i="5" s="1"/>
  <c r="AX168" i="5"/>
  <c r="AO81" i="5"/>
  <c r="AW81" i="5" s="1"/>
  <c r="AP81" i="5"/>
  <c r="AW149" i="5"/>
  <c r="BH149" i="5"/>
  <c r="AD149" i="5" s="1"/>
  <c r="AO182" i="5"/>
  <c r="BD182" i="5"/>
  <c r="AP182" i="5"/>
  <c r="K22" i="1"/>
  <c r="K58" i="1"/>
  <c r="K74" i="1"/>
  <c r="K90" i="1"/>
  <c r="K100" i="1"/>
  <c r="K98" i="1" s="1"/>
  <c r="K92" i="1" s="1"/>
  <c r="K116" i="1"/>
  <c r="K144" i="1"/>
  <c r="K162" i="1"/>
  <c r="K173" i="1"/>
  <c r="K213" i="1"/>
  <c r="K222" i="1"/>
  <c r="AU20" i="5"/>
  <c r="BI38" i="5"/>
  <c r="AE38" i="5" s="1"/>
  <c r="L55" i="5"/>
  <c r="M55" i="5" s="1"/>
  <c r="BI119" i="5"/>
  <c r="AE119" i="5" s="1"/>
  <c r="BD123" i="5"/>
  <c r="AP123" i="5"/>
  <c r="BJ123" i="5"/>
  <c r="BD135" i="5"/>
  <c r="BJ135" i="5"/>
  <c r="AP135" i="5"/>
  <c r="BD148" i="5"/>
  <c r="AP149" i="5"/>
  <c r="AS152" i="5"/>
  <c r="L155" i="5"/>
  <c r="AO161" i="5"/>
  <c r="AP161" i="5"/>
  <c r="AX161" i="5" s="1"/>
  <c r="AP165" i="5"/>
  <c r="BJ165" i="5"/>
  <c r="BD168" i="5"/>
  <c r="AP170" i="5"/>
  <c r="BJ170" i="5"/>
  <c r="L170" i="5"/>
  <c r="M170" i="5" s="1"/>
  <c r="AP173" i="5"/>
  <c r="AO173" i="5"/>
  <c r="AW173" i="5" s="1"/>
  <c r="AV173" i="5" s="1"/>
  <c r="AO192" i="5"/>
  <c r="AU206" i="5"/>
  <c r="BJ231" i="5"/>
  <c r="BI256" i="5"/>
  <c r="AC256" i="5" s="1"/>
  <c r="AP55" i="5"/>
  <c r="BI55" i="5" s="1"/>
  <c r="AE55" i="5" s="1"/>
  <c r="BD81" i="5"/>
  <c r="BD113" i="5"/>
  <c r="AO113" i="5"/>
  <c r="AX127" i="5"/>
  <c r="BI137" i="5"/>
  <c r="AE137" i="5" s="1"/>
  <c r="BD142" i="5"/>
  <c r="AO142" i="5"/>
  <c r="L142" i="5"/>
  <c r="AO153" i="5"/>
  <c r="BD153" i="5"/>
  <c r="AU152" i="5"/>
  <c r="AW154" i="5"/>
  <c r="BH170" i="5"/>
  <c r="AD170" i="5" s="1"/>
  <c r="J170" i="5"/>
  <c r="AO178" i="5"/>
  <c r="BD178" i="5"/>
  <c r="AP178" i="5"/>
  <c r="L178" i="5"/>
  <c r="AO190" i="5"/>
  <c r="AW190" i="5" s="1"/>
  <c r="AV190" i="5" s="1"/>
  <c r="AP190" i="5"/>
  <c r="BI190" i="5" s="1"/>
  <c r="AE190" i="5" s="1"/>
  <c r="L190" i="5"/>
  <c r="AK190" i="5" s="1"/>
  <c r="AP211" i="5"/>
  <c r="AX211" i="5" s="1"/>
  <c r="BJ211" i="5"/>
  <c r="L211" i="5"/>
  <c r="BJ289" i="5"/>
  <c r="AX236" i="5"/>
  <c r="BI236" i="5"/>
  <c r="AE236" i="5" s="1"/>
  <c r="AO282" i="5"/>
  <c r="AW282" i="5" s="1"/>
  <c r="AP282" i="5"/>
  <c r="BM282" i="5"/>
  <c r="F35" i="4" s="1"/>
  <c r="I35" i="4" s="1"/>
  <c r="L282" i="5"/>
  <c r="AP289" i="5"/>
  <c r="K289" i="5" s="1"/>
  <c r="K288" i="5" s="1"/>
  <c r="E46" i="2" s="1"/>
  <c r="BD289" i="5"/>
  <c r="L289" i="5"/>
  <c r="M289" i="5" s="1"/>
  <c r="M288" i="5" s="1"/>
  <c r="AO17" i="5"/>
  <c r="J17" i="5" s="1"/>
  <c r="AP17" i="5"/>
  <c r="BI17" i="5" s="1"/>
  <c r="AE17" i="5" s="1"/>
  <c r="BD47" i="5"/>
  <c r="BJ47" i="5"/>
  <c r="AP47" i="5"/>
  <c r="K141" i="1"/>
  <c r="AO21" i="5"/>
  <c r="J21" i="5" s="1"/>
  <c r="BH28" i="5"/>
  <c r="AP44" i="5"/>
  <c r="AX44" i="5" s="1"/>
  <c r="BJ44" i="5"/>
  <c r="L44" i="5"/>
  <c r="BD55" i="5"/>
  <c r="AO106" i="5"/>
  <c r="L118" i="5"/>
  <c r="AK118" i="5" s="1"/>
  <c r="L119" i="5"/>
  <c r="AK119" i="5" s="1"/>
  <c r="BI129" i="5"/>
  <c r="AE129" i="5" s="1"/>
  <c r="K20" i="1"/>
  <c r="K32" i="1"/>
  <c r="K49" i="1"/>
  <c r="K53" i="1"/>
  <c r="K65" i="1"/>
  <c r="K69" i="1"/>
  <c r="K81" i="1"/>
  <c r="K85" i="1"/>
  <c r="K107" i="1"/>
  <c r="K111" i="1"/>
  <c r="K123" i="1"/>
  <c r="K142" i="1"/>
  <c r="K157" i="1"/>
  <c r="K169" i="1"/>
  <c r="K190" i="1"/>
  <c r="K188" i="1" s="1"/>
  <c r="K214" i="1"/>
  <c r="BD21" i="5"/>
  <c r="AO28" i="5"/>
  <c r="AW28" i="5" s="1"/>
  <c r="BD28" i="5"/>
  <c r="AW33" i="5"/>
  <c r="BC33" i="5" s="1"/>
  <c r="BD39" i="5"/>
  <c r="AO39" i="5"/>
  <c r="BI40" i="5"/>
  <c r="AE40" i="5" s="1"/>
  <c r="BD43" i="5"/>
  <c r="AP43" i="5"/>
  <c r="L43" i="5"/>
  <c r="AK43" i="5" s="1"/>
  <c r="L47" i="5"/>
  <c r="AK47" i="5" s="1"/>
  <c r="AP49" i="5"/>
  <c r="AX49" i="5" s="1"/>
  <c r="BD49" i="5"/>
  <c r="M53" i="5"/>
  <c r="BJ55" i="5"/>
  <c r="AP74" i="5"/>
  <c r="BI74" i="5" s="1"/>
  <c r="AE74" i="5" s="1"/>
  <c r="AP85" i="5"/>
  <c r="AO99" i="5"/>
  <c r="AP99" i="5"/>
  <c r="K99" i="5" s="1"/>
  <c r="AP105" i="5"/>
  <c r="AX105" i="5" s="1"/>
  <c r="AO105" i="5"/>
  <c r="BD106" i="5"/>
  <c r="L113" i="5"/>
  <c r="AK113" i="5" s="1"/>
  <c r="AO118" i="5"/>
  <c r="L123" i="5"/>
  <c r="AP129" i="5"/>
  <c r="AX129" i="5" s="1"/>
  <c r="L129" i="5"/>
  <c r="M135" i="5"/>
  <c r="L137" i="5"/>
  <c r="AK137" i="5" s="1"/>
  <c r="AO143" i="5"/>
  <c r="AP143" i="5"/>
  <c r="BI143" i="5" s="1"/>
  <c r="AE143" i="5" s="1"/>
  <c r="AX149" i="5"/>
  <c r="BH165" i="5"/>
  <c r="AD165" i="5" s="1"/>
  <c r="BJ177" i="5"/>
  <c r="L177" i="5"/>
  <c r="AK177" i="5" s="1"/>
  <c r="BI184" i="5"/>
  <c r="AE184" i="5" s="1"/>
  <c r="K184" i="5"/>
  <c r="BD197" i="5"/>
  <c r="AO197" i="5"/>
  <c r="AO200" i="5"/>
  <c r="AW200" i="5" s="1"/>
  <c r="BD200" i="5"/>
  <c r="AP200" i="5"/>
  <c r="K200" i="5" s="1"/>
  <c r="L200" i="5"/>
  <c r="AK200" i="5" s="1"/>
  <c r="AW204" i="5"/>
  <c r="AO207" i="5"/>
  <c r="AW207" i="5" s="1"/>
  <c r="BD207" i="5"/>
  <c r="AP207" i="5"/>
  <c r="AX207" i="5" s="1"/>
  <c r="AO222" i="5"/>
  <c r="AW222" i="5" s="1"/>
  <c r="BD222" i="5"/>
  <c r="AP222" i="5"/>
  <c r="AO231" i="5"/>
  <c r="M251" i="5"/>
  <c r="BD257" i="5"/>
  <c r="BJ257" i="5"/>
  <c r="Z257" i="5" s="1"/>
  <c r="L257" i="5"/>
  <c r="AK257" i="5" s="1"/>
  <c r="BH259" i="5"/>
  <c r="J259" i="5"/>
  <c r="AW259" i="5"/>
  <c r="AP40" i="5"/>
  <c r="AX40" i="5" s="1"/>
  <c r="BD40" i="5"/>
  <c r="AO104" i="5"/>
  <c r="BH104" i="5" s="1"/>
  <c r="AD104" i="5" s="1"/>
  <c r="BJ104" i="5"/>
  <c r="AP104" i="5"/>
  <c r="BI112" i="5"/>
  <c r="AE112" i="5" s="1"/>
  <c r="AP113" i="5"/>
  <c r="AP118" i="5"/>
  <c r="BI118" i="5" s="1"/>
  <c r="AE118" i="5" s="1"/>
  <c r="AK127" i="5"/>
  <c r="M127" i="5"/>
  <c r="BJ151" i="5"/>
  <c r="Z151" i="5" s="1"/>
  <c r="L151" i="5"/>
  <c r="AK151" i="5" s="1"/>
  <c r="AP163" i="5"/>
  <c r="AO163" i="5"/>
  <c r="AW163" i="5" s="1"/>
  <c r="J183" i="5"/>
  <c r="BH183" i="5"/>
  <c r="AD183" i="5" s="1"/>
  <c r="AP209" i="5"/>
  <c r="BI209" i="5" s="1"/>
  <c r="AC209" i="5" s="1"/>
  <c r="AO209" i="5"/>
  <c r="AW209" i="5" s="1"/>
  <c r="L209" i="5"/>
  <c r="AK209" i="5" s="1"/>
  <c r="K259" i="5"/>
  <c r="AX259" i="5"/>
  <c r="AO271" i="5"/>
  <c r="BD271" i="5"/>
  <c r="AP271" i="5"/>
  <c r="AX24" i="5"/>
  <c r="BD27" i="5"/>
  <c r="AO27" i="5"/>
  <c r="AW27" i="5" s="1"/>
  <c r="AP77" i="5"/>
  <c r="AX77" i="5" s="1"/>
  <c r="AO89" i="5"/>
  <c r="AW89" i="5" s="1"/>
  <c r="AP89" i="5"/>
  <c r="AO112" i="5"/>
  <c r="AP112" i="5"/>
  <c r="BJ119" i="5"/>
  <c r="BD155" i="5"/>
  <c r="AO155" i="5"/>
  <c r="AP189" i="5"/>
  <c r="BI189" i="5" s="1"/>
  <c r="AE189" i="5" s="1"/>
  <c r="AO189" i="5"/>
  <c r="AW189" i="5" s="1"/>
  <c r="BD194" i="5"/>
  <c r="L194" i="5"/>
  <c r="M194" i="5" s="1"/>
  <c r="BD209" i="5"/>
  <c r="L243" i="5"/>
  <c r="F36" i="2" s="1"/>
  <c r="I36" i="2" s="1"/>
  <c r="BI249" i="5"/>
  <c r="AC249" i="5" s="1"/>
  <c r="BI259" i="5"/>
  <c r="BD282" i="5"/>
  <c r="K192" i="1"/>
  <c r="K211" i="1"/>
  <c r="K215" i="1"/>
  <c r="BJ33" i="5"/>
  <c r="Z33" i="5" s="1"/>
  <c r="BJ35" i="5"/>
  <c r="AP58" i="5"/>
  <c r="AX135" i="5"/>
  <c r="BC135" i="5" s="1"/>
  <c r="BJ143" i="5"/>
  <c r="AP145" i="5"/>
  <c r="K145" i="5" s="1"/>
  <c r="AO172" i="5"/>
  <c r="BJ174" i="5"/>
  <c r="L180" i="5"/>
  <c r="BJ201" i="5"/>
  <c r="BJ224" i="5"/>
  <c r="BI234" i="5"/>
  <c r="L235" i="5"/>
  <c r="F33" i="2" s="1"/>
  <c r="I33" i="2" s="1"/>
  <c r="AO244" i="5"/>
  <c r="BJ249" i="5"/>
  <c r="AP262" i="5"/>
  <c r="BI262" i="5" s="1"/>
  <c r="AO264" i="5"/>
  <c r="L265" i="5"/>
  <c r="AK265" i="5" s="1"/>
  <c r="BJ277" i="5"/>
  <c r="AP172" i="5"/>
  <c r="BJ216" i="5"/>
  <c r="BJ220" i="5"/>
  <c r="AP264" i="5"/>
  <c r="BI264" i="5" s="1"/>
  <c r="BJ265" i="5"/>
  <c r="Z265" i="5" s="1"/>
  <c r="K181" i="1"/>
  <c r="K205" i="1"/>
  <c r="K202" i="1" s="1"/>
  <c r="BH23" i="5"/>
  <c r="AD23" i="5" s="1"/>
  <c r="BJ56" i="5"/>
  <c r="BJ58" i="5"/>
  <c r="BD101" i="5"/>
  <c r="AX123" i="5"/>
  <c r="AX155" i="5"/>
  <c r="BH172" i="5"/>
  <c r="AD172" i="5" s="1"/>
  <c r="AP180" i="5"/>
  <c r="AU188" i="5"/>
  <c r="L234" i="5"/>
  <c r="AP242" i="5"/>
  <c r="K242" i="5" s="1"/>
  <c r="K241" i="5" s="1"/>
  <c r="E35" i="2" s="1"/>
  <c r="AW251" i="5"/>
  <c r="BJ259" i="5"/>
  <c r="Z259" i="5" s="1"/>
  <c r="AP267" i="5"/>
  <c r="AP277" i="5"/>
  <c r="BJ278" i="5"/>
  <c r="Z278" i="5" s="1"/>
  <c r="AO287" i="5"/>
  <c r="BD242" i="5"/>
  <c r="AX264" i="5"/>
  <c r="AO265" i="5"/>
  <c r="AS270" i="5"/>
  <c r="AW277" i="5"/>
  <c r="M177" i="5"/>
  <c r="AX182" i="5"/>
  <c r="BJ192" i="5"/>
  <c r="BJ197" i="5"/>
  <c r="AU235" i="5"/>
  <c r="AP265" i="5"/>
  <c r="K208" i="1"/>
  <c r="AX52" i="5"/>
  <c r="BI52" i="5"/>
  <c r="AE52" i="5" s="1"/>
  <c r="K52" i="5"/>
  <c r="K19" i="1"/>
  <c r="K18" i="1" s="1"/>
  <c r="K31" i="1"/>
  <c r="K27" i="1" s="1"/>
  <c r="K46" i="1"/>
  <c r="K45" i="1" s="1"/>
  <c r="K171" i="1"/>
  <c r="K12" i="1"/>
  <c r="C27" i="3"/>
  <c r="C29" i="3"/>
  <c r="F29" i="3" s="1"/>
  <c r="AU13" i="5"/>
  <c r="M23" i="5"/>
  <c r="AK44" i="5"/>
  <c r="M44" i="5"/>
  <c r="BJ45" i="5"/>
  <c r="L45" i="5"/>
  <c r="AX46" i="5"/>
  <c r="O46" i="5"/>
  <c r="BF46" i="5" s="1"/>
  <c r="AW46" i="5"/>
  <c r="BJ46" i="5"/>
  <c r="L46" i="5"/>
  <c r="L52" i="5"/>
  <c r="BD54" i="5"/>
  <c r="BJ54" i="5"/>
  <c r="L54" i="5"/>
  <c r="AP54" i="5"/>
  <c r="AS51" i="5"/>
  <c r="J59" i="5"/>
  <c r="BD78" i="5"/>
  <c r="AP78" i="5"/>
  <c r="AO78" i="5"/>
  <c r="K79" i="5"/>
  <c r="BI79" i="5"/>
  <c r="AE79" i="5" s="1"/>
  <c r="AO97" i="5"/>
  <c r="BD97" i="5"/>
  <c r="AP97" i="5"/>
  <c r="K124" i="5"/>
  <c r="AX124" i="5"/>
  <c r="AO88" i="5"/>
  <c r="BD88" i="5"/>
  <c r="AP88" i="5"/>
  <c r="AX70" i="5"/>
  <c r="O70" i="5"/>
  <c r="BF70" i="5" s="1"/>
  <c r="BH70" i="5"/>
  <c r="AD70" i="5" s="1"/>
  <c r="J70" i="5"/>
  <c r="BI70" i="5"/>
  <c r="AE70" i="5" s="1"/>
  <c r="L70" i="5"/>
  <c r="K70" i="5"/>
  <c r="AW70" i="5"/>
  <c r="AO92" i="5"/>
  <c r="BD92" i="5"/>
  <c r="AP92" i="5"/>
  <c r="M18" i="5"/>
  <c r="AX21" i="5"/>
  <c r="O21" i="5"/>
  <c r="AW21" i="5"/>
  <c r="BJ21" i="5"/>
  <c r="L21" i="5"/>
  <c r="BI21" i="5"/>
  <c r="AE21" i="5" s="1"/>
  <c r="K21" i="5"/>
  <c r="AP27" i="5"/>
  <c r="AX28" i="5"/>
  <c r="BC28" i="5" s="1"/>
  <c r="J43" i="5"/>
  <c r="AP45" i="5"/>
  <c r="BI45" i="5" s="1"/>
  <c r="AE45" i="5" s="1"/>
  <c r="AO45" i="5"/>
  <c r="BH45" i="5" s="1"/>
  <c r="AD45" i="5" s="1"/>
  <c r="AK55" i="5"/>
  <c r="AO60" i="5"/>
  <c r="AW60" i="5" s="1"/>
  <c r="AP60" i="5"/>
  <c r="BJ60" i="5"/>
  <c r="BD61" i="5"/>
  <c r="AO61" i="5"/>
  <c r="AW64" i="5"/>
  <c r="BD68" i="5"/>
  <c r="AO68" i="5"/>
  <c r="AW72" i="5"/>
  <c r="J72" i="5"/>
  <c r="BD82" i="5"/>
  <c r="AP82" i="5"/>
  <c r="AO82" i="5"/>
  <c r="K83" i="5"/>
  <c r="BI83" i="5"/>
  <c r="AE83" i="5" s="1"/>
  <c r="AX117" i="5"/>
  <c r="O117" i="5"/>
  <c r="AW117" i="5"/>
  <c r="BJ117" i="5"/>
  <c r="L117" i="5"/>
  <c r="BH117" i="5"/>
  <c r="AD117" i="5" s="1"/>
  <c r="J117" i="5"/>
  <c r="K117" i="5"/>
  <c r="BI117" i="5"/>
  <c r="AE117" i="5" s="1"/>
  <c r="AP121" i="5"/>
  <c r="AO121" i="5"/>
  <c r="BD121" i="5"/>
  <c r="M101" i="5"/>
  <c r="AK101" i="5"/>
  <c r="K221" i="1"/>
  <c r="K219" i="1" s="1"/>
  <c r="K218" i="1" s="1"/>
  <c r="K233" i="1"/>
  <c r="K232" i="1" s="1"/>
  <c r="I27" i="4"/>
  <c r="F29" i="4" s="1"/>
  <c r="AO25" i="5"/>
  <c r="J27" i="5"/>
  <c r="K28" i="5"/>
  <c r="J33" i="5"/>
  <c r="AV33" i="5"/>
  <c r="BI35" i="5"/>
  <c r="AE35" i="5" s="1"/>
  <c r="AK40" i="5"/>
  <c r="M40" i="5"/>
  <c r="AW41" i="5"/>
  <c r="BJ41" i="5"/>
  <c r="L41" i="5"/>
  <c r="BI41" i="5"/>
  <c r="AE41" i="5" s="1"/>
  <c r="J41" i="5"/>
  <c r="AX42" i="5"/>
  <c r="O42" i="5"/>
  <c r="BF42" i="5" s="1"/>
  <c r="AW42" i="5"/>
  <c r="BJ42" i="5"/>
  <c r="L42" i="5"/>
  <c r="AW43" i="5"/>
  <c r="O45" i="5"/>
  <c r="BF45" i="5" s="1"/>
  <c r="J46" i="5"/>
  <c r="BH46" i="5"/>
  <c r="AD46" i="5" s="1"/>
  <c r="M47" i="5"/>
  <c r="AU51" i="5"/>
  <c r="AO54" i="5"/>
  <c r="L60" i="5"/>
  <c r="K61" i="5"/>
  <c r="AX62" i="5"/>
  <c r="O62" i="5"/>
  <c r="BF62" i="5" s="1"/>
  <c r="BH62" i="5"/>
  <c r="AD62" i="5" s="1"/>
  <c r="J62" i="5"/>
  <c r="BJ62" i="5"/>
  <c r="AW62" i="5"/>
  <c r="BH72" i="5"/>
  <c r="AD72" i="5" s="1"/>
  <c r="BD86" i="5"/>
  <c r="AP86" i="5"/>
  <c r="AO86" i="5"/>
  <c r="K87" i="5"/>
  <c r="BI87" i="5"/>
  <c r="AE87" i="5" s="1"/>
  <c r="AP16" i="5"/>
  <c r="AX16" i="5" s="1"/>
  <c r="AO16" i="5"/>
  <c r="J16" i="5" s="1"/>
  <c r="BJ52" i="5"/>
  <c r="K229" i="1"/>
  <c r="C20" i="3"/>
  <c r="BD16" i="5"/>
  <c r="AS20" i="5"/>
  <c r="BJ24" i="5"/>
  <c r="L24" i="5"/>
  <c r="BI24" i="5"/>
  <c r="AE24" i="5" s="1"/>
  <c r="K24" i="5"/>
  <c r="AX31" i="5"/>
  <c r="O31" i="5"/>
  <c r="AW31" i="5"/>
  <c r="BJ31" i="5"/>
  <c r="L31" i="5"/>
  <c r="AP41" i="5"/>
  <c r="AX41" i="5" s="1"/>
  <c r="AO41" i="5"/>
  <c r="BH41" i="5" s="1"/>
  <c r="AD41" i="5" s="1"/>
  <c r="BD90" i="5"/>
  <c r="AP90" i="5"/>
  <c r="AO90" i="5"/>
  <c r="K91" i="5"/>
  <c r="BI91" i="5"/>
  <c r="AE91" i="5" s="1"/>
  <c r="AP115" i="5"/>
  <c r="AO115" i="5"/>
  <c r="BD115" i="5"/>
  <c r="BI161" i="5"/>
  <c r="AE161" i="5" s="1"/>
  <c r="AX17" i="5"/>
  <c r="O17" i="5"/>
  <c r="BJ17" i="5"/>
  <c r="L17" i="5"/>
  <c r="AK49" i="5"/>
  <c r="M49" i="5"/>
  <c r="BD17" i="5"/>
  <c r="AX61" i="5"/>
  <c r="M15" i="5"/>
  <c r="BD25" i="5"/>
  <c r="L27" i="5"/>
  <c r="BH27" i="5"/>
  <c r="AD27" i="5" s="1"/>
  <c r="M28" i="5"/>
  <c r="AK35" i="5"/>
  <c r="M35" i="5"/>
  <c r="AS34" i="5"/>
  <c r="BJ36" i="5"/>
  <c r="L36" i="5"/>
  <c r="BI36" i="5"/>
  <c r="AE36" i="5" s="1"/>
  <c r="K36" i="5"/>
  <c r="AX38" i="5"/>
  <c r="O38" i="5"/>
  <c r="BF38" i="5" s="1"/>
  <c r="AW38" i="5"/>
  <c r="BJ38" i="5"/>
  <c r="L38" i="5"/>
  <c r="AW39" i="5"/>
  <c r="O41" i="5"/>
  <c r="BF41" i="5" s="1"/>
  <c r="J42" i="5"/>
  <c r="BH42" i="5"/>
  <c r="AD42" i="5" s="1"/>
  <c r="M43" i="5"/>
  <c r="AW59" i="5"/>
  <c r="AO66" i="5"/>
  <c r="AW66" i="5" s="1"/>
  <c r="BD66" i="5"/>
  <c r="AP68" i="5"/>
  <c r="BJ70" i="5"/>
  <c r="AO80" i="5"/>
  <c r="BD80" i="5"/>
  <c r="AP80" i="5"/>
  <c r="BD94" i="5"/>
  <c r="AP94" i="5"/>
  <c r="AO94" i="5"/>
  <c r="K95" i="5"/>
  <c r="BI95" i="5"/>
  <c r="AE95" i="5" s="1"/>
  <c r="AK107" i="5"/>
  <c r="M107" i="5"/>
  <c r="BD52" i="5"/>
  <c r="AO52" i="5"/>
  <c r="M14" i="5"/>
  <c r="BJ16" i="5"/>
  <c r="L16" i="5"/>
  <c r="L13" i="5" s="1"/>
  <c r="AP22" i="5"/>
  <c r="AX25" i="5"/>
  <c r="O25" i="5"/>
  <c r="BF25" i="5" s="1"/>
  <c r="BJ25" i="5"/>
  <c r="L25" i="5"/>
  <c r="BI25" i="5"/>
  <c r="AE25" i="5" s="1"/>
  <c r="K25" i="5"/>
  <c r="J31" i="5"/>
  <c r="BH31" i="5"/>
  <c r="AD31" i="5" s="1"/>
  <c r="M33" i="5"/>
  <c r="AP36" i="5"/>
  <c r="AX36" i="5" s="1"/>
  <c r="AO36" i="5"/>
  <c r="BH36" i="5" s="1"/>
  <c r="AD36" i="5" s="1"/>
  <c r="K42" i="5"/>
  <c r="BI42" i="5"/>
  <c r="AE42" i="5" s="1"/>
  <c r="BD45" i="5"/>
  <c r="BD60" i="5"/>
  <c r="L62" i="5"/>
  <c r="J64" i="5"/>
  <c r="AP66" i="5"/>
  <c r="AO84" i="5"/>
  <c r="BD84" i="5"/>
  <c r="AP84" i="5"/>
  <c r="BI33" i="5"/>
  <c r="BI39" i="5"/>
  <c r="AE39" i="5" s="1"/>
  <c r="BI43" i="5"/>
  <c r="AE43" i="5" s="1"/>
  <c r="BD64" i="5"/>
  <c r="L64" i="5"/>
  <c r="AP64" i="5"/>
  <c r="BH66" i="5"/>
  <c r="AD66" i="5" s="1"/>
  <c r="J66" i="5"/>
  <c r="AX66" i="5"/>
  <c r="O66" i="5"/>
  <c r="BF66" i="5" s="1"/>
  <c r="BJ68" i="5"/>
  <c r="BH101" i="5"/>
  <c r="AD101" i="5" s="1"/>
  <c r="J101" i="5"/>
  <c r="BH102" i="5"/>
  <c r="AD102" i="5" s="1"/>
  <c r="J102" i="5"/>
  <c r="AX106" i="5"/>
  <c r="O106" i="5"/>
  <c r="BF106" i="5" s="1"/>
  <c r="AW106" i="5"/>
  <c r="BI106" i="5"/>
  <c r="AE106" i="5" s="1"/>
  <c r="K106" i="5"/>
  <c r="BJ106" i="5"/>
  <c r="L106" i="5"/>
  <c r="BH106" i="5"/>
  <c r="AD106" i="5" s="1"/>
  <c r="J106" i="5"/>
  <c r="BD107" i="5"/>
  <c r="AP107" i="5"/>
  <c r="AO107" i="5"/>
  <c r="BC127" i="5"/>
  <c r="AV127" i="5"/>
  <c r="AK129" i="5"/>
  <c r="M129" i="5"/>
  <c r="K66" i="5"/>
  <c r="AP72" i="5"/>
  <c r="BH74" i="5"/>
  <c r="AD74" i="5" s="1"/>
  <c r="J74" i="5"/>
  <c r="AX74" i="5"/>
  <c r="BC74" i="5" s="1"/>
  <c r="O74" i="5"/>
  <c r="BF74" i="5" s="1"/>
  <c r="BJ76" i="5"/>
  <c r="AO76" i="5"/>
  <c r="O77" i="5"/>
  <c r="BF77" i="5" s="1"/>
  <c r="BJ77" i="5"/>
  <c r="L77" i="5"/>
  <c r="BH77" i="5"/>
  <c r="AD77" i="5" s="1"/>
  <c r="J77" i="5"/>
  <c r="AX81" i="5"/>
  <c r="AV81" i="5" s="1"/>
  <c r="O81" i="5"/>
  <c r="BF81" i="5" s="1"/>
  <c r="BJ81" i="5"/>
  <c r="L81" i="5"/>
  <c r="AX85" i="5"/>
  <c r="AV85" i="5" s="1"/>
  <c r="O85" i="5"/>
  <c r="BF85" i="5" s="1"/>
  <c r="BJ85" i="5"/>
  <c r="L85" i="5"/>
  <c r="BH85" i="5"/>
  <c r="AD85" i="5" s="1"/>
  <c r="J85" i="5"/>
  <c r="AX89" i="5"/>
  <c r="O89" i="5"/>
  <c r="BF89" i="5" s="1"/>
  <c r="BJ89" i="5"/>
  <c r="L89" i="5"/>
  <c r="BH89" i="5"/>
  <c r="AD89" i="5" s="1"/>
  <c r="J89" i="5"/>
  <c r="AX93" i="5"/>
  <c r="AV93" i="5" s="1"/>
  <c r="O93" i="5"/>
  <c r="BF93" i="5" s="1"/>
  <c r="BJ93" i="5"/>
  <c r="L93" i="5"/>
  <c r="BH93" i="5"/>
  <c r="AD93" i="5" s="1"/>
  <c r="J93" i="5"/>
  <c r="BJ99" i="5"/>
  <c r="BI99" i="5"/>
  <c r="AE99" i="5" s="1"/>
  <c r="AX99" i="5"/>
  <c r="O99" i="5"/>
  <c r="BF99" i="5" s="1"/>
  <c r="L99" i="5"/>
  <c r="J99" i="5"/>
  <c r="AK114" i="5"/>
  <c r="M114" i="5"/>
  <c r="BH127" i="5"/>
  <c r="AD127" i="5" s="1"/>
  <c r="O141" i="5"/>
  <c r="BF141" i="5" s="1"/>
  <c r="BJ141" i="5"/>
  <c r="L141" i="5"/>
  <c r="L66" i="5"/>
  <c r="AP76" i="5"/>
  <c r="AO79" i="5"/>
  <c r="BH79" i="5" s="1"/>
  <c r="AD79" i="5" s="1"/>
  <c r="BD79" i="5"/>
  <c r="AO83" i="5"/>
  <c r="AW83" i="5" s="1"/>
  <c r="BD83" i="5"/>
  <c r="AO87" i="5"/>
  <c r="J87" i="5" s="1"/>
  <c r="BD87" i="5"/>
  <c r="AO91" i="5"/>
  <c r="BH91" i="5" s="1"/>
  <c r="AD91" i="5" s="1"/>
  <c r="BD91" i="5"/>
  <c r="AO95" i="5"/>
  <c r="AW95" i="5" s="1"/>
  <c r="BD95" i="5"/>
  <c r="K118" i="5"/>
  <c r="J127" i="5"/>
  <c r="AP141" i="5"/>
  <c r="BI141" i="5" s="1"/>
  <c r="AE141" i="5" s="1"/>
  <c r="AO141" i="5"/>
  <c r="BH141" i="5" s="1"/>
  <c r="AD141" i="5" s="1"/>
  <c r="BD141" i="5"/>
  <c r="AP186" i="5"/>
  <c r="AX186" i="5" s="1"/>
  <c r="AO186" i="5"/>
  <c r="BD186" i="5"/>
  <c r="BJ186" i="5"/>
  <c r="Z186" i="5" s="1"/>
  <c r="L186" i="5"/>
  <c r="AO24" i="5"/>
  <c r="BH24" i="5" s="1"/>
  <c r="AD24" i="5" s="1"/>
  <c r="AX53" i="5"/>
  <c r="BC53" i="5" s="1"/>
  <c r="BH55" i="5"/>
  <c r="AD55" i="5" s="1"/>
  <c r="J55" i="5"/>
  <c r="AX55" i="5"/>
  <c r="O55" i="5"/>
  <c r="BF55" i="5" s="1"/>
  <c r="BD70" i="5"/>
  <c r="BJ79" i="5"/>
  <c r="K81" i="5"/>
  <c r="BI81" i="5"/>
  <c r="AE81" i="5" s="1"/>
  <c r="BJ83" i="5"/>
  <c r="K85" i="5"/>
  <c r="BI85" i="5"/>
  <c r="AE85" i="5" s="1"/>
  <c r="BJ87" i="5"/>
  <c r="K89" i="5"/>
  <c r="BI89" i="5"/>
  <c r="AE89" i="5" s="1"/>
  <c r="BJ91" i="5"/>
  <c r="K93" i="5"/>
  <c r="BI93" i="5"/>
  <c r="AE93" i="5" s="1"/>
  <c r="BJ95" i="5"/>
  <c r="AW102" i="5"/>
  <c r="AX112" i="5"/>
  <c r="O112" i="5"/>
  <c r="BJ112" i="5"/>
  <c r="L112" i="5"/>
  <c r="BH112" i="5"/>
  <c r="AD112" i="5" s="1"/>
  <c r="J112" i="5"/>
  <c r="AW112" i="5"/>
  <c r="O126" i="5"/>
  <c r="BF126" i="5" s="1"/>
  <c r="BJ126" i="5"/>
  <c r="L126" i="5"/>
  <c r="K126" i="5"/>
  <c r="BH126" i="5"/>
  <c r="AD126" i="5" s="1"/>
  <c r="BD159" i="5"/>
  <c r="AP159" i="5"/>
  <c r="AO159" i="5"/>
  <c r="L159" i="5"/>
  <c r="BJ159" i="5"/>
  <c r="AO15" i="5"/>
  <c r="AW15" i="5" s="1"/>
  <c r="J35" i="5"/>
  <c r="AO35" i="5"/>
  <c r="AW35" i="5" s="1"/>
  <c r="AO40" i="5"/>
  <c r="AW40" i="5" s="1"/>
  <c r="BH40" i="5"/>
  <c r="AD40" i="5" s="1"/>
  <c r="AO44" i="5"/>
  <c r="AW44" i="5" s="1"/>
  <c r="BH44" i="5"/>
  <c r="AD44" i="5" s="1"/>
  <c r="AO49" i="5"/>
  <c r="AW49" i="5" s="1"/>
  <c r="BH53" i="5"/>
  <c r="AD53" i="5" s="1"/>
  <c r="AW55" i="5"/>
  <c r="AP56" i="5"/>
  <c r="AX58" i="5"/>
  <c r="BC58" i="5" s="1"/>
  <c r="O58" i="5"/>
  <c r="BF58" i="5" s="1"/>
  <c r="BH58" i="5"/>
  <c r="AD58" i="5" s="1"/>
  <c r="J58" i="5"/>
  <c r="BI66" i="5"/>
  <c r="AE66" i="5" s="1"/>
  <c r="L74" i="5"/>
  <c r="BD74" i="5"/>
  <c r="L79" i="5"/>
  <c r="L83" i="5"/>
  <c r="L87" i="5"/>
  <c r="L91" i="5"/>
  <c r="L95" i="5"/>
  <c r="BD102" i="5"/>
  <c r="AP102" i="5"/>
  <c r="AX102" i="5" s="1"/>
  <c r="BJ102" i="5"/>
  <c r="L102" i="5"/>
  <c r="BJ107" i="5"/>
  <c r="O122" i="5"/>
  <c r="BF122" i="5" s="1"/>
  <c r="BJ122" i="5"/>
  <c r="L122" i="5"/>
  <c r="K122" i="5"/>
  <c r="AP126" i="5"/>
  <c r="BI126" i="5" s="1"/>
  <c r="AE126" i="5" s="1"/>
  <c r="AO126" i="5"/>
  <c r="AW126" i="5" s="1"/>
  <c r="BD126" i="5"/>
  <c r="AW147" i="5"/>
  <c r="BJ147" i="5"/>
  <c r="L147" i="5"/>
  <c r="BH147" i="5"/>
  <c r="AD147" i="5" s="1"/>
  <c r="J147" i="5"/>
  <c r="O147" i="5"/>
  <c r="BF147" i="5" s="1"/>
  <c r="K15" i="5"/>
  <c r="J23" i="5"/>
  <c r="J28" i="5"/>
  <c r="K35" i="5"/>
  <c r="K40" i="5"/>
  <c r="K44" i="5"/>
  <c r="J53" i="5"/>
  <c r="BI53" i="5"/>
  <c r="AE53" i="5" s="1"/>
  <c r="K55" i="5"/>
  <c r="J56" i="5"/>
  <c r="BD59" i="5"/>
  <c r="BJ59" i="5"/>
  <c r="L59" i="5"/>
  <c r="AP59" i="5"/>
  <c r="BH60" i="5"/>
  <c r="AD60" i="5" s="1"/>
  <c r="AX60" i="5"/>
  <c r="O60" i="5"/>
  <c r="BF60" i="5" s="1"/>
  <c r="BJ61" i="5"/>
  <c r="AP62" i="5"/>
  <c r="BI62" i="5" s="1"/>
  <c r="AE62" i="5" s="1"/>
  <c r="BJ66" i="5"/>
  <c r="BJ78" i="5"/>
  <c r="BJ80" i="5"/>
  <c r="BJ82" i="5"/>
  <c r="BJ84" i="5"/>
  <c r="BJ86" i="5"/>
  <c r="BJ88" i="5"/>
  <c r="BJ90" i="5"/>
  <c r="BJ92" i="5"/>
  <c r="BJ94" i="5"/>
  <c r="BJ97" i="5"/>
  <c r="M104" i="5"/>
  <c r="AK104" i="5"/>
  <c r="K112" i="5"/>
  <c r="BI124" i="5"/>
  <c r="AE124" i="5" s="1"/>
  <c r="BH142" i="5"/>
  <c r="AD142" i="5" s="1"/>
  <c r="BH109" i="5"/>
  <c r="J109" i="5"/>
  <c r="AW109" i="5"/>
  <c r="BI114" i="5"/>
  <c r="AE114" i="5" s="1"/>
  <c r="BC123" i="5"/>
  <c r="AV123" i="5"/>
  <c r="J174" i="5"/>
  <c r="BH174" i="5"/>
  <c r="AD174" i="5" s="1"/>
  <c r="L72" i="5"/>
  <c r="L78" i="5"/>
  <c r="O79" i="5"/>
  <c r="BF79" i="5" s="1"/>
  <c r="AX79" i="5"/>
  <c r="L82" i="5"/>
  <c r="O83" i="5"/>
  <c r="BF83" i="5" s="1"/>
  <c r="AX83" i="5"/>
  <c r="L86" i="5"/>
  <c r="O87" i="5"/>
  <c r="BF87" i="5" s="1"/>
  <c r="AX87" i="5"/>
  <c r="L90" i="5"/>
  <c r="O91" i="5"/>
  <c r="BF91" i="5" s="1"/>
  <c r="AX91" i="5"/>
  <c r="L94" i="5"/>
  <c r="O95" i="5"/>
  <c r="BF95" i="5" s="1"/>
  <c r="AX95" i="5"/>
  <c r="AX101" i="5"/>
  <c r="O101" i="5"/>
  <c r="BF101" i="5" s="1"/>
  <c r="AW101" i="5"/>
  <c r="BI101" i="5"/>
  <c r="AE101" i="5" s="1"/>
  <c r="K101" i="5"/>
  <c r="BJ105" i="5"/>
  <c r="L105" i="5"/>
  <c r="BI105" i="5"/>
  <c r="AE105" i="5" s="1"/>
  <c r="K105" i="5"/>
  <c r="AW105" i="5"/>
  <c r="AX109" i="5"/>
  <c r="AU111" i="5"/>
  <c r="AP114" i="5"/>
  <c r="AX114" i="5" s="1"/>
  <c r="AO114" i="5"/>
  <c r="AW114" i="5" s="1"/>
  <c r="BD114" i="5"/>
  <c r="BJ114" i="5"/>
  <c r="AX118" i="5"/>
  <c r="M124" i="5"/>
  <c r="BI125" i="5"/>
  <c r="AE125" i="5" s="1"/>
  <c r="K125" i="5"/>
  <c r="M137" i="5"/>
  <c r="BI139" i="5"/>
  <c r="AE139" i="5" s="1"/>
  <c r="K139" i="5"/>
  <c r="AX165" i="5"/>
  <c r="AX179" i="5"/>
  <c r="O179" i="5"/>
  <c r="BF179" i="5" s="1"/>
  <c r="BJ179" i="5"/>
  <c r="L179" i="5"/>
  <c r="BI179" i="5"/>
  <c r="AE179" i="5" s="1"/>
  <c r="K179" i="5"/>
  <c r="BH179" i="5"/>
  <c r="AD179" i="5" s="1"/>
  <c r="J179" i="5"/>
  <c r="AW179" i="5"/>
  <c r="AK211" i="5"/>
  <c r="M211" i="5"/>
  <c r="O133" i="5"/>
  <c r="BF133" i="5" s="1"/>
  <c r="BJ133" i="5"/>
  <c r="L133" i="5"/>
  <c r="AX153" i="5"/>
  <c r="BC173" i="5"/>
  <c r="AK180" i="5"/>
  <c r="M180" i="5"/>
  <c r="J104" i="5"/>
  <c r="AW104" i="5"/>
  <c r="AW107" i="5"/>
  <c r="AW115" i="5"/>
  <c r="AU116" i="5"/>
  <c r="AS116" i="5"/>
  <c r="AW121" i="5"/>
  <c r="AP122" i="5"/>
  <c r="AX122" i="5" s="1"/>
  <c r="AO122" i="5"/>
  <c r="J122" i="5" s="1"/>
  <c r="AP133" i="5"/>
  <c r="AX133" i="5" s="1"/>
  <c r="AO133" i="5"/>
  <c r="BH133" i="5" s="1"/>
  <c r="AD133" i="5" s="1"/>
  <c r="BC149" i="5"/>
  <c r="AV149" i="5"/>
  <c r="AU157" i="5"/>
  <c r="BI154" i="5"/>
  <c r="AE154" i="5" s="1"/>
  <c r="K154" i="5"/>
  <c r="J158" i="5"/>
  <c r="BH158" i="5"/>
  <c r="AD158" i="5" s="1"/>
  <c r="L56" i="5"/>
  <c r="L61" i="5"/>
  <c r="L68" i="5"/>
  <c r="L76" i="5"/>
  <c r="L80" i="5"/>
  <c r="J83" i="5"/>
  <c r="L84" i="5"/>
  <c r="L88" i="5"/>
  <c r="J91" i="5"/>
  <c r="L92" i="5"/>
  <c r="L97" i="5"/>
  <c r="K104" i="5"/>
  <c r="O105" i="5"/>
  <c r="BF105" i="5" s="1"/>
  <c r="AK109" i="5"/>
  <c r="BD117" i="5"/>
  <c r="BD122" i="5"/>
  <c r="BI131" i="5"/>
  <c r="AE131" i="5" s="1"/>
  <c r="K131" i="5"/>
  <c r="BD133" i="5"/>
  <c r="AK175" i="5"/>
  <c r="M175" i="5"/>
  <c r="K102" i="5"/>
  <c r="BI102" i="5"/>
  <c r="AE102" i="5" s="1"/>
  <c r="BI107" i="5"/>
  <c r="AE107" i="5" s="1"/>
  <c r="BD125" i="5"/>
  <c r="BD131" i="5"/>
  <c r="BD139" i="5"/>
  <c r="BI145" i="5"/>
  <c r="AE145" i="5" s="1"/>
  <c r="BH161" i="5"/>
  <c r="AD161" i="5" s="1"/>
  <c r="J161" i="5"/>
  <c r="AW161" i="5"/>
  <c r="BJ161" i="5"/>
  <c r="L161" i="5"/>
  <c r="BD171" i="5"/>
  <c r="AP171" i="5"/>
  <c r="AO171" i="5"/>
  <c r="AW143" i="5"/>
  <c r="BH143" i="5"/>
  <c r="AD143" i="5" s="1"/>
  <c r="J143" i="5"/>
  <c r="AW153" i="5"/>
  <c r="BJ153" i="5"/>
  <c r="L153" i="5"/>
  <c r="BH153" i="5"/>
  <c r="AD153" i="5" s="1"/>
  <c r="J153" i="5"/>
  <c r="M165" i="5"/>
  <c r="AK165" i="5"/>
  <c r="AK171" i="5"/>
  <c r="M171" i="5"/>
  <c r="BF189" i="5"/>
  <c r="O113" i="5"/>
  <c r="BF113" i="5" s="1"/>
  <c r="J115" i="5"/>
  <c r="BH115" i="5"/>
  <c r="O118" i="5"/>
  <c r="BF118" i="5" s="1"/>
  <c r="BD119" i="5"/>
  <c r="J121" i="5"/>
  <c r="BH121" i="5"/>
  <c r="AD121" i="5" s="1"/>
  <c r="O123" i="5"/>
  <c r="BF123" i="5" s="1"/>
  <c r="BD124" i="5"/>
  <c r="AO125" i="5"/>
  <c r="AW125" i="5" s="1"/>
  <c r="O127" i="5"/>
  <c r="BF127" i="5" s="1"/>
  <c r="BD129" i="5"/>
  <c r="AO131" i="5"/>
  <c r="AW131" i="5" s="1"/>
  <c r="BH131" i="5"/>
  <c r="AD131" i="5" s="1"/>
  <c r="O135" i="5"/>
  <c r="BF135" i="5" s="1"/>
  <c r="BD137" i="5"/>
  <c r="J139" i="5"/>
  <c r="AO139" i="5"/>
  <c r="AW139" i="5" s="1"/>
  <c r="O142" i="5"/>
  <c r="BF142" i="5" s="1"/>
  <c r="AX142" i="5"/>
  <c r="O144" i="5"/>
  <c r="BF144" i="5" s="1"/>
  <c r="BJ144" i="5"/>
  <c r="L144" i="5"/>
  <c r="AO144" i="5"/>
  <c r="AX145" i="5"/>
  <c r="BC145" i="5" s="1"/>
  <c r="AP151" i="5"/>
  <c r="AX151" i="5" s="1"/>
  <c r="AO151" i="5"/>
  <c r="BD151" i="5"/>
  <c r="BD167" i="5"/>
  <c r="AP167" i="5"/>
  <c r="AO167" i="5"/>
  <c r="BH168" i="5"/>
  <c r="AD168" i="5" s="1"/>
  <c r="J168" i="5"/>
  <c r="AW168" i="5"/>
  <c r="BJ168" i="5"/>
  <c r="L168" i="5"/>
  <c r="BJ173" i="5"/>
  <c r="L173" i="5"/>
  <c r="BI173" i="5"/>
  <c r="AE173" i="5" s="1"/>
  <c r="K173" i="5"/>
  <c r="AX173" i="5"/>
  <c r="O173" i="5"/>
  <c r="BF173" i="5" s="1"/>
  <c r="AX174" i="5"/>
  <c r="AP181" i="5"/>
  <c r="AX181" i="5" s="1"/>
  <c r="AO181" i="5"/>
  <c r="BD181" i="5"/>
  <c r="L181" i="5"/>
  <c r="BH189" i="5"/>
  <c r="AD189" i="5" s="1"/>
  <c r="J189" i="5"/>
  <c r="AW199" i="5"/>
  <c r="J199" i="5"/>
  <c r="BH199" i="5"/>
  <c r="AD199" i="5" s="1"/>
  <c r="AP214" i="5"/>
  <c r="BI214" i="5" s="1"/>
  <c r="AC214" i="5" s="1"/>
  <c r="AO214" i="5"/>
  <c r="AW214" i="5" s="1"/>
  <c r="BD214" i="5"/>
  <c r="AP144" i="5"/>
  <c r="BI144" i="5" s="1"/>
  <c r="AE144" i="5" s="1"/>
  <c r="AX148" i="5"/>
  <c r="O148" i="5"/>
  <c r="BF148" i="5" s="1"/>
  <c r="BJ148" i="5"/>
  <c r="L148" i="5"/>
  <c r="K153" i="5"/>
  <c r="BI153" i="5"/>
  <c r="AE153" i="5" s="1"/>
  <c r="AP158" i="5"/>
  <c r="BI158" i="5" s="1"/>
  <c r="AE158" i="5" s="1"/>
  <c r="BD158" i="5"/>
  <c r="O161" i="5"/>
  <c r="BF161" i="5" s="1"/>
  <c r="BJ163" i="5"/>
  <c r="L163" i="5"/>
  <c r="BI163" i="5"/>
  <c r="AE163" i="5" s="1"/>
  <c r="K163" i="5"/>
  <c r="AX163" i="5"/>
  <c r="O163" i="5"/>
  <c r="BF163" i="5" s="1"/>
  <c r="AK167" i="5"/>
  <c r="M167" i="5"/>
  <c r="AX176" i="5"/>
  <c r="O176" i="5"/>
  <c r="BF176" i="5" s="1"/>
  <c r="AW176" i="5"/>
  <c r="L176" i="5"/>
  <c r="K176" i="5"/>
  <c r="J176" i="5"/>
  <c r="BJ176" i="5"/>
  <c r="BH176" i="5"/>
  <c r="AD176" i="5" s="1"/>
  <c r="AP218" i="5"/>
  <c r="AO218" i="5"/>
  <c r="BD218" i="5"/>
  <c r="L218" i="5"/>
  <c r="J114" i="5"/>
  <c r="BH114" i="5"/>
  <c r="AD114" i="5" s="1"/>
  <c r="L115" i="5"/>
  <c r="BJ115" i="5"/>
  <c r="Z115" i="5" s="1"/>
  <c r="AO119" i="5"/>
  <c r="BH119" i="5" s="1"/>
  <c r="AD119" i="5" s="1"/>
  <c r="L121" i="5"/>
  <c r="BJ121" i="5"/>
  <c r="AO124" i="5"/>
  <c r="L125" i="5"/>
  <c r="BJ125" i="5"/>
  <c r="AO129" i="5"/>
  <c r="L131" i="5"/>
  <c r="BJ131" i="5"/>
  <c r="AO137" i="5"/>
  <c r="BH137" i="5" s="1"/>
  <c r="AD137" i="5" s="1"/>
  <c r="L139" i="5"/>
  <c r="BJ139" i="5"/>
  <c r="L143" i="5"/>
  <c r="AP146" i="5"/>
  <c r="AO146" i="5"/>
  <c r="BD146" i="5"/>
  <c r="J149" i="5"/>
  <c r="O153" i="5"/>
  <c r="BJ158" i="5"/>
  <c r="BH163" i="5"/>
  <c r="AD163" i="5" s="1"/>
  <c r="K168" i="5"/>
  <c r="BJ181" i="5"/>
  <c r="AK194" i="5"/>
  <c r="BJ218" i="5"/>
  <c r="K119" i="5"/>
  <c r="K129" i="5"/>
  <c r="K137" i="5"/>
  <c r="BD143" i="5"/>
  <c r="L146" i="5"/>
  <c r="BJ146" i="5"/>
  <c r="AP147" i="5"/>
  <c r="BI147" i="5" s="1"/>
  <c r="AE147" i="5" s="1"/>
  <c r="J148" i="5"/>
  <c r="AW148" i="5"/>
  <c r="AX154" i="5"/>
  <c r="AV154" i="5" s="1"/>
  <c r="O154" i="5"/>
  <c r="BF154" i="5" s="1"/>
  <c r="BJ154" i="5"/>
  <c r="L154" i="5"/>
  <c r="L158" i="5"/>
  <c r="AS157" i="5"/>
  <c r="J163" i="5"/>
  <c r="O168" i="5"/>
  <c r="BF168" i="5" s="1"/>
  <c r="BJ169" i="5"/>
  <c r="L169" i="5"/>
  <c r="BI169" i="5"/>
  <c r="AE169" i="5" s="1"/>
  <c r="K169" i="5"/>
  <c r="BH169" i="5"/>
  <c r="AD169" i="5" s="1"/>
  <c r="J169" i="5"/>
  <c r="AX169" i="5"/>
  <c r="AV169" i="5" s="1"/>
  <c r="O169" i="5"/>
  <c r="BF169" i="5" s="1"/>
  <c r="AX170" i="5"/>
  <c r="BJ171" i="5"/>
  <c r="BD175" i="5"/>
  <c r="AP175" i="5"/>
  <c r="AO175" i="5"/>
  <c r="AW195" i="5"/>
  <c r="BH195" i="5"/>
  <c r="AD195" i="5" s="1"/>
  <c r="K209" i="5"/>
  <c r="BD165" i="5"/>
  <c r="AK170" i="5"/>
  <c r="BD170" i="5"/>
  <c r="L172" i="5"/>
  <c r="BJ172" i="5"/>
  <c r="AK174" i="5"/>
  <c r="BD174" i="5"/>
  <c r="AS188" i="5"/>
  <c r="BD204" i="5"/>
  <c r="BJ204" i="5"/>
  <c r="Z204" i="5" s="1"/>
  <c r="L204" i="5"/>
  <c r="AP204" i="5"/>
  <c r="BI211" i="5"/>
  <c r="AC211" i="5" s="1"/>
  <c r="AW220" i="5"/>
  <c r="BH220" i="5"/>
  <c r="AB220" i="5" s="1"/>
  <c r="J220" i="5"/>
  <c r="AW172" i="5"/>
  <c r="AW182" i="5"/>
  <c r="BJ182" i="5"/>
  <c r="L182" i="5"/>
  <c r="BH182" i="5"/>
  <c r="AD182" i="5" s="1"/>
  <c r="J182" i="5"/>
  <c r="BI186" i="5"/>
  <c r="BH190" i="5"/>
  <c r="AD190" i="5" s="1"/>
  <c r="J190" i="5"/>
  <c r="AX190" i="5"/>
  <c r="BC190" i="5" s="1"/>
  <c r="O190" i="5"/>
  <c r="BF190" i="5" s="1"/>
  <c r="AK196" i="5"/>
  <c r="M196" i="5"/>
  <c r="AX202" i="5"/>
  <c r="O202" i="5"/>
  <c r="BF202" i="5" s="1"/>
  <c r="BJ202" i="5"/>
  <c r="L202" i="5"/>
  <c r="BI202" i="5"/>
  <c r="AE202" i="5" s="1"/>
  <c r="K202" i="5"/>
  <c r="J204" i="5"/>
  <c r="AW212" i="5"/>
  <c r="BH214" i="5"/>
  <c r="AB214" i="5" s="1"/>
  <c r="AX214" i="5"/>
  <c r="O214" i="5"/>
  <c r="BF214" i="5" s="1"/>
  <c r="L214" i="5"/>
  <c r="BJ214" i="5"/>
  <c r="BI227" i="5"/>
  <c r="K227" i="5"/>
  <c r="BH236" i="5"/>
  <c r="AD236" i="5" s="1"/>
  <c r="AW236" i="5"/>
  <c r="J236" i="5"/>
  <c r="AK278" i="5"/>
  <c r="M278" i="5"/>
  <c r="O145" i="5"/>
  <c r="BF145" i="5" s="1"/>
  <c r="O149" i="5"/>
  <c r="BF149" i="5" s="1"/>
  <c r="O155" i="5"/>
  <c r="BF155" i="5" s="1"/>
  <c r="K158" i="5"/>
  <c r="K165" i="5"/>
  <c r="BI165" i="5"/>
  <c r="AE165" i="5" s="1"/>
  <c r="K170" i="5"/>
  <c r="BI170" i="5"/>
  <c r="AE170" i="5" s="1"/>
  <c r="K174" i="5"/>
  <c r="BI174" i="5"/>
  <c r="AE174" i="5" s="1"/>
  <c r="K182" i="5"/>
  <c r="BI182" i="5"/>
  <c r="AE182" i="5" s="1"/>
  <c r="J184" i="5"/>
  <c r="K190" i="5"/>
  <c r="BD199" i="5"/>
  <c r="BJ199" i="5"/>
  <c r="L199" i="5"/>
  <c r="AP199" i="5"/>
  <c r="BH200" i="5"/>
  <c r="AD200" i="5" s="1"/>
  <c r="BI200" i="5"/>
  <c r="AE200" i="5" s="1"/>
  <c r="AV224" i="5"/>
  <c r="BC224" i="5"/>
  <c r="BH264" i="5"/>
  <c r="AW264" i="5"/>
  <c r="J264" i="5"/>
  <c r="BD189" i="5"/>
  <c r="BJ189" i="5"/>
  <c r="L189" i="5"/>
  <c r="AX198" i="5"/>
  <c r="O198" i="5"/>
  <c r="BF198" i="5" s="1"/>
  <c r="BJ198" i="5"/>
  <c r="L198" i="5"/>
  <c r="BI198" i="5"/>
  <c r="AE198" i="5" s="1"/>
  <c r="K198" i="5"/>
  <c r="BH198" i="5"/>
  <c r="AD198" i="5" s="1"/>
  <c r="J198" i="5"/>
  <c r="O208" i="5"/>
  <c r="BF208" i="5" s="1"/>
  <c r="BJ208" i="5"/>
  <c r="L208" i="5"/>
  <c r="BI208" i="5"/>
  <c r="AC208" i="5" s="1"/>
  <c r="K208" i="5"/>
  <c r="J208" i="5"/>
  <c r="BH209" i="5"/>
  <c r="AB209" i="5" s="1"/>
  <c r="BH222" i="5"/>
  <c r="J222" i="5"/>
  <c r="AX222" i="5"/>
  <c r="O222" i="5"/>
  <c r="BF222" i="5" s="1"/>
  <c r="BJ222" i="5"/>
  <c r="Z222" i="5" s="1"/>
  <c r="BI222" i="5"/>
  <c r="L222" i="5"/>
  <c r="K222" i="5"/>
  <c r="BH146" i="5"/>
  <c r="AD146" i="5" s="1"/>
  <c r="BH151" i="5"/>
  <c r="AW158" i="5"/>
  <c r="AW165" i="5"/>
  <c r="AW170" i="5"/>
  <c r="AW174" i="5"/>
  <c r="AW178" i="5"/>
  <c r="BJ178" i="5"/>
  <c r="BH178" i="5"/>
  <c r="AD178" i="5" s="1"/>
  <c r="J178" i="5"/>
  <c r="AX178" i="5"/>
  <c r="AX183" i="5"/>
  <c r="BC183" i="5" s="1"/>
  <c r="O183" i="5"/>
  <c r="BF183" i="5" s="1"/>
  <c r="BJ183" i="5"/>
  <c r="L183" i="5"/>
  <c r="BI183" i="5"/>
  <c r="AE183" i="5" s="1"/>
  <c r="K183" i="5"/>
  <c r="BD183" i="5"/>
  <c r="AK184" i="5"/>
  <c r="M184" i="5"/>
  <c r="M190" i="5"/>
  <c r="BJ190" i="5"/>
  <c r="AX194" i="5"/>
  <c r="O194" i="5"/>
  <c r="BF194" i="5" s="1"/>
  <c r="BJ194" i="5"/>
  <c r="K194" i="5"/>
  <c r="AV201" i="5"/>
  <c r="BC201" i="5"/>
  <c r="AS206" i="5"/>
  <c r="AP208" i="5"/>
  <c r="AX208" i="5" s="1"/>
  <c r="AO208" i="5"/>
  <c r="BH208" i="5" s="1"/>
  <c r="AB208" i="5" s="1"/>
  <c r="M259" i="5"/>
  <c r="K151" i="5"/>
  <c r="O158" i="5"/>
  <c r="O165" i="5"/>
  <c r="BF165" i="5" s="1"/>
  <c r="O170" i="5"/>
  <c r="BF170" i="5" s="1"/>
  <c r="J172" i="5"/>
  <c r="O174" i="5"/>
  <c r="BF174" i="5" s="1"/>
  <c r="BJ175" i="5"/>
  <c r="AP177" i="5"/>
  <c r="BI177" i="5" s="1"/>
  <c r="AE177" i="5" s="1"/>
  <c r="BD177" i="5"/>
  <c r="AP194" i="5"/>
  <c r="BI194" i="5" s="1"/>
  <c r="AE194" i="5" s="1"/>
  <c r="AO194" i="5"/>
  <c r="BH194" i="5" s="1"/>
  <c r="AD194" i="5" s="1"/>
  <c r="BD195" i="5"/>
  <c r="BJ195" i="5"/>
  <c r="L195" i="5"/>
  <c r="AP195" i="5"/>
  <c r="BH196" i="5"/>
  <c r="AD196" i="5" s="1"/>
  <c r="BF207" i="5"/>
  <c r="J209" i="5"/>
  <c r="AX233" i="5"/>
  <c r="BI233" i="5"/>
  <c r="AE233" i="5" s="1"/>
  <c r="K233" i="5"/>
  <c r="AK246" i="5"/>
  <c r="AU245" i="5"/>
  <c r="AW196" i="5"/>
  <c r="BD227" i="5"/>
  <c r="BJ227" i="5"/>
  <c r="Z227" i="5" s="1"/>
  <c r="L227" i="5"/>
  <c r="BI240" i="5"/>
  <c r="AE240" i="5" s="1"/>
  <c r="K240" i="5"/>
  <c r="K239" i="5" s="1"/>
  <c r="E34" i="2" s="1"/>
  <c r="BH242" i="5"/>
  <c r="AB242" i="5" s="1"/>
  <c r="AW242" i="5"/>
  <c r="AX267" i="5"/>
  <c r="O267" i="5"/>
  <c r="BF267" i="5" s="1"/>
  <c r="AW267" i="5"/>
  <c r="BJ267" i="5"/>
  <c r="Z267" i="5" s="1"/>
  <c r="L267" i="5"/>
  <c r="BI267" i="5"/>
  <c r="BH267" i="5"/>
  <c r="K267" i="5"/>
  <c r="J267" i="5"/>
  <c r="AK277" i="5"/>
  <c r="M277" i="5"/>
  <c r="AW180" i="5"/>
  <c r="AW184" i="5"/>
  <c r="O196" i="5"/>
  <c r="BF196" i="5" s="1"/>
  <c r="AX196" i="5"/>
  <c r="AO198" i="5"/>
  <c r="AW198" i="5" s="1"/>
  <c r="O200" i="5"/>
  <c r="BF200" i="5" s="1"/>
  <c r="AX200" i="5"/>
  <c r="AV200" i="5" s="1"/>
  <c r="AO202" i="5"/>
  <c r="J202" i="5" s="1"/>
  <c r="M209" i="5"/>
  <c r="AX220" i="5"/>
  <c r="BH229" i="5"/>
  <c r="AD229" i="5" s="1"/>
  <c r="J229" i="5"/>
  <c r="J228" i="5" s="1"/>
  <c r="D31" i="2" s="1"/>
  <c r="AX229" i="5"/>
  <c r="O229" i="5"/>
  <c r="AW229" i="5"/>
  <c r="AX240" i="5"/>
  <c r="J242" i="5"/>
  <c r="J241" i="5" s="1"/>
  <c r="D35" i="2" s="1"/>
  <c r="BI271" i="5"/>
  <c r="AE271" i="5" s="1"/>
  <c r="K271" i="5"/>
  <c r="BH271" i="5"/>
  <c r="AD271" i="5" s="1"/>
  <c r="J271" i="5"/>
  <c r="BJ271" i="5"/>
  <c r="O271" i="5"/>
  <c r="L271" i="5"/>
  <c r="AX271" i="5"/>
  <c r="AP273" i="5"/>
  <c r="AX273" i="5" s="1"/>
  <c r="AO273" i="5"/>
  <c r="AW273" i="5" s="1"/>
  <c r="M275" i="5"/>
  <c r="AK275" i="5"/>
  <c r="O180" i="5"/>
  <c r="BF180" i="5" s="1"/>
  <c r="O184" i="5"/>
  <c r="BF184" i="5" s="1"/>
  <c r="J207" i="5"/>
  <c r="BH207" i="5"/>
  <c r="AB207" i="5" s="1"/>
  <c r="O209" i="5"/>
  <c r="BF209" i="5" s="1"/>
  <c r="BD211" i="5"/>
  <c r="J212" i="5"/>
  <c r="BH212" i="5"/>
  <c r="AB212" i="5" s="1"/>
  <c r="BD220" i="5"/>
  <c r="L220" i="5"/>
  <c r="AW233" i="5"/>
  <c r="AK234" i="5"/>
  <c r="M234" i="5"/>
  <c r="AV278" i="5"/>
  <c r="BJ284" i="5"/>
  <c r="L284" i="5"/>
  <c r="K284" i="5"/>
  <c r="BO284" i="5"/>
  <c r="O284" i="5"/>
  <c r="AP285" i="5"/>
  <c r="BI285" i="5" s="1"/>
  <c r="AO285" i="5"/>
  <c r="AW285" i="5" s="1"/>
  <c r="K207" i="5"/>
  <c r="BI207" i="5"/>
  <c r="AC207" i="5" s="1"/>
  <c r="K212" i="5"/>
  <c r="BI212" i="5"/>
  <c r="AC212" i="5" s="1"/>
  <c r="O225" i="5"/>
  <c r="BF225" i="5" s="1"/>
  <c r="BI229" i="5"/>
  <c r="AE229" i="5" s="1"/>
  <c r="AX232" i="5"/>
  <c r="O232" i="5"/>
  <c r="BF232" i="5" s="1"/>
  <c r="BJ232" i="5"/>
  <c r="L232" i="5"/>
  <c r="K232" i="5"/>
  <c r="BD233" i="5"/>
  <c r="BJ233" i="5"/>
  <c r="L233" i="5"/>
  <c r="AS255" i="5"/>
  <c r="K192" i="5"/>
  <c r="BI192" i="5"/>
  <c r="AE192" i="5" s="1"/>
  <c r="K197" i="5"/>
  <c r="BI197" i="5"/>
  <c r="AE197" i="5" s="1"/>
  <c r="K201" i="5"/>
  <c r="BI201" i="5"/>
  <c r="AE201" i="5" s="1"/>
  <c r="L207" i="5"/>
  <c r="BJ207" i="5"/>
  <c r="AO211" i="5"/>
  <c r="L212" i="5"/>
  <c r="BJ212" i="5"/>
  <c r="K220" i="5"/>
  <c r="BF224" i="5"/>
  <c r="AP225" i="5"/>
  <c r="AX225" i="5" s="1"/>
  <c r="AO225" i="5"/>
  <c r="BH225" i="5" s="1"/>
  <c r="AB225" i="5" s="1"/>
  <c r="L229" i="5"/>
  <c r="BJ229" i="5"/>
  <c r="AP232" i="5"/>
  <c r="BI232" i="5" s="1"/>
  <c r="AE232" i="5" s="1"/>
  <c r="AO232" i="5"/>
  <c r="BH232" i="5" s="1"/>
  <c r="AD232" i="5" s="1"/>
  <c r="J233" i="5"/>
  <c r="AO240" i="5"/>
  <c r="BD240" i="5"/>
  <c r="AU255" i="5"/>
  <c r="BD273" i="5"/>
  <c r="BC282" i="5"/>
  <c r="L192" i="5"/>
  <c r="J196" i="5"/>
  <c r="L197" i="5"/>
  <c r="J200" i="5"/>
  <c r="L201" i="5"/>
  <c r="K211" i="5"/>
  <c r="AX218" i="5"/>
  <c r="O218" i="5"/>
  <c r="BF218" i="5" s="1"/>
  <c r="AW218" i="5"/>
  <c r="BI218" i="5"/>
  <c r="AC218" i="5" s="1"/>
  <c r="K218" i="5"/>
  <c r="BH218" i="5"/>
  <c r="AB218" i="5" s="1"/>
  <c r="J218" i="5"/>
  <c r="L225" i="5"/>
  <c r="BJ225" i="5"/>
  <c r="AO227" i="5"/>
  <c r="BF231" i="5"/>
  <c r="AS245" i="5"/>
  <c r="BC251" i="5"/>
  <c r="M257" i="5"/>
  <c r="AV259" i="5"/>
  <c r="BC259" i="5"/>
  <c r="AW271" i="5"/>
  <c r="AP284" i="5"/>
  <c r="AX284" i="5" s="1"/>
  <c r="AO284" i="5"/>
  <c r="AW284" i="5" s="1"/>
  <c r="AX287" i="5"/>
  <c r="O287" i="5"/>
  <c r="BS287" i="5"/>
  <c r="F41" i="4" s="1"/>
  <c r="I41" i="4" s="1"/>
  <c r="AW287" i="5"/>
  <c r="BJ287" i="5"/>
  <c r="L287" i="5"/>
  <c r="BD216" i="5"/>
  <c r="BD224" i="5"/>
  <c r="BD231" i="5"/>
  <c r="O234" i="5"/>
  <c r="BF234" i="5" s="1"/>
  <c r="AX234" i="5"/>
  <c r="AV234" i="5" s="1"/>
  <c r="K236" i="5"/>
  <c r="M242" i="5"/>
  <c r="M241" i="5" s="1"/>
  <c r="O243" i="5"/>
  <c r="G36" i="2" s="1"/>
  <c r="AO248" i="5"/>
  <c r="BJ253" i="5"/>
  <c r="L253" i="5"/>
  <c r="BI253" i="5"/>
  <c r="AC253" i="5" s="1"/>
  <c r="AO257" i="5"/>
  <c r="AX262" i="5"/>
  <c r="O262" i="5"/>
  <c r="BF262" i="5" s="1"/>
  <c r="AW262" i="5"/>
  <c r="BJ262" i="5"/>
  <c r="Z262" i="5" s="1"/>
  <c r="L262" i="5"/>
  <c r="BJ275" i="5"/>
  <c r="BI282" i="5"/>
  <c r="K282" i="5"/>
  <c r="K281" i="5" s="1"/>
  <c r="BH282" i="5"/>
  <c r="J282" i="5"/>
  <c r="J281" i="5" s="1"/>
  <c r="BD284" i="5"/>
  <c r="L288" i="5"/>
  <c r="F46" i="2" s="1"/>
  <c r="I46" i="2" s="1"/>
  <c r="BD234" i="5"/>
  <c r="AP237" i="5"/>
  <c r="BI237" i="5" s="1"/>
  <c r="AE237" i="5" s="1"/>
  <c r="AO237" i="5"/>
  <c r="AW237" i="5" s="1"/>
  <c r="BF240" i="5"/>
  <c r="M244" i="5"/>
  <c r="M243" i="5" s="1"/>
  <c r="O248" i="5"/>
  <c r="AW248" i="5"/>
  <c r="BJ248" i="5"/>
  <c r="L248" i="5"/>
  <c r="AP248" i="5"/>
  <c r="BI248" i="5" s="1"/>
  <c r="AC248" i="5" s="1"/>
  <c r="AV251" i="5"/>
  <c r="AP253" i="5"/>
  <c r="K253" i="5" s="1"/>
  <c r="AO253" i="5"/>
  <c r="AW253" i="5" s="1"/>
  <c r="AO256" i="5"/>
  <c r="BH256" i="5" s="1"/>
  <c r="AB256" i="5" s="1"/>
  <c r="AX257" i="5"/>
  <c r="AP257" i="5"/>
  <c r="BJ266" i="5"/>
  <c r="Z266" i="5" s="1"/>
  <c r="L266" i="5"/>
  <c r="BI266" i="5"/>
  <c r="J266" i="5"/>
  <c r="AX266" i="5"/>
  <c r="O275" i="5"/>
  <c r="BF275" i="5" s="1"/>
  <c r="AO275" i="5"/>
  <c r="J287" i="5"/>
  <c r="J286" i="5" s="1"/>
  <c r="D45" i="2" s="1"/>
  <c r="AK289" i="5"/>
  <c r="AT288" i="5" s="1"/>
  <c r="BI289" i="5"/>
  <c r="J249" i="5"/>
  <c r="AW249" i="5"/>
  <c r="AX256" i="5"/>
  <c r="O256" i="5"/>
  <c r="BJ256" i="5"/>
  <c r="L256" i="5"/>
  <c r="K264" i="5"/>
  <c r="AP266" i="5"/>
  <c r="K266" i="5" s="1"/>
  <c r="AO266" i="5"/>
  <c r="AW266" i="5" s="1"/>
  <c r="AP275" i="5"/>
  <c r="BI275" i="5" s="1"/>
  <c r="AE275" i="5" s="1"/>
  <c r="K287" i="5"/>
  <c r="K286" i="5" s="1"/>
  <c r="E45" i="2" s="1"/>
  <c r="K216" i="5"/>
  <c r="BI216" i="5"/>
  <c r="AC216" i="5" s="1"/>
  <c r="K224" i="5"/>
  <c r="BI224" i="5"/>
  <c r="AC224" i="5" s="1"/>
  <c r="K231" i="5"/>
  <c r="BI231" i="5"/>
  <c r="AE231" i="5" s="1"/>
  <c r="BH234" i="5"/>
  <c r="M237" i="5"/>
  <c r="M235" i="5" s="1"/>
  <c r="AX242" i="5"/>
  <c r="O242" i="5"/>
  <c r="BI242" i="5"/>
  <c r="AC242" i="5" s="1"/>
  <c r="BJ246" i="5"/>
  <c r="O253" i="5"/>
  <c r="BF253" i="5" s="1"/>
  <c r="BJ260" i="5"/>
  <c r="Z260" i="5" s="1"/>
  <c r="L260" i="5"/>
  <c r="BH260" i="5"/>
  <c r="J260" i="5"/>
  <c r="K262" i="5"/>
  <c r="BD266" i="5"/>
  <c r="M282" i="5"/>
  <c r="M281" i="5" s="1"/>
  <c r="AX282" i="5"/>
  <c r="AV282" i="5" s="1"/>
  <c r="BH287" i="5"/>
  <c r="AX289" i="5"/>
  <c r="O289" i="5"/>
  <c r="BU289" i="5"/>
  <c r="F43" i="4" s="1"/>
  <c r="I43" i="4" s="1"/>
  <c r="AO289" i="5"/>
  <c r="L216" i="5"/>
  <c r="L224" i="5"/>
  <c r="L231" i="5"/>
  <c r="J234" i="5"/>
  <c r="O237" i="5"/>
  <c r="BF237" i="5" s="1"/>
  <c r="BJ237" i="5"/>
  <c r="AW240" i="5"/>
  <c r="BJ240" i="5"/>
  <c r="L240" i="5"/>
  <c r="BJ242" i="5"/>
  <c r="AP246" i="5"/>
  <c r="K246" i="5" s="1"/>
  <c r="AO246" i="5"/>
  <c r="BH246" i="5" s="1"/>
  <c r="AB246" i="5" s="1"/>
  <c r="AX246" i="5"/>
  <c r="L249" i="5"/>
  <c r="J256" i="5"/>
  <c r="AP260" i="5"/>
  <c r="AX260" i="5" s="1"/>
  <c r="AO260" i="5"/>
  <c r="AW260" i="5" s="1"/>
  <c r="BH262" i="5"/>
  <c r="M264" i="5"/>
  <c r="M265" i="5"/>
  <c r="O266" i="5"/>
  <c r="BF266" i="5" s="1"/>
  <c r="BJ273" i="5"/>
  <c r="L273" i="5"/>
  <c r="BI278" i="5"/>
  <c r="K278" i="5"/>
  <c r="BH278" i="5"/>
  <c r="J278" i="5"/>
  <c r="O282" i="5"/>
  <c r="BO285" i="5"/>
  <c r="BJ285" i="5"/>
  <c r="L285" i="5"/>
  <c r="AX285" i="5"/>
  <c r="BI287" i="5"/>
  <c r="O249" i="5"/>
  <c r="BF249" i="5" s="1"/>
  <c r="O257" i="5"/>
  <c r="BF257" i="5" s="1"/>
  <c r="O264" i="5"/>
  <c r="BF264" i="5" s="1"/>
  <c r="BC77" i="5" l="1"/>
  <c r="AV77" i="5"/>
  <c r="AV207" i="5"/>
  <c r="BC207" i="5"/>
  <c r="K285" i="5"/>
  <c r="BC234" i="5"/>
  <c r="J152" i="5"/>
  <c r="D23" i="2" s="1"/>
  <c r="K180" i="5"/>
  <c r="BI180" i="5"/>
  <c r="AE180" i="5" s="1"/>
  <c r="K172" i="5"/>
  <c r="BI172" i="5"/>
  <c r="AE172" i="5" s="1"/>
  <c r="AX172" i="5"/>
  <c r="BC172" i="5" s="1"/>
  <c r="J113" i="5"/>
  <c r="AW113" i="5"/>
  <c r="BH113" i="5"/>
  <c r="AD113" i="5" s="1"/>
  <c r="AX253" i="5"/>
  <c r="AX158" i="5"/>
  <c r="BI284" i="5"/>
  <c r="J216" i="5"/>
  <c r="M151" i="5"/>
  <c r="K143" i="5"/>
  <c r="J173" i="5"/>
  <c r="AX144" i="5"/>
  <c r="AX147" i="5"/>
  <c r="AX126" i="5"/>
  <c r="AV145" i="5"/>
  <c r="M119" i="5"/>
  <c r="AX47" i="5"/>
  <c r="K47" i="5"/>
  <c r="AK142" i="5"/>
  <c r="M142" i="5"/>
  <c r="BI23" i="5"/>
  <c r="AE23" i="5" s="1"/>
  <c r="AX23" i="5"/>
  <c r="K23" i="5"/>
  <c r="K273" i="5"/>
  <c r="BH253" i="5"/>
  <c r="AB253" i="5" s="1"/>
  <c r="AX237" i="5"/>
  <c r="K186" i="5"/>
  <c r="M200" i="5"/>
  <c r="BH173" i="5"/>
  <c r="AD173" i="5" s="1"/>
  <c r="J79" i="5"/>
  <c r="AV135" i="5"/>
  <c r="AW91" i="5"/>
  <c r="K49" i="5"/>
  <c r="K147" i="5"/>
  <c r="K77" i="5"/>
  <c r="J141" i="5"/>
  <c r="BC89" i="5"/>
  <c r="J81" i="5"/>
  <c r="BI47" i="5"/>
  <c r="AE47" i="5" s="1"/>
  <c r="AW14" i="5"/>
  <c r="AW17" i="5"/>
  <c r="AV17" i="5" s="1"/>
  <c r="BH21" i="5"/>
  <c r="AD21" i="5" s="1"/>
  <c r="BH17" i="5"/>
  <c r="AD17" i="5" s="1"/>
  <c r="BC85" i="5"/>
  <c r="M118" i="5"/>
  <c r="BI49" i="5"/>
  <c r="L281" i="5"/>
  <c r="F43" i="2" s="1"/>
  <c r="I43" i="2" s="1"/>
  <c r="AK282" i="5"/>
  <c r="AT281" i="5" s="1"/>
  <c r="AW142" i="5"/>
  <c r="AV142" i="5" s="1"/>
  <c r="J142" i="5"/>
  <c r="BI149" i="5"/>
  <c r="AE149" i="5" s="1"/>
  <c r="K149" i="5"/>
  <c r="AW56" i="5"/>
  <c r="BH56" i="5"/>
  <c r="AD56" i="5" s="1"/>
  <c r="AW216" i="5"/>
  <c r="AV216" i="5" s="1"/>
  <c r="AV163" i="5"/>
  <c r="K161" i="5"/>
  <c r="AX189" i="5"/>
  <c r="BC189" i="5" s="1"/>
  <c r="K283" i="5"/>
  <c r="E44" i="2" s="1"/>
  <c r="AX143" i="5"/>
  <c r="K189" i="5"/>
  <c r="K275" i="5"/>
  <c r="J246" i="5"/>
  <c r="J253" i="5"/>
  <c r="AW208" i="5"/>
  <c r="AV208" i="5" s="1"/>
  <c r="BI133" i="5"/>
  <c r="AE133" i="5" s="1"/>
  <c r="BI77" i="5"/>
  <c r="AE77" i="5" s="1"/>
  <c r="BH83" i="5"/>
  <c r="AD83" i="5" s="1"/>
  <c r="BC81" i="5"/>
  <c r="K62" i="5"/>
  <c r="BH265" i="5"/>
  <c r="J265" i="5"/>
  <c r="AW265" i="5"/>
  <c r="BC265" i="5" s="1"/>
  <c r="BH231" i="5"/>
  <c r="AD231" i="5" s="1"/>
  <c r="AW231" i="5"/>
  <c r="J231" i="5"/>
  <c r="BI273" i="5"/>
  <c r="AE273" i="5" s="1"/>
  <c r="J237" i="5"/>
  <c r="K181" i="5"/>
  <c r="BI181" i="5"/>
  <c r="AE181" i="5" s="1"/>
  <c r="AX209" i="5"/>
  <c r="K214" i="5"/>
  <c r="K206" i="5" s="1"/>
  <c r="C21" i="3"/>
  <c r="BI151" i="5"/>
  <c r="J95" i="5"/>
  <c r="BH35" i="5"/>
  <c r="AD35" i="5" s="1"/>
  <c r="K74" i="5"/>
  <c r="BH81" i="5"/>
  <c r="AD81" i="5" s="1"/>
  <c r="AX45" i="5"/>
  <c r="J14" i="5"/>
  <c r="K17" i="5"/>
  <c r="J45" i="5"/>
  <c r="M22" i="5"/>
  <c r="BI113" i="5"/>
  <c r="AE113" i="5" s="1"/>
  <c r="K113" i="5"/>
  <c r="BH99" i="5"/>
  <c r="AD99" i="5" s="1"/>
  <c r="AW99" i="5"/>
  <c r="AX113" i="5"/>
  <c r="BI196" i="5"/>
  <c r="AE196" i="5" s="1"/>
  <c r="K196" i="5"/>
  <c r="BC222" i="5"/>
  <c r="BH139" i="5"/>
  <c r="AD139" i="5" s="1"/>
  <c r="AW79" i="5"/>
  <c r="AV79" i="5" s="1"/>
  <c r="BC99" i="5"/>
  <c r="K45" i="5"/>
  <c r="AX180" i="5"/>
  <c r="BC180" i="5" s="1"/>
  <c r="BH244" i="5"/>
  <c r="AB244" i="5" s="1"/>
  <c r="J244" i="5"/>
  <c r="J243" i="5" s="1"/>
  <c r="D36" i="2" s="1"/>
  <c r="AW244" i="5"/>
  <c r="AK123" i="5"/>
  <c r="M123" i="5"/>
  <c r="AX43" i="5"/>
  <c r="K43" i="5"/>
  <c r="BI44" i="5"/>
  <c r="AE44" i="5" s="1"/>
  <c r="K135" i="5"/>
  <c r="BI135" i="5"/>
  <c r="AE135" i="5" s="1"/>
  <c r="BH18" i="5"/>
  <c r="AW18" i="5"/>
  <c r="J18" i="5"/>
  <c r="BH125" i="5"/>
  <c r="AD125" i="5" s="1"/>
  <c r="J30" i="5"/>
  <c r="K170" i="1"/>
  <c r="BI104" i="5"/>
  <c r="AE104" i="5" s="1"/>
  <c r="AX104" i="5"/>
  <c r="BH197" i="5"/>
  <c r="AD197" i="5" s="1"/>
  <c r="AW197" i="5"/>
  <c r="J197" i="5"/>
  <c r="J118" i="5"/>
  <c r="AW118" i="5"/>
  <c r="BC118" i="5" s="1"/>
  <c r="BH118" i="5"/>
  <c r="AD118" i="5" s="1"/>
  <c r="AW192" i="5"/>
  <c r="BH192" i="5"/>
  <c r="AD192" i="5" s="1"/>
  <c r="J192" i="5"/>
  <c r="AX14" i="5"/>
  <c r="BI14" i="5"/>
  <c r="AE14" i="5" s="1"/>
  <c r="K14" i="5"/>
  <c r="AX18" i="5"/>
  <c r="K18" i="5"/>
  <c r="BI18" i="5"/>
  <c r="J125" i="5"/>
  <c r="AX277" i="5"/>
  <c r="BC277" i="5" s="1"/>
  <c r="K277" i="5"/>
  <c r="BI277" i="5"/>
  <c r="AE277" i="5" s="1"/>
  <c r="M113" i="5"/>
  <c r="BH155" i="5"/>
  <c r="AW155" i="5"/>
  <c r="J155" i="5"/>
  <c r="BH39" i="5"/>
  <c r="AD39" i="5" s="1"/>
  <c r="J39" i="5"/>
  <c r="M178" i="5"/>
  <c r="AK178" i="5"/>
  <c r="AW22" i="5"/>
  <c r="J22" i="5"/>
  <c r="BH22" i="5"/>
  <c r="AD22" i="5" s="1"/>
  <c r="J44" i="5"/>
  <c r="BC93" i="5"/>
  <c r="AX265" i="5"/>
  <c r="BI265" i="5"/>
  <c r="K265" i="5"/>
  <c r="K58" i="5"/>
  <c r="BI58" i="5"/>
  <c r="AE58" i="5" s="1"/>
  <c r="J105" i="5"/>
  <c r="BH105" i="5"/>
  <c r="AD105" i="5" s="1"/>
  <c r="BI178" i="5"/>
  <c r="AE178" i="5" s="1"/>
  <c r="K178" i="5"/>
  <c r="AK155" i="5"/>
  <c r="M155" i="5"/>
  <c r="K123" i="5"/>
  <c r="BI123" i="5"/>
  <c r="AE123" i="5" s="1"/>
  <c r="AV198" i="5"/>
  <c r="BC198" i="5"/>
  <c r="AV131" i="5"/>
  <c r="BC131" i="5"/>
  <c r="BC214" i="5"/>
  <c r="AV214" i="5"/>
  <c r="BC126" i="5"/>
  <c r="AV126" i="5"/>
  <c r="AV273" i="5"/>
  <c r="BC273" i="5"/>
  <c r="AV139" i="5"/>
  <c r="BC139" i="5"/>
  <c r="AV125" i="5"/>
  <c r="BC125" i="5"/>
  <c r="AV95" i="5"/>
  <c r="BC95" i="5"/>
  <c r="BF282" i="5"/>
  <c r="O281" i="5"/>
  <c r="AK216" i="5"/>
  <c r="M216" i="5"/>
  <c r="M262" i="5"/>
  <c r="AK262" i="5"/>
  <c r="M143" i="5"/>
  <c r="AK143" i="5"/>
  <c r="AK181" i="5"/>
  <c r="M181" i="5"/>
  <c r="AV83" i="5"/>
  <c r="BC83" i="5"/>
  <c r="AV147" i="5"/>
  <c r="BC147" i="5"/>
  <c r="AV15" i="5"/>
  <c r="BC15" i="5"/>
  <c r="AV99" i="5"/>
  <c r="K11" i="1"/>
  <c r="K237" i="1"/>
  <c r="BH289" i="5"/>
  <c r="J289" i="5"/>
  <c r="J288" i="5" s="1"/>
  <c r="D46" i="2" s="1"/>
  <c r="M207" i="5"/>
  <c r="L206" i="5"/>
  <c r="AK207" i="5"/>
  <c r="AV178" i="5"/>
  <c r="BC178" i="5"/>
  <c r="BC79" i="5"/>
  <c r="AX94" i="5"/>
  <c r="BI94" i="5"/>
  <c r="AE94" i="5" s="1"/>
  <c r="K94" i="5"/>
  <c r="K260" i="5"/>
  <c r="AV266" i="5"/>
  <c r="BC266" i="5"/>
  <c r="BC249" i="5"/>
  <c r="AV249" i="5"/>
  <c r="M248" i="5"/>
  <c r="AK248" i="5"/>
  <c r="M225" i="5"/>
  <c r="AK225" i="5"/>
  <c r="AV260" i="5"/>
  <c r="BC260" i="5"/>
  <c r="AK224" i="5"/>
  <c r="L223" i="5"/>
  <c r="F30" i="2" s="1"/>
  <c r="I30" i="2" s="1"/>
  <c r="M224" i="5"/>
  <c r="BI260" i="5"/>
  <c r="BI246" i="5"/>
  <c r="AC246" i="5" s="1"/>
  <c r="K230" i="5"/>
  <c r="E32" i="2" s="1"/>
  <c r="AX275" i="5"/>
  <c r="K257" i="5"/>
  <c r="BI257" i="5"/>
  <c r="O235" i="5"/>
  <c r="G33" i="2" s="1"/>
  <c r="O286" i="5"/>
  <c r="G45" i="2" s="1"/>
  <c r="BF287" i="5"/>
  <c r="AK201" i="5"/>
  <c r="M201" i="5"/>
  <c r="L228" i="5"/>
  <c r="F31" i="2" s="1"/>
  <c r="I31" i="2" s="1"/>
  <c r="AK229" i="5"/>
  <c r="AT228" i="5" s="1"/>
  <c r="M229" i="5"/>
  <c r="M228" i="5" s="1"/>
  <c r="BH211" i="5"/>
  <c r="AB211" i="5" s="1"/>
  <c r="J211" i="5"/>
  <c r="AW211" i="5"/>
  <c r="J225" i="5"/>
  <c r="BH284" i="5"/>
  <c r="BC184" i="5"/>
  <c r="AV184" i="5"/>
  <c r="M267" i="5"/>
  <c r="AK267" i="5"/>
  <c r="L245" i="5"/>
  <c r="F37" i="2" s="1"/>
  <c r="I37" i="2" s="1"/>
  <c r="BF158" i="5"/>
  <c r="O157" i="5"/>
  <c r="AW194" i="5"/>
  <c r="BC200" i="5"/>
  <c r="BC264" i="5"/>
  <c r="AV264" i="5"/>
  <c r="BH202" i="5"/>
  <c r="AD202" i="5" s="1"/>
  <c r="K146" i="5"/>
  <c r="AX146" i="5"/>
  <c r="BH129" i="5"/>
  <c r="AD129" i="5" s="1"/>
  <c r="J129" i="5"/>
  <c r="J116" i="5" s="1"/>
  <c r="D22" i="2" s="1"/>
  <c r="AW129" i="5"/>
  <c r="AK148" i="5"/>
  <c r="M148" i="5"/>
  <c r="AK168" i="5"/>
  <c r="M168" i="5"/>
  <c r="BC154" i="5"/>
  <c r="K133" i="5"/>
  <c r="AV105" i="5"/>
  <c r="BC105" i="5"/>
  <c r="AK78" i="5"/>
  <c r="M78" i="5"/>
  <c r="AW87" i="5"/>
  <c r="J60" i="5"/>
  <c r="BH122" i="5"/>
  <c r="AD122" i="5" s="1"/>
  <c r="AK83" i="5"/>
  <c r="M83" i="5"/>
  <c r="BC44" i="5"/>
  <c r="AV44" i="5"/>
  <c r="BH15" i="5"/>
  <c r="AD15" i="5" s="1"/>
  <c r="J126" i="5"/>
  <c r="O111" i="5"/>
  <c r="BF112" i="5"/>
  <c r="AW141" i="5"/>
  <c r="M106" i="5"/>
  <c r="AK106" i="5"/>
  <c r="BI64" i="5"/>
  <c r="AE64" i="5" s="1"/>
  <c r="AX64" i="5"/>
  <c r="AV64" i="5" s="1"/>
  <c r="K64" i="5"/>
  <c r="AK62" i="5"/>
  <c r="M62" i="5"/>
  <c r="AW16" i="5"/>
  <c r="M38" i="5"/>
  <c r="AK38" i="5"/>
  <c r="BC17" i="5"/>
  <c r="BI115" i="5"/>
  <c r="K115" i="5"/>
  <c r="AX115" i="5"/>
  <c r="BC115" i="5" s="1"/>
  <c r="M31" i="5"/>
  <c r="M30" i="5" s="1"/>
  <c r="AK31" i="5"/>
  <c r="AT30" i="5" s="1"/>
  <c r="L30" i="5"/>
  <c r="AX86" i="5"/>
  <c r="BI86" i="5"/>
  <c r="AE86" i="5" s="1"/>
  <c r="K86" i="5"/>
  <c r="AV41" i="5"/>
  <c r="BC41" i="5"/>
  <c r="AV89" i="5"/>
  <c r="BI60" i="5"/>
  <c r="AE60" i="5" s="1"/>
  <c r="K60" i="5"/>
  <c r="AK70" i="5"/>
  <c r="M70" i="5"/>
  <c r="BH97" i="5"/>
  <c r="AD97" i="5" s="1"/>
  <c r="J97" i="5"/>
  <c r="AW97" i="5"/>
  <c r="M46" i="5"/>
  <c r="AK46" i="5"/>
  <c r="M273" i="5"/>
  <c r="AK273" i="5"/>
  <c r="AK260" i="5"/>
  <c r="M260" i="5"/>
  <c r="BC143" i="5"/>
  <c r="AV143" i="5"/>
  <c r="AK80" i="5"/>
  <c r="M80" i="5"/>
  <c r="BC179" i="5"/>
  <c r="AV179" i="5"/>
  <c r="AK72" i="5"/>
  <c r="M72" i="5"/>
  <c r="BH88" i="5"/>
  <c r="AD88" i="5" s="1"/>
  <c r="J88" i="5"/>
  <c r="AW88" i="5"/>
  <c r="M45" i="5"/>
  <c r="AK45" i="5"/>
  <c r="AV284" i="5"/>
  <c r="BC284" i="5"/>
  <c r="K225" i="5"/>
  <c r="K223" i="5" s="1"/>
  <c r="E30" i="2" s="1"/>
  <c r="AX195" i="5"/>
  <c r="BC195" i="5" s="1"/>
  <c r="BI195" i="5"/>
  <c r="AE195" i="5" s="1"/>
  <c r="K195" i="5"/>
  <c r="AK204" i="5"/>
  <c r="M204" i="5"/>
  <c r="BC55" i="5"/>
  <c r="AV55" i="5"/>
  <c r="AX141" i="5"/>
  <c r="AW52" i="5"/>
  <c r="BH52" i="5"/>
  <c r="AD52" i="5" s="1"/>
  <c r="J52" i="5"/>
  <c r="BC38" i="5"/>
  <c r="AV38" i="5"/>
  <c r="BC31" i="5"/>
  <c r="AV31" i="5"/>
  <c r="AX54" i="5"/>
  <c r="K54" i="5"/>
  <c r="BI54" i="5"/>
  <c r="AE54" i="5" s="1"/>
  <c r="AV240" i="5"/>
  <c r="BC240" i="5"/>
  <c r="AW289" i="5"/>
  <c r="BF242" i="5"/>
  <c r="O241" i="5"/>
  <c r="G35" i="2" s="1"/>
  <c r="BH266" i="5"/>
  <c r="AV253" i="5"/>
  <c r="BC253" i="5"/>
  <c r="AX248" i="5"/>
  <c r="BC248" i="5" s="1"/>
  <c r="AV262" i="5"/>
  <c r="BC262" i="5"/>
  <c r="BH237" i="5"/>
  <c r="AD237" i="5" s="1"/>
  <c r="BH240" i="5"/>
  <c r="AD240" i="5" s="1"/>
  <c r="J240" i="5"/>
  <c r="J239" i="5" s="1"/>
  <c r="D34" i="2" s="1"/>
  <c r="AW232" i="5"/>
  <c r="BI225" i="5"/>
  <c r="AC225" i="5" s="1"/>
  <c r="C15" i="3" s="1"/>
  <c r="BH285" i="5"/>
  <c r="J285" i="5"/>
  <c r="L283" i="5"/>
  <c r="AK284" i="5"/>
  <c r="M284" i="5"/>
  <c r="AK220" i="5"/>
  <c r="M220" i="5"/>
  <c r="BF271" i="5"/>
  <c r="O270" i="5"/>
  <c r="BC229" i="5"/>
  <c r="AV229" i="5"/>
  <c r="AK195" i="5"/>
  <c r="M195" i="5"/>
  <c r="J194" i="5"/>
  <c r="J188" i="5" s="1"/>
  <c r="AK222" i="5"/>
  <c r="M222" i="5"/>
  <c r="M208" i="5"/>
  <c r="AK208" i="5"/>
  <c r="J214" i="5"/>
  <c r="AV212" i="5"/>
  <c r="BC212" i="5"/>
  <c r="M202" i="5"/>
  <c r="AK202" i="5"/>
  <c r="AV182" i="5"/>
  <c r="BC182" i="5"/>
  <c r="AK172" i="5"/>
  <c r="M172" i="5"/>
  <c r="K114" i="5"/>
  <c r="M139" i="5"/>
  <c r="AK139" i="5"/>
  <c r="BH124" i="5"/>
  <c r="AD124" i="5" s="1"/>
  <c r="J124" i="5"/>
  <c r="AW124" i="5"/>
  <c r="BH181" i="5"/>
  <c r="AD181" i="5" s="1"/>
  <c r="J181" i="5"/>
  <c r="AW181" i="5"/>
  <c r="J151" i="5"/>
  <c r="AW151" i="5"/>
  <c r="M153" i="5"/>
  <c r="L152" i="5"/>
  <c r="F23" i="2" s="1"/>
  <c r="I23" i="2" s="1"/>
  <c r="AK153" i="5"/>
  <c r="BC161" i="5"/>
  <c r="AV161" i="5"/>
  <c r="AK92" i="5"/>
  <c r="M92" i="5"/>
  <c r="AK76" i="5"/>
  <c r="M76" i="5"/>
  <c r="BC163" i="5"/>
  <c r="M105" i="5"/>
  <c r="AK105" i="5"/>
  <c r="BC109" i="5"/>
  <c r="AV109" i="5"/>
  <c r="AK59" i="5"/>
  <c r="M59" i="5"/>
  <c r="M122" i="5"/>
  <c r="AK122" i="5"/>
  <c r="M74" i="5"/>
  <c r="AK74" i="5"/>
  <c r="AV40" i="5"/>
  <c r="BC40" i="5"/>
  <c r="BC112" i="5"/>
  <c r="AV112" i="5"/>
  <c r="AK77" i="5"/>
  <c r="M77" i="5"/>
  <c r="BH107" i="5"/>
  <c r="AD107" i="5" s="1"/>
  <c r="J107" i="5"/>
  <c r="BH16" i="5"/>
  <c r="AD16" i="5" s="1"/>
  <c r="AW36" i="5"/>
  <c r="AW90" i="5"/>
  <c r="BH90" i="5"/>
  <c r="AD90" i="5" s="1"/>
  <c r="J90" i="5"/>
  <c r="O30" i="5"/>
  <c r="BF31" i="5"/>
  <c r="AV62" i="5"/>
  <c r="BC62" i="5"/>
  <c r="AK60" i="5"/>
  <c r="M60" i="5"/>
  <c r="AV222" i="5"/>
  <c r="AX92" i="5"/>
  <c r="BI92" i="5"/>
  <c r="AE92" i="5" s="1"/>
  <c r="K92" i="5"/>
  <c r="AK54" i="5"/>
  <c r="M54" i="5"/>
  <c r="AW45" i="5"/>
  <c r="BC148" i="5"/>
  <c r="AV148" i="5"/>
  <c r="AK102" i="5"/>
  <c r="M102" i="5"/>
  <c r="D16" i="2"/>
  <c r="AW94" i="5"/>
  <c r="BH94" i="5"/>
  <c r="AD94" i="5" s="1"/>
  <c r="J94" i="5"/>
  <c r="L12" i="5"/>
  <c r="F11" i="2" s="1"/>
  <c r="F12" i="2"/>
  <c r="I12" i="2" s="1"/>
  <c r="O13" i="5"/>
  <c r="BF17" i="5"/>
  <c r="AV60" i="5"/>
  <c r="BC60" i="5"/>
  <c r="AW24" i="5"/>
  <c r="AK86" i="5"/>
  <c r="M86" i="5"/>
  <c r="BI122" i="5"/>
  <c r="AE122" i="5" s="1"/>
  <c r="J15" i="5"/>
  <c r="AK186" i="5"/>
  <c r="M186" i="5"/>
  <c r="BH87" i="5"/>
  <c r="AD87" i="5" s="1"/>
  <c r="AK27" i="5"/>
  <c r="M27" i="5"/>
  <c r="BH68" i="5"/>
  <c r="AD68" i="5" s="1"/>
  <c r="AW68" i="5"/>
  <c r="J68" i="5"/>
  <c r="M21" i="5"/>
  <c r="AK21" i="5"/>
  <c r="L20" i="5"/>
  <c r="BC46" i="5"/>
  <c r="AV46" i="5"/>
  <c r="AK249" i="5"/>
  <c r="M249" i="5"/>
  <c r="K248" i="5"/>
  <c r="K245" i="5" s="1"/>
  <c r="E37" i="2" s="1"/>
  <c r="AW246" i="5"/>
  <c r="AW256" i="5"/>
  <c r="D43" i="2"/>
  <c r="M253" i="5"/>
  <c r="AK253" i="5"/>
  <c r="K237" i="5"/>
  <c r="K235" i="5" s="1"/>
  <c r="E33" i="2" s="1"/>
  <c r="M287" i="5"/>
  <c r="M286" i="5" s="1"/>
  <c r="AK287" i="5"/>
  <c r="AT286" i="5" s="1"/>
  <c r="L286" i="5"/>
  <c r="F45" i="2" s="1"/>
  <c r="I45" i="2" s="1"/>
  <c r="BC271" i="5"/>
  <c r="AV271" i="5"/>
  <c r="O230" i="5"/>
  <c r="G32" i="2" s="1"/>
  <c r="BC218" i="5"/>
  <c r="AV218" i="5"/>
  <c r="AK192" i="5"/>
  <c r="M192" i="5"/>
  <c r="O223" i="5"/>
  <c r="G30" i="2" s="1"/>
  <c r="AW225" i="5"/>
  <c r="BF229" i="5"/>
  <c r="O228" i="5"/>
  <c r="G31" i="2" s="1"/>
  <c r="AV174" i="5"/>
  <c r="BC174" i="5"/>
  <c r="AV172" i="5"/>
  <c r="J175" i="5"/>
  <c r="BH175" i="5"/>
  <c r="AD175" i="5" s="1"/>
  <c r="AW175" i="5"/>
  <c r="M158" i="5"/>
  <c r="AK158" i="5"/>
  <c r="L157" i="5"/>
  <c r="O152" i="5"/>
  <c r="G23" i="2" s="1"/>
  <c r="BF153" i="5"/>
  <c r="M218" i="5"/>
  <c r="AK218" i="5"/>
  <c r="BI146" i="5"/>
  <c r="AE146" i="5" s="1"/>
  <c r="AK173" i="5"/>
  <c r="M173" i="5"/>
  <c r="J131" i="5"/>
  <c r="O188" i="5"/>
  <c r="AK68" i="5"/>
  <c r="M68" i="5"/>
  <c r="AW133" i="5"/>
  <c r="AV114" i="5"/>
  <c r="BC114" i="5"/>
  <c r="AK94" i="5"/>
  <c r="M94" i="5"/>
  <c r="BH49" i="5"/>
  <c r="J40" i="5"/>
  <c r="J34" i="5" s="1"/>
  <c r="AK159" i="5"/>
  <c r="M159" i="5"/>
  <c r="M126" i="5"/>
  <c r="AK126" i="5"/>
  <c r="J111" i="5"/>
  <c r="K141" i="5"/>
  <c r="BH95" i="5"/>
  <c r="AD95" i="5" s="1"/>
  <c r="AK81" i="5"/>
  <c r="M81" i="5"/>
  <c r="K107" i="5"/>
  <c r="AX107" i="5"/>
  <c r="BC107" i="5" s="1"/>
  <c r="AV106" i="5"/>
  <c r="BC106" i="5"/>
  <c r="AV74" i="5"/>
  <c r="M25" i="5"/>
  <c r="AK25" i="5"/>
  <c r="K16" i="5"/>
  <c r="AX80" i="5"/>
  <c r="BI80" i="5"/>
  <c r="AE80" i="5" s="1"/>
  <c r="K80" i="5"/>
  <c r="BC66" i="5"/>
  <c r="AV66" i="5"/>
  <c r="AX90" i="5"/>
  <c r="BI90" i="5"/>
  <c r="AE90" i="5" s="1"/>
  <c r="K90" i="5"/>
  <c r="AV58" i="5"/>
  <c r="BC43" i="5"/>
  <c r="AV43" i="5"/>
  <c r="K41" i="5"/>
  <c r="K34" i="5" s="1"/>
  <c r="M117" i="5"/>
  <c r="L116" i="5"/>
  <c r="F22" i="2" s="1"/>
  <c r="I22" i="2" s="1"/>
  <c r="AK117" i="5"/>
  <c r="AV21" i="5"/>
  <c r="BC21" i="5"/>
  <c r="M240" i="5"/>
  <c r="M239" i="5" s="1"/>
  <c r="AK240" i="5"/>
  <c r="AT239" i="5" s="1"/>
  <c r="L239" i="5"/>
  <c r="F34" i="2" s="1"/>
  <c r="I34" i="2" s="1"/>
  <c r="AV248" i="5"/>
  <c r="M232" i="5"/>
  <c r="AK232" i="5"/>
  <c r="BC233" i="5"/>
  <c r="AV233" i="5"/>
  <c r="AV180" i="5"/>
  <c r="BH84" i="5"/>
  <c r="AD84" i="5" s="1"/>
  <c r="J84" i="5"/>
  <c r="AW84" i="5"/>
  <c r="M36" i="5"/>
  <c r="AK36" i="5"/>
  <c r="BH25" i="5"/>
  <c r="AD25" i="5" s="1"/>
  <c r="J25" i="5"/>
  <c r="AK233" i="5"/>
  <c r="M233" i="5"/>
  <c r="BC216" i="5"/>
  <c r="M125" i="5"/>
  <c r="AK125" i="5"/>
  <c r="M133" i="5"/>
  <c r="AK133" i="5"/>
  <c r="BI59" i="5"/>
  <c r="AE59" i="5" s="1"/>
  <c r="AX59" i="5"/>
  <c r="AV59" i="5" s="1"/>
  <c r="K59" i="5"/>
  <c r="BC102" i="5"/>
  <c r="AV102" i="5"/>
  <c r="M285" i="5"/>
  <c r="AK285" i="5"/>
  <c r="O288" i="5"/>
  <c r="G46" i="2" s="1"/>
  <c r="BF289" i="5"/>
  <c r="J245" i="5"/>
  <c r="D37" i="2" s="1"/>
  <c r="AW227" i="5"/>
  <c r="BH227" i="5"/>
  <c r="J227" i="5"/>
  <c r="BC242" i="5"/>
  <c r="AV242" i="5"/>
  <c r="BC196" i="5"/>
  <c r="AV196" i="5"/>
  <c r="AV170" i="5"/>
  <c r="BC170" i="5"/>
  <c r="BC208" i="5"/>
  <c r="M198" i="5"/>
  <c r="AK198" i="5"/>
  <c r="AV183" i="5"/>
  <c r="AW202" i="5"/>
  <c r="AX175" i="5"/>
  <c r="K175" i="5"/>
  <c r="BI175" i="5"/>
  <c r="AE175" i="5" s="1"/>
  <c r="AK154" i="5"/>
  <c r="M154" i="5"/>
  <c r="AK146" i="5"/>
  <c r="M146" i="5"/>
  <c r="J137" i="5"/>
  <c r="AW137" i="5"/>
  <c r="M121" i="5"/>
  <c r="AK121" i="5"/>
  <c r="AK176" i="5"/>
  <c r="M176" i="5"/>
  <c r="K152" i="5"/>
  <c r="E23" i="2" s="1"/>
  <c r="AW167" i="5"/>
  <c r="BH167" i="5"/>
  <c r="AD167" i="5" s="1"/>
  <c r="J167" i="5"/>
  <c r="AV153" i="5"/>
  <c r="BC153" i="5"/>
  <c r="AK88" i="5"/>
  <c r="M88" i="5"/>
  <c r="AK61" i="5"/>
  <c r="M61" i="5"/>
  <c r="AV118" i="5"/>
  <c r="AK82" i="5"/>
  <c r="M82" i="5"/>
  <c r="AW122" i="5"/>
  <c r="AK95" i="5"/>
  <c r="M95" i="5"/>
  <c r="BC49" i="5"/>
  <c r="AV49" i="5"/>
  <c r="AW159" i="5"/>
  <c r="BH159" i="5"/>
  <c r="AD159" i="5" s="1"/>
  <c r="J159" i="5"/>
  <c r="BH186" i="5"/>
  <c r="J186" i="5"/>
  <c r="AW186" i="5"/>
  <c r="AK85" i="5"/>
  <c r="M85" i="5"/>
  <c r="AX72" i="5"/>
  <c r="BC72" i="5" s="1"/>
  <c r="K72" i="5"/>
  <c r="BI72" i="5"/>
  <c r="AE72" i="5" s="1"/>
  <c r="BI16" i="5"/>
  <c r="AE16" i="5" s="1"/>
  <c r="J36" i="5"/>
  <c r="J24" i="5"/>
  <c r="AW54" i="5"/>
  <c r="J54" i="5"/>
  <c r="BH54" i="5"/>
  <c r="AD54" i="5" s="1"/>
  <c r="M42" i="5"/>
  <c r="AK42" i="5"/>
  <c r="AW82" i="5"/>
  <c r="BH82" i="5"/>
  <c r="AD82" i="5" s="1"/>
  <c r="J82" i="5"/>
  <c r="BH61" i="5"/>
  <c r="AD61" i="5" s="1"/>
  <c r="AW61" i="5"/>
  <c r="J61" i="5"/>
  <c r="O20" i="5"/>
  <c r="BF21" i="5"/>
  <c r="BH92" i="5"/>
  <c r="AD92" i="5" s="1"/>
  <c r="J92" i="5"/>
  <c r="AW92" i="5"/>
  <c r="AW78" i="5"/>
  <c r="BH78" i="5"/>
  <c r="AD78" i="5" s="1"/>
  <c r="J78" i="5"/>
  <c r="AX204" i="5"/>
  <c r="BI204" i="5"/>
  <c r="K204" i="5"/>
  <c r="M115" i="5"/>
  <c r="AK115" i="5"/>
  <c r="M161" i="5"/>
  <c r="AK161" i="5"/>
  <c r="BI56" i="5"/>
  <c r="AE56" i="5" s="1"/>
  <c r="AX56" i="5"/>
  <c r="K56" i="5"/>
  <c r="AX22" i="5"/>
  <c r="K22" i="5"/>
  <c r="BI22" i="5"/>
  <c r="AE22" i="5" s="1"/>
  <c r="M256" i="5"/>
  <c r="AK256" i="5"/>
  <c r="AT255" i="5" s="1"/>
  <c r="L255" i="5"/>
  <c r="F38" i="2" s="1"/>
  <c r="I38" i="2" s="1"/>
  <c r="BF248" i="5"/>
  <c r="O245" i="5"/>
  <c r="G37" i="2" s="1"/>
  <c r="L270" i="5"/>
  <c r="AK271" i="5"/>
  <c r="AT270" i="5" s="1"/>
  <c r="M271" i="5"/>
  <c r="AV267" i="5"/>
  <c r="BC267" i="5"/>
  <c r="K177" i="5"/>
  <c r="AX177" i="5"/>
  <c r="BC168" i="5"/>
  <c r="AV168" i="5"/>
  <c r="BC104" i="5"/>
  <c r="AV104" i="5"/>
  <c r="AX68" i="5"/>
  <c r="K68" i="5"/>
  <c r="BI68" i="5"/>
  <c r="AE68" i="5" s="1"/>
  <c r="O255" i="5"/>
  <c r="G38" i="2" s="1"/>
  <c r="BF256" i="5"/>
  <c r="J275" i="5"/>
  <c r="BH275" i="5"/>
  <c r="AD275" i="5" s="1"/>
  <c r="J232" i="5"/>
  <c r="J230" i="5" s="1"/>
  <c r="D32" i="2" s="1"/>
  <c r="O283" i="5"/>
  <c r="G44" i="2" s="1"/>
  <c r="BF284" i="5"/>
  <c r="AW275" i="5"/>
  <c r="M266" i="5"/>
  <c r="AK266" i="5"/>
  <c r="BC237" i="5"/>
  <c r="AV237" i="5"/>
  <c r="E43" i="2"/>
  <c r="AW257" i="5"/>
  <c r="J257" i="5"/>
  <c r="J255" i="5" s="1"/>
  <c r="D38" i="2" s="1"/>
  <c r="BH257" i="5"/>
  <c r="J248" i="5"/>
  <c r="BH248" i="5"/>
  <c r="AB248" i="5" s="1"/>
  <c r="AV287" i="5"/>
  <c r="BC287" i="5"/>
  <c r="F37" i="4"/>
  <c r="I37" i="4" s="1"/>
  <c r="I45" i="4" s="1"/>
  <c r="I24" i="3" s="1"/>
  <c r="O206" i="5"/>
  <c r="BC165" i="5"/>
  <c r="AV165" i="5"/>
  <c r="AX199" i="5"/>
  <c r="BC199" i="5" s="1"/>
  <c r="BI199" i="5"/>
  <c r="AE199" i="5" s="1"/>
  <c r="K199" i="5"/>
  <c r="J235" i="5"/>
  <c r="D33" i="2" s="1"/>
  <c r="M214" i="5"/>
  <c r="AK214" i="5"/>
  <c r="K144" i="5"/>
  <c r="AV176" i="5"/>
  <c r="BC176" i="5"/>
  <c r="AV199" i="5"/>
  <c r="BC169" i="5"/>
  <c r="BI167" i="5"/>
  <c r="AE167" i="5" s="1"/>
  <c r="K167" i="5"/>
  <c r="AX167" i="5"/>
  <c r="AW144" i="5"/>
  <c r="J144" i="5"/>
  <c r="BH144" i="5"/>
  <c r="AD144" i="5" s="1"/>
  <c r="AW171" i="5"/>
  <c r="BH171" i="5"/>
  <c r="AD171" i="5" s="1"/>
  <c r="J171" i="5"/>
  <c r="AK56" i="5"/>
  <c r="M56" i="5"/>
  <c r="J133" i="5"/>
  <c r="AK179" i="5"/>
  <c r="M179" i="5"/>
  <c r="K111" i="5"/>
  <c r="AK91" i="5"/>
  <c r="M91" i="5"/>
  <c r="J49" i="5"/>
  <c r="AV35" i="5"/>
  <c r="BC35" i="5"/>
  <c r="BI159" i="5"/>
  <c r="AE159" i="5" s="1"/>
  <c r="AX159" i="5"/>
  <c r="K159" i="5"/>
  <c r="L111" i="5"/>
  <c r="AK112" i="5"/>
  <c r="AT111" i="5" s="1"/>
  <c r="M112" i="5"/>
  <c r="AX76" i="5"/>
  <c r="K76" i="5"/>
  <c r="BI76" i="5"/>
  <c r="AE76" i="5" s="1"/>
  <c r="M141" i="5"/>
  <c r="AK141" i="5"/>
  <c r="AK89" i="5"/>
  <c r="M89" i="5"/>
  <c r="AW25" i="5"/>
  <c r="M16" i="5"/>
  <c r="M13" i="5" s="1"/>
  <c r="AK16" i="5"/>
  <c r="BH80" i="5"/>
  <c r="AD80" i="5" s="1"/>
  <c r="J80" i="5"/>
  <c r="AW80" i="5"/>
  <c r="BC14" i="5"/>
  <c r="AV14" i="5"/>
  <c r="M17" i="5"/>
  <c r="AK17" i="5"/>
  <c r="AV53" i="5"/>
  <c r="M41" i="5"/>
  <c r="AK41" i="5"/>
  <c r="BC117" i="5"/>
  <c r="AV117" i="5"/>
  <c r="AX82" i="5"/>
  <c r="BI82" i="5"/>
  <c r="AE82" i="5" s="1"/>
  <c r="K82" i="5"/>
  <c r="BC70" i="5"/>
  <c r="AV70" i="5"/>
  <c r="O34" i="5"/>
  <c r="G17" i="2" s="1"/>
  <c r="AX97" i="5"/>
  <c r="BI97" i="5"/>
  <c r="AE97" i="5" s="1"/>
  <c r="K97" i="5"/>
  <c r="AX78" i="5"/>
  <c r="BI78" i="5"/>
  <c r="AE78" i="5" s="1"/>
  <c r="K78" i="5"/>
  <c r="AK52" i="5"/>
  <c r="M52" i="5"/>
  <c r="L51" i="5"/>
  <c r="AV28" i="5"/>
  <c r="M182" i="5"/>
  <c r="AK182" i="5"/>
  <c r="AK97" i="5"/>
  <c r="M97" i="5"/>
  <c r="AK79" i="5"/>
  <c r="M79" i="5"/>
  <c r="AK64" i="5"/>
  <c r="M64" i="5"/>
  <c r="O51" i="5"/>
  <c r="M24" i="5"/>
  <c r="AK24" i="5"/>
  <c r="AK197" i="5"/>
  <c r="M197" i="5"/>
  <c r="AK227" i="5"/>
  <c r="M227" i="5"/>
  <c r="AK183" i="5"/>
  <c r="M183" i="5"/>
  <c r="AK189" i="5"/>
  <c r="M189" i="5"/>
  <c r="L188" i="5"/>
  <c r="AV285" i="5"/>
  <c r="BC285" i="5"/>
  <c r="L230" i="5"/>
  <c r="F32" i="2" s="1"/>
  <c r="I32" i="2" s="1"/>
  <c r="AK231" i="5"/>
  <c r="M231" i="5"/>
  <c r="M230" i="5" s="1"/>
  <c r="M212" i="5"/>
  <c r="AK212" i="5"/>
  <c r="J284" i="5"/>
  <c r="J283" i="5" s="1"/>
  <c r="D44" i="2" s="1"/>
  <c r="BH273" i="5"/>
  <c r="AD273" i="5" s="1"/>
  <c r="J273" i="5"/>
  <c r="J270" i="5" s="1"/>
  <c r="K270" i="5"/>
  <c r="BC158" i="5"/>
  <c r="AV158" i="5"/>
  <c r="AK199" i="5"/>
  <c r="M199" i="5"/>
  <c r="BC236" i="5"/>
  <c r="AV236" i="5"/>
  <c r="BC220" i="5"/>
  <c r="AV220" i="5"/>
  <c r="AK169" i="5"/>
  <c r="M169" i="5"/>
  <c r="J146" i="5"/>
  <c r="AW146" i="5"/>
  <c r="M131" i="5"/>
  <c r="AK131" i="5"/>
  <c r="J119" i="5"/>
  <c r="AW119" i="5"/>
  <c r="AK163" i="5"/>
  <c r="M163" i="5"/>
  <c r="AK144" i="5"/>
  <c r="M144" i="5"/>
  <c r="AX171" i="5"/>
  <c r="BI171" i="5"/>
  <c r="AE171" i="5" s="1"/>
  <c r="K171" i="5"/>
  <c r="AK84" i="5"/>
  <c r="M84" i="5"/>
  <c r="BC101" i="5"/>
  <c r="AV101" i="5"/>
  <c r="AK90" i="5"/>
  <c r="M90" i="5"/>
  <c r="AV91" i="5"/>
  <c r="BC91" i="5"/>
  <c r="M147" i="5"/>
  <c r="AK147" i="5"/>
  <c r="AK87" i="5"/>
  <c r="M87" i="5"/>
  <c r="AK66" i="5"/>
  <c r="M66" i="5"/>
  <c r="AK99" i="5"/>
  <c r="M99" i="5"/>
  <c r="AK93" i="5"/>
  <c r="M93" i="5"/>
  <c r="BH76" i="5"/>
  <c r="AD76" i="5" s="1"/>
  <c r="AW76" i="5"/>
  <c r="J76" i="5"/>
  <c r="AX84" i="5"/>
  <c r="BI84" i="5"/>
  <c r="AE84" i="5" s="1"/>
  <c r="K84" i="5"/>
  <c r="BC39" i="5"/>
  <c r="AV39" i="5"/>
  <c r="L34" i="5"/>
  <c r="F17" i="2" s="1"/>
  <c r="I17" i="2" s="1"/>
  <c r="K226" i="1"/>
  <c r="AW86" i="5"/>
  <c r="BH86" i="5"/>
  <c r="AD86" i="5" s="1"/>
  <c r="J86" i="5"/>
  <c r="BC42" i="5"/>
  <c r="AV42" i="5"/>
  <c r="BI121" i="5"/>
  <c r="AE121" i="5" s="1"/>
  <c r="K121" i="5"/>
  <c r="AX121" i="5"/>
  <c r="AV121" i="5" s="1"/>
  <c r="O116" i="5"/>
  <c r="G22" i="2" s="1"/>
  <c r="BF117" i="5"/>
  <c r="AX27" i="5"/>
  <c r="BI27" i="5"/>
  <c r="AE27" i="5" s="1"/>
  <c r="K27" i="5"/>
  <c r="AX88" i="5"/>
  <c r="BI88" i="5"/>
  <c r="AE88" i="5" s="1"/>
  <c r="K88" i="5"/>
  <c r="K225" i="1"/>
  <c r="K279" i="5" l="1"/>
  <c r="E41" i="2" s="1"/>
  <c r="AT245" i="5"/>
  <c r="AV209" i="5"/>
  <c r="BC209" i="5"/>
  <c r="AV72" i="5"/>
  <c r="AV47" i="5"/>
  <c r="BC47" i="5"/>
  <c r="BC155" i="5"/>
  <c r="AV155" i="5"/>
  <c r="AV192" i="5"/>
  <c r="BC192" i="5"/>
  <c r="AV231" i="5"/>
  <c r="BC231" i="5"/>
  <c r="K188" i="5"/>
  <c r="K157" i="5"/>
  <c r="K156" i="5" s="1"/>
  <c r="E24" i="2" s="1"/>
  <c r="C14" i="3"/>
  <c r="K20" i="5"/>
  <c r="J20" i="5"/>
  <c r="J206" i="5"/>
  <c r="M283" i="5"/>
  <c r="M34" i="5"/>
  <c r="K13" i="5"/>
  <c r="E12" i="2" s="1"/>
  <c r="AV189" i="5"/>
  <c r="AV265" i="5"/>
  <c r="AV197" i="5"/>
  <c r="BC197" i="5"/>
  <c r="BC18" i="5"/>
  <c r="AV18" i="5"/>
  <c r="BC244" i="5"/>
  <c r="AV244" i="5"/>
  <c r="BC142" i="5"/>
  <c r="BC23" i="5"/>
  <c r="AV23" i="5"/>
  <c r="K51" i="5"/>
  <c r="AV113" i="5"/>
  <c r="BC113" i="5"/>
  <c r="K280" i="5"/>
  <c r="E42" i="2" s="1"/>
  <c r="AT34" i="5"/>
  <c r="J157" i="5"/>
  <c r="D25" i="2" s="1"/>
  <c r="K116" i="5"/>
  <c r="E22" i="2" s="1"/>
  <c r="J13" i="5"/>
  <c r="D12" i="2" s="1"/>
  <c r="AV277" i="5"/>
  <c r="E14" i="2"/>
  <c r="K19" i="5"/>
  <c r="E13" i="2" s="1"/>
  <c r="K187" i="5"/>
  <c r="E26" i="2" s="1"/>
  <c r="E27" i="2"/>
  <c r="J269" i="5"/>
  <c r="D39" i="2" s="1"/>
  <c r="D40" i="2"/>
  <c r="D29" i="2"/>
  <c r="M12" i="5"/>
  <c r="J156" i="5"/>
  <c r="D24" i="2" s="1"/>
  <c r="D17" i="2"/>
  <c r="J29" i="5"/>
  <c r="D15" i="2" s="1"/>
  <c r="J12" i="5"/>
  <c r="D11" i="2" s="1"/>
  <c r="E19" i="2"/>
  <c r="K50" i="5"/>
  <c r="E18" i="2" s="1"/>
  <c r="K110" i="5"/>
  <c r="E20" i="2" s="1"/>
  <c r="E21" i="2"/>
  <c r="BC151" i="5"/>
  <c r="AV151" i="5"/>
  <c r="BC129" i="5"/>
  <c r="AV129" i="5"/>
  <c r="J187" i="5"/>
  <c r="D26" i="2" s="1"/>
  <c r="D27" i="2"/>
  <c r="M188" i="5"/>
  <c r="M187" i="5" s="1"/>
  <c r="M255" i="5"/>
  <c r="AV84" i="5"/>
  <c r="BC84" i="5"/>
  <c r="BC64" i="5"/>
  <c r="BC133" i="5"/>
  <c r="AV133" i="5"/>
  <c r="BC225" i="5"/>
  <c r="AV225" i="5"/>
  <c r="J279" i="5"/>
  <c r="D41" i="2" s="1"/>
  <c r="AV232" i="5"/>
  <c r="BC232" i="5"/>
  <c r="BC52" i="5"/>
  <c r="AV52" i="5"/>
  <c r="O110" i="5"/>
  <c r="G20" i="2" s="1"/>
  <c r="G21" i="2"/>
  <c r="AV115" i="5"/>
  <c r="AV194" i="5"/>
  <c r="BC194" i="5"/>
  <c r="BC171" i="5"/>
  <c r="AV171" i="5"/>
  <c r="AT188" i="5"/>
  <c r="M270" i="5"/>
  <c r="M269" i="5" s="1"/>
  <c r="AV61" i="5"/>
  <c r="BC61" i="5"/>
  <c r="BC159" i="5"/>
  <c r="AV159" i="5"/>
  <c r="BC137" i="5"/>
  <c r="AV137" i="5"/>
  <c r="BC227" i="5"/>
  <c r="AV227" i="5"/>
  <c r="J280" i="5"/>
  <c r="D42" i="2" s="1"/>
  <c r="F14" i="2"/>
  <c r="I14" i="2" s="1"/>
  <c r="F47" i="2" s="1"/>
  <c r="L19" i="5"/>
  <c r="F13" i="2" s="1"/>
  <c r="E29" i="2"/>
  <c r="L290" i="5"/>
  <c r="AV107" i="5"/>
  <c r="BC181" i="5"/>
  <c r="AV181" i="5"/>
  <c r="AV87" i="5"/>
  <c r="BC87" i="5"/>
  <c r="O156" i="5"/>
  <c r="G24" i="2" s="1"/>
  <c r="G25" i="2"/>
  <c r="J223" i="5"/>
  <c r="D30" i="2" s="1"/>
  <c r="AT206" i="5"/>
  <c r="O279" i="5"/>
  <c r="G41" i="2" s="1"/>
  <c r="O280" i="5"/>
  <c r="G42" i="2" s="1"/>
  <c r="G43" i="2"/>
  <c r="AV54" i="5"/>
  <c r="BC54" i="5"/>
  <c r="AV202" i="5"/>
  <c r="BC202" i="5"/>
  <c r="AT116" i="5"/>
  <c r="AV27" i="5"/>
  <c r="BC27" i="5"/>
  <c r="AV119" i="5"/>
  <c r="BC119" i="5"/>
  <c r="AT230" i="5"/>
  <c r="L269" i="5"/>
  <c r="F39" i="2" s="1"/>
  <c r="F40" i="2"/>
  <c r="I40" i="2" s="1"/>
  <c r="AV22" i="5"/>
  <c r="BC22" i="5"/>
  <c r="AV92" i="5"/>
  <c r="BC92" i="5"/>
  <c r="J19" i="5"/>
  <c r="D13" i="2" s="1"/>
  <c r="D14" i="2"/>
  <c r="BC167" i="5"/>
  <c r="AV167" i="5"/>
  <c r="O187" i="5"/>
  <c r="G26" i="2" s="1"/>
  <c r="G27" i="2"/>
  <c r="AV246" i="5"/>
  <c r="BC246" i="5"/>
  <c r="M20" i="5"/>
  <c r="M19" i="5" s="1"/>
  <c r="BC121" i="5"/>
  <c r="AT283" i="5"/>
  <c r="M223" i="5"/>
  <c r="M245" i="5"/>
  <c r="M206" i="5"/>
  <c r="L187" i="5"/>
  <c r="F26" i="2" s="1"/>
  <c r="F27" i="2"/>
  <c r="I27" i="2" s="1"/>
  <c r="AV80" i="5"/>
  <c r="BC80" i="5"/>
  <c r="BC144" i="5"/>
  <c r="AV144" i="5"/>
  <c r="AT20" i="5"/>
  <c r="AV24" i="5"/>
  <c r="BC24" i="5"/>
  <c r="C16" i="3"/>
  <c r="BC211" i="5"/>
  <c r="AV211" i="5"/>
  <c r="L205" i="5"/>
  <c r="F28" i="2" s="1"/>
  <c r="F29" i="2"/>
  <c r="I29" i="2" s="1"/>
  <c r="K269" i="5"/>
  <c r="E39" i="2" s="1"/>
  <c r="E40" i="2"/>
  <c r="L50" i="5"/>
  <c r="F18" i="2" s="1"/>
  <c r="F19" i="2"/>
  <c r="I19" i="2" s="1"/>
  <c r="AV25" i="5"/>
  <c r="BC25" i="5"/>
  <c r="M111" i="5"/>
  <c r="BC186" i="5"/>
  <c r="AV186" i="5"/>
  <c r="M116" i="5"/>
  <c r="L156" i="5"/>
  <c r="F24" i="2" s="1"/>
  <c r="F25" i="2"/>
  <c r="I25" i="2" s="1"/>
  <c r="AV94" i="5"/>
  <c r="BC94" i="5"/>
  <c r="AT152" i="5"/>
  <c r="BC124" i="5"/>
  <c r="AV124" i="5"/>
  <c r="L279" i="5"/>
  <c r="F41" i="2" s="1"/>
  <c r="F44" i="2"/>
  <c r="I44" i="2" s="1"/>
  <c r="L280" i="5"/>
  <c r="F42" i="2" s="1"/>
  <c r="BC289" i="5"/>
  <c r="AV289" i="5"/>
  <c r="L29" i="5"/>
  <c r="F15" i="2" s="1"/>
  <c r="F16" i="2"/>
  <c r="I16" i="2" s="1"/>
  <c r="BC146" i="5"/>
  <c r="AV146" i="5"/>
  <c r="C28" i="3"/>
  <c r="AT13" i="5"/>
  <c r="AV78" i="5"/>
  <c r="BC78" i="5"/>
  <c r="AV256" i="5"/>
  <c r="BC256" i="5"/>
  <c r="O29" i="5"/>
  <c r="G15" i="2" s="1"/>
  <c r="G16" i="2"/>
  <c r="AV86" i="5"/>
  <c r="BC86" i="5"/>
  <c r="M51" i="5"/>
  <c r="M50" i="5" s="1"/>
  <c r="BC59" i="5"/>
  <c r="O205" i="5"/>
  <c r="G28" i="2" s="1"/>
  <c r="G29" i="2"/>
  <c r="AV177" i="5"/>
  <c r="BC177" i="5"/>
  <c r="BC56" i="5"/>
  <c r="AV56" i="5"/>
  <c r="BC204" i="5"/>
  <c r="AV204" i="5"/>
  <c r="AV82" i="5"/>
  <c r="BC82" i="5"/>
  <c r="J110" i="5"/>
  <c r="D20" i="2" s="1"/>
  <c r="D21" i="2"/>
  <c r="AT157" i="5"/>
  <c r="AV68" i="5"/>
  <c r="BC68" i="5"/>
  <c r="AV45" i="5"/>
  <c r="BC45" i="5"/>
  <c r="AV90" i="5"/>
  <c r="BC90" i="5"/>
  <c r="AV195" i="5"/>
  <c r="AT223" i="5"/>
  <c r="G14" i="2"/>
  <c r="O19" i="5"/>
  <c r="G13" i="2" s="1"/>
  <c r="E17" i="2"/>
  <c r="K29" i="5"/>
  <c r="E15" i="2" s="1"/>
  <c r="AV175" i="5"/>
  <c r="BC175" i="5"/>
  <c r="O50" i="5"/>
  <c r="G18" i="2" s="1"/>
  <c r="G19" i="2"/>
  <c r="AV76" i="5"/>
  <c r="BC76" i="5"/>
  <c r="AT51" i="5"/>
  <c r="L110" i="5"/>
  <c r="F20" i="2" s="1"/>
  <c r="F21" i="2"/>
  <c r="I21" i="2" s="1"/>
  <c r="BC257" i="5"/>
  <c r="AV257" i="5"/>
  <c r="BC275" i="5"/>
  <c r="AV275" i="5"/>
  <c r="C17" i="3"/>
  <c r="BC122" i="5"/>
  <c r="AV122" i="5"/>
  <c r="M157" i="5"/>
  <c r="M156" i="5" s="1"/>
  <c r="G12" i="2"/>
  <c r="O12" i="5"/>
  <c r="G11" i="2" s="1"/>
  <c r="AV36" i="5"/>
  <c r="BC36" i="5"/>
  <c r="M152" i="5"/>
  <c r="O269" i="5"/>
  <c r="G39" i="2" s="1"/>
  <c r="G40" i="2"/>
  <c r="J51" i="5"/>
  <c r="AV88" i="5"/>
  <c r="BC88" i="5"/>
  <c r="AV97" i="5"/>
  <c r="BC97" i="5"/>
  <c r="M29" i="5"/>
  <c r="AV16" i="5"/>
  <c r="BC16" i="5"/>
  <c r="BC141" i="5"/>
  <c r="AV141" i="5"/>
  <c r="K255" i="5"/>
  <c r="E38" i="2" s="1"/>
  <c r="K12" i="5" l="1"/>
  <c r="E11" i="2" s="1"/>
  <c r="E25" i="2"/>
  <c r="M280" i="5"/>
  <c r="M279" i="5"/>
  <c r="C22" i="3"/>
  <c r="M205" i="5"/>
  <c r="M290" i="5"/>
  <c r="F28" i="3"/>
  <c r="I28" i="3"/>
  <c r="I29" i="3" s="1"/>
  <c r="D19" i="2"/>
  <c r="J50" i="5"/>
  <c r="D18" i="2" s="1"/>
  <c r="M110" i="5"/>
  <c r="K205" i="5"/>
  <c r="E28" i="2" s="1"/>
  <c r="J205" i="5"/>
  <c r="D28" i="2" s="1"/>
</calcChain>
</file>

<file path=xl/sharedStrings.xml><?xml version="1.0" encoding="utf-8"?>
<sst xmlns="http://schemas.openxmlformats.org/spreadsheetml/2006/main" count="4591" uniqueCount="802">
  <si>
    <t>Stavební rozpočet</t>
  </si>
  <si>
    <t>Název stavby:</t>
  </si>
  <si>
    <t>Doba výstavby:</t>
  </si>
  <si>
    <t>Objednatel:</t>
  </si>
  <si>
    <t>Druh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</si>
  <si>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</si>
  <si>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</si>
  <si>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</si>
  <si>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</si>
  <si>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</si>
  <si>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</si>
  <si>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</si>
  <si>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</si>
  <si>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>Č</t>
  </si>
  <si>
    <t>Kód</t>
  </si>
  <si>
    <t>Zkrácený popis</t>
  </si>
  <si>
    <t>MJ</t>
  </si>
  <si>
    <t>Množství</t>
  </si>
  <si>
    <t>Jednotková cena (Kč)</t>
  </si>
  <si>
    <t>Náklady celkem (Kč)</t>
  </si>
  <si>
    <t>GROUPCODE</t>
  </si>
  <si>
    <t>ISWORK</t>
  </si>
  <si>
    <t xml:space="preserve"> </t>
  </si>
  <si>
    <t/>
  </si>
  <si>
    <t>Dešťová kanalizace</t>
  </si>
  <si>
    <t>721</t>
  </si>
  <si>
    <t>Vnitřní kanalizace</t>
  </si>
  <si>
    <t>72129S125VD</t>
  </si>
  <si>
    <t>Sanace kanalizačního potrubí rukávcem DN125</t>
  </si>
  <si>
    <t>m</t>
  </si>
  <si>
    <t>P</t>
  </si>
  <si>
    <t>721210823R00</t>
  </si>
  <si>
    <t>Demontáž střešní vpusti DN 125 mm</t>
  </si>
  <si>
    <t>kus</t>
  </si>
  <si>
    <t>721234121RT1</t>
  </si>
  <si>
    <t>Vtok střešní PP HL62/2 DN125 pro plochou střechu záchytný koš</t>
  </si>
  <si>
    <t>721234121STA</t>
  </si>
  <si>
    <t>Úprava střechy a izolace pro střešní vtok včetně napojení na krytinu</t>
  </si>
  <si>
    <t>soubor</t>
  </si>
  <si>
    <t>998721203R00</t>
  </si>
  <si>
    <t>Přesun hmot pro vnitřní kanalizaci, výšky do 24 m</t>
  </si>
  <si>
    <t>%</t>
  </si>
  <si>
    <t>Ležatá kanalizace</t>
  </si>
  <si>
    <t>721140806R00</t>
  </si>
  <si>
    <t>Demontáž potrubí litinového do DN 200 mm</t>
  </si>
  <si>
    <t>721140917R00</t>
  </si>
  <si>
    <t>Provedení opravy vnitřní kanalizace, přechod z plastového potrubí na litinové, DN 150 mm</t>
  </si>
  <si>
    <t>721176233R00</t>
  </si>
  <si>
    <t>Potrubí KG svodné (ležaté) zavěšené, D 125 x 3,2 mm</t>
  </si>
  <si>
    <t>721176234R00</t>
  </si>
  <si>
    <t>Potrubí KG svodné (ležaté) zavěšené, D 160 x 4,0 mm</t>
  </si>
  <si>
    <t>28651842.A</t>
  </si>
  <si>
    <t>Kus čisticí kanalizační KGRE DN 150 PVC</t>
  </si>
  <si>
    <t>M</t>
  </si>
  <si>
    <t>721PRZTPRVD</t>
  </si>
  <si>
    <t>Příplatek za ztížené práce v technickém suterénu</t>
  </si>
  <si>
    <t>hod</t>
  </si>
  <si>
    <t>998721201R00</t>
  </si>
  <si>
    <t>Přesun hmot pro vnitřní kanalizaci, výšky do 6 m</t>
  </si>
  <si>
    <t>Svislá kanalizace</t>
  </si>
  <si>
    <t>713</t>
  </si>
  <si>
    <t>Izolace tepelné</t>
  </si>
  <si>
    <t>713571115R00</t>
  </si>
  <si>
    <t>Požárně ochranná manžeta hl. 60mm, EI 60, D 110 mm</t>
  </si>
  <si>
    <t>998713203R00</t>
  </si>
  <si>
    <t>Přesun hmot pro izolace tepelné, výšky do 24 m</t>
  </si>
  <si>
    <t>721140802R00</t>
  </si>
  <si>
    <t>Demontáž potrubí litinového do DN 100 mm</t>
  </si>
  <si>
    <t>721140935R00</t>
  </si>
  <si>
    <t>Oprava - přechod z plastových trub na litinu DN100</t>
  </si>
  <si>
    <t>721160802R10</t>
  </si>
  <si>
    <t>Demontáž potrubí vláknocementového do DN 100 mm s uložením do pevných PE pytlů.</t>
  </si>
  <si>
    <t>721176115R00</t>
  </si>
  <si>
    <t>Potrubí HT odpadní svislé D 110 x 2,7 mm</t>
  </si>
  <si>
    <t>721170962R00</t>
  </si>
  <si>
    <t>Provedení opravy vnitřní kanalizace, potrubí plastové, propojení dosavadního potrubí, D 63 mm</t>
  </si>
  <si>
    <t>721170965R00</t>
  </si>
  <si>
    <t>Provedení opravy vnitřní kanalizace, potrubí plastové, propojení dosavadního potrubí, D 110 mm</t>
  </si>
  <si>
    <t>721176105R00</t>
  </si>
  <si>
    <t>Potrubí HT připojovací, D 110 x 2,7 mm</t>
  </si>
  <si>
    <t>721177725R00</t>
  </si>
  <si>
    <t>Čisticí kus, odpadní svislé D 110</t>
  </si>
  <si>
    <t>721194109R00</t>
  </si>
  <si>
    <t>Vyvedení odpadních výpustek, D 110 x 2,3 mm</t>
  </si>
  <si>
    <t>721273200RT3</t>
  </si>
  <si>
    <t>Souprava větrací hlavice PP HL810  D 110 mm</t>
  </si>
  <si>
    <t>721290111R00</t>
  </si>
  <si>
    <t>Zkouška těsnosti kanalizace  DN 125</t>
  </si>
  <si>
    <t>721290823R00</t>
  </si>
  <si>
    <t>Přesun vybouraných hmot, vnitřní kanalizace, v objektech výšky přes 12 - 24 m</t>
  </si>
  <si>
    <t>t</t>
  </si>
  <si>
    <t>Ležatý rozvod vody</t>
  </si>
  <si>
    <t>722</t>
  </si>
  <si>
    <t>Vnitřní vodovod</t>
  </si>
  <si>
    <t>722131933R00</t>
  </si>
  <si>
    <t>Oprava a propojení dosavadního závitového potrubí DN 25 mm</t>
  </si>
  <si>
    <t>722130802R00</t>
  </si>
  <si>
    <t>Demontáž potrubí ocelových závitových, DN 40 mm</t>
  </si>
  <si>
    <t>722170801R00</t>
  </si>
  <si>
    <t>Demontáž rozvodů vody z plastů do D 32 mm</t>
  </si>
  <si>
    <t>722170804R00</t>
  </si>
  <si>
    <t>Demontáž rozvodů vody z plastů do D 63 mm</t>
  </si>
  <si>
    <t>722178711UR00</t>
  </si>
  <si>
    <t>Potrubí PP-RCT vícevrstvé (Faser Hot, Basalt Plus) D 20x2,8 mm</t>
  </si>
  <si>
    <t>722178712UR00</t>
  </si>
  <si>
    <t>Potrubí PP-RCT vícevrstvé (Faser Hot, Basalt Plus) D 25x3,5 mm</t>
  </si>
  <si>
    <t>722178713UR00</t>
  </si>
  <si>
    <t>Potrubí PP-RCT vícevrstvé (Faser Hot, Basalt Plus) D 32x3,6 mm</t>
  </si>
  <si>
    <t>722178714UR00</t>
  </si>
  <si>
    <t>Potrubí PP-RCT vícevrstvé (Faser Hot, Basalt Plus), D 40x4,5 mm</t>
  </si>
  <si>
    <t>722178715UR00</t>
  </si>
  <si>
    <t>Potrubí PP-RCT vícevrstvé (Faser Hot, Basalt Plus),D 50x5,6 mm</t>
  </si>
  <si>
    <t>722181212RT7</t>
  </si>
  <si>
    <t>Izolace návleková MIRELON PRO tl. stěny 9 mm vnitřní průměr 22 mm</t>
  </si>
  <si>
    <t>722181212RV9</t>
  </si>
  <si>
    <t>Izolace návleková MIRELON PRO tl. stěny 9 mm vnitřní průměr 40 mm</t>
  </si>
  <si>
    <t>722181212RW6</t>
  </si>
  <si>
    <t>Izolace návleková MIRELON PRO tl. stěny 9 mm vnitřní průměr 50 mm</t>
  </si>
  <si>
    <t>722181215RT8</t>
  </si>
  <si>
    <t>Izolace návleková  MIRELON PRO tl. stěny 25 mm vnitřní průměr 25 mm</t>
  </si>
  <si>
    <t>722181215RU1</t>
  </si>
  <si>
    <t>Izolace návleková  MIRELON PRO tl. stěny 25 mm vnitřní průměr 32 mm</t>
  </si>
  <si>
    <t>722181215RV9</t>
  </si>
  <si>
    <t>Izolace návleková  MIRELON PRO tl. stěny 25 mm vnitřní průměr 40 mm</t>
  </si>
  <si>
    <t>722181215RW6</t>
  </si>
  <si>
    <t>Izolace návleková  MIRELON PRO tl. stěny 25 mm vnitřní průměr 50 mm</t>
  </si>
  <si>
    <t>722M230050VD</t>
  </si>
  <si>
    <t>Podpůrný žlab MERKUR M2 - 300/50 včetně spojovacích prvků</t>
  </si>
  <si>
    <t>722M240050VD</t>
  </si>
  <si>
    <t>Podpůrný žlab MERKUR M2 - 400/50 včetně spojovacích prvků</t>
  </si>
  <si>
    <t>722220230VD</t>
  </si>
  <si>
    <t>Přechodka dGK PPR PN 20 D 20 x G 1/2 s kovovým závitem</t>
  </si>
  <si>
    <t>722220231VD</t>
  </si>
  <si>
    <t>Přechodka dGK PPR PN 20 D 25 x G 1/2 s kovovým závitem</t>
  </si>
  <si>
    <t>722220233VD</t>
  </si>
  <si>
    <t>Přechodka dGK PPR PN 20 D 32 x G 1 s kovovým závitem</t>
  </si>
  <si>
    <t>722220234VD</t>
  </si>
  <si>
    <t>Přechodka dGK PPR PN 20 D 40 x G 5/4 s kovovým závitem</t>
  </si>
  <si>
    <t>722220235VD</t>
  </si>
  <si>
    <t>Přechodka dGK PPR PN 20 D 50 x G 6/4 s kovovým závitem</t>
  </si>
  <si>
    <t>722237221R00</t>
  </si>
  <si>
    <t>Kohout vodovodní kulový, 2x vnitřní závit, GIACOMINI R910, DN 15 mm</t>
  </si>
  <si>
    <t>722237223R00</t>
  </si>
  <si>
    <t>Kohout vodovodní kulový, 2x vnitřní závit, GIACOMINI R910, DN 25 mm</t>
  </si>
  <si>
    <t>722237224R00</t>
  </si>
  <si>
    <t>Kohout vodovodní kulový, 2x vnitřní závit, GIACOMINI R910, DN 32 mm</t>
  </si>
  <si>
    <t>722237225R00</t>
  </si>
  <si>
    <t>Kohout vodovodní kulový, 2x vnitřní závit, GIACOMINI R910, DN 40 mm</t>
  </si>
  <si>
    <t>722221116R00</t>
  </si>
  <si>
    <t>Kohout vypouštěcí kulový, IVAR.EURO N, DN 15 mm</t>
  </si>
  <si>
    <t>722239101R00</t>
  </si>
  <si>
    <t>Montáž vodovodních armatur 2závity, G 1/2</t>
  </si>
  <si>
    <t>25047-2820VD</t>
  </si>
  <si>
    <t>Automatický termostatický vyvažovací ventil CirCon DN15</t>
  </si>
  <si>
    <t>722239103R00</t>
  </si>
  <si>
    <t>Montáž vodovodních armatur 2závity, G 1"</t>
  </si>
  <si>
    <t>240RV281-1VD</t>
  </si>
  <si>
    <t>Bezpečnostní zpětný ventil RV281 - 1"</t>
  </si>
  <si>
    <t>722239105R00</t>
  </si>
  <si>
    <t>Montáž vodovodních armatur 2závity, G 6/4"</t>
  </si>
  <si>
    <t>240HS10S40VD</t>
  </si>
  <si>
    <t>Vodovodní filtrační stanice s redukčním ventilem HS10S, DN40, PN16</t>
  </si>
  <si>
    <t>722212445R00</t>
  </si>
  <si>
    <t>Označení sekčních a stoupačkových uzávěrů vody</t>
  </si>
  <si>
    <t>722269111R00</t>
  </si>
  <si>
    <t>Montáž vodoměru závitového jdnovt. suchob. G1/2"</t>
  </si>
  <si>
    <t>388214365</t>
  </si>
  <si>
    <t>Vodoměr bytový ENBRA ET na teplou vodu, DN 15, délka 110 mm</t>
  </si>
  <si>
    <t>388214360</t>
  </si>
  <si>
    <t>Vodoměr bytový ENBRA ET na studenou vodu, DN 15, délka 110 mm</t>
  </si>
  <si>
    <t>725819201R00</t>
  </si>
  <si>
    <t>Montáž ventilu nástěnného G 1/2"</t>
  </si>
  <si>
    <t>55144332</t>
  </si>
  <si>
    <t>Ventil umyvadlový nástěnný délka 162 mm</t>
  </si>
  <si>
    <t>722280106R00</t>
  </si>
  <si>
    <t>Tlaková zkouška vodovodního potrubí D 32</t>
  </si>
  <si>
    <t>722280107R00</t>
  </si>
  <si>
    <t>Tlaková zkouška vodovodního potrubí D 40</t>
  </si>
  <si>
    <t>722280108R00</t>
  </si>
  <si>
    <t>Tlaková zkouška vodovodního potrubí D 50</t>
  </si>
  <si>
    <t>722290821R00</t>
  </si>
  <si>
    <t>Přesun vybouraných hmot - vodovody, H do 6 m</t>
  </si>
  <si>
    <t>998722201R00</t>
  </si>
  <si>
    <t>Přesun hmot pro vnitřní vodovod, výšky do 6 m</t>
  </si>
  <si>
    <t>Svislý rozvod vody</t>
  </si>
  <si>
    <t>7135STR2513VD</t>
  </si>
  <si>
    <t>D+M Protipožární ucpávka ve stropě pásem PROMASTOP-W D25-IZ9</t>
  </si>
  <si>
    <t>7135STR3213VD</t>
  </si>
  <si>
    <t>D+M Protipožární ucpávka ve stropě pásem PROMASTOP-W D32-IZ9</t>
  </si>
  <si>
    <t>7135STR4013VD</t>
  </si>
  <si>
    <t>D+M Protipožární ucpávka ve stropě pásem PROMASTOP-W D40-IZ9</t>
  </si>
  <si>
    <t>Demontáž rozvodů vody z plastů do D 32</t>
  </si>
  <si>
    <t>Demontáž rozvodů vody z plastů do D 63</t>
  </si>
  <si>
    <t>722172362R00</t>
  </si>
  <si>
    <t>Smyčka kompenzační z PP-R Instaplast, D 25 x 4,2 mm, PN 20</t>
  </si>
  <si>
    <t>722172363R00</t>
  </si>
  <si>
    <t>Smyčka kompenzační z PP-R Instaplast, D 32 x 5,4 mm, PN 20</t>
  </si>
  <si>
    <t>722172912R00</t>
  </si>
  <si>
    <t>Provedení propojení plastového vodovodního potrubí polyfuzí, D 20 mm</t>
  </si>
  <si>
    <t>722181212RT8</t>
  </si>
  <si>
    <t>Izolace návleková MIRELON PRO tl. stěny 9 mm vnitřní průměr 25 mm</t>
  </si>
  <si>
    <t>722181212RU1</t>
  </si>
  <si>
    <t>Izolace návleková MIRELON PRO tl. stěny 9 mm vnitřní průměr 32 mm</t>
  </si>
  <si>
    <t>Kohout vod.kul.,2xvnitřní záv.GIACOMINI R910 DN 15</t>
  </si>
  <si>
    <t>722237621R00</t>
  </si>
  <si>
    <t>Ventil vod.zpět.,2xvnitř.závit GIACOMINI R60 DN 15</t>
  </si>
  <si>
    <t>722260811R00</t>
  </si>
  <si>
    <t>Demontáž vodoměrů závitových G 1/2</t>
  </si>
  <si>
    <t>722260921R00</t>
  </si>
  <si>
    <t>Zpětná montáž vodoměrů závitových G 1/2</t>
  </si>
  <si>
    <t>72226PLVODVD</t>
  </si>
  <si>
    <t>Plombování vodoměrů</t>
  </si>
  <si>
    <t>722290823R00</t>
  </si>
  <si>
    <t>Přesun vybouraných hmot - vodovody, H 12 - 24 m</t>
  </si>
  <si>
    <t>998722203R00</t>
  </si>
  <si>
    <t>Přesun hmot pro vnitřní vodovod, výšky do 24 m</t>
  </si>
  <si>
    <t>725</t>
  </si>
  <si>
    <t>Zařizovací předměty</t>
  </si>
  <si>
    <t>725110811R00</t>
  </si>
  <si>
    <t>Demontáž klozetů splachovacích</t>
  </si>
  <si>
    <t>725119305R00</t>
  </si>
  <si>
    <t>Montáž klozetových mís kombinovaných</t>
  </si>
  <si>
    <t>998725203R00</t>
  </si>
  <si>
    <t>Přesun hmot pro zařizovací předměty, výšky do 24 m</t>
  </si>
  <si>
    <t>Páteřový rozvod plynu</t>
  </si>
  <si>
    <t>723</t>
  </si>
  <si>
    <t>Vnitřní plynovod</t>
  </si>
  <si>
    <t>723120805R00</t>
  </si>
  <si>
    <t>Demontáž potrubí svařovaného závitového DN 25-50</t>
  </si>
  <si>
    <t>723167105R00</t>
  </si>
  <si>
    <t>Potrubí pro plynovody, měděné, lisovací spoje, Viega Profipress, d 28 mm</t>
  </si>
  <si>
    <t>19632716</t>
  </si>
  <si>
    <t>Trubka měděná Supersan, R290 tvrdá, 35 x 1,5 mm - chránička</t>
  </si>
  <si>
    <t>723167106R00</t>
  </si>
  <si>
    <t>Potrubí pro plynovody, měděné, lisovací spoje, Viega Profipress, d 35 mm</t>
  </si>
  <si>
    <t>19632736</t>
  </si>
  <si>
    <t>Trubka měděná Supersan, R290 tvrdá, 42 x 1,5 mm - chránička</t>
  </si>
  <si>
    <t>723235113R00</t>
  </si>
  <si>
    <t>Kohout kulový, vnitřní - vnitřní závit IVAR.KK G51, DN 25 mm</t>
  </si>
  <si>
    <t>723190907R00</t>
  </si>
  <si>
    <t>Odvzdušnění a napuštění plynového potrubí</t>
  </si>
  <si>
    <t>723190901R00</t>
  </si>
  <si>
    <t>Uzavření nebo otevření plynového potrubí</t>
  </si>
  <si>
    <t>723190909R00</t>
  </si>
  <si>
    <t>Zkouška tlaková  plynového potrubí</t>
  </si>
  <si>
    <t>723RS200VD</t>
  </si>
  <si>
    <t>Výchozí revize plynoinstalace páteřového rozvodu</t>
  </si>
  <si>
    <t>723RP01100010VD</t>
  </si>
  <si>
    <t>Označení sekčních ventlů stoupaček</t>
  </si>
  <si>
    <t>723110970VD</t>
  </si>
  <si>
    <t>Označení plynovodu žlutou samolepící fólií</t>
  </si>
  <si>
    <t>723260801R00</t>
  </si>
  <si>
    <t>Demontáž plynoměrů PS 2, PS 6, PS 10</t>
  </si>
  <si>
    <t>723160831R00</t>
  </si>
  <si>
    <t>Demontáž rozpěrky přípojek plynoměru, G 1</t>
  </si>
  <si>
    <t>723160804R00</t>
  </si>
  <si>
    <t>Demontáž přípojek k plynoměru,závitových G 1</t>
  </si>
  <si>
    <t>pár</t>
  </si>
  <si>
    <t>723160204R00</t>
  </si>
  <si>
    <t>Přípojka k plynoměru, závitová bez ochozu G 1</t>
  </si>
  <si>
    <t>723160334R00</t>
  </si>
  <si>
    <t>Rozpěrka přípojky plynoměru G 1</t>
  </si>
  <si>
    <t>723261912R00</t>
  </si>
  <si>
    <t>Oprava - montáž plynoměrů PS-2, PS-6</t>
  </si>
  <si>
    <t>723PLOMBPLVD</t>
  </si>
  <si>
    <t>Zaplombování plynoměrů včetně plomby</t>
  </si>
  <si>
    <t>723RP011001VD</t>
  </si>
  <si>
    <t>D-M Úložná konstrukce pro upevnění plynoměru</t>
  </si>
  <si>
    <t>723110980VD</t>
  </si>
  <si>
    <t>Ochranné pospojování rozvodu plynu</t>
  </si>
  <si>
    <t>723235111R00</t>
  </si>
  <si>
    <t>Kohout kulový,vnitřní-vnitřní z. IVAR.KK G51 DN 15</t>
  </si>
  <si>
    <t>723290823R00</t>
  </si>
  <si>
    <t>Přesun vybouraných hmot - plynovody, H 12 - 24 m</t>
  </si>
  <si>
    <t>998723203R00</t>
  </si>
  <si>
    <t>Přesun hmot pro vnitřní plynovod, výšky do 24 m</t>
  </si>
  <si>
    <t>Bytový rozvod plynu</t>
  </si>
  <si>
    <t>723120804R00</t>
  </si>
  <si>
    <t>Demontáž potrubí svařovaného závitového do DN 25</t>
  </si>
  <si>
    <t>723167102R00</t>
  </si>
  <si>
    <t>Potrubí pro plynovody, měděné, lisovací spoje, Viega Profipress, d 15 mm</t>
  </si>
  <si>
    <t>19632365</t>
  </si>
  <si>
    <t>Trubka měděná Supersan, R250 polotvrdá, 18 x 1,0 mm - chránička</t>
  </si>
  <si>
    <t>723190251R00</t>
  </si>
  <si>
    <t>Vyvedení a upevnění plynovodních výpustek DN 15</t>
  </si>
  <si>
    <t>725610810R00</t>
  </si>
  <si>
    <t>Demontáž plynového sporáku</t>
  </si>
  <si>
    <t>725610911R00</t>
  </si>
  <si>
    <t>Zpětná montáž plynových sporáků bez úpravy instalace</t>
  </si>
  <si>
    <t>110MRBM0049VD</t>
  </si>
  <si>
    <t>Hadice Merabell Gas Profi s ventilem s tepelnou pojistkou G1/2"– bajonet 150cm</t>
  </si>
  <si>
    <t>723RS100VD</t>
  </si>
  <si>
    <t>Výchozí revize plynoinstalace bytu</t>
  </si>
  <si>
    <t>Související stavební práce</t>
  </si>
  <si>
    <t>34</t>
  </si>
  <si>
    <t>Stěny a příčky</t>
  </si>
  <si>
    <t>342263423DVD</t>
  </si>
  <si>
    <t>Demontáž stávajících revizních dvířek do instalační šachty</t>
  </si>
  <si>
    <t>342254521R00</t>
  </si>
  <si>
    <t>Dělící příčka z desek pórobetonových tl. 75 mm mezi WC a instalační šachtou</t>
  </si>
  <si>
    <t>342263420R00</t>
  </si>
  <si>
    <t>Osazení revizních dvířek do SDK příček, do 0,55 m2</t>
  </si>
  <si>
    <t>76657900VD</t>
  </si>
  <si>
    <t>Aqualine Revizní dvířka, 72x72cm, bílá</t>
  </si>
  <si>
    <t>346244371RT2</t>
  </si>
  <si>
    <t>Zazdívka rýh, potrubí, kapes cihlami tl. 14 cm</t>
  </si>
  <si>
    <t>m2</t>
  </si>
  <si>
    <t>347111423RZ0</t>
  </si>
  <si>
    <t>Předstěna sádrovláknitá tl. 122,5 mm,1x ocel.konstrukce CW100,bez izol.,1x opláš.,desky tl.10+12,5mm</t>
  </si>
  <si>
    <t>347091081R00</t>
  </si>
  <si>
    <t>Příplatek k předstěně sádrokartonové za plochu do 2 m2</t>
  </si>
  <si>
    <t>Osazení revizních dvířek do sádrokartonové příčky, plochy do 0,50 m2</t>
  </si>
  <si>
    <t>553476604</t>
  </si>
  <si>
    <t>Dvířka revizní do SDK 600 x 600 mm, tl. 15 mm, suché prostředí</t>
  </si>
  <si>
    <t>999281111R00</t>
  </si>
  <si>
    <t>Přesun hmot pro opravy a údržbu do výšky 25 m</t>
  </si>
  <si>
    <t>411</t>
  </si>
  <si>
    <t>konstrukce plošné</t>
  </si>
  <si>
    <t>411351902R00</t>
  </si>
  <si>
    <t>Bednění prostupů ve stropních deskách plochy do 0,25 m2</t>
  </si>
  <si>
    <t>411387531R00</t>
  </si>
  <si>
    <t>Zabetonování otvorů do 0,25 m2 ve stropech a klenbách</t>
  </si>
  <si>
    <t>74</t>
  </si>
  <si>
    <t>Elektromontážní práce (silnoproud)</t>
  </si>
  <si>
    <t>740OCHPBYTVD</t>
  </si>
  <si>
    <t>Montáž a dodávka ochranného pospojování v bytě</t>
  </si>
  <si>
    <t>767</t>
  </si>
  <si>
    <t>Konstrukce doplňkové stavební (zámečnické)</t>
  </si>
  <si>
    <t>767884221RT4</t>
  </si>
  <si>
    <t>Konzola,2 upevňovací body,hmoždinka+vrut,ALK 27/18</t>
  </si>
  <si>
    <t>ks</t>
  </si>
  <si>
    <t>11022021000VD</t>
  </si>
  <si>
    <t>Nosník pozinkovaný 40/20 x 2 x 1000mm</t>
  </si>
  <si>
    <t>11035202101VD</t>
  </si>
  <si>
    <t>Konzolový držák nosníků pozinkovnaý otočený pro C 40</t>
  </si>
  <si>
    <t>998767203R00</t>
  </si>
  <si>
    <t>Přesun hmot pro zámečnické konstr., výšky do 24 m</t>
  </si>
  <si>
    <t>783</t>
  </si>
  <si>
    <t>Nátěry</t>
  </si>
  <si>
    <t>783893114R00</t>
  </si>
  <si>
    <t>Nátěr betonové přepážky instalační šachty požárně ochrannou nátěrovou hmotou</t>
  </si>
  <si>
    <t>24592601</t>
  </si>
  <si>
    <t>Hmota nátěrová požárně ochranná Promastop -CC</t>
  </si>
  <si>
    <t>kg</t>
  </si>
  <si>
    <t>784</t>
  </si>
  <si>
    <t>Malby</t>
  </si>
  <si>
    <t>784442001R00</t>
  </si>
  <si>
    <t>Malba disperzní interiér.HET Klasik,výška do 3,8 m</t>
  </si>
  <si>
    <t>95</t>
  </si>
  <si>
    <t>Různé dokončovací konstrukce a práce na pozemních stavbách</t>
  </si>
  <si>
    <t>952902110R00</t>
  </si>
  <si>
    <t>Čištění zametáním v místnostech a chodbách</t>
  </si>
  <si>
    <t>96</t>
  </si>
  <si>
    <t>Bourání konstrukcí</t>
  </si>
  <si>
    <t>962031143RDP</t>
  </si>
  <si>
    <t>Bourání dělících příček do tl. 100 mm</t>
  </si>
  <si>
    <t>97</t>
  </si>
  <si>
    <t>Prorážení otvorů a ostatní bourací práce</t>
  </si>
  <si>
    <t>972054341R00</t>
  </si>
  <si>
    <t>Vybourání otv. stropy ŽB pl. 0,25 m2, tl. 15 cm</t>
  </si>
  <si>
    <t>970051130R00</t>
  </si>
  <si>
    <t>Vrtání jádrové do ŽB do D 130 mm</t>
  </si>
  <si>
    <t>970054130R00</t>
  </si>
  <si>
    <t>Příp. za jádr. vrt. vodor. ve stěně ŽB do D 130 mm</t>
  </si>
  <si>
    <t>970057130R00</t>
  </si>
  <si>
    <t>Příp. za časté přem. str. jád. vrt. ŽB do D 130 mm</t>
  </si>
  <si>
    <t>970053130R00</t>
  </si>
  <si>
    <t>Příp. za jádr. vrt. ve H nad 1,5 m ŽB do D 130 mm</t>
  </si>
  <si>
    <t>S</t>
  </si>
  <si>
    <t>Přesuny sutí</t>
  </si>
  <si>
    <t>979097012R00</t>
  </si>
  <si>
    <t>Pronájem kontejneru 7 t</t>
  </si>
  <si>
    <t>den</t>
  </si>
  <si>
    <t>979011111R00</t>
  </si>
  <si>
    <t>Svislá doprava suti a vybour. hmot za 2.NP a 1.PP</t>
  </si>
  <si>
    <t>979011121R00</t>
  </si>
  <si>
    <t>Příplatek za každé další podlaží</t>
  </si>
  <si>
    <t>979082111R00</t>
  </si>
  <si>
    <t>Vnitrostaveništní doprava suti do 10 m</t>
  </si>
  <si>
    <t>979086213R00</t>
  </si>
  <si>
    <t>Nakládání vybouraných hmot na dopravní prostředek</t>
  </si>
  <si>
    <t>979081111RT2</t>
  </si>
  <si>
    <t>Odvoz suti a vybour. hmot na skládku do 1 km</t>
  </si>
  <si>
    <t>979081121RT2</t>
  </si>
  <si>
    <t>Příplatek k odvozu za každý další 1 km</t>
  </si>
  <si>
    <t>979990107R00</t>
  </si>
  <si>
    <t>Poplatek za skládku suti - směs betonu,cihel,dřeva</t>
  </si>
  <si>
    <t>979990201R00</t>
  </si>
  <si>
    <t>Poplatek za uložení suti - azbestocementové výrobky, skupina odpadu 170605</t>
  </si>
  <si>
    <t>Stavební práce mimo společné části domu</t>
  </si>
  <si>
    <t>781</t>
  </si>
  <si>
    <t>Obklady (keramické)</t>
  </si>
  <si>
    <t>781101210R00</t>
  </si>
  <si>
    <t>Penetrace podkladu pod obklady</t>
  </si>
  <si>
    <t>781210131R00</t>
  </si>
  <si>
    <t>Obkládání stěn obkl. pórovin. do tmele do 300x300</t>
  </si>
  <si>
    <t>597813713</t>
  </si>
  <si>
    <t>Obkládačka 25x33 - nutno upřesnit dle skutečnosti v jednotlivých bytech</t>
  </si>
  <si>
    <t>781421902R00</t>
  </si>
  <si>
    <t>Oprava obkladů z obkladaček 300x150</t>
  </si>
  <si>
    <t>998781203R00</t>
  </si>
  <si>
    <t>Přesun hmot pro obklady keramické, výšky do 24 m</t>
  </si>
  <si>
    <t>Vedlejší rozpočtové náklady</t>
  </si>
  <si>
    <t>VORN</t>
  </si>
  <si>
    <t>Vedlejší a ostatní rozpočtové náklady</t>
  </si>
  <si>
    <t>01VRN</t>
  </si>
  <si>
    <t>Průzkumy, geodetické a projektové práce</t>
  </si>
  <si>
    <t>011002VRN</t>
  </si>
  <si>
    <t>Průzkumy</t>
  </si>
  <si>
    <t>03VRN</t>
  </si>
  <si>
    <t>Zařízení staveniště</t>
  </si>
  <si>
    <t>030001VRN</t>
  </si>
  <si>
    <t>Soubor</t>
  </si>
  <si>
    <t>035002VRN</t>
  </si>
  <si>
    <t>Pronájem zařízení a místa</t>
  </si>
  <si>
    <t>07VRN</t>
  </si>
  <si>
    <t>Provozní vlivy</t>
  </si>
  <si>
    <t>070001VRN</t>
  </si>
  <si>
    <t>09VRN</t>
  </si>
  <si>
    <t>Ostatní náklady</t>
  </si>
  <si>
    <t>090001VRN</t>
  </si>
  <si>
    <t>Ostatní náklady na podrobé rozúčtování jednotlivých bytů</t>
  </si>
  <si>
    <t>Celkem:</t>
  </si>
  <si>
    <t>11.04.2025</t>
  </si>
  <si>
    <t>Objekt</t>
  </si>
  <si>
    <t>Náklady (Kč) - dodávka</t>
  </si>
  <si>
    <t>Náklady (Kč) - Montáž</t>
  </si>
  <si>
    <t>Náklady (Kč) - celkem</t>
  </si>
  <si>
    <t>Celková hmotnost (t)</t>
  </si>
  <si>
    <t>721-01</t>
  </si>
  <si>
    <t>F</t>
  </si>
  <si>
    <t>T</t>
  </si>
  <si>
    <t>721-02</t>
  </si>
  <si>
    <t>721-03</t>
  </si>
  <si>
    <t>722-01</t>
  </si>
  <si>
    <t>722-02</t>
  </si>
  <si>
    <t>723-01</t>
  </si>
  <si>
    <t>723-02</t>
  </si>
  <si>
    <t>760</t>
  </si>
  <si>
    <t>761</t>
  </si>
  <si>
    <t>VRN</t>
  </si>
  <si>
    <t>IČO/DIČ:</t>
  </si>
  <si>
    <t>19196318/</t>
  </si>
  <si>
    <t>48817767/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</si>
  <si>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</si>
  <si>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</si>
  <si>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</si>
  <si>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</si>
  <si>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</si>
  <si>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</si>
  <si>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</si>
  <si>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</si>
  <si>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</si>
  <si>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</si>
  <si>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</si>
  <si>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</si>
  <si>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Montáž</t>
  </si>
  <si>
    <t>Bez pevné podl.</t>
  </si>
  <si>
    <t>Mimostav. doprava</t>
  </si>
  <si>
    <t>PSV</t>
  </si>
  <si>
    <t>Kulturní památka</t>
  </si>
  <si>
    <t>Územní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</si>
  <si>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</si>
  <si>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</si>
  <si>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</si>
  <si>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</si>
  <si>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</si>
  <si>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</si>
  <si>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</si>
  <si>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</si>
  <si>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</si>
  <si>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</si>
  <si>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</si>
  <si>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</si>
  <si>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</si>
  <si>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</si>
  <si>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</si>
  <si>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</si>
  <si>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</si>
  <si>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</si>
  <si>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</si>
  <si>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</si>
  <si>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</si>
  <si>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</si>
  <si>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</si>
  <si>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</si>
  <si>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rozpočtové náklady VRN</t>
  </si>
  <si>
    <t>Doplňkové náklady DN</t>
  </si>
  <si>
    <t>Kč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</si>
  <si>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</si>
  <si>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</si>
  <si>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</si>
  <si>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</si>
  <si>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</si>
  <si>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</si>
  <si>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Příprava staveniště</t>
  </si>
  <si>
    <t>Inženýrské činnosti</t>
  </si>
  <si>
    <t>Finanční náklady</t>
  </si>
  <si>
    <t>Náklady na pracovníky</t>
  </si>
  <si>
    <t>Vlastní VORN</t>
  </si>
  <si>
    <t>Celkem VORN</t>
  </si>
  <si>
    <t>Oprava rozvodů kanalizace, vody a plynu v bytovém domě Karvinská 1275 Havířov</t>
  </si>
  <si>
    <t>Společenství vlastníků Karvinská 1275/37, Havířov,</t>
  </si>
  <si>
    <t>Ing. Radim Kyjonka</t>
  </si>
  <si>
    <t> </t>
  </si>
  <si>
    <t>Cena/MJ</t>
  </si>
  <si>
    <t>Sazba DPH</t>
  </si>
  <si>
    <t>Náklady (Kč)</t>
  </si>
  <si>
    <t>Hmotnost (t)</t>
  </si>
  <si>
    <t>Cenová</t>
  </si>
  <si>
    <t>VATTAX</t>
  </si>
  <si>
    <t>Rozměry</t>
  </si>
  <si>
    <t>(Kč)</t>
  </si>
  <si>
    <t>Dodávka</t>
  </si>
  <si>
    <t>Celkem</t>
  </si>
  <si>
    <t>Celkem vč. DPH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</si>
  <si>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</si>
  <si>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</si>
  <si>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</si>
  <si>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</si>
  <si>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</si>
  <si>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</si>
  <si>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</si>
  <si>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</si>
  <si>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</si>
  <si>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</si>
  <si>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</si>
  <si>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</si>
  <si>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</si>
  <si>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</si>
  <si>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</si>
  <si>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RTS I / 2025</t>
  </si>
  <si>
    <t>7</t>
  </si>
  <si>
    <t>721_</t>
  </si>
  <si>
    <t>721-01_72_</t>
  </si>
  <si>
    <t>721-01_</t>
  </si>
  <si>
    <t>2</t>
  </si>
  <si>
    <t>3</t>
  </si>
  <si>
    <t>4</t>
  </si>
  <si>
    <t>RTS I / 2024</t>
  </si>
  <si>
    <t>5</t>
  </si>
  <si>
    <t>6</t>
  </si>
  <si>
    <t>721-02_72_</t>
  </si>
  <si>
    <t>721-02_</t>
  </si>
  <si>
    <t>8</t>
  </si>
  <si>
    <t>9</t>
  </si>
  <si>
    <t>10</t>
  </si>
  <si>
    <t>RTS komentář:</t>
  </si>
  <si>
    <t>KGRE15</t>
  </si>
  <si>
    <t>11</t>
  </si>
  <si>
    <t>12</t>
  </si>
  <si>
    <t>13</t>
  </si>
  <si>
    <t>713_</t>
  </si>
  <si>
    <t>721-03_71_</t>
  </si>
  <si>
    <t>721-03_</t>
  </si>
  <si>
    <t>Požárně ochranná manžeta Promastop tvoří přepážku pro hořlavé potrubí, hodnota požární odolnosti EI 90. Ke stěně nebo stropu se připojuje pomocí rozpěrné hmoždinky se šroubem. D = vnější průměr trubky. Katalogový list 501.30</t>
  </si>
  <si>
    <t>14</t>
  </si>
  <si>
    <t>15</t>
  </si>
  <si>
    <t>721-03_72_</t>
  </si>
  <si>
    <t>16</t>
  </si>
  <si>
    <t>Položka je určena i pro přechod na olověné trouby a pro DN 50/100 a 70/100.</t>
  </si>
  <si>
    <t>17</t>
  </si>
  <si>
    <t>RTS II / 2024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</si>
  <si>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</si>
  <si>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</si>
  <si>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</si>
  <si>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</si>
  <si>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</si>
  <si>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</si>
  <si>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</si>
  <si>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</si>
  <si>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</si>
  <si>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 xml:space="preserve">vodorovně do 100 </t>
  </si>
  <si>
    <t>27</t>
  </si>
  <si>
    <t>28</t>
  </si>
  <si>
    <t>722_</t>
  </si>
  <si>
    <t>722-01_72_</t>
  </si>
  <si>
    <t>722-01_</t>
  </si>
  <si>
    <t>29</t>
  </si>
  <si>
    <t>30</t>
  </si>
  <si>
    <t>31</t>
  </si>
  <si>
    <t>32</t>
  </si>
  <si>
    <t>V položkách jsou započteny náklady na dodávku potrubí a tvarovek včetně montáže.</t>
  </si>
  <si>
    <t>33</t>
  </si>
  <si>
    <t>35</t>
  </si>
  <si>
    <t>36</t>
  </si>
  <si>
    <t>37</t>
  </si>
  <si>
    <t>V položce je kalkulována dodávka izolační trubice, spon a lepicí pásky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</si>
  <si>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</si>
  <si>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</si>
  <si>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</si>
  <si>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</si>
  <si>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</si>
  <si>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</si>
  <si>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</si>
  <si>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</si>
  <si>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</si>
  <si>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</si>
  <si>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</si>
  <si>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</si>
  <si>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</si>
  <si>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</si>
  <si>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</si>
  <si>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</si>
  <si>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</si>
  <si>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</si>
  <si>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</si>
  <si>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</si>
  <si>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</si>
  <si>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</si>
  <si>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</si>
  <si>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</si>
  <si>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</si>
  <si>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</si>
  <si>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Položka obsahuje montáž vodoměru včetně nátrubků a šroubení. Vodoměr se oceňuje ve specifikaci</t>
  </si>
  <si>
    <t>64</t>
  </si>
  <si>
    <t xml:space="preserve">Klasický bytový vodoměr Vodoměr ENBRA ET, antimagnetický, suchoběžný, jednovtokový  Bytový jednovtokový lopatkový suchoběžný vodoměr ENBRA ULTRA v dimenzi DN 15 (Qp=2,5) a DN 20 (Qp=4) na teplou (90°C) a studenou vodu (do 30 stC) v provedení mosaz. Montáž horizontální a vertikální.  l = 110 mm G 3/4" provedení mosaz antimagnetická ochrana - vícepólový magnet </t>
  </si>
  <si>
    <t>65</t>
  </si>
  <si>
    <t>66</t>
  </si>
  <si>
    <t>67</t>
  </si>
  <si>
    <t>92006.0  Umyvadlová baterie na studenou vodu Titania Iris chrom  Umyvadlová nástěnná baterie pouze na studenou (smíšenou) vodu s celkovou délkou 162 mm</t>
  </si>
  <si>
    <t>68</t>
  </si>
  <si>
    <t>69</t>
  </si>
  <si>
    <t>70</t>
  </si>
  <si>
    <t>71</t>
  </si>
  <si>
    <t>vodorovně do 100 m</t>
  </si>
  <si>
    <t>72</t>
  </si>
  <si>
    <t>73</t>
  </si>
  <si>
    <t>722-02_71_</t>
  </si>
  <si>
    <t>722-02_</t>
  </si>
  <si>
    <t>75</t>
  </si>
  <si>
    <t>76</t>
  </si>
  <si>
    <t>77</t>
  </si>
  <si>
    <t>722-02_72_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</si>
  <si>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</si>
  <si>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</si>
  <si>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</si>
  <si>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</si>
  <si>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</si>
  <si>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</si>
  <si>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</si>
  <si>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</si>
  <si>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</si>
  <si>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</si>
  <si>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</si>
  <si>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</si>
  <si>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</si>
  <si>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</si>
  <si>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</si>
  <si>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</si>
  <si>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</si>
  <si>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98</t>
  </si>
  <si>
    <t>99</t>
  </si>
  <si>
    <t>100</t>
  </si>
  <si>
    <t>101</t>
  </si>
  <si>
    <t>102</t>
  </si>
  <si>
    <t>103</t>
  </si>
  <si>
    <t>725_</t>
  </si>
  <si>
    <t>104</t>
  </si>
  <si>
    <t>105</t>
  </si>
  <si>
    <t>106</t>
  </si>
  <si>
    <t>723_</t>
  </si>
  <si>
    <t>723-01_72_</t>
  </si>
  <si>
    <t>723-01_</t>
  </si>
  <si>
    <t>107</t>
  </si>
  <si>
    <t>V položkách jsou započteny náklady na dodávku potrubí a podílu tvarovek (koleno 90°, T-kus, nátrubek, redukce) včetně montáže</t>
  </si>
  <si>
    <t>108</t>
  </si>
  <si>
    <t>DIN 1057 TRUBKA SUPERSAN EN 1057, zn. CW024A-R290 (Cu-DHP, tvrdý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</si>
  <si>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</si>
  <si>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</si>
  <si>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</si>
  <si>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</si>
  <si>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</si>
  <si>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</si>
  <si>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</si>
  <si>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</si>
  <si>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</si>
  <si>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</si>
  <si>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</si>
  <si>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</si>
  <si>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</si>
  <si>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</si>
  <si>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</si>
  <si>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</si>
  <si>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</si>
  <si>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</si>
  <si>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</si>
  <si>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</si>
  <si>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</si>
  <si>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</si>
  <si>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723-02_72_</t>
  </si>
  <si>
    <t>723-02_</t>
  </si>
  <si>
    <t>131</t>
  </si>
  <si>
    <t>132</t>
  </si>
  <si>
    <t>DIN 1057 TRUBKA SUPERSAN EN 1057, zn. CW024A-R250 (Cu-DHP, 1/2 tvrdý)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</si>
  <si>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</si>
  <si>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</si>
  <si>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</si>
  <si>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</si>
  <si>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</si>
  <si>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</si>
  <si>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</si>
  <si>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</si>
  <si>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</si>
  <si>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</si>
  <si>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</si>
  <si>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RTS I / 2023</t>
  </si>
  <si>
    <t>34_</t>
  </si>
  <si>
    <t>760_3_</t>
  </si>
  <si>
    <t>760_</t>
  </si>
  <si>
    <t>144</t>
  </si>
  <si>
    <t>145</t>
  </si>
  <si>
    <t>Položka obsahuje vytvoření otvoru a osazení rámu s dvířky včetně prošroubování. Dodávka dvířek se ocení ve specifikaci, ztratné se nestanoví.</t>
  </si>
  <si>
    <t>146</t>
  </si>
  <si>
    <t>147</t>
  </si>
  <si>
    <t>V položce jsou zakalkulovány i náklady na pomocné lešení o výšce podlahy do 1900 mm a pro zatížení do 1,5 kP</t>
  </si>
  <si>
    <t>148</t>
  </si>
  <si>
    <t>Předstěna sádrovláknitá FERMACELL, typ 3 S 12, tloušťka 122,5 mm, jednoduchá ocelová nosná konstrukce, opláštěná deskami tl. 12,5+10 mm, bez minerální izolace. Požární odolnost EI 30 DP1.</t>
  </si>
  <si>
    <t>149</t>
  </si>
  <si>
    <t>Příplatek je určen k položkám předstěn sádrokartonových do ocelové i dřevěné konstrukce. V položce je zakalkulován rozdíl v pracnosti při provádění příček v malých plochách do 2 m2</t>
  </si>
  <si>
    <t>150</t>
  </si>
  <si>
    <t>151</t>
  </si>
  <si>
    <t xml:space="preserve">Revizní dvířka do sádrokartonu určené pro suché prostředí.  Dvířka jsou určena pro osazení do sádrokartonových desek o tloušťkách 12,5mm, 15mm a 25mm.  Revizní dvířka do sádrokartonu jsou vyráběna v provedení jako klasická otvíravá dvířka na cvakací zámek, prachotěsná dvířka či vyndávací dvířka.  Revizní dvířka do SDK klasická RDS tl.15 mm GKB US Revizní dvířka jsou vyráběna z hliníkových profilů, které jsou svařovány do venkovního a vnitřního rámu. Kompletní sestava je spojena pomocí pevného pantu a umožňuje tak otevírání křídla dvířek v případě potřeby. Bílá deska (do suchého prostředí), upevněná do vnitřního rámu pomocí vysokopevnostního lepidla.  • Svařované rámy • Ekonomická varianta • Nízký tlačný zámek • Pevně ukotvený vnitřní rám  Otevírání a zavírání je zaručeno tlačným perkovým zámkem, který je umístěný na venkovním rámu.  Zatlačením na desku vnitřního rámu v místě zámku způsobí vycvaknutí či zacvaknutí západky. </t>
  </si>
  <si>
    <t>152</t>
  </si>
  <si>
    <t>153</t>
  </si>
  <si>
    <t>411_</t>
  </si>
  <si>
    <t>760_4_</t>
  </si>
  <si>
    <t>154</t>
  </si>
  <si>
    <t>V položce jsou zakalkulovány i náklady na bednění a odbednění konstrukce a na dodávku a uložení potřebné výztuže</t>
  </si>
  <si>
    <t>155</t>
  </si>
  <si>
    <t>156</t>
  </si>
  <si>
    <t>74_</t>
  </si>
  <si>
    <t>760_74_</t>
  </si>
  <si>
    <t>157</t>
  </si>
  <si>
    <t>767_</t>
  </si>
  <si>
    <t>760_76_</t>
  </si>
  <si>
    <t>158</t>
  </si>
  <si>
    <t>159</t>
  </si>
  <si>
    <t>160</t>
  </si>
  <si>
    <t>161</t>
  </si>
  <si>
    <t>783_</t>
  </si>
  <si>
    <t>760_78_</t>
  </si>
  <si>
    <t>162</t>
  </si>
  <si>
    <t>Požárně ochranný nátěr PROMASTOP®-CC je vodou ředitelný, endotermní materiál. Je dobře zpracovatelný a rychle použitelný. Dá se použít, tak jak je dodaný (bez ředění). Po vyschnutí zůstává nátěr flexibilní. Nátěr vykazuje dobrou přilnavost a soudržnost s různými podklady.  Požárně ochranný nátěr PROMASTOP®-CC se používá ke zhotovení protipožárních kabelových ucpávek a přepážek, stejně tak pro utěsnění stavebních spár. Snižuje riziko šíření plamene po povrchu kabelů a kabelových svazků.  Balení: nádoba plastová po 12,5 k</t>
  </si>
  <si>
    <t>163</t>
  </si>
  <si>
    <t>784_</t>
  </si>
  <si>
    <t>164</t>
  </si>
  <si>
    <t>95_</t>
  </si>
  <si>
    <t>760_9_</t>
  </si>
  <si>
    <t>165</t>
  </si>
  <si>
    <t>RTS II / 2023</t>
  </si>
  <si>
    <t>96_</t>
  </si>
  <si>
    <t>166</t>
  </si>
  <si>
    <t>97_</t>
  </si>
  <si>
    <t>V položce není kalkulována manipulace se sutí, která se oceňuje samostatně položkami souboru 979</t>
  </si>
  <si>
    <t>167</t>
  </si>
  <si>
    <t>168</t>
  </si>
  <si>
    <t>Příplatek za jádrové vrtání vodorovně ve stěně ŽB do 130 mm</t>
  </si>
  <si>
    <t>169</t>
  </si>
  <si>
    <t>Příplatek za časté přemístění stroje jádrového vrtání ŽB do 130 mm</t>
  </si>
  <si>
    <t>170</t>
  </si>
  <si>
    <t>Příplatek za jádrové vrtání ve výšce nad 1,5 m ŽB do 130 mm</t>
  </si>
  <si>
    <t>171</t>
  </si>
  <si>
    <t>S_</t>
  </si>
  <si>
    <t>172</t>
  </si>
  <si>
    <t>Položka je určena pro dopravu suti a vybouraných hmot za prvé podlaží nad nebo pod základním podlažím. Svislá doprava suti ze základního podlaží se neoceňuje. Základním podlažím je zpravidla přízemí.</t>
  </si>
  <si>
    <t>173</t>
  </si>
  <si>
    <t>174</t>
  </si>
  <si>
    <t>Včetně případného složení na staveništní deponii.</t>
  </si>
  <si>
    <t>175</t>
  </si>
  <si>
    <t>Nakládání ro vodorovnou dopravu.</t>
  </si>
  <si>
    <t>176</t>
  </si>
  <si>
    <t>177</t>
  </si>
  <si>
    <t>178</t>
  </si>
  <si>
    <t>179</t>
  </si>
  <si>
    <t>až 4500 Kč/ t podle lokalit</t>
  </si>
  <si>
    <t>180</t>
  </si>
  <si>
    <t>781_</t>
  </si>
  <si>
    <t>761_78_</t>
  </si>
  <si>
    <t>761_</t>
  </si>
  <si>
    <t>Položka obsahuje provedení penetračního nátěru včetně dodávky materiálu.</t>
  </si>
  <si>
    <t>181</t>
  </si>
  <si>
    <t>Položka je určena pro obkládání stěn z obkladaček pórovinových (bělninových), na tmel, kladených rovnoběžně s podlahou. Položka obsahuje:  - očištění podkladu od nesoudržných částic, - rozměření plochy,  - rozbalení balíků, třídění nebo rozpojení obkladaček dodávaných v blocích, - příprava a nanesení tmelu na plochu, - řezání obkladaček, - kladení obkladaček, - spárování, čištění obkladu, odnesení odpadu na vykázané místo. Položka neobsahuje žádný materiál. Skládání složitých vzorů a tvarů se oceňuje individuálně.</t>
  </si>
  <si>
    <t>182</t>
  </si>
  <si>
    <t>glazované keramické obkladové prvk</t>
  </si>
  <si>
    <t>183</t>
  </si>
  <si>
    <t>184</t>
  </si>
  <si>
    <t>185</t>
  </si>
  <si>
    <t>01VRN_</t>
  </si>
  <si>
    <t>VRN_Â _</t>
  </si>
  <si>
    <t>VRN_</t>
  </si>
  <si>
    <t>186</t>
  </si>
  <si>
    <t>03VRN_</t>
  </si>
  <si>
    <t>187</t>
  </si>
  <si>
    <t>188</t>
  </si>
  <si>
    <t>07VRN_</t>
  </si>
  <si>
    <t>189</t>
  </si>
  <si>
    <t>09VRN_</t>
  </si>
  <si>
    <t>Krycí list slepého rozpočtu</t>
  </si>
  <si>
    <t>Stavební rozpočet slepý - rekapitulace</t>
  </si>
  <si>
    <t>Stavební rozpočet slepý</t>
  </si>
  <si>
    <t>Osazení revizních dvířek do příček, do 0,55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</si>
</sst>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right" vertical="center"/>
    </xf>
    <xf numFmtId="4" fontId="3" fillId="3" borderId="17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1" fontId="2" fillId="0" borderId="7" xfId="0" applyNumberFormat="1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right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4" fontId="8" fillId="0" borderId="33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36" xfId="0" applyFont="1" applyBorder="1" applyAlignment="1">
      <alignment horizontal="left" vertical="center"/>
    </xf>
    <xf numFmtId="4" fontId="8" fillId="0" borderId="40" xfId="0" applyNumberFormat="1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4" fontId="8" fillId="0" borderId="31" xfId="0" applyNumberFormat="1" applyFont="1" applyBorder="1" applyAlignment="1">
      <alignment horizontal="right" vertical="center"/>
    </xf>
    <xf numFmtId="4" fontId="8" fillId="0" borderId="43" xfId="0" applyNumberFormat="1" applyFont="1" applyBorder="1" applyAlignment="1">
      <alignment horizontal="right" vertical="center"/>
    </xf>
    <xf numFmtId="4" fontId="7" fillId="3" borderId="30" xfId="0" applyNumberFormat="1" applyFont="1" applyFill="1" applyBorder="1" applyAlignment="1">
      <alignment horizontal="right" vertical="center"/>
    </xf>
    <xf numFmtId="4" fontId="7" fillId="3" borderId="35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3" fillId="0" borderId="60" xfId="0" applyFont="1" applyBorder="1" applyAlignment="1">
      <alignment horizontal="right" vertical="center"/>
    </xf>
    <xf numFmtId="4" fontId="2" fillId="0" borderId="33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4" fontId="2" fillId="0" borderId="64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68" xfId="0" applyFont="1" applyBorder="1" applyAlignment="1">
      <alignment horizontal="right" vertical="center"/>
    </xf>
    <xf numFmtId="4" fontId="3" fillId="0" borderId="68" xfId="0" applyNumberFormat="1" applyFont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79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3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4" fontId="3" fillId="3" borderId="16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5" xfId="0" applyBorder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3" borderId="45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4" fontId="7" fillId="0" borderId="69" xfId="0" applyNumberFormat="1" applyFont="1" applyBorder="1" applyAlignment="1">
      <alignment horizontal="right" vertical="center"/>
    </xf>
    <xf numFmtId="0" fontId="7" fillId="0" borderId="66" xfId="0" applyFont="1" applyBorder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workbookViewId="0">
      <selection activeCell="E38" sqref="E38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40" t="s">
        <v>798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25">
      <c r="A2" s="142" t="s">
        <v>1</v>
      </c>
      <c r="B2" s="143"/>
      <c r="C2" s="137" t="str">
        <f>'Stavební rozpočet'!D2</f>
        <v>Oprava rozvodů kanalizace, vody a plynu v bytovém domě Karvinská 1275 Havířov</v>
      </c>
      <c r="D2" s="138"/>
      <c r="E2" s="134" t="s">
        <v>3</v>
      </c>
      <c r="F2" s="134" t="str">
        <f>'Stavební rozpočet'!J2</f>
        <v>Společenství vlastníků Karvinská 1275/37, Havířov,</v>
      </c>
      <c r="G2" s="143"/>
      <c r="H2" s="134" t="s">
        <v>441</v>
      </c>
      <c r="I2" s="145" t="s">
        <v>442</v>
      </c>
    </row>
    <row r="3" spans="1:9" ht="25.5" customHeight="1" x14ac:dyDescent="0.25">
      <c r="A3" s="144"/>
      <c r="B3" s="97"/>
      <c r="C3" s="139"/>
      <c r="D3" s="139"/>
      <c r="E3" s="97"/>
      <c r="F3" s="97"/>
      <c r="G3" s="97"/>
      <c r="H3" s="97"/>
      <c r="I3" s="146"/>
    </row>
    <row r="4" spans="1:9" x14ac:dyDescent="0.25">
      <c r="A4" s="135" t="s">
        <v>4</v>
      </c>
      <c r="B4" s="97"/>
      <c r="C4" s="96" t="str">
        <f>'Stavební rozpočet'!D4</f>
        <v xml:space="preserve"> </v>
      </c>
      <c r="D4" s="97"/>
      <c r="E4" s="96" t="s">
        <v>6</v>
      </c>
      <c r="F4" s="96" t="str">
        <f>'Stavební rozpočet'!J4</f>
        <v>Ing. Radim Kyjonka</v>
      </c>
      <c r="G4" s="97"/>
      <c r="H4" s="96" t="s">
        <v>441</v>
      </c>
      <c r="I4" s="146" t="s">
        <v>443</v>
      </c>
    </row>
    <row r="5" spans="1:9" ht="15" customHeight="1" x14ac:dyDescent="0.25">
      <c r="A5" s="144"/>
      <c r="B5" s="97"/>
      <c r="C5" s="97"/>
      <c r="D5" s="97"/>
      <c r="E5" s="97"/>
      <c r="F5" s="97"/>
      <c r="G5" s="97"/>
      <c r="H5" s="97"/>
      <c r="I5" s="146"/>
    </row>
    <row r="6" spans="1:9" x14ac:dyDescent="0.25">
      <c r="A6" s="135" t="s">
        <v>7</v>
      </c>
      <c r="B6" s="97"/>
      <c r="C6" s="96" t="str">
        <f>'Stavební rozpočet'!D6</f>
        <v xml:space="preserve"> </v>
      </c>
      <c r="D6" s="97"/>
      <c r="E6" s="96" t="s">
        <v>9</v>
      </c>
      <c r="F6" s="96" t="str">
        <f>'Stavební rozpočet'!J6</f>
        <v> </v>
      </c>
      <c r="G6" s="97"/>
      <c r="H6" s="96" t="s">
        <v>441</v>
      </c>
      <c r="I6" s="146" t="s">
        <v>23</v>
      </c>
    </row>
    <row r="7" spans="1:9" ht="15" customHeight="1" x14ac:dyDescent="0.25">
      <c r="A7" s="144"/>
      <c r="B7" s="97"/>
      <c r="C7" s="97"/>
      <c r="D7" s="97"/>
      <c r="E7" s="97"/>
      <c r="F7" s="97"/>
      <c r="G7" s="97"/>
      <c r="H7" s="97"/>
      <c r="I7" s="146"/>
    </row>
    <row r="8" spans="1:9" x14ac:dyDescent="0.25">
      <c r="A8" s="135" t="s">
        <v>5</v>
      </c>
      <c r="B8" s="97"/>
      <c r="C8" s="96" t="str">
        <f>'Stavební rozpočet'!H4</f>
        <v xml:space="preserve"> </v>
      </c>
      <c r="D8" s="97"/>
      <c r="E8" s="96" t="s">
        <v>8</v>
      </c>
      <c r="F8" s="96" t="str">
        <f>'Stavební rozpočet'!H6</f>
        <v xml:space="preserve"> </v>
      </c>
      <c r="G8" s="97"/>
      <c r="H8" s="97" t="s">
        <v>444</v>
      </c>
      <c r="I8" s="147">
        <v>189</v>
      </c>
    </row>
    <row r="9" spans="1:9" x14ac:dyDescent="0.25">
      <c r="A9" s="144"/>
      <c r="B9" s="97"/>
      <c r="C9" s="97"/>
      <c r="D9" s="97"/>
      <c r="E9" s="97"/>
      <c r="F9" s="97"/>
      <c r="G9" s="97"/>
      <c r="H9" s="97"/>
      <c r="I9" s="146"/>
    </row>
    <row r="10" spans="1:9" x14ac:dyDescent="0.25">
      <c r="A10" s="135" t="s">
        <v>10</v>
      </c>
      <c r="B10" s="97"/>
      <c r="C10" s="96" t="str">
        <f>'Stavební rozpočet'!D8</f>
        <v xml:space="preserve"> </v>
      </c>
      <c r="D10" s="97"/>
      <c r="E10" s="96" t="s">
        <v>12</v>
      </c>
      <c r="F10" s="96" t="str">
        <f>'Stavební rozpočet'!J8</f>
        <v>Ing. Radim Kyjonka</v>
      </c>
      <c r="G10" s="97"/>
      <c r="H10" s="97" t="s">
        <v>445</v>
      </c>
      <c r="I10" s="128" t="str">
        <f>'Stavební rozpočet'!H8</f>
        <v>11.04.2025</v>
      </c>
    </row>
    <row r="11" spans="1:9" x14ac:dyDescent="0.25">
      <c r="A11" s="136"/>
      <c r="B11" s="133"/>
      <c r="C11" s="133"/>
      <c r="D11" s="133"/>
      <c r="E11" s="133"/>
      <c r="F11" s="133"/>
      <c r="G11" s="133"/>
      <c r="H11" s="133"/>
      <c r="I11" s="129"/>
    </row>
    <row r="12" spans="1:9" ht="23.25" x14ac:dyDescent="0.25">
      <c r="A12" s="130" t="s">
        <v>446</v>
      </c>
      <c r="B12" s="130"/>
      <c r="C12" s="130"/>
      <c r="D12" s="130"/>
      <c r="E12" s="130"/>
      <c r="F12" s="130"/>
      <c r="G12" s="130"/>
      <c r="H12" s="130"/>
      <c r="I12" s="130"/>
    </row>
    <row r="13" spans="1:9" ht="26.25" customHeight="1" x14ac:dyDescent="0.25">
      <c r="A13" s="38" t="s">
        <v>447</v>
      </c>
      <c r="B13" s="131" t="s">
        <v>448</v>
      </c>
      <c r="C13" s="132"/>
      <c r="D13" s="39" t="s">
        <v>449</v>
      </c>
      <c r="E13" s="131" t="s">
        <v>450</v>
      </c>
      <c r="F13" s="132"/>
      <c r="G13" s="39" t="s">
        <v>451</v>
      </c>
      <c r="H13" s="131" t="s">
        <v>452</v>
      </c>
      <c r="I13" s="132"/>
    </row>
    <row r="14" spans="1:9" ht="15.75" x14ac:dyDescent="0.25">
      <c r="A14" s="40" t="s">
        <v>453</v>
      </c>
      <c r="B14" s="41" t="s">
        <v>454</v>
      </c>
      <c r="C14" s="42">
        <f>SUM('Stavební rozpočet'!AB12:AB578)</f>
        <v>0</v>
      </c>
      <c r="D14" s="118" t="s">
        <v>455</v>
      </c>
      <c r="E14" s="119"/>
      <c r="F14" s="42">
        <f>VORN!I15</f>
        <v>0</v>
      </c>
      <c r="G14" s="118" t="s">
        <v>410</v>
      </c>
      <c r="H14" s="119"/>
      <c r="I14" s="43">
        <f>VORN!I21</f>
        <v>0</v>
      </c>
    </row>
    <row r="15" spans="1:9" ht="15.75" x14ac:dyDescent="0.25">
      <c r="A15" s="44" t="s">
        <v>23</v>
      </c>
      <c r="B15" s="41" t="s">
        <v>456</v>
      </c>
      <c r="C15" s="42">
        <f>SUM('Stavební rozpočet'!AC12:AC578)</f>
        <v>0</v>
      </c>
      <c r="D15" s="118" t="s">
        <v>457</v>
      </c>
      <c r="E15" s="119"/>
      <c r="F15" s="42">
        <f>VORN!I16</f>
        <v>0</v>
      </c>
      <c r="G15" s="118" t="s">
        <v>458</v>
      </c>
      <c r="H15" s="119"/>
      <c r="I15" s="43">
        <f>VORN!I22</f>
        <v>0</v>
      </c>
    </row>
    <row r="16" spans="1:9" ht="15.75" x14ac:dyDescent="0.25">
      <c r="A16" s="40" t="s">
        <v>459</v>
      </c>
      <c r="B16" s="41" t="s">
        <v>454</v>
      </c>
      <c r="C16" s="42">
        <f>SUM('Stavební rozpočet'!AD12:AD578)</f>
        <v>0</v>
      </c>
      <c r="D16" s="118" t="s">
        <v>460</v>
      </c>
      <c r="E16" s="119"/>
      <c r="F16" s="42">
        <f>VORN!I17</f>
        <v>0</v>
      </c>
      <c r="G16" s="118" t="s">
        <v>461</v>
      </c>
      <c r="H16" s="119"/>
      <c r="I16" s="43">
        <f>VORN!I23</f>
        <v>0</v>
      </c>
    </row>
    <row r="17" spans="1:9" ht="15.75" x14ac:dyDescent="0.25">
      <c r="A17" s="44" t="s">
        <v>23</v>
      </c>
      <c r="B17" s="41" t="s">
        <v>456</v>
      </c>
      <c r="C17" s="42">
        <f>SUM('Stavební rozpočet'!AE12:AE578)</f>
        <v>0</v>
      </c>
      <c r="D17" s="118" t="s">
        <v>23</v>
      </c>
      <c r="E17" s="119"/>
      <c r="F17" s="43" t="s">
        <v>23</v>
      </c>
      <c r="G17" s="118" t="s">
        <v>416</v>
      </c>
      <c r="H17" s="119"/>
      <c r="I17" s="43">
        <f>VORN!I24</f>
        <v>0</v>
      </c>
    </row>
    <row r="18" spans="1:9" ht="15.75" x14ac:dyDescent="0.25">
      <c r="A18" s="40" t="s">
        <v>462</v>
      </c>
      <c r="B18" s="41" t="s">
        <v>454</v>
      </c>
      <c r="C18" s="42">
        <f>SUM('Stavební rozpočet'!AF12:AF578)</f>
        <v>0</v>
      </c>
      <c r="D18" s="118" t="s">
        <v>23</v>
      </c>
      <c r="E18" s="119"/>
      <c r="F18" s="43" t="s">
        <v>23</v>
      </c>
      <c r="G18" s="118" t="s">
        <v>463</v>
      </c>
      <c r="H18" s="119"/>
      <c r="I18" s="43">
        <f>VORN!I25</f>
        <v>0</v>
      </c>
    </row>
    <row r="19" spans="1:9" ht="15.75" x14ac:dyDescent="0.25">
      <c r="A19" s="44" t="s">
        <v>23</v>
      </c>
      <c r="B19" s="41" t="s">
        <v>456</v>
      </c>
      <c r="C19" s="42">
        <f>SUM('Stavební rozpočet'!AG12:AG578)</f>
        <v>0</v>
      </c>
      <c r="D19" s="118" t="s">
        <v>23</v>
      </c>
      <c r="E19" s="119"/>
      <c r="F19" s="43" t="s">
        <v>23</v>
      </c>
      <c r="G19" s="118" t="s">
        <v>464</v>
      </c>
      <c r="H19" s="119"/>
      <c r="I19" s="43">
        <f>VORN!I26</f>
        <v>0</v>
      </c>
    </row>
    <row r="20" spans="1:9" ht="15.75" x14ac:dyDescent="0.25">
      <c r="A20" s="110" t="s">
        <v>465</v>
      </c>
      <c r="B20" s="111"/>
      <c r="C20" s="42">
        <f>SUM('Stavební rozpočet'!AH12:AH578)</f>
        <v>0</v>
      </c>
      <c r="D20" s="118" t="s">
        <v>23</v>
      </c>
      <c r="E20" s="119"/>
      <c r="F20" s="43" t="s">
        <v>23</v>
      </c>
      <c r="G20" s="118" t="s">
        <v>23</v>
      </c>
      <c r="H20" s="119"/>
      <c r="I20" s="43" t="s">
        <v>23</v>
      </c>
    </row>
    <row r="21" spans="1:9" ht="15.75" x14ac:dyDescent="0.25">
      <c r="A21" s="125" t="s">
        <v>466</v>
      </c>
      <c r="B21" s="126"/>
      <c r="C21" s="45">
        <f>SUM('Stavební rozpočet'!Z12:Z578)</f>
        <v>0</v>
      </c>
      <c r="D21" s="120" t="s">
        <v>23</v>
      </c>
      <c r="E21" s="121"/>
      <c r="F21" s="46" t="s">
        <v>23</v>
      </c>
      <c r="G21" s="120" t="s">
        <v>23</v>
      </c>
      <c r="H21" s="121"/>
      <c r="I21" s="46" t="s">
        <v>23</v>
      </c>
    </row>
    <row r="22" spans="1:9" ht="16.5" customHeight="1" x14ac:dyDescent="0.25">
      <c r="A22" s="127" t="s">
        <v>467</v>
      </c>
      <c r="B22" s="123"/>
      <c r="C22" s="47">
        <f>ROUND(SUM(C14:C21),0)</f>
        <v>0</v>
      </c>
      <c r="D22" s="122" t="s">
        <v>468</v>
      </c>
      <c r="E22" s="123"/>
      <c r="F22" s="47">
        <f>SUM(F14:F21)</f>
        <v>0</v>
      </c>
      <c r="G22" s="122" t="s">
        <v>469</v>
      </c>
      <c r="H22" s="123"/>
      <c r="I22" s="47">
        <f>SUM(I14:I21)</f>
        <v>0</v>
      </c>
    </row>
    <row r="23" spans="1:9" ht="15.75" x14ac:dyDescent="0.25">
      <c r="D23" s="110" t="s">
        <v>470</v>
      </c>
      <c r="E23" s="111"/>
      <c r="F23" s="48">
        <v>0</v>
      </c>
      <c r="G23" s="124" t="s">
        <v>471</v>
      </c>
      <c r="H23" s="111"/>
      <c r="I23" s="42">
        <v>0</v>
      </c>
    </row>
    <row r="24" spans="1:9" ht="15.75" x14ac:dyDescent="0.25">
      <c r="G24" s="110" t="s">
        <v>472</v>
      </c>
      <c r="H24" s="111"/>
      <c r="I24" s="42">
        <f>vorn_sum</f>
        <v>0</v>
      </c>
    </row>
    <row r="25" spans="1:9" ht="15.75" x14ac:dyDescent="0.25">
      <c r="G25" s="110" t="s">
        <v>473</v>
      </c>
      <c r="H25" s="111"/>
      <c r="I25" s="42">
        <v>0</v>
      </c>
    </row>
    <row r="27" spans="1:9" ht="15.75" x14ac:dyDescent="0.25">
      <c r="A27" s="112" t="s">
        <v>474</v>
      </c>
      <c r="B27" s="113"/>
      <c r="C27" s="49">
        <f>ROUND(SUM('Stavební rozpočet'!AJ12:AJ578),0)</f>
        <v>0</v>
      </c>
    </row>
    <row r="28" spans="1:9" ht="15.75" x14ac:dyDescent="0.25">
      <c r="A28" s="114" t="s">
        <v>475</v>
      </c>
      <c r="B28" s="115"/>
      <c r="C28" s="50">
        <f>ROUND(SUM('Stavební rozpočet'!AK12:AK578),0)</f>
        <v>0</v>
      </c>
      <c r="D28" s="116" t="s">
        <v>476</v>
      </c>
      <c r="E28" s="113"/>
      <c r="F28" s="49">
        <f>ROUND(C28*(12/100),2)</f>
        <v>0</v>
      </c>
      <c r="G28" s="116" t="s">
        <v>477</v>
      </c>
      <c r="H28" s="113"/>
      <c r="I28" s="49">
        <f>ROUND(SUM(C27:C29),0)</f>
        <v>0</v>
      </c>
    </row>
    <row r="29" spans="1:9" ht="15.75" x14ac:dyDescent="0.25">
      <c r="A29" s="114" t="s">
        <v>478</v>
      </c>
      <c r="B29" s="115"/>
      <c r="C29" s="50">
        <f>ROUND(SUM('Stavební rozpočet'!AL12:AL578),0)</f>
        <v>0</v>
      </c>
      <c r="D29" s="117" t="s">
        <v>479</v>
      </c>
      <c r="E29" s="115"/>
      <c r="F29" s="50">
        <f>ROUND(C29*(21/100),2)</f>
        <v>0</v>
      </c>
      <c r="G29" s="117" t="s">
        <v>480</v>
      </c>
      <c r="H29" s="115"/>
      <c r="I29" s="50">
        <f>ROUND(SUM(F28:F29)+I28,0)</f>
        <v>0</v>
      </c>
    </row>
    <row r="31" spans="1:9" x14ac:dyDescent="0.25">
      <c r="A31" s="107" t="s">
        <v>481</v>
      </c>
      <c r="B31" s="99"/>
      <c r="C31" s="100"/>
      <c r="D31" s="98" t="s">
        <v>482</v>
      </c>
      <c r="E31" s="99"/>
      <c r="F31" s="100"/>
      <c r="G31" s="98" t="s">
        <v>483</v>
      </c>
      <c r="H31" s="99"/>
      <c r="I31" s="100"/>
    </row>
    <row r="32" spans="1:9" x14ac:dyDescent="0.25">
      <c r="A32" s="108" t="s">
        <v>23</v>
      </c>
      <c r="B32" s="102"/>
      <c r="C32" s="103"/>
      <c r="D32" s="101" t="s">
        <v>23</v>
      </c>
      <c r="E32" s="102"/>
      <c r="F32" s="103"/>
      <c r="G32" s="101" t="s">
        <v>23</v>
      </c>
      <c r="H32" s="102"/>
      <c r="I32" s="103"/>
    </row>
    <row r="33" spans="1:9" x14ac:dyDescent="0.25">
      <c r="A33" s="108" t="s">
        <v>23</v>
      </c>
      <c r="B33" s="102"/>
      <c r="C33" s="103"/>
      <c r="D33" s="101" t="s">
        <v>23</v>
      </c>
      <c r="E33" s="102"/>
      <c r="F33" s="103"/>
      <c r="G33" s="101" t="s">
        <v>23</v>
      </c>
      <c r="H33" s="102"/>
      <c r="I33" s="103"/>
    </row>
    <row r="34" spans="1:9" x14ac:dyDescent="0.25">
      <c r="A34" s="108" t="s">
        <v>23</v>
      </c>
      <c r="B34" s="102"/>
      <c r="C34" s="103"/>
      <c r="D34" s="101" t="s">
        <v>23</v>
      </c>
      <c r="E34" s="102"/>
      <c r="F34" s="103"/>
      <c r="G34" s="101" t="s">
        <v>23</v>
      </c>
      <c r="H34" s="102"/>
      <c r="I34" s="103"/>
    </row>
    <row r="35" spans="1:9" x14ac:dyDescent="0.25">
      <c r="A35" s="109" t="s">
        <v>484</v>
      </c>
      <c r="B35" s="105"/>
      <c r="C35" s="106"/>
      <c r="D35" s="104" t="s">
        <v>484</v>
      </c>
      <c r="E35" s="105"/>
      <c r="F35" s="106"/>
      <c r="G35" s="104" t="s">
        <v>484</v>
      </c>
      <c r="H35" s="105"/>
      <c r="I35" s="106"/>
    </row>
    <row r="36" spans="1:9" x14ac:dyDescent="0.25">
      <c r="A36" s="51" t="s">
        <v>485</v>
      </c>
    </row>
    <row r="37" spans="1:9" ht="12.75" customHeight="1" x14ac:dyDescent="0.25">
      <c r="A37" s="96" t="s">
        <v>23</v>
      </c>
      <c r="B37" s="97"/>
      <c r="C37" s="97"/>
      <c r="D37" s="97"/>
      <c r="E37" s="97"/>
      <c r="F37" s="97"/>
      <c r="G37" s="97"/>
      <c r="H37" s="97"/>
      <c r="I37" s="97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workbookViewId="0">
      <pane ySplit="11" topLeftCell="A24" activePane="bottomLeft" state="frozen"/>
      <selection pane="bottomLeft" activeCell="A2" sqref="A2:B3"/>
    </sheetView>
  </sheetViews>
  <sheetFormatPr defaultColWidth="12.140625" defaultRowHeight="15" customHeight="1" x14ac:dyDescent="0.25"/>
  <cols>
    <col min="1" max="2" width="8.5703125" customWidth="1"/>
    <col min="3" max="3" width="56.28515625" customWidth="1"/>
    <col min="4" max="4" width="25.42578125" customWidth="1"/>
    <col min="5" max="5" width="23.140625" customWidth="1"/>
    <col min="6" max="6" width="23.28515625" customWidth="1"/>
    <col min="7" max="7" width="22.42578125" customWidth="1"/>
    <col min="8" max="8" width="0" hidden="1" customWidth="1"/>
    <col min="9" max="9" width="2.140625" hidden="1" customWidth="1"/>
  </cols>
  <sheetData>
    <row r="1" spans="1:9" ht="54.75" customHeight="1" x14ac:dyDescent="0.25">
      <c r="A1" s="141" t="s">
        <v>799</v>
      </c>
      <c r="B1" s="141"/>
      <c r="C1" s="141"/>
      <c r="D1" s="141"/>
      <c r="E1" s="141"/>
      <c r="F1" s="141"/>
      <c r="G1" s="141"/>
    </row>
    <row r="2" spans="1:9" x14ac:dyDescent="0.25">
      <c r="A2" s="142" t="s">
        <v>1</v>
      </c>
      <c r="B2" s="143"/>
      <c r="C2" s="137" t="str">
        <f>'Stavební rozpočet'!D2</f>
        <v>Oprava rozvodů kanalizace, vody a plynu v bytovém domě Karvinská 1275 Havířov</v>
      </c>
      <c r="D2" s="143" t="s">
        <v>2</v>
      </c>
      <c r="E2" s="143" t="s">
        <v>22</v>
      </c>
      <c r="F2" s="134" t="s">
        <v>3</v>
      </c>
      <c r="G2" s="148" t="str">
        <f>'Stavební rozpočet'!J2</f>
        <v>Společenství vlastníků Karvinská 1275/37, Havířov,</v>
      </c>
    </row>
    <row r="3" spans="1:9" ht="33" customHeight="1" x14ac:dyDescent="0.25">
      <c r="A3" s="144"/>
      <c r="B3" s="97"/>
      <c r="C3" s="139"/>
      <c r="D3" s="97"/>
      <c r="E3" s="97"/>
      <c r="F3" s="97"/>
      <c r="G3" s="146"/>
    </row>
    <row r="4" spans="1:9" x14ac:dyDescent="0.25">
      <c r="A4" s="135" t="s">
        <v>4</v>
      </c>
      <c r="B4" s="97"/>
      <c r="C4" s="96" t="str">
        <f>'Stavební rozpočet'!D4</f>
        <v xml:space="preserve"> </v>
      </c>
      <c r="D4" s="97" t="s">
        <v>5</v>
      </c>
      <c r="E4" s="97" t="s">
        <v>22</v>
      </c>
      <c r="F4" s="96" t="s">
        <v>6</v>
      </c>
      <c r="G4" s="128" t="str">
        <f>'Stavební rozpočet'!J4</f>
        <v>Ing. Radim Kyjonka</v>
      </c>
    </row>
    <row r="5" spans="1:9" ht="15" customHeight="1" x14ac:dyDescent="0.25">
      <c r="A5" s="144"/>
      <c r="B5" s="97"/>
      <c r="C5" s="97"/>
      <c r="D5" s="97"/>
      <c r="E5" s="97"/>
      <c r="F5" s="97"/>
      <c r="G5" s="146"/>
    </row>
    <row r="6" spans="1:9" x14ac:dyDescent="0.25">
      <c r="A6" s="135" t="s">
        <v>7</v>
      </c>
      <c r="B6" s="97"/>
      <c r="C6" s="96" t="str">
        <f>'Stavební rozpočet'!D6</f>
        <v xml:space="preserve"> </v>
      </c>
      <c r="D6" s="97" t="s">
        <v>8</v>
      </c>
      <c r="E6" s="97" t="s">
        <v>22</v>
      </c>
      <c r="F6" s="96" t="s">
        <v>9</v>
      </c>
      <c r="G6" s="128" t="str">
        <f>'Stavební rozpočet'!J6</f>
        <v> </v>
      </c>
    </row>
    <row r="7" spans="1:9" ht="15" customHeight="1" x14ac:dyDescent="0.25">
      <c r="A7" s="144"/>
      <c r="B7" s="97"/>
      <c r="C7" s="97"/>
      <c r="D7" s="97"/>
      <c r="E7" s="97"/>
      <c r="F7" s="97"/>
      <c r="G7" s="146"/>
    </row>
    <row r="8" spans="1:9" x14ac:dyDescent="0.25">
      <c r="A8" s="135" t="s">
        <v>12</v>
      </c>
      <c r="B8" s="97"/>
      <c r="C8" s="96" t="str">
        <f>'Stavební rozpočet'!J8</f>
        <v>Ing. Radim Kyjonka</v>
      </c>
      <c r="D8" s="97" t="s">
        <v>11</v>
      </c>
      <c r="E8" s="97" t="s">
        <v>423</v>
      </c>
      <c r="F8" s="97" t="s">
        <v>11</v>
      </c>
      <c r="G8" s="128" t="str">
        <f>'Stavební rozpočet'!H8</f>
        <v>11.04.2025</v>
      </c>
    </row>
    <row r="9" spans="1:9" x14ac:dyDescent="0.25">
      <c r="A9" s="151"/>
      <c r="B9" s="150"/>
      <c r="C9" s="150"/>
      <c r="D9" s="150"/>
      <c r="E9" s="150"/>
      <c r="F9" s="150"/>
      <c r="G9" s="149"/>
    </row>
    <row r="10" spans="1:9" x14ac:dyDescent="0.25">
      <c r="A10" s="26" t="s">
        <v>424</v>
      </c>
      <c r="B10" s="27" t="s">
        <v>14</v>
      </c>
      <c r="C10" s="28" t="s">
        <v>15</v>
      </c>
      <c r="D10" s="29" t="s">
        <v>425</v>
      </c>
      <c r="E10" s="29" t="s">
        <v>426</v>
      </c>
      <c r="F10" s="29" t="s">
        <v>427</v>
      </c>
      <c r="G10" s="30" t="s">
        <v>428</v>
      </c>
    </row>
    <row r="11" spans="1:9" x14ac:dyDescent="0.25">
      <c r="A11" s="31" t="s">
        <v>429</v>
      </c>
      <c r="B11" s="32" t="s">
        <v>23</v>
      </c>
      <c r="C11" s="32" t="s">
        <v>24</v>
      </c>
      <c r="D11" s="33">
        <f>ROUND('Stavební rozpočet'!J12,2)</f>
        <v>0</v>
      </c>
      <c r="E11" s="33">
        <f>ROUND('Stavební rozpočet'!K12,2)</f>
        <v>0</v>
      </c>
      <c r="F11" s="33">
        <f>ROUND('Stavební rozpočet'!L12,2)</f>
        <v>0</v>
      </c>
      <c r="G11" s="34">
        <f>'Stavební rozpočet'!O12</f>
        <v>4.6960000000000002E-2</v>
      </c>
      <c r="H11" s="35" t="s">
        <v>430</v>
      </c>
      <c r="I11" s="19">
        <f t="shared" ref="I11:I46" si="0">IF(H11="F",0,F11)</f>
        <v>0</v>
      </c>
    </row>
    <row r="12" spans="1:9" x14ac:dyDescent="0.25">
      <c r="A12" s="1" t="s">
        <v>429</v>
      </c>
      <c r="B12" s="2" t="s">
        <v>25</v>
      </c>
      <c r="C12" s="2" t="s">
        <v>26</v>
      </c>
      <c r="D12" s="19">
        <f>ROUND('Stavební rozpočet'!J13,2)</f>
        <v>0</v>
      </c>
      <c r="E12" s="19">
        <f>ROUND('Stavební rozpočet'!K13,2)</f>
        <v>0</v>
      </c>
      <c r="F12" s="19">
        <f>ROUND('Stavební rozpočet'!L13,2)</f>
        <v>0</v>
      </c>
      <c r="G12" s="20">
        <f>'Stavební rozpočet'!O13</f>
        <v>4.6960000000000002E-2</v>
      </c>
      <c r="H12" s="35" t="s">
        <v>431</v>
      </c>
      <c r="I12" s="19">
        <f t="shared" si="0"/>
        <v>0</v>
      </c>
    </row>
    <row r="13" spans="1:9" x14ac:dyDescent="0.25">
      <c r="A13" s="1" t="s">
        <v>432</v>
      </c>
      <c r="B13" s="2" t="s">
        <v>23</v>
      </c>
      <c r="C13" s="2" t="s">
        <v>42</v>
      </c>
      <c r="D13" s="19">
        <f>ROUND('Stavební rozpočet'!J19,2)</f>
        <v>0</v>
      </c>
      <c r="E13" s="19">
        <f>ROUND('Stavební rozpočet'!K19,2)</f>
        <v>0</v>
      </c>
      <c r="F13" s="19">
        <f>ROUND('Stavební rozpočet'!L19,2)</f>
        <v>0</v>
      </c>
      <c r="G13" s="20">
        <f>'Stavební rozpočet'!O19</f>
        <v>0.49928</v>
      </c>
      <c r="H13" s="35" t="s">
        <v>430</v>
      </c>
      <c r="I13" s="19">
        <f t="shared" si="0"/>
        <v>0</v>
      </c>
    </row>
    <row r="14" spans="1:9" x14ac:dyDescent="0.25">
      <c r="A14" s="1" t="s">
        <v>432</v>
      </c>
      <c r="B14" s="2" t="s">
        <v>25</v>
      </c>
      <c r="C14" s="2" t="s">
        <v>26</v>
      </c>
      <c r="D14" s="19">
        <f>ROUND('Stavební rozpočet'!J20,2)</f>
        <v>0</v>
      </c>
      <c r="E14" s="19">
        <f>ROUND('Stavební rozpočet'!K20,2)</f>
        <v>0</v>
      </c>
      <c r="F14" s="19">
        <f>ROUND('Stavební rozpočet'!L20,2)</f>
        <v>0</v>
      </c>
      <c r="G14" s="20">
        <f>'Stavební rozpočet'!O20</f>
        <v>0.49928</v>
      </c>
      <c r="H14" s="35" t="s">
        <v>431</v>
      </c>
      <c r="I14" s="19">
        <f t="shared" si="0"/>
        <v>0</v>
      </c>
    </row>
    <row r="15" spans="1:9" x14ac:dyDescent="0.25">
      <c r="A15" s="1" t="s">
        <v>433</v>
      </c>
      <c r="B15" s="2" t="s">
        <v>23</v>
      </c>
      <c r="C15" s="2" t="s">
        <v>59</v>
      </c>
      <c r="D15" s="19">
        <f>ROUND('Stavební rozpočet'!J29,2)</f>
        <v>0</v>
      </c>
      <c r="E15" s="19">
        <f>ROUND('Stavební rozpočet'!K29,2)</f>
        <v>0</v>
      </c>
      <c r="F15" s="19">
        <f>ROUND('Stavební rozpočet'!L29,2)</f>
        <v>0</v>
      </c>
      <c r="G15" s="20">
        <f>'Stavební rozpočet'!O29</f>
        <v>1.2619599999999997</v>
      </c>
      <c r="H15" s="35" t="s">
        <v>430</v>
      </c>
      <c r="I15" s="19">
        <f t="shared" si="0"/>
        <v>0</v>
      </c>
    </row>
    <row r="16" spans="1:9" x14ac:dyDescent="0.25">
      <c r="A16" s="1" t="s">
        <v>433</v>
      </c>
      <c r="B16" s="2" t="s">
        <v>60</v>
      </c>
      <c r="C16" s="2" t="s">
        <v>61</v>
      </c>
      <c r="D16" s="19">
        <f>ROUND('Stavební rozpočet'!J30,2)</f>
        <v>0</v>
      </c>
      <c r="E16" s="19">
        <f>ROUND('Stavební rozpočet'!K30,2)</f>
        <v>0</v>
      </c>
      <c r="F16" s="19">
        <f>ROUND('Stavební rozpočet'!L30,2)</f>
        <v>0</v>
      </c>
      <c r="G16" s="20">
        <f>'Stavební rozpočet'!O30</f>
        <v>1E-3</v>
      </c>
      <c r="H16" s="35" t="s">
        <v>431</v>
      </c>
      <c r="I16" s="19">
        <f t="shared" si="0"/>
        <v>0</v>
      </c>
    </row>
    <row r="17" spans="1:9" x14ac:dyDescent="0.25">
      <c r="A17" s="1" t="s">
        <v>433</v>
      </c>
      <c r="B17" s="2" t="s">
        <v>25</v>
      </c>
      <c r="C17" s="2" t="s">
        <v>26</v>
      </c>
      <c r="D17" s="19">
        <f>ROUND('Stavební rozpočet'!J34,2)</f>
        <v>0</v>
      </c>
      <c r="E17" s="19">
        <f>ROUND('Stavební rozpočet'!K34,2)</f>
        <v>0</v>
      </c>
      <c r="F17" s="19">
        <f>ROUND('Stavební rozpočet'!L34,2)</f>
        <v>0</v>
      </c>
      <c r="G17" s="20">
        <f>'Stavební rozpočet'!O34</f>
        <v>1.2609599999999999</v>
      </c>
      <c r="H17" s="35" t="s">
        <v>431</v>
      </c>
      <c r="I17" s="19">
        <f t="shared" si="0"/>
        <v>0</v>
      </c>
    </row>
    <row r="18" spans="1:9" x14ac:dyDescent="0.25">
      <c r="A18" s="1" t="s">
        <v>434</v>
      </c>
      <c r="B18" s="2" t="s">
        <v>23</v>
      </c>
      <c r="C18" s="2" t="s">
        <v>91</v>
      </c>
      <c r="D18" s="19">
        <f>ROUND('Stavební rozpočet'!J50,2)</f>
        <v>0</v>
      </c>
      <c r="E18" s="19">
        <f>ROUND('Stavební rozpočet'!K50,2)</f>
        <v>0</v>
      </c>
      <c r="F18" s="19">
        <f>ROUND('Stavební rozpočet'!L50,2)</f>
        <v>0</v>
      </c>
      <c r="G18" s="20">
        <f>'Stavební rozpočet'!O50</f>
        <v>0.42637999999999993</v>
      </c>
      <c r="H18" s="35" t="s">
        <v>430</v>
      </c>
      <c r="I18" s="19">
        <f t="shared" si="0"/>
        <v>0</v>
      </c>
    </row>
    <row r="19" spans="1:9" x14ac:dyDescent="0.25">
      <c r="A19" s="1" t="s">
        <v>434</v>
      </c>
      <c r="B19" s="2" t="s">
        <v>92</v>
      </c>
      <c r="C19" s="2" t="s">
        <v>93</v>
      </c>
      <c r="D19" s="19">
        <f>ROUND('Stavební rozpočet'!J51,2)</f>
        <v>0</v>
      </c>
      <c r="E19" s="19">
        <f>ROUND('Stavební rozpočet'!K51,2)</f>
        <v>0</v>
      </c>
      <c r="F19" s="19">
        <f>ROUND('Stavební rozpočet'!L51,2)</f>
        <v>0</v>
      </c>
      <c r="G19" s="20">
        <f>'Stavební rozpočet'!O51</f>
        <v>0.42637999999999993</v>
      </c>
      <c r="H19" s="35" t="s">
        <v>431</v>
      </c>
      <c r="I19" s="19">
        <f t="shared" si="0"/>
        <v>0</v>
      </c>
    </row>
    <row r="20" spans="1:9" x14ac:dyDescent="0.25">
      <c r="A20" s="1" t="s">
        <v>435</v>
      </c>
      <c r="B20" s="2" t="s">
        <v>23</v>
      </c>
      <c r="C20" s="2" t="s">
        <v>184</v>
      </c>
      <c r="D20" s="19">
        <f>ROUND('Stavební rozpočet'!J110,2)</f>
        <v>0</v>
      </c>
      <c r="E20" s="19">
        <f>ROUND('Stavební rozpočet'!K110,2)</f>
        <v>0</v>
      </c>
      <c r="F20" s="19">
        <f>ROUND('Stavební rozpočet'!L110,2)</f>
        <v>0</v>
      </c>
      <c r="G20" s="20">
        <f>'Stavební rozpočet'!O110</f>
        <v>0.98502000000000001</v>
      </c>
      <c r="H20" s="35" t="s">
        <v>430</v>
      </c>
      <c r="I20" s="19">
        <f t="shared" si="0"/>
        <v>0</v>
      </c>
    </row>
    <row r="21" spans="1:9" x14ac:dyDescent="0.25">
      <c r="A21" s="1" t="s">
        <v>435</v>
      </c>
      <c r="B21" s="2" t="s">
        <v>60</v>
      </c>
      <c r="C21" s="2" t="s">
        <v>61</v>
      </c>
      <c r="D21" s="19">
        <f>ROUND('Stavební rozpočet'!J111,2)</f>
        <v>0</v>
      </c>
      <c r="E21" s="19">
        <f>ROUND('Stavební rozpočet'!K111,2)</f>
        <v>0</v>
      </c>
      <c r="F21" s="19">
        <f>ROUND('Stavební rozpočet'!L111,2)</f>
        <v>0</v>
      </c>
      <c r="G21" s="20">
        <f>'Stavební rozpočet'!O111</f>
        <v>0</v>
      </c>
      <c r="H21" s="35" t="s">
        <v>431</v>
      </c>
      <c r="I21" s="19">
        <f t="shared" si="0"/>
        <v>0</v>
      </c>
    </row>
    <row r="22" spans="1:9" x14ac:dyDescent="0.25">
      <c r="A22" s="1" t="s">
        <v>435</v>
      </c>
      <c r="B22" s="2" t="s">
        <v>92</v>
      </c>
      <c r="C22" s="2" t="s">
        <v>93</v>
      </c>
      <c r="D22" s="19">
        <f>ROUND('Stavební rozpočet'!J116,2)</f>
        <v>0</v>
      </c>
      <c r="E22" s="19">
        <f>ROUND('Stavební rozpočet'!K116,2)</f>
        <v>0</v>
      </c>
      <c r="F22" s="19">
        <f>ROUND('Stavební rozpočet'!L116,2)</f>
        <v>0</v>
      </c>
      <c r="G22" s="20">
        <f>'Stavební rozpočet'!O116</f>
        <v>0.51883999999999997</v>
      </c>
      <c r="H22" s="35" t="s">
        <v>431</v>
      </c>
      <c r="I22" s="19">
        <f t="shared" si="0"/>
        <v>0</v>
      </c>
    </row>
    <row r="23" spans="1:9" x14ac:dyDescent="0.25">
      <c r="A23" s="1" t="s">
        <v>435</v>
      </c>
      <c r="B23" s="2" t="s">
        <v>216</v>
      </c>
      <c r="C23" s="2" t="s">
        <v>217</v>
      </c>
      <c r="D23" s="19">
        <f>ROUND('Stavební rozpočet'!J152,2)</f>
        <v>0</v>
      </c>
      <c r="E23" s="19">
        <f>ROUND('Stavební rozpočet'!K152,2)</f>
        <v>0</v>
      </c>
      <c r="F23" s="19">
        <f>ROUND('Stavební rozpočet'!L152,2)</f>
        <v>0</v>
      </c>
      <c r="G23" s="20">
        <f>'Stavební rozpočet'!O152</f>
        <v>0.46617999999999998</v>
      </c>
      <c r="H23" s="35" t="s">
        <v>431</v>
      </c>
      <c r="I23" s="19">
        <f t="shared" si="0"/>
        <v>0</v>
      </c>
    </row>
    <row r="24" spans="1:9" x14ac:dyDescent="0.25">
      <c r="A24" s="1" t="s">
        <v>436</v>
      </c>
      <c r="B24" s="2" t="s">
        <v>23</v>
      </c>
      <c r="C24" s="2" t="s">
        <v>224</v>
      </c>
      <c r="D24" s="19">
        <f>ROUND('Stavební rozpočet'!J156,2)</f>
        <v>0</v>
      </c>
      <c r="E24" s="19">
        <f>ROUND('Stavební rozpočet'!K156,2)</f>
        <v>0</v>
      </c>
      <c r="F24" s="19">
        <f>ROUND('Stavební rozpočet'!L156,2)</f>
        <v>0</v>
      </c>
      <c r="G24" s="20">
        <f>'Stavební rozpočet'!O156</f>
        <v>0.99043799999999993</v>
      </c>
      <c r="H24" s="35" t="s">
        <v>430</v>
      </c>
      <c r="I24" s="19">
        <f t="shared" si="0"/>
        <v>0</v>
      </c>
    </row>
    <row r="25" spans="1:9" x14ac:dyDescent="0.25">
      <c r="A25" s="1" t="s">
        <v>436</v>
      </c>
      <c r="B25" s="2" t="s">
        <v>225</v>
      </c>
      <c r="C25" s="2" t="s">
        <v>226</v>
      </c>
      <c r="D25" s="19">
        <f>ROUND('Stavební rozpočet'!J157,2)</f>
        <v>0</v>
      </c>
      <c r="E25" s="19">
        <f>ROUND('Stavební rozpočet'!K157,2)</f>
        <v>0</v>
      </c>
      <c r="F25" s="19">
        <f>ROUND('Stavební rozpočet'!L157,2)</f>
        <v>0</v>
      </c>
      <c r="G25" s="20">
        <f>'Stavební rozpočet'!O157</f>
        <v>0.99043799999999993</v>
      </c>
      <c r="H25" s="35" t="s">
        <v>431</v>
      </c>
      <c r="I25" s="19">
        <f t="shared" si="0"/>
        <v>0</v>
      </c>
    </row>
    <row r="26" spans="1:9" x14ac:dyDescent="0.25">
      <c r="A26" s="1" t="s">
        <v>437</v>
      </c>
      <c r="B26" s="2" t="s">
        <v>23</v>
      </c>
      <c r="C26" s="2" t="s">
        <v>276</v>
      </c>
      <c r="D26" s="19">
        <f>ROUND('Stavební rozpočet'!J187,2)</f>
        <v>0</v>
      </c>
      <c r="E26" s="19">
        <f>ROUND('Stavební rozpočet'!K187,2)</f>
        <v>0</v>
      </c>
      <c r="F26" s="19">
        <f>ROUND('Stavební rozpočet'!L187,2)</f>
        <v>0</v>
      </c>
      <c r="G26" s="20">
        <f>'Stavební rozpočet'!O187</f>
        <v>1.7505840000000004</v>
      </c>
      <c r="H26" s="35" t="s">
        <v>430</v>
      </c>
      <c r="I26" s="19">
        <f t="shared" si="0"/>
        <v>0</v>
      </c>
    </row>
    <row r="27" spans="1:9" x14ac:dyDescent="0.25">
      <c r="A27" s="1" t="s">
        <v>437</v>
      </c>
      <c r="B27" s="2" t="s">
        <v>225</v>
      </c>
      <c r="C27" s="2" t="s">
        <v>226</v>
      </c>
      <c r="D27" s="19">
        <f>ROUND('Stavební rozpočet'!J188,2)</f>
        <v>0</v>
      </c>
      <c r="E27" s="19">
        <f>ROUND('Stavební rozpočet'!K188,2)</f>
        <v>0</v>
      </c>
      <c r="F27" s="19">
        <f>ROUND('Stavební rozpočet'!L188,2)</f>
        <v>0</v>
      </c>
      <c r="G27" s="20">
        <f>'Stavební rozpočet'!O188</f>
        <v>1.7505840000000004</v>
      </c>
      <c r="H27" s="35" t="s">
        <v>431</v>
      </c>
      <c r="I27" s="19">
        <f t="shared" si="0"/>
        <v>0</v>
      </c>
    </row>
    <row r="28" spans="1:9" x14ac:dyDescent="0.25">
      <c r="A28" s="1" t="s">
        <v>438</v>
      </c>
      <c r="B28" s="2" t="s">
        <v>23</v>
      </c>
      <c r="C28" s="2" t="s">
        <v>293</v>
      </c>
      <c r="D28" s="19">
        <f>ROUND('Stavební rozpočet'!J205,2)</f>
        <v>0</v>
      </c>
      <c r="E28" s="19">
        <f>ROUND('Stavební rozpočet'!K205,2)</f>
        <v>0</v>
      </c>
      <c r="F28" s="19">
        <f>ROUND('Stavební rozpočet'!L205,2)</f>
        <v>0</v>
      </c>
      <c r="G28" s="20">
        <f>'Stavební rozpočet'!O205</f>
        <v>11.419726000000001</v>
      </c>
      <c r="H28" s="35" t="s">
        <v>430</v>
      </c>
      <c r="I28" s="19">
        <f t="shared" si="0"/>
        <v>0</v>
      </c>
    </row>
    <row r="29" spans="1:9" x14ac:dyDescent="0.25">
      <c r="A29" s="1" t="s">
        <v>438</v>
      </c>
      <c r="B29" s="2" t="s">
        <v>294</v>
      </c>
      <c r="C29" s="2" t="s">
        <v>295</v>
      </c>
      <c r="D29" s="19">
        <f>ROUND('Stavební rozpočet'!J206,2)</f>
        <v>0</v>
      </c>
      <c r="E29" s="19">
        <f>ROUND('Stavební rozpočet'!K206,2)</f>
        <v>0</v>
      </c>
      <c r="F29" s="19">
        <f>ROUND('Stavební rozpočet'!L206,2)</f>
        <v>0</v>
      </c>
      <c r="G29" s="20">
        <f>'Stavební rozpočet'!O206</f>
        <v>2.2897950000000002</v>
      </c>
      <c r="H29" s="35" t="s">
        <v>431</v>
      </c>
      <c r="I29" s="19">
        <f t="shared" si="0"/>
        <v>0</v>
      </c>
    </row>
    <row r="30" spans="1:9" x14ac:dyDescent="0.25">
      <c r="A30" s="1" t="s">
        <v>438</v>
      </c>
      <c r="B30" s="2" t="s">
        <v>316</v>
      </c>
      <c r="C30" s="2" t="s">
        <v>317</v>
      </c>
      <c r="D30" s="19">
        <f>ROUND('Stavební rozpočet'!J223,2)</f>
        <v>0</v>
      </c>
      <c r="E30" s="19">
        <f>ROUND('Stavební rozpočet'!K223,2)</f>
        <v>0</v>
      </c>
      <c r="F30" s="19">
        <f>ROUND('Stavební rozpočet'!L223,2)</f>
        <v>0</v>
      </c>
      <c r="G30" s="20">
        <f>'Stavební rozpočet'!O223</f>
        <v>1.43022</v>
      </c>
      <c r="H30" s="35" t="s">
        <v>431</v>
      </c>
      <c r="I30" s="19">
        <f t="shared" si="0"/>
        <v>0</v>
      </c>
    </row>
    <row r="31" spans="1:9" x14ac:dyDescent="0.25">
      <c r="A31" s="1" t="s">
        <v>438</v>
      </c>
      <c r="B31" s="2" t="s">
        <v>322</v>
      </c>
      <c r="C31" s="2" t="s">
        <v>323</v>
      </c>
      <c r="D31" s="19">
        <f>ROUND('Stavební rozpočet'!J228,2)</f>
        <v>0</v>
      </c>
      <c r="E31" s="19">
        <f>ROUND('Stavební rozpočet'!K228,2)</f>
        <v>0</v>
      </c>
      <c r="F31" s="19">
        <f>ROUND('Stavební rozpočet'!L228,2)</f>
        <v>0</v>
      </c>
      <c r="G31" s="20">
        <f>'Stavební rozpočet'!O228</f>
        <v>0</v>
      </c>
      <c r="H31" s="35" t="s">
        <v>431</v>
      </c>
      <c r="I31" s="19">
        <f t="shared" si="0"/>
        <v>0</v>
      </c>
    </row>
    <row r="32" spans="1:9" x14ac:dyDescent="0.25">
      <c r="A32" s="1" t="s">
        <v>438</v>
      </c>
      <c r="B32" s="2" t="s">
        <v>326</v>
      </c>
      <c r="C32" s="2" t="s">
        <v>327</v>
      </c>
      <c r="D32" s="19">
        <f>ROUND('Stavební rozpočet'!J230,2)</f>
        <v>0</v>
      </c>
      <c r="E32" s="19">
        <f>ROUND('Stavební rozpočet'!K230,2)</f>
        <v>0</v>
      </c>
      <c r="F32" s="19">
        <f>ROUND('Stavební rozpočet'!L230,2)</f>
        <v>0</v>
      </c>
      <c r="G32" s="20">
        <f>'Stavební rozpočet'!O230</f>
        <v>1.056E-2</v>
      </c>
      <c r="H32" s="35" t="s">
        <v>431</v>
      </c>
      <c r="I32" s="19">
        <f t="shared" si="0"/>
        <v>0</v>
      </c>
    </row>
    <row r="33" spans="1:9" x14ac:dyDescent="0.25">
      <c r="A33" s="1" t="s">
        <v>438</v>
      </c>
      <c r="B33" s="2" t="s">
        <v>337</v>
      </c>
      <c r="C33" s="2" t="s">
        <v>338</v>
      </c>
      <c r="D33" s="19">
        <f>ROUND('Stavební rozpočet'!J235,2)</f>
        <v>0</v>
      </c>
      <c r="E33" s="19">
        <f>ROUND('Stavební rozpočet'!K235,2)</f>
        <v>0</v>
      </c>
      <c r="F33" s="19">
        <f>ROUND('Stavební rozpočet'!L235,2)</f>
        <v>0</v>
      </c>
      <c r="G33" s="20">
        <f>'Stavební rozpočet'!O235</f>
        <v>1.7238E-2</v>
      </c>
      <c r="H33" s="35" t="s">
        <v>431</v>
      </c>
      <c r="I33" s="19">
        <f t="shared" si="0"/>
        <v>0</v>
      </c>
    </row>
    <row r="34" spans="1:9" x14ac:dyDescent="0.25">
      <c r="A34" s="1" t="s">
        <v>438</v>
      </c>
      <c r="B34" s="2" t="s">
        <v>344</v>
      </c>
      <c r="C34" s="2" t="s">
        <v>345</v>
      </c>
      <c r="D34" s="19">
        <f>ROUND('Stavební rozpočet'!J239,2)</f>
        <v>0</v>
      </c>
      <c r="E34" s="19">
        <f>ROUND('Stavební rozpočet'!K239,2)</f>
        <v>0</v>
      </c>
      <c r="F34" s="19">
        <f>ROUND('Stavební rozpočet'!L239,2)</f>
        <v>0</v>
      </c>
      <c r="G34" s="20">
        <f>'Stavební rozpočet'!O239</f>
        <v>4.6800000000000001E-2</v>
      </c>
      <c r="H34" s="35" t="s">
        <v>431</v>
      </c>
      <c r="I34" s="19">
        <f t="shared" si="0"/>
        <v>0</v>
      </c>
    </row>
    <row r="35" spans="1:9" x14ac:dyDescent="0.25">
      <c r="A35" s="1" t="s">
        <v>438</v>
      </c>
      <c r="B35" s="2" t="s">
        <v>348</v>
      </c>
      <c r="C35" s="2" t="s">
        <v>349</v>
      </c>
      <c r="D35" s="19">
        <f>ROUND('Stavební rozpočet'!J241,2)</f>
        <v>0</v>
      </c>
      <c r="E35" s="19">
        <f>ROUND('Stavební rozpočet'!K241,2)</f>
        <v>0</v>
      </c>
      <c r="F35" s="19">
        <f>ROUND('Stavební rozpočet'!L241,2)</f>
        <v>0</v>
      </c>
      <c r="G35" s="20">
        <f>'Stavební rozpočet'!O241</f>
        <v>0</v>
      </c>
      <c r="H35" s="35" t="s">
        <v>431</v>
      </c>
      <c r="I35" s="19">
        <f t="shared" si="0"/>
        <v>0</v>
      </c>
    </row>
    <row r="36" spans="1:9" x14ac:dyDescent="0.25">
      <c r="A36" s="1" t="s">
        <v>438</v>
      </c>
      <c r="B36" s="2" t="s">
        <v>352</v>
      </c>
      <c r="C36" s="2" t="s">
        <v>353</v>
      </c>
      <c r="D36" s="19">
        <f>ROUND('Stavební rozpočet'!J243,2)</f>
        <v>0</v>
      </c>
      <c r="E36" s="19">
        <f>ROUND('Stavební rozpočet'!K243,2)</f>
        <v>0</v>
      </c>
      <c r="F36" s="19">
        <f>ROUND('Stavební rozpočet'!L243,2)</f>
        <v>0</v>
      </c>
      <c r="G36" s="20">
        <f>'Stavební rozpočet'!O243</f>
        <v>5.5450049999999997</v>
      </c>
      <c r="H36" s="35" t="s">
        <v>431</v>
      </c>
      <c r="I36" s="19">
        <f t="shared" si="0"/>
        <v>0</v>
      </c>
    </row>
    <row r="37" spans="1:9" x14ac:dyDescent="0.25">
      <c r="A37" s="1" t="s">
        <v>438</v>
      </c>
      <c r="B37" s="2" t="s">
        <v>356</v>
      </c>
      <c r="C37" s="2" t="s">
        <v>357</v>
      </c>
      <c r="D37" s="19">
        <f>ROUND('Stavební rozpočet'!J245,2)</f>
        <v>0</v>
      </c>
      <c r="E37" s="19">
        <f>ROUND('Stavební rozpočet'!K245,2)</f>
        <v>0</v>
      </c>
      <c r="F37" s="19">
        <f>ROUND('Stavební rozpočet'!L245,2)</f>
        <v>0</v>
      </c>
      <c r="G37" s="20">
        <f>'Stavební rozpočet'!O245</f>
        <v>2.0801080000000001</v>
      </c>
      <c r="H37" s="35" t="s">
        <v>431</v>
      </c>
      <c r="I37" s="19">
        <f t="shared" si="0"/>
        <v>0</v>
      </c>
    </row>
    <row r="38" spans="1:9" x14ac:dyDescent="0.25">
      <c r="A38" s="1" t="s">
        <v>438</v>
      </c>
      <c r="B38" s="2" t="s">
        <v>368</v>
      </c>
      <c r="C38" s="2" t="s">
        <v>369</v>
      </c>
      <c r="D38" s="19">
        <f>ROUND('Stavební rozpočet'!J255,2)</f>
        <v>0</v>
      </c>
      <c r="E38" s="19">
        <f>ROUND('Stavební rozpočet'!K255,2)</f>
        <v>0</v>
      </c>
      <c r="F38" s="19">
        <f>ROUND('Stavební rozpočet'!L255,2)</f>
        <v>0</v>
      </c>
      <c r="G38" s="20">
        <f>'Stavební rozpočet'!O255</f>
        <v>0</v>
      </c>
      <c r="H38" s="35" t="s">
        <v>431</v>
      </c>
      <c r="I38" s="19">
        <f t="shared" si="0"/>
        <v>0</v>
      </c>
    </row>
    <row r="39" spans="1:9" x14ac:dyDescent="0.25">
      <c r="A39" s="1" t="s">
        <v>439</v>
      </c>
      <c r="B39" s="2" t="s">
        <v>23</v>
      </c>
      <c r="C39" s="2" t="s">
        <v>389</v>
      </c>
      <c r="D39" s="19">
        <f>ROUND('Stavební rozpočet'!J269,2)</f>
        <v>0</v>
      </c>
      <c r="E39" s="19">
        <f>ROUND('Stavební rozpočet'!K269,2)</f>
        <v>0</v>
      </c>
      <c r="F39" s="19">
        <f>ROUND('Stavební rozpočet'!L269,2)</f>
        <v>0</v>
      </c>
      <c r="G39" s="20">
        <f>'Stavební rozpočet'!O269</f>
        <v>1.264667</v>
      </c>
      <c r="H39" s="35" t="s">
        <v>430</v>
      </c>
      <c r="I39" s="19">
        <f t="shared" si="0"/>
        <v>0</v>
      </c>
    </row>
    <row r="40" spans="1:9" x14ac:dyDescent="0.25">
      <c r="A40" s="1" t="s">
        <v>439</v>
      </c>
      <c r="B40" s="2" t="s">
        <v>390</v>
      </c>
      <c r="C40" s="2" t="s">
        <v>391</v>
      </c>
      <c r="D40" s="19">
        <f>ROUND('Stavební rozpočet'!J270,2)</f>
        <v>0</v>
      </c>
      <c r="E40" s="19">
        <f>ROUND('Stavební rozpočet'!K270,2)</f>
        <v>0</v>
      </c>
      <c r="F40" s="19">
        <f>ROUND('Stavební rozpočet'!L270,2)</f>
        <v>0</v>
      </c>
      <c r="G40" s="20">
        <f>'Stavební rozpočet'!O270</f>
        <v>1.264667</v>
      </c>
      <c r="H40" s="35" t="s">
        <v>431</v>
      </c>
      <c r="I40" s="19">
        <f t="shared" si="0"/>
        <v>0</v>
      </c>
    </row>
    <row r="41" spans="1:9" x14ac:dyDescent="0.25">
      <c r="A41" s="1" t="s">
        <v>440</v>
      </c>
      <c r="B41" s="2" t="s">
        <v>23</v>
      </c>
      <c r="C41" s="2" t="s">
        <v>402</v>
      </c>
      <c r="D41" s="19">
        <f>ROUND('Stavební rozpočet'!J279,2)</f>
        <v>0</v>
      </c>
      <c r="E41" s="19">
        <f>ROUND('Stavební rozpočet'!K279,2)</f>
        <v>0</v>
      </c>
      <c r="F41" s="19">
        <f>ROUND('Stavební rozpočet'!L279,2)</f>
        <v>0</v>
      </c>
      <c r="G41" s="20">
        <f>'Stavební rozpočet'!O279</f>
        <v>0</v>
      </c>
      <c r="H41" s="35" t="s">
        <v>430</v>
      </c>
      <c r="I41" s="19">
        <f t="shared" si="0"/>
        <v>0</v>
      </c>
    </row>
    <row r="42" spans="1:9" x14ac:dyDescent="0.25">
      <c r="A42" s="1" t="s">
        <v>440</v>
      </c>
      <c r="B42" s="2" t="s">
        <v>403</v>
      </c>
      <c r="C42" s="2" t="s">
        <v>404</v>
      </c>
      <c r="D42" s="19">
        <f>ROUND('Stavební rozpočet'!J280,2)</f>
        <v>0</v>
      </c>
      <c r="E42" s="19">
        <f>ROUND('Stavební rozpočet'!K280,2)</f>
        <v>0</v>
      </c>
      <c r="F42" s="19">
        <f>ROUND('Stavební rozpočet'!L280,2)</f>
        <v>0</v>
      </c>
      <c r="G42" s="20">
        <f>'Stavební rozpočet'!O280</f>
        <v>0</v>
      </c>
      <c r="H42" s="35" t="s">
        <v>430</v>
      </c>
      <c r="I42" s="19">
        <f t="shared" si="0"/>
        <v>0</v>
      </c>
    </row>
    <row r="43" spans="1:9" x14ac:dyDescent="0.25">
      <c r="A43" s="1" t="s">
        <v>440</v>
      </c>
      <c r="B43" s="2" t="s">
        <v>405</v>
      </c>
      <c r="C43" s="2" t="s">
        <v>406</v>
      </c>
      <c r="D43" s="19">
        <f>ROUND('Stavební rozpočet'!J281,2)</f>
        <v>0</v>
      </c>
      <c r="E43" s="19">
        <f>ROUND('Stavební rozpočet'!K281,2)</f>
        <v>0</v>
      </c>
      <c r="F43" s="19">
        <f>ROUND('Stavební rozpočet'!L281,2)</f>
        <v>0</v>
      </c>
      <c r="G43" s="20">
        <f>'Stavební rozpočet'!O281</f>
        <v>0</v>
      </c>
      <c r="H43" s="35" t="s">
        <v>431</v>
      </c>
      <c r="I43" s="19">
        <f t="shared" si="0"/>
        <v>0</v>
      </c>
    </row>
    <row r="44" spans="1:9" x14ac:dyDescent="0.25">
      <c r="A44" s="1" t="s">
        <v>440</v>
      </c>
      <c r="B44" s="2" t="s">
        <v>409</v>
      </c>
      <c r="C44" s="2" t="s">
        <v>410</v>
      </c>
      <c r="D44" s="19">
        <f>ROUND('Stavební rozpočet'!J283,2)</f>
        <v>0</v>
      </c>
      <c r="E44" s="19">
        <f>ROUND('Stavební rozpočet'!K283,2)</f>
        <v>0</v>
      </c>
      <c r="F44" s="19">
        <f>ROUND('Stavební rozpočet'!L283,2)</f>
        <v>0</v>
      </c>
      <c r="G44" s="20">
        <f>'Stavební rozpočet'!O283</f>
        <v>0</v>
      </c>
      <c r="H44" s="35" t="s">
        <v>431</v>
      </c>
      <c r="I44" s="19">
        <f t="shared" si="0"/>
        <v>0</v>
      </c>
    </row>
    <row r="45" spans="1:9" x14ac:dyDescent="0.25">
      <c r="A45" s="1" t="s">
        <v>440</v>
      </c>
      <c r="B45" s="2" t="s">
        <v>415</v>
      </c>
      <c r="C45" s="2" t="s">
        <v>416</v>
      </c>
      <c r="D45" s="19">
        <f>ROUND('Stavební rozpočet'!J286,2)</f>
        <v>0</v>
      </c>
      <c r="E45" s="19">
        <f>ROUND('Stavební rozpočet'!K286,2)</f>
        <v>0</v>
      </c>
      <c r="F45" s="19">
        <f>ROUND('Stavební rozpočet'!L286,2)</f>
        <v>0</v>
      </c>
      <c r="G45" s="20">
        <f>'Stavební rozpočet'!O286</f>
        <v>0</v>
      </c>
      <c r="H45" s="35" t="s">
        <v>431</v>
      </c>
      <c r="I45" s="19">
        <f t="shared" si="0"/>
        <v>0</v>
      </c>
    </row>
    <row r="46" spans="1:9" x14ac:dyDescent="0.25">
      <c r="A46" s="5" t="s">
        <v>440</v>
      </c>
      <c r="B46" s="6" t="s">
        <v>418</v>
      </c>
      <c r="C46" s="6" t="s">
        <v>419</v>
      </c>
      <c r="D46" s="23">
        <f>ROUND('Stavební rozpočet'!J288,2)</f>
        <v>0</v>
      </c>
      <c r="E46" s="23">
        <f>ROUND('Stavební rozpočet'!K288,2)</f>
        <v>0</v>
      </c>
      <c r="F46" s="23">
        <f>ROUND('Stavební rozpočet'!L288,2)</f>
        <v>0</v>
      </c>
      <c r="G46" s="24">
        <f>'Stavební rozpočet'!O288</f>
        <v>0</v>
      </c>
      <c r="H46" s="35" t="s">
        <v>431</v>
      </c>
      <c r="I46" s="19">
        <f t="shared" si="0"/>
        <v>0</v>
      </c>
    </row>
    <row r="47" spans="1:9" x14ac:dyDescent="0.25">
      <c r="E47" s="36" t="s">
        <v>422</v>
      </c>
      <c r="F47" s="37">
        <f>ROUND(SUM(I11:I46),0)</f>
        <v>0</v>
      </c>
    </row>
  </sheetData>
  <mergeCells count="25">
    <mergeCell ref="A1:G1"/>
    <mergeCell ref="A2:B3"/>
    <mergeCell ref="A4:B5"/>
    <mergeCell ref="A6:B7"/>
    <mergeCell ref="A8:B9"/>
    <mergeCell ref="D2:D3"/>
    <mergeCell ref="D4:D5"/>
    <mergeCell ref="D6:D7"/>
    <mergeCell ref="D8:D9"/>
    <mergeCell ref="F2:F3"/>
    <mergeCell ref="F4:F5"/>
    <mergeCell ref="F6:F7"/>
    <mergeCell ref="F8:F9"/>
    <mergeCell ref="C2:C3"/>
    <mergeCell ref="C4:C5"/>
    <mergeCell ref="C6:C7"/>
    <mergeCell ref="G2:G3"/>
    <mergeCell ref="G4:G5"/>
    <mergeCell ref="G6:G7"/>
    <mergeCell ref="G8:G9"/>
    <mergeCell ref="C8:C9"/>
    <mergeCell ref="E2:E3"/>
    <mergeCell ref="E4:E5"/>
    <mergeCell ref="E6:E7"/>
    <mergeCell ref="E8:E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37"/>
  <sheetViews>
    <sheetView tabSelected="1" workbookViewId="0">
      <selection activeCell="C176" sqref="C176:G176"/>
    </sheetView>
  </sheetViews>
  <sheetFormatPr defaultColWidth="12.140625" defaultRowHeight="15" customHeight="1" x14ac:dyDescent="0.25"/>
  <cols>
    <col min="1" max="1" width="4.28515625" customWidth="1"/>
    <col min="2" max="2" width="17.140625" customWidth="1"/>
    <col min="3" max="3" width="49.85546875" customWidth="1"/>
    <col min="4" max="4" width="11.42578125" customWidth="1"/>
    <col min="5" max="5" width="7.28515625" customWidth="1"/>
    <col min="6" max="7" width="11.42578125" customWidth="1"/>
    <col min="8" max="8" width="6.7109375" customWidth="1"/>
    <col min="9" max="9" width="12.85546875" customWidth="1"/>
    <col min="10" max="11" width="22.85546875" customWidth="1"/>
    <col min="230" max="231" width="12.140625" hidden="1"/>
    <col min="251" max="254" width="12.140625" hidden="1"/>
  </cols>
  <sheetData>
    <row r="1" spans="1:253" ht="54.75" customHeight="1" x14ac:dyDescent="0.25">
      <c r="A1" s="141" t="s">
        <v>800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253" x14ac:dyDescent="0.25">
      <c r="A2" s="142" t="s">
        <v>1</v>
      </c>
      <c r="B2" s="143"/>
      <c r="C2" s="137" t="str">
        <f>'Stavební rozpočet'!D2</f>
        <v>Oprava rozvodů kanalizace, vody a plynu v bytovém domě Karvinská 1275 Havířov</v>
      </c>
      <c r="D2" s="143" t="s">
        <v>2</v>
      </c>
      <c r="E2" s="143"/>
      <c r="F2" s="134" t="str">
        <f>'Stavební rozpočet'!H2</f>
        <v xml:space="preserve"> </v>
      </c>
      <c r="G2" s="134" t="s">
        <v>3</v>
      </c>
      <c r="H2" s="134" t="str">
        <f>'Stavební rozpočet'!J2</f>
        <v>Společenství vlastníků Karvinská 1275/37, Havířov,</v>
      </c>
      <c r="I2" s="143"/>
      <c r="J2" s="143"/>
      <c r="K2" s="145"/>
    </row>
    <row r="3" spans="1:253" ht="15" customHeight="1" x14ac:dyDescent="0.25">
      <c r="A3" s="144"/>
      <c r="B3" s="97"/>
      <c r="C3" s="139"/>
      <c r="D3" s="97"/>
      <c r="E3" s="97"/>
      <c r="F3" s="97"/>
      <c r="G3" s="97"/>
      <c r="H3" s="97"/>
      <c r="I3" s="97"/>
      <c r="J3" s="97"/>
      <c r="K3" s="146"/>
    </row>
    <row r="4" spans="1:253" x14ac:dyDescent="0.25">
      <c r="A4" s="135" t="s">
        <v>4</v>
      </c>
      <c r="B4" s="97"/>
      <c r="C4" s="96" t="str">
        <f>'Stavební rozpočet'!D4</f>
        <v xml:space="preserve"> </v>
      </c>
      <c r="D4" s="97" t="s">
        <v>5</v>
      </c>
      <c r="E4" s="97"/>
      <c r="F4" s="96" t="str">
        <f>'Stavební rozpočet'!H4</f>
        <v xml:space="preserve"> </v>
      </c>
      <c r="G4" s="96" t="s">
        <v>6</v>
      </c>
      <c r="H4" s="96" t="str">
        <f>'Stavební rozpočet'!J4</f>
        <v>Ing. Radim Kyjonka</v>
      </c>
      <c r="I4" s="97"/>
      <c r="J4" s="97"/>
      <c r="K4" s="146"/>
    </row>
    <row r="5" spans="1:253" ht="15" customHeight="1" x14ac:dyDescent="0.25">
      <c r="A5" s="144"/>
      <c r="B5" s="97"/>
      <c r="C5" s="97"/>
      <c r="D5" s="97"/>
      <c r="E5" s="97"/>
      <c r="F5" s="97"/>
      <c r="G5" s="97"/>
      <c r="H5" s="97"/>
      <c r="I5" s="97"/>
      <c r="J5" s="97"/>
      <c r="K5" s="146"/>
    </row>
    <row r="6" spans="1:253" x14ac:dyDescent="0.25">
      <c r="A6" s="135" t="s">
        <v>7</v>
      </c>
      <c r="B6" s="97"/>
      <c r="C6" s="96" t="str">
        <f>'Stavební rozpočet'!D6</f>
        <v xml:space="preserve"> </v>
      </c>
      <c r="D6" s="97" t="s">
        <v>8</v>
      </c>
      <c r="E6" s="97"/>
      <c r="F6" s="96" t="str">
        <f>'Stavební rozpočet'!H6</f>
        <v xml:space="preserve"> </v>
      </c>
      <c r="G6" s="96" t="s">
        <v>9</v>
      </c>
      <c r="H6" s="96" t="str">
        <f>'Stavební rozpočet'!J6</f>
        <v> </v>
      </c>
      <c r="I6" s="97"/>
      <c r="J6" s="97"/>
      <c r="K6" s="146"/>
    </row>
    <row r="7" spans="1:253" ht="15" customHeight="1" x14ac:dyDescent="0.25">
      <c r="A7" s="144"/>
      <c r="B7" s="97"/>
      <c r="C7" s="97"/>
      <c r="D7" s="97"/>
      <c r="E7" s="97"/>
      <c r="F7" s="97"/>
      <c r="G7" s="97"/>
      <c r="H7" s="97"/>
      <c r="I7" s="97"/>
      <c r="J7" s="97"/>
      <c r="K7" s="146"/>
    </row>
    <row r="8" spans="1:253" x14ac:dyDescent="0.25">
      <c r="A8" s="135" t="s">
        <v>10</v>
      </c>
      <c r="B8" s="97"/>
      <c r="C8" s="96" t="str">
        <f>'Stavební rozpočet'!D8</f>
        <v xml:space="preserve"> </v>
      </c>
      <c r="D8" s="97" t="s">
        <v>11</v>
      </c>
      <c r="E8" s="97"/>
      <c r="F8" s="96" t="str">
        <f>'Stavební rozpočet'!H8</f>
        <v>11.04.2025</v>
      </c>
      <c r="G8" s="96" t="s">
        <v>12</v>
      </c>
      <c r="H8" s="96" t="str">
        <f>'Stavební rozpočet'!J8</f>
        <v>Ing. Radim Kyjonka</v>
      </c>
      <c r="I8" s="97"/>
      <c r="J8" s="97"/>
      <c r="K8" s="146"/>
    </row>
    <row r="9" spans="1:253" x14ac:dyDescent="0.25">
      <c r="A9" s="136"/>
      <c r="B9" s="133"/>
      <c r="C9" s="133"/>
      <c r="D9" s="133"/>
      <c r="E9" s="133"/>
      <c r="F9" s="133"/>
      <c r="G9" s="133"/>
      <c r="H9" s="133"/>
      <c r="I9" s="133"/>
      <c r="J9" s="133"/>
      <c r="K9" s="129"/>
    </row>
    <row r="10" spans="1:253" x14ac:dyDescent="0.25">
      <c r="A10" s="7" t="s">
        <v>13</v>
      </c>
      <c r="B10" s="7" t="s">
        <v>14</v>
      </c>
      <c r="C10" s="157" t="s">
        <v>15</v>
      </c>
      <c r="D10" s="158"/>
      <c r="E10" s="158"/>
      <c r="F10" s="158"/>
      <c r="G10" s="159"/>
      <c r="H10" s="7" t="s">
        <v>16</v>
      </c>
      <c r="I10" s="7" t="s">
        <v>17</v>
      </c>
      <c r="J10" s="7" t="s">
        <v>18</v>
      </c>
      <c r="K10" s="8" t="s">
        <v>19</v>
      </c>
      <c r="HV10" s="9" t="s">
        <v>20</v>
      </c>
      <c r="HW10" s="9" t="s">
        <v>21</v>
      </c>
    </row>
    <row r="11" spans="1:253" x14ac:dyDescent="0.25">
      <c r="A11" s="10" t="s">
        <v>22</v>
      </c>
      <c r="B11" s="11" t="s">
        <v>23</v>
      </c>
      <c r="C11" s="155" t="s">
        <v>24</v>
      </c>
      <c r="D11" s="156"/>
      <c r="E11" s="156"/>
      <c r="F11" s="156"/>
      <c r="G11" s="156"/>
      <c r="H11" s="11" t="s">
        <v>22</v>
      </c>
      <c r="I11" s="12" t="s">
        <v>22</v>
      </c>
      <c r="J11" s="12" t="s">
        <v>22</v>
      </c>
      <c r="K11" s="13">
        <f>K12</f>
        <v>0</v>
      </c>
    </row>
    <row r="12" spans="1:253" x14ac:dyDescent="0.25">
      <c r="A12" s="14" t="s">
        <v>22</v>
      </c>
      <c r="B12" s="15" t="s">
        <v>25</v>
      </c>
      <c r="C12" s="152" t="s">
        <v>26</v>
      </c>
      <c r="D12" s="153"/>
      <c r="E12" s="153"/>
      <c r="F12" s="153"/>
      <c r="G12" s="153"/>
      <c r="H12" s="15" t="s">
        <v>22</v>
      </c>
      <c r="I12" s="16" t="s">
        <v>22</v>
      </c>
      <c r="J12" s="16" t="s">
        <v>22</v>
      </c>
      <c r="K12" s="17">
        <f>SUM(K13:K17)</f>
        <v>0</v>
      </c>
    </row>
    <row r="13" spans="1:253" x14ac:dyDescent="0.25">
      <c r="A13" s="18">
        <v>1</v>
      </c>
      <c r="B13" s="2" t="s">
        <v>27</v>
      </c>
      <c r="C13" s="96" t="s">
        <v>28</v>
      </c>
      <c r="D13" s="97"/>
      <c r="E13" s="97"/>
      <c r="F13" s="97"/>
      <c r="G13" s="97"/>
      <c r="H13" s="2" t="s">
        <v>29</v>
      </c>
      <c r="I13" s="19">
        <v>36</v>
      </c>
      <c r="J13" s="19"/>
      <c r="K13" s="20">
        <f>ROUND(IR13*I13+IS13*I13,2)</f>
        <v>0</v>
      </c>
      <c r="HV13" s="2" t="s">
        <v>25</v>
      </c>
      <c r="HW13" s="2" t="s">
        <v>30</v>
      </c>
      <c r="IR13" s="21">
        <f>J13*1</f>
        <v>0</v>
      </c>
      <c r="IS13" s="21">
        <f>J13*(1-1)</f>
        <v>0</v>
      </c>
    </row>
    <row r="14" spans="1:253" x14ac:dyDescent="0.25">
      <c r="A14" s="18">
        <v>2</v>
      </c>
      <c r="B14" s="2" t="s">
        <v>31</v>
      </c>
      <c r="C14" s="96" t="s">
        <v>32</v>
      </c>
      <c r="D14" s="97"/>
      <c r="E14" s="97"/>
      <c r="F14" s="97"/>
      <c r="G14" s="97"/>
      <c r="H14" s="2" t="s">
        <v>33</v>
      </c>
      <c r="I14" s="19">
        <v>2</v>
      </c>
      <c r="J14" s="19"/>
      <c r="K14" s="20">
        <f>ROUND(IR14*I14+IS14*I14,2)</f>
        <v>0</v>
      </c>
      <c r="HV14" s="2" t="s">
        <v>25</v>
      </c>
      <c r="HW14" s="2" t="s">
        <v>30</v>
      </c>
      <c r="IR14" s="21">
        <f>J14*0</f>
        <v>0</v>
      </c>
      <c r="IS14" s="21">
        <f>J14*(1-0)</f>
        <v>0</v>
      </c>
    </row>
    <row r="15" spans="1:253" x14ac:dyDescent="0.25">
      <c r="A15" s="18">
        <v>3</v>
      </c>
      <c r="B15" s="2" t="s">
        <v>34</v>
      </c>
      <c r="C15" s="96" t="s">
        <v>35</v>
      </c>
      <c r="D15" s="97"/>
      <c r="E15" s="97"/>
      <c r="F15" s="97"/>
      <c r="G15" s="97"/>
      <c r="H15" s="2" t="s">
        <v>33</v>
      </c>
      <c r="I15" s="19">
        <v>2</v>
      </c>
      <c r="J15" s="19"/>
      <c r="K15" s="20">
        <f>ROUND(IR15*I15+IS15*I15,2)</f>
        <v>0</v>
      </c>
      <c r="HV15" s="2" t="s">
        <v>25</v>
      </c>
      <c r="HW15" s="2" t="s">
        <v>30</v>
      </c>
      <c r="IR15" s="21">
        <f>J15*0.845769869</f>
        <v>0</v>
      </c>
      <c r="IS15" s="21">
        <f>J15*(1-0.845769869)</f>
        <v>0</v>
      </c>
    </row>
    <row r="16" spans="1:253" x14ac:dyDescent="0.25">
      <c r="A16" s="18">
        <v>4</v>
      </c>
      <c r="B16" s="2" t="s">
        <v>36</v>
      </c>
      <c r="C16" s="96" t="s">
        <v>37</v>
      </c>
      <c r="D16" s="97"/>
      <c r="E16" s="97"/>
      <c r="F16" s="97"/>
      <c r="G16" s="97"/>
      <c r="H16" s="2" t="s">
        <v>38</v>
      </c>
      <c r="I16" s="19">
        <v>2</v>
      </c>
      <c r="J16" s="19"/>
      <c r="K16" s="20">
        <f>ROUND(IR16*I16+IS16*I16,2)</f>
        <v>0</v>
      </c>
      <c r="HV16" s="2" t="s">
        <v>25</v>
      </c>
      <c r="HW16" s="2" t="s">
        <v>30</v>
      </c>
      <c r="IR16" s="21">
        <f>J16*0.865097778</f>
        <v>0</v>
      </c>
      <c r="IS16" s="21">
        <f>J16*(1-0.865097778)</f>
        <v>0</v>
      </c>
    </row>
    <row r="17" spans="1:253" x14ac:dyDescent="0.25">
      <c r="A17" s="18">
        <v>5</v>
      </c>
      <c r="B17" s="2" t="s">
        <v>39</v>
      </c>
      <c r="C17" s="96" t="s">
        <v>40</v>
      </c>
      <c r="D17" s="97"/>
      <c r="E17" s="97"/>
      <c r="F17" s="97"/>
      <c r="G17" s="97"/>
      <c r="H17" s="2" t="s">
        <v>41</v>
      </c>
      <c r="I17" s="19">
        <v>2090</v>
      </c>
      <c r="J17" s="19"/>
      <c r="K17" s="20">
        <f>ROUND(IR17*I17+IS17*I17,2)</f>
        <v>0</v>
      </c>
      <c r="HV17" s="2" t="s">
        <v>25</v>
      </c>
      <c r="HW17" s="2" t="s">
        <v>30</v>
      </c>
      <c r="IR17" s="21">
        <f>J17*0</f>
        <v>0</v>
      </c>
      <c r="IS17" s="21">
        <f>J17*(1-0)</f>
        <v>0</v>
      </c>
    </row>
    <row r="18" spans="1:253" x14ac:dyDescent="0.25">
      <c r="A18" s="14" t="s">
        <v>22</v>
      </c>
      <c r="B18" s="15" t="s">
        <v>23</v>
      </c>
      <c r="C18" s="152" t="s">
        <v>42</v>
      </c>
      <c r="D18" s="153"/>
      <c r="E18" s="153"/>
      <c r="F18" s="153"/>
      <c r="G18" s="153"/>
      <c r="H18" s="15" t="s">
        <v>22</v>
      </c>
      <c r="I18" s="16" t="s">
        <v>22</v>
      </c>
      <c r="J18" s="16"/>
      <c r="K18" s="17">
        <f>K19</f>
        <v>0</v>
      </c>
    </row>
    <row r="19" spans="1:253" x14ac:dyDescent="0.25">
      <c r="A19" s="14" t="s">
        <v>22</v>
      </c>
      <c r="B19" s="15" t="s">
        <v>25</v>
      </c>
      <c r="C19" s="152" t="s">
        <v>26</v>
      </c>
      <c r="D19" s="153"/>
      <c r="E19" s="153"/>
      <c r="F19" s="153"/>
      <c r="G19" s="153"/>
      <c r="H19" s="15" t="s">
        <v>22</v>
      </c>
      <c r="I19" s="16" t="s">
        <v>22</v>
      </c>
      <c r="J19" s="16"/>
      <c r="K19" s="17">
        <f>SUM(K20:K26)</f>
        <v>0</v>
      </c>
    </row>
    <row r="20" spans="1:253" x14ac:dyDescent="0.25">
      <c r="A20" s="18">
        <v>6</v>
      </c>
      <c r="B20" s="2" t="s">
        <v>43</v>
      </c>
      <c r="C20" s="96" t="s">
        <v>44</v>
      </c>
      <c r="D20" s="97"/>
      <c r="E20" s="97"/>
      <c r="F20" s="97"/>
      <c r="G20" s="97"/>
      <c r="H20" s="2" t="s">
        <v>29</v>
      </c>
      <c r="I20" s="19">
        <v>15</v>
      </c>
      <c r="J20" s="19"/>
      <c r="K20" s="20">
        <f t="shared" ref="K20:K26" si="0">ROUND(IR20*I20+IS20*I20,2)</f>
        <v>0</v>
      </c>
      <c r="HV20" s="2" t="s">
        <v>25</v>
      </c>
      <c r="HW20" s="2" t="s">
        <v>30</v>
      </c>
      <c r="IR20" s="21">
        <f>J20*0</f>
        <v>0</v>
      </c>
      <c r="IS20" s="21">
        <f>J20*(1-0)</f>
        <v>0</v>
      </c>
    </row>
    <row r="21" spans="1:253" x14ac:dyDescent="0.25">
      <c r="A21" s="18">
        <v>7</v>
      </c>
      <c r="B21" s="2" t="s">
        <v>45</v>
      </c>
      <c r="C21" s="96" t="s">
        <v>46</v>
      </c>
      <c r="D21" s="97"/>
      <c r="E21" s="97"/>
      <c r="F21" s="97"/>
      <c r="G21" s="97"/>
      <c r="H21" s="2" t="s">
        <v>33</v>
      </c>
      <c r="I21" s="19">
        <v>1</v>
      </c>
      <c r="J21" s="19"/>
      <c r="K21" s="20">
        <f t="shared" si="0"/>
        <v>0</v>
      </c>
      <c r="HV21" s="2" t="s">
        <v>25</v>
      </c>
      <c r="HW21" s="2" t="s">
        <v>30</v>
      </c>
      <c r="IR21" s="21">
        <f>J21*0.192188006</f>
        <v>0</v>
      </c>
      <c r="IS21" s="21">
        <f>J21*(1-0.192188006)</f>
        <v>0</v>
      </c>
    </row>
    <row r="22" spans="1:253" x14ac:dyDescent="0.25">
      <c r="A22" s="18">
        <v>8</v>
      </c>
      <c r="B22" s="2" t="s">
        <v>47</v>
      </c>
      <c r="C22" s="96" t="s">
        <v>48</v>
      </c>
      <c r="D22" s="97"/>
      <c r="E22" s="97"/>
      <c r="F22" s="97"/>
      <c r="G22" s="97"/>
      <c r="H22" s="2" t="s">
        <v>29</v>
      </c>
      <c r="I22" s="19">
        <v>8</v>
      </c>
      <c r="J22" s="19"/>
      <c r="K22" s="20">
        <f t="shared" si="0"/>
        <v>0</v>
      </c>
      <c r="HV22" s="2" t="s">
        <v>25</v>
      </c>
      <c r="HW22" s="2" t="s">
        <v>30</v>
      </c>
      <c r="IR22" s="21">
        <f>J22*0.380894569</f>
        <v>0</v>
      </c>
      <c r="IS22" s="21">
        <f>J22*(1-0.380894569)</f>
        <v>0</v>
      </c>
    </row>
    <row r="23" spans="1:253" x14ac:dyDescent="0.25">
      <c r="A23" s="18">
        <v>9</v>
      </c>
      <c r="B23" s="2" t="s">
        <v>49</v>
      </c>
      <c r="C23" s="96" t="s">
        <v>50</v>
      </c>
      <c r="D23" s="97"/>
      <c r="E23" s="97"/>
      <c r="F23" s="97"/>
      <c r="G23" s="97"/>
      <c r="H23" s="2" t="s">
        <v>29</v>
      </c>
      <c r="I23" s="19">
        <v>7</v>
      </c>
      <c r="J23" s="19"/>
      <c r="K23" s="20">
        <f t="shared" si="0"/>
        <v>0</v>
      </c>
      <c r="HV23" s="2" t="s">
        <v>25</v>
      </c>
      <c r="HW23" s="2" t="s">
        <v>30</v>
      </c>
      <c r="IR23" s="21">
        <f>J23*0.425329457</f>
        <v>0</v>
      </c>
      <c r="IS23" s="21">
        <f>J23*(1-0.425329457)</f>
        <v>0</v>
      </c>
    </row>
    <row r="24" spans="1:253" x14ac:dyDescent="0.25">
      <c r="A24" s="18">
        <v>10</v>
      </c>
      <c r="B24" s="2" t="s">
        <v>51</v>
      </c>
      <c r="C24" s="96" t="s">
        <v>52</v>
      </c>
      <c r="D24" s="97"/>
      <c r="E24" s="97"/>
      <c r="F24" s="97"/>
      <c r="G24" s="97"/>
      <c r="H24" s="2" t="s">
        <v>33</v>
      </c>
      <c r="I24" s="19">
        <v>1</v>
      </c>
      <c r="J24" s="19"/>
      <c r="K24" s="20">
        <f t="shared" si="0"/>
        <v>0</v>
      </c>
      <c r="HV24" s="2" t="s">
        <v>25</v>
      </c>
      <c r="HW24" s="2" t="s">
        <v>53</v>
      </c>
      <c r="IR24" s="21">
        <f>J24*1</f>
        <v>0</v>
      </c>
      <c r="IS24" s="21">
        <f>J24*(1-1)</f>
        <v>0</v>
      </c>
    </row>
    <row r="25" spans="1:253" x14ac:dyDescent="0.25">
      <c r="A25" s="18">
        <v>11</v>
      </c>
      <c r="B25" s="2" t="s">
        <v>54</v>
      </c>
      <c r="C25" s="96" t="s">
        <v>55</v>
      </c>
      <c r="D25" s="97"/>
      <c r="E25" s="97"/>
      <c r="F25" s="97"/>
      <c r="G25" s="97"/>
      <c r="H25" s="2" t="s">
        <v>56</v>
      </c>
      <c r="I25" s="19">
        <v>15</v>
      </c>
      <c r="J25" s="19"/>
      <c r="K25" s="20">
        <f t="shared" si="0"/>
        <v>0</v>
      </c>
      <c r="HV25" s="2" t="s">
        <v>25</v>
      </c>
      <c r="HW25" s="2" t="s">
        <v>30</v>
      </c>
      <c r="IR25" s="21">
        <f>J25*0</f>
        <v>0</v>
      </c>
      <c r="IS25" s="21">
        <f>J25*(1-0)</f>
        <v>0</v>
      </c>
    </row>
    <row r="26" spans="1:253" x14ac:dyDescent="0.25">
      <c r="A26" s="18">
        <v>12</v>
      </c>
      <c r="B26" s="2" t="s">
        <v>57</v>
      </c>
      <c r="C26" s="96" t="s">
        <v>58</v>
      </c>
      <c r="D26" s="97"/>
      <c r="E26" s="97"/>
      <c r="F26" s="97"/>
      <c r="G26" s="97"/>
      <c r="H26" s="2" t="s">
        <v>41</v>
      </c>
      <c r="I26" s="19">
        <v>289</v>
      </c>
      <c r="J26" s="19"/>
      <c r="K26" s="20">
        <f t="shared" si="0"/>
        <v>0</v>
      </c>
      <c r="HV26" s="2" t="s">
        <v>25</v>
      </c>
      <c r="HW26" s="2" t="s">
        <v>30</v>
      </c>
      <c r="IR26" s="21">
        <f>J26*0</f>
        <v>0</v>
      </c>
      <c r="IS26" s="21">
        <f>J26*(1-0)</f>
        <v>0</v>
      </c>
    </row>
    <row r="27" spans="1:253" x14ac:dyDescent="0.25">
      <c r="A27" s="14" t="s">
        <v>22</v>
      </c>
      <c r="B27" s="15" t="s">
        <v>23</v>
      </c>
      <c r="C27" s="152" t="s">
        <v>59</v>
      </c>
      <c r="D27" s="153"/>
      <c r="E27" s="153"/>
      <c r="F27" s="153"/>
      <c r="G27" s="153"/>
      <c r="H27" s="15" t="s">
        <v>22</v>
      </c>
      <c r="I27" s="16" t="s">
        <v>22</v>
      </c>
      <c r="J27" s="16"/>
      <c r="K27" s="17">
        <f>K28+K31</f>
        <v>0</v>
      </c>
    </row>
    <row r="28" spans="1:253" x14ac:dyDescent="0.25">
      <c r="A28" s="14" t="s">
        <v>22</v>
      </c>
      <c r="B28" s="15" t="s">
        <v>60</v>
      </c>
      <c r="C28" s="152" t="s">
        <v>61</v>
      </c>
      <c r="D28" s="153"/>
      <c r="E28" s="153"/>
      <c r="F28" s="153"/>
      <c r="G28" s="153"/>
      <c r="H28" s="15" t="s">
        <v>22</v>
      </c>
      <c r="I28" s="16" t="s">
        <v>22</v>
      </c>
      <c r="J28" s="16"/>
      <c r="K28" s="17">
        <f>SUM(K29:K30)</f>
        <v>0</v>
      </c>
    </row>
    <row r="29" spans="1:253" x14ac:dyDescent="0.25">
      <c r="A29" s="18">
        <v>13</v>
      </c>
      <c r="B29" s="2" t="s">
        <v>62</v>
      </c>
      <c r="C29" s="96" t="s">
        <v>63</v>
      </c>
      <c r="D29" s="97"/>
      <c r="E29" s="97"/>
      <c r="F29" s="97"/>
      <c r="G29" s="97"/>
      <c r="H29" s="2" t="s">
        <v>33</v>
      </c>
      <c r="I29" s="19">
        <v>20</v>
      </c>
      <c r="J29" s="19"/>
      <c r="K29" s="20">
        <f>ROUND(IR29*I29+IS29*I29,2)</f>
        <v>0</v>
      </c>
      <c r="HV29" s="2" t="s">
        <v>60</v>
      </c>
      <c r="HW29" s="2" t="s">
        <v>30</v>
      </c>
      <c r="IR29" s="21">
        <f>J29*0.819944056</f>
        <v>0</v>
      </c>
      <c r="IS29" s="21">
        <f>J29*(1-0.819944056)</f>
        <v>0</v>
      </c>
    </row>
    <row r="30" spans="1:253" x14ac:dyDescent="0.25">
      <c r="A30" s="18">
        <v>14</v>
      </c>
      <c r="B30" s="2" t="s">
        <v>64</v>
      </c>
      <c r="C30" s="96" t="s">
        <v>65</v>
      </c>
      <c r="D30" s="97"/>
      <c r="E30" s="97"/>
      <c r="F30" s="97"/>
      <c r="G30" s="97"/>
      <c r="H30" s="2" t="s">
        <v>41</v>
      </c>
      <c r="I30" s="19">
        <v>332</v>
      </c>
      <c r="J30" s="19"/>
      <c r="K30" s="20">
        <f>ROUND(IR30*I30+IS30*I30,2)</f>
        <v>0</v>
      </c>
      <c r="HV30" s="2" t="s">
        <v>60</v>
      </c>
      <c r="HW30" s="2" t="s">
        <v>30</v>
      </c>
      <c r="IR30" s="21">
        <f>J30*0</f>
        <v>0</v>
      </c>
      <c r="IS30" s="21">
        <f>J30*(1-0)</f>
        <v>0</v>
      </c>
    </row>
    <row r="31" spans="1:253" x14ac:dyDescent="0.25">
      <c r="A31" s="14" t="s">
        <v>22</v>
      </c>
      <c r="B31" s="15" t="s">
        <v>25</v>
      </c>
      <c r="C31" s="152" t="s">
        <v>26</v>
      </c>
      <c r="D31" s="153"/>
      <c r="E31" s="153"/>
      <c r="F31" s="153"/>
      <c r="G31" s="153"/>
      <c r="H31" s="15" t="s">
        <v>22</v>
      </c>
      <c r="I31" s="16" t="s">
        <v>22</v>
      </c>
      <c r="J31" s="16"/>
      <c r="K31" s="17">
        <f>SUM(K32:K44)</f>
        <v>0</v>
      </c>
    </row>
    <row r="32" spans="1:253" x14ac:dyDescent="0.25">
      <c r="A32" s="18">
        <v>15</v>
      </c>
      <c r="B32" s="2" t="s">
        <v>66</v>
      </c>
      <c r="C32" s="96" t="s">
        <v>67</v>
      </c>
      <c r="D32" s="97"/>
      <c r="E32" s="97"/>
      <c r="F32" s="97"/>
      <c r="G32" s="97"/>
      <c r="H32" s="2" t="s">
        <v>29</v>
      </c>
      <c r="I32" s="19">
        <v>8</v>
      </c>
      <c r="J32" s="19"/>
      <c r="K32" s="20">
        <f t="shared" ref="K32:K44" si="1">ROUND(IR32*I32+IS32*I32,2)</f>
        <v>0</v>
      </c>
      <c r="HV32" s="2" t="s">
        <v>25</v>
      </c>
      <c r="HW32" s="2" t="s">
        <v>30</v>
      </c>
      <c r="IR32" s="21">
        <f>J32*0</f>
        <v>0</v>
      </c>
      <c r="IS32" s="21">
        <f>J32*(1-0)</f>
        <v>0</v>
      </c>
    </row>
    <row r="33" spans="1:253" x14ac:dyDescent="0.25">
      <c r="A33" s="18">
        <v>16</v>
      </c>
      <c r="B33" s="2" t="s">
        <v>68</v>
      </c>
      <c r="C33" s="96" t="s">
        <v>69</v>
      </c>
      <c r="D33" s="97"/>
      <c r="E33" s="97"/>
      <c r="F33" s="97"/>
      <c r="G33" s="97"/>
      <c r="H33" s="2" t="s">
        <v>33</v>
      </c>
      <c r="I33" s="19">
        <v>2</v>
      </c>
      <c r="J33" s="19"/>
      <c r="K33" s="20">
        <f t="shared" si="1"/>
        <v>0</v>
      </c>
      <c r="HV33" s="2" t="s">
        <v>25</v>
      </c>
      <c r="HW33" s="2" t="s">
        <v>30</v>
      </c>
      <c r="IR33" s="21">
        <f>J33*0.781812121</f>
        <v>0</v>
      </c>
      <c r="IS33" s="21">
        <f>J33*(1-0.781812121)</f>
        <v>0</v>
      </c>
    </row>
    <row r="34" spans="1:253" x14ac:dyDescent="0.25">
      <c r="A34" s="18">
        <v>17</v>
      </c>
      <c r="B34" s="2" t="s">
        <v>70</v>
      </c>
      <c r="C34" s="96" t="s">
        <v>71</v>
      </c>
      <c r="D34" s="97"/>
      <c r="E34" s="97"/>
      <c r="F34" s="97"/>
      <c r="G34" s="97"/>
      <c r="H34" s="2" t="s">
        <v>29</v>
      </c>
      <c r="I34" s="19">
        <v>66</v>
      </c>
      <c r="J34" s="19"/>
      <c r="K34" s="20">
        <f t="shared" si="1"/>
        <v>0</v>
      </c>
      <c r="HV34" s="2" t="s">
        <v>25</v>
      </c>
      <c r="HW34" s="2" t="s">
        <v>30</v>
      </c>
      <c r="IR34" s="21">
        <f>J34*0.355217391</f>
        <v>0</v>
      </c>
      <c r="IS34" s="21">
        <f>J34*(1-0.355217391)</f>
        <v>0</v>
      </c>
    </row>
    <row r="35" spans="1:253" x14ac:dyDescent="0.25">
      <c r="A35" s="18">
        <v>18</v>
      </c>
      <c r="B35" s="2" t="s">
        <v>72</v>
      </c>
      <c r="C35" s="96" t="s">
        <v>73</v>
      </c>
      <c r="D35" s="97"/>
      <c r="E35" s="97"/>
      <c r="F35" s="97"/>
      <c r="G35" s="97"/>
      <c r="H35" s="2" t="s">
        <v>29</v>
      </c>
      <c r="I35" s="19">
        <v>74</v>
      </c>
      <c r="J35" s="19"/>
      <c r="K35" s="20">
        <f t="shared" si="1"/>
        <v>0</v>
      </c>
      <c r="HV35" s="2" t="s">
        <v>25</v>
      </c>
      <c r="HW35" s="2" t="s">
        <v>30</v>
      </c>
      <c r="IR35" s="21">
        <f>J35*0.349406286</f>
        <v>0</v>
      </c>
      <c r="IS35" s="21">
        <f>J35*(1-0.349406286)</f>
        <v>0</v>
      </c>
    </row>
    <row r="36" spans="1:253" x14ac:dyDescent="0.25">
      <c r="A36" s="18">
        <v>19</v>
      </c>
      <c r="B36" s="2" t="s">
        <v>74</v>
      </c>
      <c r="C36" s="96" t="s">
        <v>75</v>
      </c>
      <c r="D36" s="97"/>
      <c r="E36" s="97"/>
      <c r="F36" s="97"/>
      <c r="G36" s="97"/>
      <c r="H36" s="2" t="s">
        <v>33</v>
      </c>
      <c r="I36" s="19">
        <v>44</v>
      </c>
      <c r="J36" s="19"/>
      <c r="K36" s="20">
        <f t="shared" si="1"/>
        <v>0</v>
      </c>
      <c r="HV36" s="2" t="s">
        <v>25</v>
      </c>
      <c r="HW36" s="2" t="s">
        <v>30</v>
      </c>
      <c r="IR36" s="21">
        <f>J36*0.215700713</f>
        <v>0</v>
      </c>
      <c r="IS36" s="21">
        <f>J36*(1-0.215700713)</f>
        <v>0</v>
      </c>
    </row>
    <row r="37" spans="1:253" x14ac:dyDescent="0.25">
      <c r="A37" s="18">
        <v>20</v>
      </c>
      <c r="B37" s="2" t="s">
        <v>76</v>
      </c>
      <c r="C37" s="96" t="s">
        <v>77</v>
      </c>
      <c r="D37" s="97"/>
      <c r="E37" s="97"/>
      <c r="F37" s="97"/>
      <c r="G37" s="97"/>
      <c r="H37" s="2" t="s">
        <v>33</v>
      </c>
      <c r="I37" s="19">
        <v>4</v>
      </c>
      <c r="J37" s="19"/>
      <c r="K37" s="20">
        <f t="shared" si="1"/>
        <v>0</v>
      </c>
      <c r="HV37" s="2" t="s">
        <v>25</v>
      </c>
      <c r="HW37" s="2" t="s">
        <v>30</v>
      </c>
      <c r="IR37" s="21">
        <f>J37*0.192584489</f>
        <v>0</v>
      </c>
      <c r="IS37" s="21">
        <f>J37*(1-0.192584489)</f>
        <v>0</v>
      </c>
    </row>
    <row r="38" spans="1:253" x14ac:dyDescent="0.25">
      <c r="A38" s="18">
        <v>21</v>
      </c>
      <c r="B38" s="2" t="s">
        <v>78</v>
      </c>
      <c r="C38" s="96" t="s">
        <v>79</v>
      </c>
      <c r="D38" s="97"/>
      <c r="E38" s="97"/>
      <c r="F38" s="97"/>
      <c r="G38" s="97"/>
      <c r="H38" s="2" t="s">
        <v>29</v>
      </c>
      <c r="I38" s="19">
        <v>11</v>
      </c>
      <c r="J38" s="19"/>
      <c r="K38" s="20">
        <f t="shared" si="1"/>
        <v>0</v>
      </c>
      <c r="HV38" s="2" t="s">
        <v>25</v>
      </c>
      <c r="HW38" s="2" t="s">
        <v>30</v>
      </c>
      <c r="IR38" s="21">
        <f>J38*0.244082569</f>
        <v>0</v>
      </c>
      <c r="IS38" s="21">
        <f>J38*(1-0.244082569)</f>
        <v>0</v>
      </c>
    </row>
    <row r="39" spans="1:253" x14ac:dyDescent="0.25">
      <c r="A39" s="18">
        <v>22</v>
      </c>
      <c r="B39" s="2" t="s">
        <v>80</v>
      </c>
      <c r="C39" s="96" t="s">
        <v>81</v>
      </c>
      <c r="D39" s="97"/>
      <c r="E39" s="97"/>
      <c r="F39" s="97"/>
      <c r="G39" s="97"/>
      <c r="H39" s="2" t="s">
        <v>33</v>
      </c>
      <c r="I39" s="19">
        <v>4</v>
      </c>
      <c r="J39" s="19"/>
      <c r="K39" s="20">
        <f t="shared" si="1"/>
        <v>0</v>
      </c>
      <c r="HV39" s="2" t="s">
        <v>25</v>
      </c>
      <c r="HW39" s="2" t="s">
        <v>30</v>
      </c>
      <c r="IR39" s="21">
        <f>J39*0.560580205</f>
        <v>0</v>
      </c>
      <c r="IS39" s="21">
        <f>J39*(1-0.560580205)</f>
        <v>0</v>
      </c>
    </row>
    <row r="40" spans="1:253" x14ac:dyDescent="0.25">
      <c r="A40" s="18">
        <v>23</v>
      </c>
      <c r="B40" s="2" t="s">
        <v>82</v>
      </c>
      <c r="C40" s="96" t="s">
        <v>83</v>
      </c>
      <c r="D40" s="97"/>
      <c r="E40" s="97"/>
      <c r="F40" s="97"/>
      <c r="G40" s="97"/>
      <c r="H40" s="2" t="s">
        <v>33</v>
      </c>
      <c r="I40" s="19">
        <v>22</v>
      </c>
      <c r="J40" s="19"/>
      <c r="K40" s="20">
        <f t="shared" si="1"/>
        <v>0</v>
      </c>
      <c r="HV40" s="2" t="s">
        <v>25</v>
      </c>
      <c r="HW40" s="2" t="s">
        <v>30</v>
      </c>
      <c r="IR40" s="21">
        <f>J40*0</f>
        <v>0</v>
      </c>
      <c r="IS40" s="21">
        <f>J40*(1-0)</f>
        <v>0</v>
      </c>
    </row>
    <row r="41" spans="1:253" x14ac:dyDescent="0.25">
      <c r="A41" s="18">
        <v>24</v>
      </c>
      <c r="B41" s="2" t="s">
        <v>84</v>
      </c>
      <c r="C41" s="96" t="s">
        <v>85</v>
      </c>
      <c r="D41" s="97"/>
      <c r="E41" s="97"/>
      <c r="F41" s="97"/>
      <c r="G41" s="97"/>
      <c r="H41" s="2" t="s">
        <v>33</v>
      </c>
      <c r="I41" s="19">
        <v>4</v>
      </c>
      <c r="J41" s="19"/>
      <c r="K41" s="20">
        <f t="shared" si="1"/>
        <v>0</v>
      </c>
      <c r="HV41" s="2" t="s">
        <v>25</v>
      </c>
      <c r="HW41" s="2" t="s">
        <v>30</v>
      </c>
      <c r="IR41" s="21">
        <f>J41*0.793957553</f>
        <v>0</v>
      </c>
      <c r="IS41" s="21">
        <f>J41*(1-0.793957553)</f>
        <v>0</v>
      </c>
    </row>
    <row r="42" spans="1:253" x14ac:dyDescent="0.25">
      <c r="A42" s="18">
        <v>25</v>
      </c>
      <c r="B42" s="2" t="s">
        <v>86</v>
      </c>
      <c r="C42" s="96" t="s">
        <v>87</v>
      </c>
      <c r="D42" s="97"/>
      <c r="E42" s="97"/>
      <c r="F42" s="97"/>
      <c r="G42" s="97"/>
      <c r="H42" s="2" t="s">
        <v>29</v>
      </c>
      <c r="I42" s="19">
        <v>67</v>
      </c>
      <c r="J42" s="19"/>
      <c r="K42" s="20">
        <f t="shared" si="1"/>
        <v>0</v>
      </c>
      <c r="HV42" s="2" t="s">
        <v>25</v>
      </c>
      <c r="HW42" s="2" t="s">
        <v>30</v>
      </c>
      <c r="IR42" s="21">
        <f>J42*0.026019081</f>
        <v>0</v>
      </c>
      <c r="IS42" s="21">
        <f>J42*(1-0.026019081)</f>
        <v>0</v>
      </c>
    </row>
    <row r="43" spans="1:253" x14ac:dyDescent="0.25">
      <c r="A43" s="18">
        <v>26</v>
      </c>
      <c r="B43" s="2" t="s">
        <v>88</v>
      </c>
      <c r="C43" s="96" t="s">
        <v>89</v>
      </c>
      <c r="D43" s="97"/>
      <c r="E43" s="97"/>
      <c r="F43" s="97"/>
      <c r="G43" s="97"/>
      <c r="H43" s="2" t="s">
        <v>90</v>
      </c>
      <c r="I43" s="19">
        <v>0.6</v>
      </c>
      <c r="J43" s="19"/>
      <c r="K43" s="20">
        <f t="shared" si="1"/>
        <v>0</v>
      </c>
      <c r="HV43" s="2" t="s">
        <v>25</v>
      </c>
      <c r="HW43" s="2" t="s">
        <v>30</v>
      </c>
      <c r="IR43" s="21">
        <f>J43*0</f>
        <v>0</v>
      </c>
      <c r="IS43" s="21">
        <f>J43*(1-0)</f>
        <v>0</v>
      </c>
    </row>
    <row r="44" spans="1:253" x14ac:dyDescent="0.25">
      <c r="A44" s="18">
        <v>27</v>
      </c>
      <c r="B44" s="2" t="s">
        <v>39</v>
      </c>
      <c r="C44" s="96" t="s">
        <v>40</v>
      </c>
      <c r="D44" s="97"/>
      <c r="E44" s="97"/>
      <c r="F44" s="97"/>
      <c r="G44" s="97"/>
      <c r="H44" s="2" t="s">
        <v>41</v>
      </c>
      <c r="I44" s="19">
        <v>1357</v>
      </c>
      <c r="J44" s="19"/>
      <c r="K44" s="20">
        <f t="shared" si="1"/>
        <v>0</v>
      </c>
      <c r="HV44" s="2" t="s">
        <v>25</v>
      </c>
      <c r="HW44" s="2" t="s">
        <v>30</v>
      </c>
      <c r="IR44" s="21">
        <f>J44*0</f>
        <v>0</v>
      </c>
      <c r="IS44" s="21">
        <f>J44*(1-0)</f>
        <v>0</v>
      </c>
    </row>
    <row r="45" spans="1:253" x14ac:dyDescent="0.25">
      <c r="A45" s="14" t="s">
        <v>22</v>
      </c>
      <c r="B45" s="15" t="s">
        <v>23</v>
      </c>
      <c r="C45" s="152" t="s">
        <v>91</v>
      </c>
      <c r="D45" s="153"/>
      <c r="E45" s="153"/>
      <c r="F45" s="153"/>
      <c r="G45" s="153"/>
      <c r="H45" s="15" t="s">
        <v>22</v>
      </c>
      <c r="I45" s="16" t="s">
        <v>22</v>
      </c>
      <c r="J45" s="16"/>
      <c r="K45" s="17">
        <f>K46</f>
        <v>0</v>
      </c>
    </row>
    <row r="46" spans="1:253" x14ac:dyDescent="0.25">
      <c r="A46" s="14" t="s">
        <v>22</v>
      </c>
      <c r="B46" s="15" t="s">
        <v>92</v>
      </c>
      <c r="C46" s="152" t="s">
        <v>93</v>
      </c>
      <c r="D46" s="153"/>
      <c r="E46" s="153"/>
      <c r="F46" s="153"/>
      <c r="G46" s="153"/>
      <c r="H46" s="15" t="s">
        <v>22</v>
      </c>
      <c r="I46" s="16" t="s">
        <v>22</v>
      </c>
      <c r="J46" s="16"/>
      <c r="K46" s="17">
        <f>SUM(K47:K91)</f>
        <v>0</v>
      </c>
    </row>
    <row r="47" spans="1:253" x14ac:dyDescent="0.25">
      <c r="A47" s="18">
        <v>28</v>
      </c>
      <c r="B47" s="2" t="s">
        <v>94</v>
      </c>
      <c r="C47" s="96" t="s">
        <v>95</v>
      </c>
      <c r="D47" s="97"/>
      <c r="E47" s="97"/>
      <c r="F47" s="97"/>
      <c r="G47" s="97"/>
      <c r="H47" s="2" t="s">
        <v>33</v>
      </c>
      <c r="I47" s="19">
        <v>1</v>
      </c>
      <c r="J47" s="19"/>
      <c r="K47" s="20">
        <f t="shared" ref="K47:K91" si="2">ROUND(IR47*I47+IS47*I47,2)</f>
        <v>0</v>
      </c>
      <c r="HV47" s="2" t="s">
        <v>92</v>
      </c>
      <c r="HW47" s="2" t="s">
        <v>30</v>
      </c>
      <c r="IR47" s="21">
        <f>J47*0.287777778</f>
        <v>0</v>
      </c>
      <c r="IS47" s="21">
        <f>J47*(1-0.287777778)</f>
        <v>0</v>
      </c>
    </row>
    <row r="48" spans="1:253" x14ac:dyDescent="0.25">
      <c r="A48" s="18">
        <v>29</v>
      </c>
      <c r="B48" s="2" t="s">
        <v>96</v>
      </c>
      <c r="C48" s="96" t="s">
        <v>97</v>
      </c>
      <c r="D48" s="97"/>
      <c r="E48" s="97"/>
      <c r="F48" s="97"/>
      <c r="G48" s="97"/>
      <c r="H48" s="2" t="s">
        <v>29</v>
      </c>
      <c r="I48" s="19">
        <v>36</v>
      </c>
      <c r="J48" s="19"/>
      <c r="K48" s="20">
        <f t="shared" si="2"/>
        <v>0</v>
      </c>
      <c r="HV48" s="2" t="s">
        <v>92</v>
      </c>
      <c r="HW48" s="2" t="s">
        <v>30</v>
      </c>
      <c r="IR48" s="21">
        <f>J48*0</f>
        <v>0</v>
      </c>
      <c r="IS48" s="21">
        <f>J48*(1-0)</f>
        <v>0</v>
      </c>
    </row>
    <row r="49" spans="1:253" x14ac:dyDescent="0.25">
      <c r="A49" s="18">
        <v>30</v>
      </c>
      <c r="B49" s="2" t="s">
        <v>98</v>
      </c>
      <c r="C49" s="96" t="s">
        <v>99</v>
      </c>
      <c r="D49" s="97"/>
      <c r="E49" s="97"/>
      <c r="F49" s="97"/>
      <c r="G49" s="97"/>
      <c r="H49" s="2" t="s">
        <v>29</v>
      </c>
      <c r="I49" s="19">
        <v>24</v>
      </c>
      <c r="J49" s="19"/>
      <c r="K49" s="20">
        <f t="shared" si="2"/>
        <v>0</v>
      </c>
      <c r="HV49" s="2" t="s">
        <v>92</v>
      </c>
      <c r="HW49" s="2" t="s">
        <v>30</v>
      </c>
      <c r="IR49" s="21">
        <f>J49*0</f>
        <v>0</v>
      </c>
      <c r="IS49" s="21">
        <f>J49*(1-0)</f>
        <v>0</v>
      </c>
    </row>
    <row r="50" spans="1:253" x14ac:dyDescent="0.25">
      <c r="A50" s="18">
        <v>31</v>
      </c>
      <c r="B50" s="2" t="s">
        <v>100</v>
      </c>
      <c r="C50" s="96" t="s">
        <v>101</v>
      </c>
      <c r="D50" s="97"/>
      <c r="E50" s="97"/>
      <c r="F50" s="97"/>
      <c r="G50" s="97"/>
      <c r="H50" s="2" t="s">
        <v>29</v>
      </c>
      <c r="I50" s="19">
        <v>58</v>
      </c>
      <c r="J50" s="19"/>
      <c r="K50" s="20">
        <f t="shared" si="2"/>
        <v>0</v>
      </c>
      <c r="HV50" s="2" t="s">
        <v>92</v>
      </c>
      <c r="HW50" s="2" t="s">
        <v>30</v>
      </c>
      <c r="IR50" s="21">
        <f>J50*0</f>
        <v>0</v>
      </c>
      <c r="IS50" s="21">
        <f>J50*(1-0)</f>
        <v>0</v>
      </c>
    </row>
    <row r="51" spans="1:253" x14ac:dyDescent="0.25">
      <c r="A51" s="18">
        <v>32</v>
      </c>
      <c r="B51" s="2" t="s">
        <v>102</v>
      </c>
      <c r="C51" s="96" t="s">
        <v>103</v>
      </c>
      <c r="D51" s="97"/>
      <c r="E51" s="97"/>
      <c r="F51" s="97"/>
      <c r="G51" s="97"/>
      <c r="H51" s="2" t="s">
        <v>29</v>
      </c>
      <c r="I51" s="19">
        <v>5</v>
      </c>
      <c r="J51" s="19"/>
      <c r="K51" s="20">
        <f t="shared" si="2"/>
        <v>0</v>
      </c>
      <c r="HV51" s="2" t="s">
        <v>92</v>
      </c>
      <c r="HW51" s="2" t="s">
        <v>30</v>
      </c>
      <c r="IR51" s="21">
        <f>J51*0.433822435</f>
        <v>0</v>
      </c>
      <c r="IS51" s="21">
        <f>J51*(1-0.433822435)</f>
        <v>0</v>
      </c>
    </row>
    <row r="52" spans="1:253" x14ac:dyDescent="0.25">
      <c r="A52" s="18">
        <v>33</v>
      </c>
      <c r="B52" s="2" t="s">
        <v>104</v>
      </c>
      <c r="C52" s="96" t="s">
        <v>105</v>
      </c>
      <c r="D52" s="97"/>
      <c r="E52" s="97"/>
      <c r="F52" s="97"/>
      <c r="G52" s="97"/>
      <c r="H52" s="2" t="s">
        <v>29</v>
      </c>
      <c r="I52" s="19">
        <v>34</v>
      </c>
      <c r="J52" s="19"/>
      <c r="K52" s="20">
        <f t="shared" si="2"/>
        <v>0</v>
      </c>
      <c r="HV52" s="2" t="s">
        <v>92</v>
      </c>
      <c r="HW52" s="2" t="s">
        <v>30</v>
      </c>
      <c r="IR52" s="21">
        <f>J52*0.499111111</f>
        <v>0</v>
      </c>
      <c r="IS52" s="21">
        <f>J52*(1-0.499111111)</f>
        <v>0</v>
      </c>
    </row>
    <row r="53" spans="1:253" x14ac:dyDescent="0.25">
      <c r="A53" s="18">
        <v>34</v>
      </c>
      <c r="B53" s="2" t="s">
        <v>106</v>
      </c>
      <c r="C53" s="96" t="s">
        <v>107</v>
      </c>
      <c r="D53" s="97"/>
      <c r="E53" s="97"/>
      <c r="F53" s="97"/>
      <c r="G53" s="97"/>
      <c r="H53" s="2" t="s">
        <v>29</v>
      </c>
      <c r="I53" s="19">
        <v>26</v>
      </c>
      <c r="J53" s="19"/>
      <c r="K53" s="20">
        <f t="shared" si="2"/>
        <v>0</v>
      </c>
      <c r="HV53" s="2" t="s">
        <v>92</v>
      </c>
      <c r="HW53" s="2" t="s">
        <v>30</v>
      </c>
      <c r="IR53" s="21">
        <f>J53*0.578547486</f>
        <v>0</v>
      </c>
      <c r="IS53" s="21">
        <f>J53*(1-0.578547486)</f>
        <v>0</v>
      </c>
    </row>
    <row r="54" spans="1:253" x14ac:dyDescent="0.25">
      <c r="A54" s="18">
        <v>35</v>
      </c>
      <c r="B54" s="2" t="s">
        <v>108</v>
      </c>
      <c r="C54" s="96" t="s">
        <v>109</v>
      </c>
      <c r="D54" s="97"/>
      <c r="E54" s="97"/>
      <c r="F54" s="97"/>
      <c r="G54" s="97"/>
      <c r="H54" s="2" t="s">
        <v>29</v>
      </c>
      <c r="I54" s="19">
        <v>70</v>
      </c>
      <c r="J54" s="19"/>
      <c r="K54" s="20">
        <f t="shared" si="2"/>
        <v>0</v>
      </c>
      <c r="HV54" s="2" t="s">
        <v>92</v>
      </c>
      <c r="HW54" s="2" t="s">
        <v>30</v>
      </c>
      <c r="IR54" s="21">
        <f>J54*0.679694377</f>
        <v>0</v>
      </c>
      <c r="IS54" s="21">
        <f>J54*(1-0.679694377)</f>
        <v>0</v>
      </c>
    </row>
    <row r="55" spans="1:253" x14ac:dyDescent="0.25">
      <c r="A55" s="18">
        <v>36</v>
      </c>
      <c r="B55" s="2" t="s">
        <v>110</v>
      </c>
      <c r="C55" s="96" t="s">
        <v>111</v>
      </c>
      <c r="D55" s="97"/>
      <c r="E55" s="97"/>
      <c r="F55" s="97"/>
      <c r="G55" s="97"/>
      <c r="H55" s="2" t="s">
        <v>29</v>
      </c>
      <c r="I55" s="19">
        <v>48</v>
      </c>
      <c r="J55" s="19"/>
      <c r="K55" s="20">
        <f t="shared" si="2"/>
        <v>0</v>
      </c>
      <c r="HV55" s="2" t="s">
        <v>92</v>
      </c>
      <c r="HW55" s="2" t="s">
        <v>30</v>
      </c>
      <c r="IR55" s="21">
        <f>J55*0.677040715</f>
        <v>0</v>
      </c>
      <c r="IS55" s="21">
        <f>J55*(1-0.677040715)</f>
        <v>0</v>
      </c>
    </row>
    <row r="56" spans="1:253" x14ac:dyDescent="0.25">
      <c r="A56" s="18">
        <v>37</v>
      </c>
      <c r="B56" s="2" t="s">
        <v>112</v>
      </c>
      <c r="C56" s="96" t="s">
        <v>113</v>
      </c>
      <c r="D56" s="97"/>
      <c r="E56" s="97"/>
      <c r="F56" s="97"/>
      <c r="G56" s="97"/>
      <c r="H56" s="2" t="s">
        <v>29</v>
      </c>
      <c r="I56" s="19">
        <v>5</v>
      </c>
      <c r="J56" s="19"/>
      <c r="K56" s="20">
        <f t="shared" si="2"/>
        <v>0</v>
      </c>
      <c r="HV56" s="2" t="s">
        <v>92</v>
      </c>
      <c r="HW56" s="2" t="s">
        <v>30</v>
      </c>
      <c r="IR56" s="21">
        <f>J56*0.213649289</f>
        <v>0</v>
      </c>
      <c r="IS56" s="21">
        <f>J56*(1-0.213649289)</f>
        <v>0</v>
      </c>
    </row>
    <row r="57" spans="1:253" x14ac:dyDescent="0.25">
      <c r="A57" s="18">
        <v>38</v>
      </c>
      <c r="B57" s="2" t="s">
        <v>114</v>
      </c>
      <c r="C57" s="96" t="s">
        <v>115</v>
      </c>
      <c r="D57" s="97"/>
      <c r="E57" s="97"/>
      <c r="F57" s="97"/>
      <c r="G57" s="97"/>
      <c r="H57" s="2" t="s">
        <v>29</v>
      </c>
      <c r="I57" s="19">
        <v>35</v>
      </c>
      <c r="J57" s="19"/>
      <c r="K57" s="20">
        <f t="shared" si="2"/>
        <v>0</v>
      </c>
      <c r="HV57" s="2" t="s">
        <v>92</v>
      </c>
      <c r="HW57" s="2" t="s">
        <v>30</v>
      </c>
      <c r="IR57" s="21">
        <f>J57*0.236981132</f>
        <v>0</v>
      </c>
      <c r="IS57" s="21">
        <f>J57*(1-0.236981132)</f>
        <v>0</v>
      </c>
    </row>
    <row r="58" spans="1:253" x14ac:dyDescent="0.25">
      <c r="A58" s="18">
        <v>39</v>
      </c>
      <c r="B58" s="2" t="s">
        <v>116</v>
      </c>
      <c r="C58" s="96" t="s">
        <v>117</v>
      </c>
      <c r="D58" s="97"/>
      <c r="E58" s="97"/>
      <c r="F58" s="97"/>
      <c r="G58" s="97"/>
      <c r="H58" s="2" t="s">
        <v>29</v>
      </c>
      <c r="I58" s="19">
        <v>23</v>
      </c>
      <c r="J58" s="19"/>
      <c r="K58" s="20">
        <f t="shared" si="2"/>
        <v>0</v>
      </c>
      <c r="HV58" s="2" t="s">
        <v>92</v>
      </c>
      <c r="HW58" s="2" t="s">
        <v>30</v>
      </c>
      <c r="IR58" s="21">
        <f>J58*0.251558112</f>
        <v>0</v>
      </c>
      <c r="IS58" s="21">
        <f>J58*(1-0.251558112)</f>
        <v>0</v>
      </c>
    </row>
    <row r="59" spans="1:253" x14ac:dyDescent="0.25">
      <c r="A59" s="18">
        <v>40</v>
      </c>
      <c r="B59" s="2" t="s">
        <v>118</v>
      </c>
      <c r="C59" s="96" t="s">
        <v>119</v>
      </c>
      <c r="D59" s="97"/>
      <c r="E59" s="97"/>
      <c r="F59" s="97"/>
      <c r="G59" s="97"/>
      <c r="H59" s="2" t="s">
        <v>29</v>
      </c>
      <c r="I59" s="19">
        <v>34</v>
      </c>
      <c r="J59" s="19"/>
      <c r="K59" s="20">
        <f t="shared" si="2"/>
        <v>0</v>
      </c>
      <c r="HV59" s="2" t="s">
        <v>92</v>
      </c>
      <c r="HW59" s="2" t="s">
        <v>30</v>
      </c>
      <c r="IR59" s="21">
        <f>J59*0.497878788</f>
        <v>0</v>
      </c>
      <c r="IS59" s="21">
        <f>J59*(1-0.497878788)</f>
        <v>0</v>
      </c>
    </row>
    <row r="60" spans="1:253" x14ac:dyDescent="0.25">
      <c r="A60" s="18">
        <v>41</v>
      </c>
      <c r="B60" s="2" t="s">
        <v>120</v>
      </c>
      <c r="C60" s="96" t="s">
        <v>121</v>
      </c>
      <c r="D60" s="97"/>
      <c r="E60" s="97"/>
      <c r="F60" s="97"/>
      <c r="G60" s="97"/>
      <c r="H60" s="2" t="s">
        <v>29</v>
      </c>
      <c r="I60" s="19">
        <v>26</v>
      </c>
      <c r="J60" s="19"/>
      <c r="K60" s="20">
        <f t="shared" si="2"/>
        <v>0</v>
      </c>
      <c r="HV60" s="2" t="s">
        <v>92</v>
      </c>
      <c r="HW60" s="2" t="s">
        <v>30</v>
      </c>
      <c r="IR60" s="21">
        <f>J60*0.50291569</f>
        <v>0</v>
      </c>
      <c r="IS60" s="21">
        <f>J60*(1-0.50291569)</f>
        <v>0</v>
      </c>
    </row>
    <row r="61" spans="1:253" x14ac:dyDescent="0.25">
      <c r="A61" s="18">
        <v>42</v>
      </c>
      <c r="B61" s="2" t="s">
        <v>122</v>
      </c>
      <c r="C61" s="96" t="s">
        <v>123</v>
      </c>
      <c r="D61" s="97"/>
      <c r="E61" s="97"/>
      <c r="F61" s="97"/>
      <c r="G61" s="97"/>
      <c r="H61" s="2" t="s">
        <v>29</v>
      </c>
      <c r="I61" s="19">
        <v>35</v>
      </c>
      <c r="J61" s="19"/>
      <c r="K61" s="20">
        <f t="shared" si="2"/>
        <v>0</v>
      </c>
      <c r="HV61" s="2" t="s">
        <v>92</v>
      </c>
      <c r="HW61" s="2" t="s">
        <v>30</v>
      </c>
      <c r="IR61" s="21">
        <f>J61*0.501975309</f>
        <v>0</v>
      </c>
      <c r="IS61" s="21">
        <f>J61*(1-0.501975309)</f>
        <v>0</v>
      </c>
    </row>
    <row r="62" spans="1:253" x14ac:dyDescent="0.25">
      <c r="A62" s="18">
        <v>43</v>
      </c>
      <c r="B62" s="2" t="s">
        <v>124</v>
      </c>
      <c r="C62" s="96" t="s">
        <v>125</v>
      </c>
      <c r="D62" s="97"/>
      <c r="E62" s="97"/>
      <c r="F62" s="97"/>
      <c r="G62" s="97"/>
      <c r="H62" s="2" t="s">
        <v>29</v>
      </c>
      <c r="I62" s="19">
        <v>25</v>
      </c>
      <c r="J62" s="19"/>
      <c r="K62" s="20">
        <f t="shared" si="2"/>
        <v>0</v>
      </c>
      <c r="HV62" s="2" t="s">
        <v>92</v>
      </c>
      <c r="HW62" s="2" t="s">
        <v>30</v>
      </c>
      <c r="IR62" s="21">
        <f>J62*0.537307741</f>
        <v>0</v>
      </c>
      <c r="IS62" s="21">
        <f>J62*(1-0.537307741)</f>
        <v>0</v>
      </c>
    </row>
    <row r="63" spans="1:253" x14ac:dyDescent="0.25">
      <c r="A63" s="18">
        <v>44</v>
      </c>
      <c r="B63" s="2" t="s">
        <v>126</v>
      </c>
      <c r="C63" s="96" t="s">
        <v>127</v>
      </c>
      <c r="D63" s="97"/>
      <c r="E63" s="97"/>
      <c r="F63" s="97"/>
      <c r="G63" s="97"/>
      <c r="H63" s="2" t="s">
        <v>29</v>
      </c>
      <c r="I63" s="19">
        <v>4</v>
      </c>
      <c r="J63" s="19"/>
      <c r="K63" s="20">
        <f t="shared" si="2"/>
        <v>0</v>
      </c>
      <c r="HV63" s="2" t="s">
        <v>92</v>
      </c>
      <c r="HW63" s="2" t="s">
        <v>30</v>
      </c>
      <c r="IR63" s="21">
        <f t="shared" ref="IR63:IR69" si="3">J63*1</f>
        <v>0</v>
      </c>
      <c r="IS63" s="21">
        <f t="shared" ref="IS63:IS69" si="4">J63*(1-1)</f>
        <v>0</v>
      </c>
    </row>
    <row r="64" spans="1:253" x14ac:dyDescent="0.25">
      <c r="A64" s="18">
        <v>45</v>
      </c>
      <c r="B64" s="2" t="s">
        <v>128</v>
      </c>
      <c r="C64" s="96" t="s">
        <v>129</v>
      </c>
      <c r="D64" s="97"/>
      <c r="E64" s="97"/>
      <c r="F64" s="97"/>
      <c r="G64" s="97"/>
      <c r="H64" s="2" t="s">
        <v>29</v>
      </c>
      <c r="I64" s="19">
        <v>36</v>
      </c>
      <c r="J64" s="19"/>
      <c r="K64" s="20">
        <f t="shared" si="2"/>
        <v>0</v>
      </c>
      <c r="HV64" s="2" t="s">
        <v>92</v>
      </c>
      <c r="HW64" s="2" t="s">
        <v>30</v>
      </c>
      <c r="IR64" s="21">
        <f t="shared" si="3"/>
        <v>0</v>
      </c>
      <c r="IS64" s="21">
        <f t="shared" si="4"/>
        <v>0</v>
      </c>
    </row>
    <row r="65" spans="1:253" x14ac:dyDescent="0.25">
      <c r="A65" s="18">
        <v>46</v>
      </c>
      <c r="B65" s="2" t="s">
        <v>130</v>
      </c>
      <c r="C65" s="96" t="s">
        <v>131</v>
      </c>
      <c r="D65" s="97"/>
      <c r="E65" s="97"/>
      <c r="F65" s="97"/>
      <c r="G65" s="97"/>
      <c r="H65" s="2" t="s">
        <v>33</v>
      </c>
      <c r="I65" s="19">
        <v>4</v>
      </c>
      <c r="J65" s="19"/>
      <c r="K65" s="20">
        <f t="shared" si="2"/>
        <v>0</v>
      </c>
      <c r="HV65" s="2" t="s">
        <v>92</v>
      </c>
      <c r="HW65" s="2" t="s">
        <v>30</v>
      </c>
      <c r="IR65" s="21">
        <f t="shared" si="3"/>
        <v>0</v>
      </c>
      <c r="IS65" s="21">
        <f t="shared" si="4"/>
        <v>0</v>
      </c>
    </row>
    <row r="66" spans="1:253" x14ac:dyDescent="0.25">
      <c r="A66" s="18">
        <v>47</v>
      </c>
      <c r="B66" s="2" t="s">
        <v>132</v>
      </c>
      <c r="C66" s="96" t="s">
        <v>133</v>
      </c>
      <c r="D66" s="97"/>
      <c r="E66" s="97"/>
      <c r="F66" s="97"/>
      <c r="G66" s="97"/>
      <c r="H66" s="2" t="s">
        <v>33</v>
      </c>
      <c r="I66" s="19">
        <v>31</v>
      </c>
      <c r="J66" s="19"/>
      <c r="K66" s="20">
        <f t="shared" si="2"/>
        <v>0</v>
      </c>
      <c r="HV66" s="2" t="s">
        <v>92</v>
      </c>
      <c r="HW66" s="2" t="s">
        <v>30</v>
      </c>
      <c r="IR66" s="21">
        <f t="shared" si="3"/>
        <v>0</v>
      </c>
      <c r="IS66" s="21">
        <f t="shared" si="4"/>
        <v>0</v>
      </c>
    </row>
    <row r="67" spans="1:253" x14ac:dyDescent="0.25">
      <c r="A67" s="18">
        <v>48</v>
      </c>
      <c r="B67" s="2" t="s">
        <v>134</v>
      </c>
      <c r="C67" s="96" t="s">
        <v>135</v>
      </c>
      <c r="D67" s="97"/>
      <c r="E67" s="97"/>
      <c r="F67" s="97"/>
      <c r="G67" s="97"/>
      <c r="H67" s="2" t="s">
        <v>33</v>
      </c>
      <c r="I67" s="19">
        <v>5</v>
      </c>
      <c r="J67" s="19"/>
      <c r="K67" s="20">
        <f t="shared" si="2"/>
        <v>0</v>
      </c>
      <c r="HV67" s="2" t="s">
        <v>92</v>
      </c>
      <c r="HW67" s="2" t="s">
        <v>30</v>
      </c>
      <c r="IR67" s="21">
        <f t="shared" si="3"/>
        <v>0</v>
      </c>
      <c r="IS67" s="21">
        <f t="shared" si="4"/>
        <v>0</v>
      </c>
    </row>
    <row r="68" spans="1:253" x14ac:dyDescent="0.25">
      <c r="A68" s="18">
        <v>49</v>
      </c>
      <c r="B68" s="2" t="s">
        <v>136</v>
      </c>
      <c r="C68" s="96" t="s">
        <v>137</v>
      </c>
      <c r="D68" s="97"/>
      <c r="E68" s="97"/>
      <c r="F68" s="97"/>
      <c r="G68" s="97"/>
      <c r="H68" s="2" t="s">
        <v>33</v>
      </c>
      <c r="I68" s="19">
        <v>16</v>
      </c>
      <c r="J68" s="19"/>
      <c r="K68" s="20">
        <f t="shared" si="2"/>
        <v>0</v>
      </c>
      <c r="HV68" s="2" t="s">
        <v>92</v>
      </c>
      <c r="HW68" s="2" t="s">
        <v>30</v>
      </c>
      <c r="IR68" s="21">
        <f t="shared" si="3"/>
        <v>0</v>
      </c>
      <c r="IS68" s="21">
        <f t="shared" si="4"/>
        <v>0</v>
      </c>
    </row>
    <row r="69" spans="1:253" x14ac:dyDescent="0.25">
      <c r="A69" s="18">
        <v>50</v>
      </c>
      <c r="B69" s="2" t="s">
        <v>138</v>
      </c>
      <c r="C69" s="96" t="s">
        <v>139</v>
      </c>
      <c r="D69" s="97"/>
      <c r="E69" s="97"/>
      <c r="F69" s="97"/>
      <c r="G69" s="97"/>
      <c r="H69" s="2" t="s">
        <v>33</v>
      </c>
      <c r="I69" s="19">
        <v>8</v>
      </c>
      <c r="J69" s="19"/>
      <c r="K69" s="20">
        <f t="shared" si="2"/>
        <v>0</v>
      </c>
      <c r="HV69" s="2" t="s">
        <v>92</v>
      </c>
      <c r="HW69" s="2" t="s">
        <v>30</v>
      </c>
      <c r="IR69" s="21">
        <f t="shared" si="3"/>
        <v>0</v>
      </c>
      <c r="IS69" s="21">
        <f t="shared" si="4"/>
        <v>0</v>
      </c>
    </row>
    <row r="70" spans="1:253" x14ac:dyDescent="0.25">
      <c r="A70" s="18">
        <v>51</v>
      </c>
      <c r="B70" s="2" t="s">
        <v>140</v>
      </c>
      <c r="C70" s="96" t="s">
        <v>141</v>
      </c>
      <c r="D70" s="97"/>
      <c r="E70" s="97"/>
      <c r="F70" s="97"/>
      <c r="G70" s="97"/>
      <c r="H70" s="2" t="s">
        <v>33</v>
      </c>
      <c r="I70" s="19">
        <v>6</v>
      </c>
      <c r="J70" s="19"/>
      <c r="K70" s="20">
        <f t="shared" si="2"/>
        <v>0</v>
      </c>
      <c r="HV70" s="2" t="s">
        <v>92</v>
      </c>
      <c r="HW70" s="2" t="s">
        <v>30</v>
      </c>
      <c r="IR70" s="21">
        <f>J70*0.708128668</f>
        <v>0</v>
      </c>
      <c r="IS70" s="21">
        <f>J70*(1-0.708128668)</f>
        <v>0</v>
      </c>
    </row>
    <row r="71" spans="1:253" x14ac:dyDescent="0.25">
      <c r="A71" s="18">
        <v>52</v>
      </c>
      <c r="B71" s="2" t="s">
        <v>142</v>
      </c>
      <c r="C71" s="96" t="s">
        <v>143</v>
      </c>
      <c r="D71" s="97"/>
      <c r="E71" s="97"/>
      <c r="F71" s="97"/>
      <c r="G71" s="97"/>
      <c r="H71" s="2" t="s">
        <v>33</v>
      </c>
      <c r="I71" s="19">
        <v>2</v>
      </c>
      <c r="J71" s="19"/>
      <c r="K71" s="20">
        <f t="shared" si="2"/>
        <v>0</v>
      </c>
      <c r="HV71" s="2" t="s">
        <v>92</v>
      </c>
      <c r="HW71" s="2" t="s">
        <v>30</v>
      </c>
      <c r="IR71" s="21">
        <f>J71*0.801987578</f>
        <v>0</v>
      </c>
      <c r="IS71" s="21">
        <f>J71*(1-0.801987578)</f>
        <v>0</v>
      </c>
    </row>
    <row r="72" spans="1:253" x14ac:dyDescent="0.25">
      <c r="A72" s="18">
        <v>53</v>
      </c>
      <c r="B72" s="2" t="s">
        <v>144</v>
      </c>
      <c r="C72" s="96" t="s">
        <v>145</v>
      </c>
      <c r="D72" s="97"/>
      <c r="E72" s="97"/>
      <c r="F72" s="97"/>
      <c r="G72" s="97"/>
      <c r="H72" s="2" t="s">
        <v>33</v>
      </c>
      <c r="I72" s="19">
        <v>8</v>
      </c>
      <c r="J72" s="19"/>
      <c r="K72" s="20">
        <f t="shared" si="2"/>
        <v>0</v>
      </c>
      <c r="HV72" s="2" t="s">
        <v>92</v>
      </c>
      <c r="HW72" s="2" t="s">
        <v>30</v>
      </c>
      <c r="IR72" s="21">
        <f>J72*0.830277002</f>
        <v>0</v>
      </c>
      <c r="IS72" s="21">
        <f>J72*(1-0.830277002)</f>
        <v>0</v>
      </c>
    </row>
    <row r="73" spans="1:253" x14ac:dyDescent="0.25">
      <c r="A73" s="18">
        <v>54</v>
      </c>
      <c r="B73" s="2" t="s">
        <v>146</v>
      </c>
      <c r="C73" s="96" t="s">
        <v>147</v>
      </c>
      <c r="D73" s="97"/>
      <c r="E73" s="97"/>
      <c r="F73" s="97"/>
      <c r="G73" s="97"/>
      <c r="H73" s="2" t="s">
        <v>33</v>
      </c>
      <c r="I73" s="19">
        <v>2</v>
      </c>
      <c r="J73" s="19"/>
      <c r="K73" s="20">
        <f t="shared" si="2"/>
        <v>0</v>
      </c>
      <c r="HV73" s="2" t="s">
        <v>92</v>
      </c>
      <c r="HW73" s="2" t="s">
        <v>30</v>
      </c>
      <c r="IR73" s="21">
        <f>J73*0.85518299</f>
        <v>0</v>
      </c>
      <c r="IS73" s="21">
        <f>J73*(1-0.85518299)</f>
        <v>0</v>
      </c>
    </row>
    <row r="74" spans="1:253" x14ac:dyDescent="0.25">
      <c r="A74" s="18">
        <v>55</v>
      </c>
      <c r="B74" s="2" t="s">
        <v>148</v>
      </c>
      <c r="C74" s="96" t="s">
        <v>149</v>
      </c>
      <c r="D74" s="97"/>
      <c r="E74" s="97"/>
      <c r="F74" s="97"/>
      <c r="G74" s="97"/>
      <c r="H74" s="2" t="s">
        <v>33</v>
      </c>
      <c r="I74" s="19">
        <v>17</v>
      </c>
      <c r="J74" s="19"/>
      <c r="K74" s="20">
        <f t="shared" si="2"/>
        <v>0</v>
      </c>
      <c r="HV74" s="2" t="s">
        <v>92</v>
      </c>
      <c r="HW74" s="2" t="s">
        <v>30</v>
      </c>
      <c r="IR74" s="21">
        <f>J74*0.773631068</f>
        <v>0</v>
      </c>
      <c r="IS74" s="21">
        <f>J74*(1-0.773631068)</f>
        <v>0</v>
      </c>
    </row>
    <row r="75" spans="1:253" x14ac:dyDescent="0.25">
      <c r="A75" s="18">
        <v>56</v>
      </c>
      <c r="B75" s="2" t="s">
        <v>150</v>
      </c>
      <c r="C75" s="96" t="s">
        <v>151</v>
      </c>
      <c r="D75" s="97"/>
      <c r="E75" s="97"/>
      <c r="F75" s="97"/>
      <c r="G75" s="97"/>
      <c r="H75" s="2" t="s">
        <v>33</v>
      </c>
      <c r="I75" s="19">
        <v>4</v>
      </c>
      <c r="J75" s="19"/>
      <c r="K75" s="20">
        <f t="shared" si="2"/>
        <v>0</v>
      </c>
      <c r="HV75" s="2" t="s">
        <v>92</v>
      </c>
      <c r="HW75" s="2" t="s">
        <v>30</v>
      </c>
      <c r="IR75" s="21">
        <f>J75*0.035687609</f>
        <v>0</v>
      </c>
      <c r="IS75" s="21">
        <f>J75*(1-0.035687609)</f>
        <v>0</v>
      </c>
    </row>
    <row r="76" spans="1:253" x14ac:dyDescent="0.25">
      <c r="A76" s="18">
        <v>57</v>
      </c>
      <c r="B76" s="2" t="s">
        <v>152</v>
      </c>
      <c r="C76" s="96" t="s">
        <v>153</v>
      </c>
      <c r="D76" s="97"/>
      <c r="E76" s="97"/>
      <c r="F76" s="97"/>
      <c r="G76" s="97"/>
      <c r="H76" s="2" t="s">
        <v>33</v>
      </c>
      <c r="I76" s="19">
        <v>4</v>
      </c>
      <c r="J76" s="19"/>
      <c r="K76" s="20">
        <f t="shared" si="2"/>
        <v>0</v>
      </c>
      <c r="HV76" s="2" t="s">
        <v>92</v>
      </c>
      <c r="HW76" s="2" t="s">
        <v>53</v>
      </c>
      <c r="IR76" s="21">
        <f>J76*1</f>
        <v>0</v>
      </c>
      <c r="IS76" s="21">
        <f>J76*(1-1)</f>
        <v>0</v>
      </c>
    </row>
    <row r="77" spans="1:253" x14ac:dyDescent="0.25">
      <c r="A77" s="18">
        <v>58</v>
      </c>
      <c r="B77" s="2" t="s">
        <v>154</v>
      </c>
      <c r="C77" s="96" t="s">
        <v>155</v>
      </c>
      <c r="D77" s="97"/>
      <c r="E77" s="97"/>
      <c r="F77" s="97"/>
      <c r="G77" s="97"/>
      <c r="H77" s="2" t="s">
        <v>33</v>
      </c>
      <c r="I77" s="19">
        <v>1</v>
      </c>
      <c r="J77" s="19"/>
      <c r="K77" s="20">
        <f t="shared" si="2"/>
        <v>0</v>
      </c>
      <c r="HV77" s="2" t="s">
        <v>92</v>
      </c>
      <c r="HW77" s="2" t="s">
        <v>30</v>
      </c>
      <c r="IR77" s="21">
        <f>J77*0.051097923</f>
        <v>0</v>
      </c>
      <c r="IS77" s="21">
        <f>J77*(1-0.051097923)</f>
        <v>0</v>
      </c>
    </row>
    <row r="78" spans="1:253" x14ac:dyDescent="0.25">
      <c r="A78" s="18">
        <v>59</v>
      </c>
      <c r="B78" s="2" t="s">
        <v>156</v>
      </c>
      <c r="C78" s="96" t="s">
        <v>157</v>
      </c>
      <c r="D78" s="97"/>
      <c r="E78" s="97"/>
      <c r="F78" s="97"/>
      <c r="G78" s="97"/>
      <c r="H78" s="2" t="s">
        <v>33</v>
      </c>
      <c r="I78" s="19">
        <v>1</v>
      </c>
      <c r="J78" s="19"/>
      <c r="K78" s="20">
        <f t="shared" si="2"/>
        <v>0</v>
      </c>
      <c r="HV78" s="2" t="s">
        <v>92</v>
      </c>
      <c r="HW78" s="2" t="s">
        <v>53</v>
      </c>
      <c r="IR78" s="21">
        <f>J78*1</f>
        <v>0</v>
      </c>
      <c r="IS78" s="21">
        <f>J78*(1-1)</f>
        <v>0</v>
      </c>
    </row>
    <row r="79" spans="1:253" x14ac:dyDescent="0.25">
      <c r="A79" s="18">
        <v>60</v>
      </c>
      <c r="B79" s="2" t="s">
        <v>158</v>
      </c>
      <c r="C79" s="96" t="s">
        <v>159</v>
      </c>
      <c r="D79" s="97"/>
      <c r="E79" s="97"/>
      <c r="F79" s="97"/>
      <c r="G79" s="97"/>
      <c r="H79" s="2" t="s">
        <v>33</v>
      </c>
      <c r="I79" s="19">
        <v>1</v>
      </c>
      <c r="J79" s="19"/>
      <c r="K79" s="20">
        <f t="shared" si="2"/>
        <v>0</v>
      </c>
      <c r="HV79" s="2" t="s">
        <v>92</v>
      </c>
      <c r="HW79" s="2" t="s">
        <v>30</v>
      </c>
      <c r="IR79" s="21">
        <f>J79*0.060111996</f>
        <v>0</v>
      </c>
      <c r="IS79" s="21">
        <f>J79*(1-0.060111996)</f>
        <v>0</v>
      </c>
    </row>
    <row r="80" spans="1:253" x14ac:dyDescent="0.25">
      <c r="A80" s="18">
        <v>61</v>
      </c>
      <c r="B80" s="2" t="s">
        <v>160</v>
      </c>
      <c r="C80" s="96" t="s">
        <v>161</v>
      </c>
      <c r="D80" s="97"/>
      <c r="E80" s="97"/>
      <c r="F80" s="97"/>
      <c r="G80" s="97"/>
      <c r="H80" s="2" t="s">
        <v>33</v>
      </c>
      <c r="I80" s="19">
        <v>1</v>
      </c>
      <c r="J80" s="19"/>
      <c r="K80" s="20">
        <f t="shared" si="2"/>
        <v>0</v>
      </c>
      <c r="HV80" s="2" t="s">
        <v>92</v>
      </c>
      <c r="HW80" s="2" t="s">
        <v>53</v>
      </c>
      <c r="IR80" s="21">
        <f>J80*1</f>
        <v>0</v>
      </c>
      <c r="IS80" s="21">
        <f>J80*(1-1)</f>
        <v>0</v>
      </c>
    </row>
    <row r="81" spans="1:253" x14ac:dyDescent="0.25">
      <c r="A81" s="18">
        <v>62</v>
      </c>
      <c r="B81" s="2" t="s">
        <v>162</v>
      </c>
      <c r="C81" s="96" t="s">
        <v>163</v>
      </c>
      <c r="D81" s="97"/>
      <c r="E81" s="97"/>
      <c r="F81" s="97"/>
      <c r="G81" s="97"/>
      <c r="H81" s="2" t="s">
        <v>38</v>
      </c>
      <c r="I81" s="19">
        <v>5</v>
      </c>
      <c r="J81" s="19"/>
      <c r="K81" s="20">
        <f t="shared" si="2"/>
        <v>0</v>
      </c>
      <c r="HV81" s="2" t="s">
        <v>92</v>
      </c>
      <c r="HW81" s="2" t="s">
        <v>30</v>
      </c>
      <c r="IR81" s="21">
        <f>J81*0.615509036</f>
        <v>0</v>
      </c>
      <c r="IS81" s="21">
        <f>J81*(1-0.615509036)</f>
        <v>0</v>
      </c>
    </row>
    <row r="82" spans="1:253" x14ac:dyDescent="0.25">
      <c r="A82" s="18">
        <v>63</v>
      </c>
      <c r="B82" s="2" t="s">
        <v>164</v>
      </c>
      <c r="C82" s="96" t="s">
        <v>165</v>
      </c>
      <c r="D82" s="97"/>
      <c r="E82" s="97"/>
      <c r="F82" s="97"/>
      <c r="G82" s="97"/>
      <c r="H82" s="2" t="s">
        <v>33</v>
      </c>
      <c r="I82" s="19">
        <v>2</v>
      </c>
      <c r="J82" s="19"/>
      <c r="K82" s="20">
        <f t="shared" si="2"/>
        <v>0</v>
      </c>
      <c r="HV82" s="2" t="s">
        <v>92</v>
      </c>
      <c r="HW82" s="2" t="s">
        <v>30</v>
      </c>
      <c r="IR82" s="21">
        <f>J82*0.428983607</f>
        <v>0</v>
      </c>
      <c r="IS82" s="21">
        <f>J82*(1-0.428983607)</f>
        <v>0</v>
      </c>
    </row>
    <row r="83" spans="1:253" x14ac:dyDescent="0.25">
      <c r="A83" s="18">
        <v>64</v>
      </c>
      <c r="B83" s="2" t="s">
        <v>166</v>
      </c>
      <c r="C83" s="96" t="s">
        <v>167</v>
      </c>
      <c r="D83" s="97"/>
      <c r="E83" s="97"/>
      <c r="F83" s="97"/>
      <c r="G83" s="97"/>
      <c r="H83" s="2" t="s">
        <v>33</v>
      </c>
      <c r="I83" s="19">
        <v>1</v>
      </c>
      <c r="J83" s="19"/>
      <c r="K83" s="20">
        <f t="shared" si="2"/>
        <v>0</v>
      </c>
      <c r="HV83" s="2" t="s">
        <v>92</v>
      </c>
      <c r="HW83" s="2" t="s">
        <v>53</v>
      </c>
      <c r="IR83" s="21">
        <f>J83*1</f>
        <v>0</v>
      </c>
      <c r="IS83" s="21">
        <f>J83*(1-1)</f>
        <v>0</v>
      </c>
    </row>
    <row r="84" spans="1:253" x14ac:dyDescent="0.25">
      <c r="A84" s="18">
        <v>65</v>
      </c>
      <c r="B84" s="2" t="s">
        <v>168</v>
      </c>
      <c r="C84" s="96" t="s">
        <v>169</v>
      </c>
      <c r="D84" s="97"/>
      <c r="E84" s="97"/>
      <c r="F84" s="97"/>
      <c r="G84" s="97"/>
      <c r="H84" s="2" t="s">
        <v>33</v>
      </c>
      <c r="I84" s="19">
        <v>1</v>
      </c>
      <c r="J84" s="19"/>
      <c r="K84" s="20">
        <f t="shared" si="2"/>
        <v>0</v>
      </c>
      <c r="HV84" s="2" t="s">
        <v>92</v>
      </c>
      <c r="HW84" s="2" t="s">
        <v>53</v>
      </c>
      <c r="IR84" s="21">
        <f>J84*1</f>
        <v>0</v>
      </c>
      <c r="IS84" s="21">
        <f>J84*(1-1)</f>
        <v>0</v>
      </c>
    </row>
    <row r="85" spans="1:253" x14ac:dyDescent="0.25">
      <c r="A85" s="18">
        <v>66</v>
      </c>
      <c r="B85" s="2" t="s">
        <v>170</v>
      </c>
      <c r="C85" s="96" t="s">
        <v>171</v>
      </c>
      <c r="D85" s="97"/>
      <c r="E85" s="97"/>
      <c r="F85" s="97"/>
      <c r="G85" s="97"/>
      <c r="H85" s="2" t="s">
        <v>38</v>
      </c>
      <c r="I85" s="19">
        <v>2</v>
      </c>
      <c r="J85" s="19"/>
      <c r="K85" s="20">
        <f t="shared" si="2"/>
        <v>0</v>
      </c>
      <c r="HV85" s="2" t="s">
        <v>92</v>
      </c>
      <c r="HW85" s="2" t="s">
        <v>30</v>
      </c>
      <c r="IR85" s="21">
        <f>J85*0.305617978</f>
        <v>0</v>
      </c>
      <c r="IS85" s="21">
        <f>J85*(1-0.305617978)</f>
        <v>0</v>
      </c>
    </row>
    <row r="86" spans="1:253" x14ac:dyDescent="0.25">
      <c r="A86" s="18">
        <v>67</v>
      </c>
      <c r="B86" s="2" t="s">
        <v>172</v>
      </c>
      <c r="C86" s="96" t="s">
        <v>173</v>
      </c>
      <c r="D86" s="97"/>
      <c r="E86" s="97"/>
      <c r="F86" s="97"/>
      <c r="G86" s="97"/>
      <c r="H86" s="2" t="s">
        <v>33</v>
      </c>
      <c r="I86" s="19">
        <v>2</v>
      </c>
      <c r="J86" s="19"/>
      <c r="K86" s="20">
        <f t="shared" si="2"/>
        <v>0</v>
      </c>
      <c r="HV86" s="2" t="s">
        <v>92</v>
      </c>
      <c r="HW86" s="2" t="s">
        <v>53</v>
      </c>
      <c r="IR86" s="21">
        <f>J86*1</f>
        <v>0</v>
      </c>
      <c r="IS86" s="21">
        <f>J86*(1-1)</f>
        <v>0</v>
      </c>
    </row>
    <row r="87" spans="1:253" x14ac:dyDescent="0.25">
      <c r="A87" s="18">
        <v>68</v>
      </c>
      <c r="B87" s="2" t="s">
        <v>174</v>
      </c>
      <c r="C87" s="96" t="s">
        <v>175</v>
      </c>
      <c r="D87" s="97"/>
      <c r="E87" s="97"/>
      <c r="F87" s="97"/>
      <c r="G87" s="97"/>
      <c r="H87" s="2" t="s">
        <v>29</v>
      </c>
      <c r="I87" s="19">
        <v>65</v>
      </c>
      <c r="J87" s="19"/>
      <c r="K87" s="20">
        <f t="shared" si="2"/>
        <v>0</v>
      </c>
      <c r="HV87" s="2" t="s">
        <v>92</v>
      </c>
      <c r="HW87" s="2" t="s">
        <v>30</v>
      </c>
      <c r="IR87" s="21">
        <f>J87*0.01352657</f>
        <v>0</v>
      </c>
      <c r="IS87" s="21">
        <f>J87*(1-0.01352657)</f>
        <v>0</v>
      </c>
    </row>
    <row r="88" spans="1:253" x14ac:dyDescent="0.25">
      <c r="A88" s="18">
        <v>69</v>
      </c>
      <c r="B88" s="2" t="s">
        <v>176</v>
      </c>
      <c r="C88" s="96" t="s">
        <v>177</v>
      </c>
      <c r="D88" s="97"/>
      <c r="E88" s="97"/>
      <c r="F88" s="97"/>
      <c r="G88" s="97"/>
      <c r="H88" s="2" t="s">
        <v>29</v>
      </c>
      <c r="I88" s="19">
        <v>70</v>
      </c>
      <c r="J88" s="19"/>
      <c r="K88" s="20">
        <f t="shared" si="2"/>
        <v>0</v>
      </c>
      <c r="HV88" s="2" t="s">
        <v>92</v>
      </c>
      <c r="HW88" s="2" t="s">
        <v>30</v>
      </c>
      <c r="IR88" s="21">
        <f>J88*0.015384615</f>
        <v>0</v>
      </c>
      <c r="IS88" s="21">
        <f>J88*(1-0.015384615)</f>
        <v>0</v>
      </c>
    </row>
    <row r="89" spans="1:253" x14ac:dyDescent="0.25">
      <c r="A89" s="18">
        <v>70</v>
      </c>
      <c r="B89" s="2" t="s">
        <v>178</v>
      </c>
      <c r="C89" s="96" t="s">
        <v>179</v>
      </c>
      <c r="D89" s="97"/>
      <c r="E89" s="97"/>
      <c r="F89" s="97"/>
      <c r="G89" s="97"/>
      <c r="H89" s="2" t="s">
        <v>29</v>
      </c>
      <c r="I89" s="19">
        <v>48</v>
      </c>
      <c r="J89" s="19"/>
      <c r="K89" s="20">
        <f t="shared" si="2"/>
        <v>0</v>
      </c>
      <c r="HV89" s="2" t="s">
        <v>92</v>
      </c>
      <c r="HW89" s="2" t="s">
        <v>30</v>
      </c>
      <c r="IR89" s="21">
        <f>J89*0.017940199</f>
        <v>0</v>
      </c>
      <c r="IS89" s="21">
        <f>J89*(1-0.017940199)</f>
        <v>0</v>
      </c>
    </row>
    <row r="90" spans="1:253" x14ac:dyDescent="0.25">
      <c r="A90" s="18">
        <v>71</v>
      </c>
      <c r="B90" s="2" t="s">
        <v>180</v>
      </c>
      <c r="C90" s="96" t="s">
        <v>181</v>
      </c>
      <c r="D90" s="97"/>
      <c r="E90" s="97"/>
      <c r="F90" s="97"/>
      <c r="G90" s="97"/>
      <c r="H90" s="2" t="s">
        <v>90</v>
      </c>
      <c r="I90" s="19">
        <v>0.2</v>
      </c>
      <c r="J90" s="19"/>
      <c r="K90" s="20">
        <f t="shared" si="2"/>
        <v>0</v>
      </c>
      <c r="HV90" s="2" t="s">
        <v>92</v>
      </c>
      <c r="HW90" s="2" t="s">
        <v>30</v>
      </c>
      <c r="IR90" s="21">
        <f>J90*0</f>
        <v>0</v>
      </c>
      <c r="IS90" s="21">
        <f>J90*(1-0)</f>
        <v>0</v>
      </c>
    </row>
    <row r="91" spans="1:253" x14ac:dyDescent="0.25">
      <c r="A91" s="18">
        <v>72</v>
      </c>
      <c r="B91" s="2" t="s">
        <v>182</v>
      </c>
      <c r="C91" s="96" t="s">
        <v>183</v>
      </c>
      <c r="D91" s="97"/>
      <c r="E91" s="97"/>
      <c r="F91" s="97"/>
      <c r="G91" s="97"/>
      <c r="H91" s="2" t="s">
        <v>41</v>
      </c>
      <c r="I91" s="19">
        <v>3088</v>
      </c>
      <c r="J91" s="19"/>
      <c r="K91" s="20">
        <f t="shared" si="2"/>
        <v>0</v>
      </c>
      <c r="HV91" s="2" t="s">
        <v>92</v>
      </c>
      <c r="HW91" s="2" t="s">
        <v>30</v>
      </c>
      <c r="IR91" s="21">
        <f>J91*0</f>
        <v>0</v>
      </c>
      <c r="IS91" s="21">
        <f>J91*(1-0)</f>
        <v>0</v>
      </c>
    </row>
    <row r="92" spans="1:253" x14ac:dyDescent="0.25">
      <c r="A92" s="14" t="s">
        <v>22</v>
      </c>
      <c r="B92" s="15" t="s">
        <v>23</v>
      </c>
      <c r="C92" s="152" t="s">
        <v>184</v>
      </c>
      <c r="D92" s="153"/>
      <c r="E92" s="153"/>
      <c r="F92" s="153"/>
      <c r="G92" s="153"/>
      <c r="H92" s="15" t="s">
        <v>22</v>
      </c>
      <c r="I92" s="16" t="s">
        <v>22</v>
      </c>
      <c r="J92" s="16"/>
      <c r="K92" s="17">
        <f>K93+K98+K125</f>
        <v>0</v>
      </c>
    </row>
    <row r="93" spans="1:253" x14ac:dyDescent="0.25">
      <c r="A93" s="14" t="s">
        <v>22</v>
      </c>
      <c r="B93" s="15" t="s">
        <v>60</v>
      </c>
      <c r="C93" s="152" t="s">
        <v>61</v>
      </c>
      <c r="D93" s="153"/>
      <c r="E93" s="153"/>
      <c r="F93" s="153"/>
      <c r="G93" s="153"/>
      <c r="H93" s="15" t="s">
        <v>22</v>
      </c>
      <c r="I93" s="16" t="s">
        <v>22</v>
      </c>
      <c r="J93" s="16"/>
      <c r="K93" s="17">
        <f>SUM(K94:K97)</f>
        <v>0</v>
      </c>
    </row>
    <row r="94" spans="1:253" x14ac:dyDescent="0.25">
      <c r="A94" s="18">
        <v>73</v>
      </c>
      <c r="B94" s="2" t="s">
        <v>185</v>
      </c>
      <c r="C94" s="96" t="s">
        <v>186</v>
      </c>
      <c r="D94" s="97"/>
      <c r="E94" s="97"/>
      <c r="F94" s="97"/>
      <c r="G94" s="97"/>
      <c r="H94" s="2" t="s">
        <v>33</v>
      </c>
      <c r="I94" s="19">
        <v>28</v>
      </c>
      <c r="J94" s="19"/>
      <c r="K94" s="20">
        <f>ROUND(IR94*I94+IS94*I94,2)</f>
        <v>0</v>
      </c>
      <c r="HV94" s="2" t="s">
        <v>60</v>
      </c>
      <c r="HW94" s="2" t="s">
        <v>30</v>
      </c>
      <c r="IR94" s="21">
        <f>J94*1</f>
        <v>0</v>
      </c>
      <c r="IS94" s="21">
        <f>J94*(1-1)</f>
        <v>0</v>
      </c>
    </row>
    <row r="95" spans="1:253" x14ac:dyDescent="0.25">
      <c r="A95" s="18">
        <v>74</v>
      </c>
      <c r="B95" s="2" t="s">
        <v>187</v>
      </c>
      <c r="C95" s="96" t="s">
        <v>188</v>
      </c>
      <c r="D95" s="97"/>
      <c r="E95" s="97"/>
      <c r="F95" s="97"/>
      <c r="G95" s="97"/>
      <c r="H95" s="2" t="s">
        <v>33</v>
      </c>
      <c r="I95" s="19">
        <v>24</v>
      </c>
      <c r="J95" s="19"/>
      <c r="K95" s="20">
        <f>ROUND(IR95*I95+IS95*I95,2)</f>
        <v>0</v>
      </c>
      <c r="HV95" s="2" t="s">
        <v>60</v>
      </c>
      <c r="HW95" s="2" t="s">
        <v>30</v>
      </c>
      <c r="IR95" s="21">
        <f>J95*1</f>
        <v>0</v>
      </c>
      <c r="IS95" s="21">
        <f>J95*(1-1)</f>
        <v>0</v>
      </c>
    </row>
    <row r="96" spans="1:253" x14ac:dyDescent="0.25">
      <c r="A96" s="18">
        <v>75</v>
      </c>
      <c r="B96" s="2" t="s">
        <v>189</v>
      </c>
      <c r="C96" s="96" t="s">
        <v>190</v>
      </c>
      <c r="D96" s="97"/>
      <c r="E96" s="97"/>
      <c r="F96" s="97"/>
      <c r="G96" s="97"/>
      <c r="H96" s="2" t="s">
        <v>33</v>
      </c>
      <c r="I96" s="19">
        <v>8</v>
      </c>
      <c r="J96" s="19"/>
      <c r="K96" s="20">
        <f>ROUND(IR96*I96+IS96*I96,2)</f>
        <v>0</v>
      </c>
      <c r="HV96" s="2" t="s">
        <v>60</v>
      </c>
      <c r="HW96" s="2" t="s">
        <v>30</v>
      </c>
      <c r="IR96" s="21">
        <f>J96*1</f>
        <v>0</v>
      </c>
      <c r="IS96" s="21">
        <f>J96*(1-1)</f>
        <v>0</v>
      </c>
    </row>
    <row r="97" spans="1:253" x14ac:dyDescent="0.25">
      <c r="A97" s="18">
        <v>76</v>
      </c>
      <c r="B97" s="2" t="s">
        <v>64</v>
      </c>
      <c r="C97" s="96" t="s">
        <v>65</v>
      </c>
      <c r="D97" s="97"/>
      <c r="E97" s="97"/>
      <c r="F97" s="97"/>
      <c r="G97" s="97"/>
      <c r="H97" s="2" t="s">
        <v>41</v>
      </c>
      <c r="I97" s="19">
        <v>255</v>
      </c>
      <c r="J97" s="19"/>
      <c r="K97" s="20">
        <f>ROUND(IR97*I97+IS97*I97,2)</f>
        <v>0</v>
      </c>
      <c r="HV97" s="2" t="s">
        <v>60</v>
      </c>
      <c r="HW97" s="2" t="s">
        <v>30</v>
      </c>
      <c r="IR97" s="21">
        <f>J97*0</f>
        <v>0</v>
      </c>
      <c r="IS97" s="21">
        <f>J97*(1-0)</f>
        <v>0</v>
      </c>
    </row>
    <row r="98" spans="1:253" x14ac:dyDescent="0.25">
      <c r="A98" s="14" t="s">
        <v>22</v>
      </c>
      <c r="B98" s="15" t="s">
        <v>92</v>
      </c>
      <c r="C98" s="152" t="s">
        <v>93</v>
      </c>
      <c r="D98" s="153"/>
      <c r="E98" s="153"/>
      <c r="F98" s="153"/>
      <c r="G98" s="153"/>
      <c r="H98" s="15" t="s">
        <v>22</v>
      </c>
      <c r="I98" s="16" t="s">
        <v>22</v>
      </c>
      <c r="J98" s="16"/>
      <c r="K98" s="17">
        <f>SUM(K99:K124)</f>
        <v>0</v>
      </c>
    </row>
    <row r="99" spans="1:253" x14ac:dyDescent="0.25">
      <c r="A99" s="18">
        <v>77</v>
      </c>
      <c r="B99" s="2" t="s">
        <v>98</v>
      </c>
      <c r="C99" s="96" t="s">
        <v>191</v>
      </c>
      <c r="D99" s="97"/>
      <c r="E99" s="97"/>
      <c r="F99" s="97"/>
      <c r="G99" s="97"/>
      <c r="H99" s="2" t="s">
        <v>29</v>
      </c>
      <c r="I99" s="19">
        <v>225</v>
      </c>
      <c r="J99" s="19"/>
      <c r="K99" s="20">
        <f t="shared" ref="K99:K124" si="5">ROUND(IR99*I99+IS99*I99,2)</f>
        <v>0</v>
      </c>
      <c r="HV99" s="2" t="s">
        <v>92</v>
      </c>
      <c r="HW99" s="2" t="s">
        <v>30</v>
      </c>
      <c r="IR99" s="21">
        <f>J99*0</f>
        <v>0</v>
      </c>
      <c r="IS99" s="21">
        <f>J99*(1-0)</f>
        <v>0</v>
      </c>
    </row>
    <row r="100" spans="1:253" x14ac:dyDescent="0.25">
      <c r="A100" s="18">
        <v>78</v>
      </c>
      <c r="B100" s="2" t="s">
        <v>100</v>
      </c>
      <c r="C100" s="96" t="s">
        <v>192</v>
      </c>
      <c r="D100" s="97"/>
      <c r="E100" s="97"/>
      <c r="F100" s="97"/>
      <c r="G100" s="97"/>
      <c r="H100" s="2" t="s">
        <v>29</v>
      </c>
      <c r="I100" s="19">
        <v>36</v>
      </c>
      <c r="J100" s="19"/>
      <c r="K100" s="20">
        <f t="shared" si="5"/>
        <v>0</v>
      </c>
      <c r="HV100" s="2" t="s">
        <v>92</v>
      </c>
      <c r="HW100" s="2" t="s">
        <v>30</v>
      </c>
      <c r="IR100" s="21">
        <f>J100*0</f>
        <v>0</v>
      </c>
      <c r="IS100" s="21">
        <f>J100*(1-0)</f>
        <v>0</v>
      </c>
    </row>
    <row r="101" spans="1:253" x14ac:dyDescent="0.25">
      <c r="A101" s="18">
        <v>79</v>
      </c>
      <c r="B101" s="2" t="s">
        <v>102</v>
      </c>
      <c r="C101" s="96" t="s">
        <v>103</v>
      </c>
      <c r="D101" s="97"/>
      <c r="E101" s="97"/>
      <c r="F101" s="97"/>
      <c r="G101" s="97"/>
      <c r="H101" s="2" t="s">
        <v>29</v>
      </c>
      <c r="I101" s="19">
        <v>66</v>
      </c>
      <c r="J101" s="19"/>
      <c r="K101" s="20">
        <f t="shared" si="5"/>
        <v>0</v>
      </c>
      <c r="HV101" s="2" t="s">
        <v>92</v>
      </c>
      <c r="HW101" s="2" t="s">
        <v>30</v>
      </c>
      <c r="IR101" s="21">
        <f>J101*0.433822435</f>
        <v>0</v>
      </c>
      <c r="IS101" s="21">
        <f>J101*(1-0.433822435)</f>
        <v>0</v>
      </c>
    </row>
    <row r="102" spans="1:253" x14ac:dyDescent="0.25">
      <c r="A102" s="18">
        <v>80</v>
      </c>
      <c r="B102" s="2" t="s">
        <v>104</v>
      </c>
      <c r="C102" s="96" t="s">
        <v>105</v>
      </c>
      <c r="D102" s="97"/>
      <c r="E102" s="97"/>
      <c r="F102" s="97"/>
      <c r="G102" s="97"/>
      <c r="H102" s="2" t="s">
        <v>29</v>
      </c>
      <c r="I102" s="19">
        <v>87</v>
      </c>
      <c r="J102" s="19"/>
      <c r="K102" s="20">
        <f t="shared" si="5"/>
        <v>0</v>
      </c>
      <c r="HV102" s="2" t="s">
        <v>92</v>
      </c>
      <c r="HW102" s="2" t="s">
        <v>30</v>
      </c>
      <c r="IR102" s="21">
        <f>J102*0.499111111</f>
        <v>0</v>
      </c>
      <c r="IS102" s="21">
        <f>J102*(1-0.499111111)</f>
        <v>0</v>
      </c>
    </row>
    <row r="103" spans="1:253" x14ac:dyDescent="0.25">
      <c r="A103" s="18">
        <v>81</v>
      </c>
      <c r="B103" s="2" t="s">
        <v>106</v>
      </c>
      <c r="C103" s="96" t="s">
        <v>107</v>
      </c>
      <c r="D103" s="97"/>
      <c r="E103" s="97"/>
      <c r="F103" s="97"/>
      <c r="G103" s="97"/>
      <c r="H103" s="2" t="s">
        <v>29</v>
      </c>
      <c r="I103" s="19">
        <v>72</v>
      </c>
      <c r="J103" s="19"/>
      <c r="K103" s="20">
        <f t="shared" si="5"/>
        <v>0</v>
      </c>
      <c r="HV103" s="2" t="s">
        <v>92</v>
      </c>
      <c r="HW103" s="2" t="s">
        <v>30</v>
      </c>
      <c r="IR103" s="21">
        <f>J103*0.578547486</f>
        <v>0</v>
      </c>
      <c r="IS103" s="21">
        <f>J103*(1-0.578547486)</f>
        <v>0</v>
      </c>
    </row>
    <row r="104" spans="1:253" x14ac:dyDescent="0.25">
      <c r="A104" s="18">
        <v>82</v>
      </c>
      <c r="B104" s="2" t="s">
        <v>108</v>
      </c>
      <c r="C104" s="96" t="s">
        <v>109</v>
      </c>
      <c r="D104" s="97"/>
      <c r="E104" s="97"/>
      <c r="F104" s="97"/>
      <c r="G104" s="97"/>
      <c r="H104" s="2" t="s">
        <v>29</v>
      </c>
      <c r="I104" s="19">
        <v>36</v>
      </c>
      <c r="J104" s="19"/>
      <c r="K104" s="20">
        <f t="shared" si="5"/>
        <v>0</v>
      </c>
      <c r="HV104" s="2" t="s">
        <v>92</v>
      </c>
      <c r="HW104" s="2" t="s">
        <v>30</v>
      </c>
      <c r="IR104" s="21">
        <f>J104*0.679694377</f>
        <v>0</v>
      </c>
      <c r="IS104" s="21">
        <f>J104*(1-0.679694377)</f>
        <v>0</v>
      </c>
    </row>
    <row r="105" spans="1:253" x14ac:dyDescent="0.25">
      <c r="A105" s="18">
        <v>83</v>
      </c>
      <c r="B105" s="2" t="s">
        <v>193</v>
      </c>
      <c r="C105" s="96" t="s">
        <v>194</v>
      </c>
      <c r="D105" s="97"/>
      <c r="E105" s="97"/>
      <c r="F105" s="97"/>
      <c r="G105" s="97"/>
      <c r="H105" s="2" t="s">
        <v>33</v>
      </c>
      <c r="I105" s="19">
        <v>8</v>
      </c>
      <c r="J105" s="19"/>
      <c r="K105" s="20">
        <f t="shared" si="5"/>
        <v>0</v>
      </c>
      <c r="HV105" s="2" t="s">
        <v>92</v>
      </c>
      <c r="HW105" s="2" t="s">
        <v>30</v>
      </c>
      <c r="IR105" s="21">
        <f>J105*0.34117818</f>
        <v>0</v>
      </c>
      <c r="IS105" s="21">
        <f>J105*(1-0.34117818)</f>
        <v>0</v>
      </c>
    </row>
    <row r="106" spans="1:253" x14ac:dyDescent="0.25">
      <c r="A106" s="18">
        <v>84</v>
      </c>
      <c r="B106" s="2" t="s">
        <v>195</v>
      </c>
      <c r="C106" s="96" t="s">
        <v>196</v>
      </c>
      <c r="D106" s="97"/>
      <c r="E106" s="97"/>
      <c r="F106" s="97"/>
      <c r="G106" s="97"/>
      <c r="H106" s="2" t="s">
        <v>33</v>
      </c>
      <c r="I106" s="19">
        <v>4</v>
      </c>
      <c r="J106" s="19"/>
      <c r="K106" s="20">
        <f t="shared" si="5"/>
        <v>0</v>
      </c>
      <c r="HV106" s="2" t="s">
        <v>92</v>
      </c>
      <c r="HW106" s="2" t="s">
        <v>30</v>
      </c>
      <c r="IR106" s="21">
        <f>J106*0.398623853</f>
        <v>0</v>
      </c>
      <c r="IS106" s="21">
        <f>J106*(1-0.398623853)</f>
        <v>0</v>
      </c>
    </row>
    <row r="107" spans="1:253" x14ac:dyDescent="0.25">
      <c r="A107" s="18">
        <v>85</v>
      </c>
      <c r="B107" s="2" t="s">
        <v>197</v>
      </c>
      <c r="C107" s="96" t="s">
        <v>198</v>
      </c>
      <c r="D107" s="97"/>
      <c r="E107" s="97"/>
      <c r="F107" s="97"/>
      <c r="G107" s="97"/>
      <c r="H107" s="2" t="s">
        <v>33</v>
      </c>
      <c r="I107" s="19">
        <v>44</v>
      </c>
      <c r="J107" s="19"/>
      <c r="K107" s="20">
        <f t="shared" si="5"/>
        <v>0</v>
      </c>
      <c r="HV107" s="2" t="s">
        <v>92</v>
      </c>
      <c r="HW107" s="2" t="s">
        <v>30</v>
      </c>
      <c r="IR107" s="21">
        <f>J107*0</f>
        <v>0</v>
      </c>
      <c r="IS107" s="21">
        <f>J107*(1-0)</f>
        <v>0</v>
      </c>
    </row>
    <row r="108" spans="1:253" x14ac:dyDescent="0.25">
      <c r="A108" s="18">
        <v>86</v>
      </c>
      <c r="B108" s="2" t="s">
        <v>112</v>
      </c>
      <c r="C108" s="96" t="s">
        <v>113</v>
      </c>
      <c r="D108" s="97"/>
      <c r="E108" s="97"/>
      <c r="F108" s="97"/>
      <c r="G108" s="97"/>
      <c r="H108" s="2" t="s">
        <v>29</v>
      </c>
      <c r="I108" s="19">
        <v>66</v>
      </c>
      <c r="J108" s="19"/>
      <c r="K108" s="20">
        <f t="shared" si="5"/>
        <v>0</v>
      </c>
      <c r="HV108" s="2" t="s">
        <v>92</v>
      </c>
      <c r="HW108" s="2" t="s">
        <v>30</v>
      </c>
      <c r="IR108" s="21">
        <f>J108*0.213649289</f>
        <v>0</v>
      </c>
      <c r="IS108" s="21">
        <f>J108*(1-0.213649289)</f>
        <v>0</v>
      </c>
    </row>
    <row r="109" spans="1:253" x14ac:dyDescent="0.25">
      <c r="A109" s="18">
        <v>87</v>
      </c>
      <c r="B109" s="2" t="s">
        <v>199</v>
      </c>
      <c r="C109" s="96" t="s">
        <v>200</v>
      </c>
      <c r="D109" s="97"/>
      <c r="E109" s="97"/>
      <c r="F109" s="97"/>
      <c r="G109" s="97"/>
      <c r="H109" s="2" t="s">
        <v>29</v>
      </c>
      <c r="I109" s="19">
        <v>12</v>
      </c>
      <c r="J109" s="19"/>
      <c r="K109" s="20">
        <f t="shared" si="5"/>
        <v>0</v>
      </c>
      <c r="HV109" s="2" t="s">
        <v>92</v>
      </c>
      <c r="HW109" s="2" t="s">
        <v>30</v>
      </c>
      <c r="IR109" s="21">
        <f>J109*0.225674419</f>
        <v>0</v>
      </c>
      <c r="IS109" s="21">
        <f>J109*(1-0.225674419)</f>
        <v>0</v>
      </c>
    </row>
    <row r="110" spans="1:253" x14ac:dyDescent="0.25">
      <c r="A110" s="18">
        <v>88</v>
      </c>
      <c r="B110" s="2" t="s">
        <v>201</v>
      </c>
      <c r="C110" s="96" t="s">
        <v>202</v>
      </c>
      <c r="D110" s="97"/>
      <c r="E110" s="97"/>
      <c r="F110" s="97"/>
      <c r="G110" s="97"/>
      <c r="H110" s="2" t="s">
        <v>29</v>
      </c>
      <c r="I110" s="19">
        <v>36</v>
      </c>
      <c r="J110" s="19"/>
      <c r="K110" s="20">
        <f t="shared" si="5"/>
        <v>0</v>
      </c>
      <c r="HV110" s="2" t="s">
        <v>92</v>
      </c>
      <c r="HW110" s="2" t="s">
        <v>30</v>
      </c>
      <c r="IR110" s="21">
        <f>J110*0.224934316</f>
        <v>0</v>
      </c>
      <c r="IS110" s="21">
        <f>J110*(1-0.224934316)</f>
        <v>0</v>
      </c>
    </row>
    <row r="111" spans="1:253" x14ac:dyDescent="0.25">
      <c r="A111" s="18">
        <v>89</v>
      </c>
      <c r="B111" s="2" t="s">
        <v>114</v>
      </c>
      <c r="C111" s="96" t="s">
        <v>115</v>
      </c>
      <c r="D111" s="97"/>
      <c r="E111" s="97"/>
      <c r="F111" s="97"/>
      <c r="G111" s="97"/>
      <c r="H111" s="2" t="s">
        <v>29</v>
      </c>
      <c r="I111" s="19">
        <v>18</v>
      </c>
      <c r="J111" s="19"/>
      <c r="K111" s="20">
        <f t="shared" si="5"/>
        <v>0</v>
      </c>
      <c r="HV111" s="2" t="s">
        <v>92</v>
      </c>
      <c r="HW111" s="2" t="s">
        <v>30</v>
      </c>
      <c r="IR111" s="21">
        <f>J111*0.236981132</f>
        <v>0</v>
      </c>
      <c r="IS111" s="21">
        <f>J111*(1-0.236981132)</f>
        <v>0</v>
      </c>
    </row>
    <row r="112" spans="1:253" x14ac:dyDescent="0.25">
      <c r="A112" s="18">
        <v>90</v>
      </c>
      <c r="B112" s="2" t="s">
        <v>118</v>
      </c>
      <c r="C112" s="96" t="s">
        <v>119</v>
      </c>
      <c r="D112" s="97"/>
      <c r="E112" s="97"/>
      <c r="F112" s="97"/>
      <c r="G112" s="97"/>
      <c r="H112" s="2" t="s">
        <v>29</v>
      </c>
      <c r="I112" s="19">
        <v>75</v>
      </c>
      <c r="J112" s="19"/>
      <c r="K112" s="20">
        <f t="shared" si="5"/>
        <v>0</v>
      </c>
      <c r="HV112" s="2" t="s">
        <v>92</v>
      </c>
      <c r="HW112" s="2" t="s">
        <v>30</v>
      </c>
      <c r="IR112" s="21">
        <f>J112*0.497878788</f>
        <v>0</v>
      </c>
      <c r="IS112" s="21">
        <f>J112*(1-0.497878788)</f>
        <v>0</v>
      </c>
    </row>
    <row r="113" spans="1:253" x14ac:dyDescent="0.25">
      <c r="A113" s="18">
        <v>91</v>
      </c>
      <c r="B113" s="2" t="s">
        <v>120</v>
      </c>
      <c r="C113" s="96" t="s">
        <v>121</v>
      </c>
      <c r="D113" s="97"/>
      <c r="E113" s="97"/>
      <c r="F113" s="97"/>
      <c r="G113" s="97"/>
      <c r="H113" s="2" t="s">
        <v>29</v>
      </c>
      <c r="I113" s="19">
        <v>36</v>
      </c>
      <c r="J113" s="19"/>
      <c r="K113" s="20">
        <f t="shared" si="5"/>
        <v>0</v>
      </c>
      <c r="HV113" s="2" t="s">
        <v>92</v>
      </c>
      <c r="HW113" s="2" t="s">
        <v>30</v>
      </c>
      <c r="IR113" s="21">
        <f>J113*0.50291569</f>
        <v>0</v>
      </c>
      <c r="IS113" s="21">
        <f>J113*(1-0.50291569)</f>
        <v>0</v>
      </c>
    </row>
    <row r="114" spans="1:253" x14ac:dyDescent="0.25">
      <c r="A114" s="18">
        <v>92</v>
      </c>
      <c r="B114" s="2" t="s">
        <v>122</v>
      </c>
      <c r="C114" s="96" t="s">
        <v>123</v>
      </c>
      <c r="D114" s="97"/>
      <c r="E114" s="97"/>
      <c r="F114" s="97"/>
      <c r="G114" s="97"/>
      <c r="H114" s="2" t="s">
        <v>29</v>
      </c>
      <c r="I114" s="19">
        <v>18</v>
      </c>
      <c r="J114" s="19"/>
      <c r="K114" s="20">
        <f t="shared" si="5"/>
        <v>0</v>
      </c>
      <c r="HV114" s="2" t="s">
        <v>92</v>
      </c>
      <c r="HW114" s="2" t="s">
        <v>30</v>
      </c>
      <c r="IR114" s="21">
        <f>J114*0.501975309</f>
        <v>0</v>
      </c>
      <c r="IS114" s="21">
        <f>J114*(1-0.501975309)</f>
        <v>0</v>
      </c>
    </row>
    <row r="115" spans="1:253" x14ac:dyDescent="0.25">
      <c r="A115" s="18">
        <v>93</v>
      </c>
      <c r="B115" s="2" t="s">
        <v>130</v>
      </c>
      <c r="C115" s="96" t="s">
        <v>131</v>
      </c>
      <c r="D115" s="97"/>
      <c r="E115" s="97"/>
      <c r="F115" s="97"/>
      <c r="G115" s="97"/>
      <c r="H115" s="2" t="s">
        <v>33</v>
      </c>
      <c r="I115" s="19">
        <v>88</v>
      </c>
      <c r="J115" s="19"/>
      <c r="K115" s="20">
        <f t="shared" si="5"/>
        <v>0</v>
      </c>
      <c r="HV115" s="2" t="s">
        <v>92</v>
      </c>
      <c r="HW115" s="2" t="s">
        <v>30</v>
      </c>
      <c r="IR115" s="21">
        <f>J115*1</f>
        <v>0</v>
      </c>
      <c r="IS115" s="21">
        <f>J115*(1-1)</f>
        <v>0</v>
      </c>
    </row>
    <row r="116" spans="1:253" x14ac:dyDescent="0.25">
      <c r="A116" s="18">
        <v>94</v>
      </c>
      <c r="B116" s="2" t="s">
        <v>140</v>
      </c>
      <c r="C116" s="96" t="s">
        <v>203</v>
      </c>
      <c r="D116" s="97"/>
      <c r="E116" s="97"/>
      <c r="F116" s="97"/>
      <c r="G116" s="97"/>
      <c r="H116" s="2" t="s">
        <v>33</v>
      </c>
      <c r="I116" s="19">
        <v>44</v>
      </c>
      <c r="J116" s="19"/>
      <c r="K116" s="20">
        <f t="shared" si="5"/>
        <v>0</v>
      </c>
      <c r="HV116" s="2" t="s">
        <v>92</v>
      </c>
      <c r="HW116" s="2" t="s">
        <v>30</v>
      </c>
      <c r="IR116" s="21">
        <f>J116*0.708128668</f>
        <v>0</v>
      </c>
      <c r="IS116" s="21">
        <f>J116*(1-0.708128668)</f>
        <v>0</v>
      </c>
    </row>
    <row r="117" spans="1:253" x14ac:dyDescent="0.25">
      <c r="A117" s="18">
        <v>95</v>
      </c>
      <c r="B117" s="2" t="s">
        <v>204</v>
      </c>
      <c r="C117" s="96" t="s">
        <v>205</v>
      </c>
      <c r="D117" s="97"/>
      <c r="E117" s="97"/>
      <c r="F117" s="97"/>
      <c r="G117" s="97"/>
      <c r="H117" s="2" t="s">
        <v>33</v>
      </c>
      <c r="I117" s="19">
        <v>44</v>
      </c>
      <c r="J117" s="19"/>
      <c r="K117" s="20">
        <f t="shared" si="5"/>
        <v>0</v>
      </c>
      <c r="HV117" s="2" t="s">
        <v>92</v>
      </c>
      <c r="HW117" s="2" t="s">
        <v>30</v>
      </c>
      <c r="IR117" s="21">
        <f>J117*0.678129948</f>
        <v>0</v>
      </c>
      <c r="IS117" s="21">
        <f>J117*(1-0.678129948)</f>
        <v>0</v>
      </c>
    </row>
    <row r="118" spans="1:253" x14ac:dyDescent="0.25">
      <c r="A118" s="18">
        <v>96</v>
      </c>
      <c r="B118" s="2" t="s">
        <v>206</v>
      </c>
      <c r="C118" s="96" t="s">
        <v>207</v>
      </c>
      <c r="D118" s="97"/>
      <c r="E118" s="97"/>
      <c r="F118" s="97"/>
      <c r="G118" s="97"/>
      <c r="H118" s="2" t="s">
        <v>33</v>
      </c>
      <c r="I118" s="19">
        <v>44</v>
      </c>
      <c r="J118" s="19"/>
      <c r="K118" s="20">
        <f t="shared" si="5"/>
        <v>0</v>
      </c>
      <c r="HV118" s="2" t="s">
        <v>92</v>
      </c>
      <c r="HW118" s="2" t="s">
        <v>30</v>
      </c>
      <c r="IR118" s="21">
        <f>J118*0</f>
        <v>0</v>
      </c>
      <c r="IS118" s="21">
        <f>J118*(1-0)</f>
        <v>0</v>
      </c>
    </row>
    <row r="119" spans="1:253" x14ac:dyDescent="0.25">
      <c r="A119" s="18">
        <v>97</v>
      </c>
      <c r="B119" s="2" t="s">
        <v>208</v>
      </c>
      <c r="C119" s="96" t="s">
        <v>209</v>
      </c>
      <c r="D119" s="97"/>
      <c r="E119" s="97"/>
      <c r="F119" s="97"/>
      <c r="G119" s="97"/>
      <c r="H119" s="2" t="s">
        <v>33</v>
      </c>
      <c r="I119" s="19">
        <v>44</v>
      </c>
      <c r="J119" s="19"/>
      <c r="K119" s="20">
        <f t="shared" si="5"/>
        <v>0</v>
      </c>
      <c r="HV119" s="2" t="s">
        <v>92</v>
      </c>
      <c r="HW119" s="2" t="s">
        <v>30</v>
      </c>
      <c r="IR119" s="21">
        <f>J119*0.032072072</f>
        <v>0</v>
      </c>
      <c r="IS119" s="21">
        <f>J119*(1-0.032072072)</f>
        <v>0</v>
      </c>
    </row>
    <row r="120" spans="1:253" x14ac:dyDescent="0.25">
      <c r="A120" s="18">
        <v>98</v>
      </c>
      <c r="B120" s="2" t="s">
        <v>210</v>
      </c>
      <c r="C120" s="96" t="s">
        <v>211</v>
      </c>
      <c r="D120" s="97"/>
      <c r="E120" s="97"/>
      <c r="F120" s="97"/>
      <c r="G120" s="97"/>
      <c r="H120" s="2" t="s">
        <v>33</v>
      </c>
      <c r="I120" s="19">
        <v>44</v>
      </c>
      <c r="J120" s="19"/>
      <c r="K120" s="20">
        <f t="shared" si="5"/>
        <v>0</v>
      </c>
      <c r="HV120" s="2" t="s">
        <v>92</v>
      </c>
      <c r="HW120" s="2" t="s">
        <v>30</v>
      </c>
      <c r="IR120" s="21">
        <f>J120*0.166666667</f>
        <v>0</v>
      </c>
      <c r="IS120" s="21">
        <f>J120*(1-0.166666667)</f>
        <v>0</v>
      </c>
    </row>
    <row r="121" spans="1:253" x14ac:dyDescent="0.25">
      <c r="A121" s="18">
        <v>99</v>
      </c>
      <c r="B121" s="2" t="s">
        <v>174</v>
      </c>
      <c r="C121" s="96" t="s">
        <v>175</v>
      </c>
      <c r="D121" s="97"/>
      <c r="E121" s="97"/>
      <c r="F121" s="97"/>
      <c r="G121" s="97"/>
      <c r="H121" s="2" t="s">
        <v>29</v>
      </c>
      <c r="I121" s="19">
        <v>225</v>
      </c>
      <c r="J121" s="19"/>
      <c r="K121" s="20">
        <f t="shared" si="5"/>
        <v>0</v>
      </c>
      <c r="HV121" s="2" t="s">
        <v>92</v>
      </c>
      <c r="HW121" s="2" t="s">
        <v>30</v>
      </c>
      <c r="IR121" s="21">
        <f>J121*0.01352657</f>
        <v>0</v>
      </c>
      <c r="IS121" s="21">
        <f>J121*(1-0.01352657)</f>
        <v>0</v>
      </c>
    </row>
    <row r="122" spans="1:253" x14ac:dyDescent="0.25">
      <c r="A122" s="18">
        <v>100</v>
      </c>
      <c r="B122" s="2" t="s">
        <v>176</v>
      </c>
      <c r="C122" s="96" t="s">
        <v>177</v>
      </c>
      <c r="D122" s="97"/>
      <c r="E122" s="97"/>
      <c r="F122" s="97"/>
      <c r="G122" s="97"/>
      <c r="H122" s="2" t="s">
        <v>29</v>
      </c>
      <c r="I122" s="19">
        <v>36</v>
      </c>
      <c r="J122" s="19"/>
      <c r="K122" s="20">
        <f t="shared" si="5"/>
        <v>0</v>
      </c>
      <c r="HV122" s="2" t="s">
        <v>92</v>
      </c>
      <c r="HW122" s="2" t="s">
        <v>30</v>
      </c>
      <c r="IR122" s="21">
        <f>J122*0.015384615</f>
        <v>0</v>
      </c>
      <c r="IS122" s="21">
        <f>J122*(1-0.015384615)</f>
        <v>0</v>
      </c>
    </row>
    <row r="123" spans="1:253" x14ac:dyDescent="0.25">
      <c r="A123" s="18">
        <v>101</v>
      </c>
      <c r="B123" s="2" t="s">
        <v>212</v>
      </c>
      <c r="C123" s="96" t="s">
        <v>213</v>
      </c>
      <c r="D123" s="97"/>
      <c r="E123" s="97"/>
      <c r="F123" s="97"/>
      <c r="G123" s="97"/>
      <c r="H123" s="2" t="s">
        <v>90</v>
      </c>
      <c r="I123" s="19">
        <v>0.1</v>
      </c>
      <c r="J123" s="19"/>
      <c r="K123" s="20">
        <f t="shared" si="5"/>
        <v>0</v>
      </c>
      <c r="HV123" s="2" t="s">
        <v>92</v>
      </c>
      <c r="HW123" s="2" t="s">
        <v>30</v>
      </c>
      <c r="IR123" s="21">
        <f>J123*0</f>
        <v>0</v>
      </c>
      <c r="IS123" s="21">
        <f>J123*(1-0)</f>
        <v>0</v>
      </c>
    </row>
    <row r="124" spans="1:253" x14ac:dyDescent="0.25">
      <c r="A124" s="18">
        <v>102</v>
      </c>
      <c r="B124" s="2" t="s">
        <v>214</v>
      </c>
      <c r="C124" s="96" t="s">
        <v>215</v>
      </c>
      <c r="D124" s="97"/>
      <c r="E124" s="97"/>
      <c r="F124" s="97"/>
      <c r="G124" s="97"/>
      <c r="H124" s="2" t="s">
        <v>41</v>
      </c>
      <c r="I124" s="19">
        <v>2513</v>
      </c>
      <c r="J124" s="19"/>
      <c r="K124" s="20">
        <f t="shared" si="5"/>
        <v>0</v>
      </c>
      <c r="HV124" s="2" t="s">
        <v>92</v>
      </c>
      <c r="HW124" s="2" t="s">
        <v>30</v>
      </c>
      <c r="IR124" s="21">
        <f>J124*0</f>
        <v>0</v>
      </c>
      <c r="IS124" s="21">
        <f>J124*(1-0)</f>
        <v>0</v>
      </c>
    </row>
    <row r="125" spans="1:253" x14ac:dyDescent="0.25">
      <c r="A125" s="14" t="s">
        <v>22</v>
      </c>
      <c r="B125" s="15" t="s">
        <v>216</v>
      </c>
      <c r="C125" s="152" t="s">
        <v>217</v>
      </c>
      <c r="D125" s="153"/>
      <c r="E125" s="153"/>
      <c r="F125" s="153"/>
      <c r="G125" s="153"/>
      <c r="H125" s="15" t="s">
        <v>22</v>
      </c>
      <c r="I125" s="16" t="s">
        <v>22</v>
      </c>
      <c r="J125" s="16"/>
      <c r="K125" s="17">
        <f>SUM(K126:K128)</f>
        <v>0</v>
      </c>
    </row>
    <row r="126" spans="1:253" x14ac:dyDescent="0.25">
      <c r="A126" s="18">
        <v>103</v>
      </c>
      <c r="B126" s="2" t="s">
        <v>218</v>
      </c>
      <c r="C126" s="96" t="s">
        <v>219</v>
      </c>
      <c r="D126" s="97"/>
      <c r="E126" s="97"/>
      <c r="F126" s="97"/>
      <c r="G126" s="97"/>
      <c r="H126" s="2" t="s">
        <v>38</v>
      </c>
      <c r="I126" s="19">
        <v>22</v>
      </c>
      <c r="J126" s="19"/>
      <c r="K126" s="20">
        <f>ROUND(IR126*I126+IS126*I126,2)</f>
        <v>0</v>
      </c>
      <c r="HV126" s="2" t="s">
        <v>216</v>
      </c>
      <c r="HW126" s="2" t="s">
        <v>30</v>
      </c>
      <c r="IR126" s="21">
        <f>J126*0</f>
        <v>0</v>
      </c>
      <c r="IS126" s="21">
        <f>J126*(1-0)</f>
        <v>0</v>
      </c>
    </row>
    <row r="127" spans="1:253" x14ac:dyDescent="0.25">
      <c r="A127" s="18">
        <v>104</v>
      </c>
      <c r="B127" s="2" t="s">
        <v>220</v>
      </c>
      <c r="C127" s="96" t="s">
        <v>221</v>
      </c>
      <c r="D127" s="97"/>
      <c r="E127" s="97"/>
      <c r="F127" s="97"/>
      <c r="G127" s="97"/>
      <c r="H127" s="2" t="s">
        <v>38</v>
      </c>
      <c r="I127" s="19">
        <v>22</v>
      </c>
      <c r="J127" s="19"/>
      <c r="K127" s="20">
        <f>ROUND(IR127*I127+IS127*I127,2)</f>
        <v>0</v>
      </c>
      <c r="HV127" s="2" t="s">
        <v>216</v>
      </c>
      <c r="HW127" s="2" t="s">
        <v>30</v>
      </c>
      <c r="IR127" s="21">
        <f>J127*0.419240045</f>
        <v>0</v>
      </c>
      <c r="IS127" s="21">
        <f>J127*(1-0.419240045)</f>
        <v>0</v>
      </c>
    </row>
    <row r="128" spans="1:253" x14ac:dyDescent="0.25">
      <c r="A128" s="18">
        <v>105</v>
      </c>
      <c r="B128" s="2" t="s">
        <v>222</v>
      </c>
      <c r="C128" s="96" t="s">
        <v>223</v>
      </c>
      <c r="D128" s="97"/>
      <c r="E128" s="97"/>
      <c r="F128" s="97"/>
      <c r="G128" s="97"/>
      <c r="H128" s="2" t="s">
        <v>41</v>
      </c>
      <c r="I128" s="19">
        <v>448</v>
      </c>
      <c r="J128" s="19"/>
      <c r="K128" s="20">
        <f>ROUND(IR128*I128+IS128*I128,2)</f>
        <v>0</v>
      </c>
      <c r="HV128" s="2" t="s">
        <v>216</v>
      </c>
      <c r="HW128" s="2" t="s">
        <v>30</v>
      </c>
      <c r="IR128" s="21">
        <f>J128*0</f>
        <v>0</v>
      </c>
      <c r="IS128" s="21">
        <f>J128*(1-0)</f>
        <v>0</v>
      </c>
    </row>
    <row r="129" spans="1:253" x14ac:dyDescent="0.25">
      <c r="A129" s="14" t="s">
        <v>22</v>
      </c>
      <c r="B129" s="15" t="s">
        <v>23</v>
      </c>
      <c r="C129" s="152" t="s">
        <v>224</v>
      </c>
      <c r="D129" s="153"/>
      <c r="E129" s="153"/>
      <c r="F129" s="153"/>
      <c r="G129" s="153"/>
      <c r="H129" s="15" t="s">
        <v>22</v>
      </c>
      <c r="I129" s="16" t="s">
        <v>22</v>
      </c>
      <c r="J129" s="16"/>
      <c r="K129" s="17">
        <f>K130</f>
        <v>0</v>
      </c>
    </row>
    <row r="130" spans="1:253" x14ac:dyDescent="0.25">
      <c r="A130" s="14" t="s">
        <v>22</v>
      </c>
      <c r="B130" s="15" t="s">
        <v>225</v>
      </c>
      <c r="C130" s="152" t="s">
        <v>226</v>
      </c>
      <c r="D130" s="153"/>
      <c r="E130" s="153"/>
      <c r="F130" s="153"/>
      <c r="G130" s="153"/>
      <c r="H130" s="15" t="s">
        <v>22</v>
      </c>
      <c r="I130" s="16" t="s">
        <v>22</v>
      </c>
      <c r="J130" s="16"/>
      <c r="K130" s="17">
        <f>SUM(K131:K154)</f>
        <v>0</v>
      </c>
    </row>
    <row r="131" spans="1:253" x14ac:dyDescent="0.25">
      <c r="A131" s="18">
        <v>106</v>
      </c>
      <c r="B131" s="2" t="s">
        <v>227</v>
      </c>
      <c r="C131" s="96" t="s">
        <v>228</v>
      </c>
      <c r="D131" s="97"/>
      <c r="E131" s="97"/>
      <c r="F131" s="97"/>
      <c r="G131" s="97"/>
      <c r="H131" s="2" t="s">
        <v>29</v>
      </c>
      <c r="I131" s="19">
        <v>125</v>
      </c>
      <c r="J131" s="19"/>
      <c r="K131" s="20">
        <f t="shared" ref="K131:K154" si="6">ROUND(IR131*I131+IS131*I131,2)</f>
        <v>0</v>
      </c>
      <c r="HV131" s="2" t="s">
        <v>225</v>
      </c>
      <c r="HW131" s="2" t="s">
        <v>30</v>
      </c>
      <c r="IR131" s="21">
        <f>J131*0.866987267</f>
        <v>0</v>
      </c>
      <c r="IS131" s="21">
        <f>J131*(1-0.866987267)</f>
        <v>0</v>
      </c>
    </row>
    <row r="132" spans="1:253" x14ac:dyDescent="0.25">
      <c r="A132" s="18">
        <v>107</v>
      </c>
      <c r="B132" s="2" t="s">
        <v>229</v>
      </c>
      <c r="C132" s="96" t="s">
        <v>230</v>
      </c>
      <c r="D132" s="97"/>
      <c r="E132" s="97"/>
      <c r="F132" s="97"/>
      <c r="G132" s="97"/>
      <c r="H132" s="2" t="s">
        <v>29</v>
      </c>
      <c r="I132" s="19">
        <v>104</v>
      </c>
      <c r="J132" s="19"/>
      <c r="K132" s="20">
        <f t="shared" si="6"/>
        <v>0</v>
      </c>
      <c r="HV132" s="2" t="s">
        <v>225</v>
      </c>
      <c r="HW132" s="2" t="s">
        <v>30</v>
      </c>
      <c r="IR132" s="21">
        <f>J132*0.795713711</f>
        <v>0</v>
      </c>
      <c r="IS132" s="21">
        <f>J132*(1-0.795713711)</f>
        <v>0</v>
      </c>
    </row>
    <row r="133" spans="1:253" x14ac:dyDescent="0.25">
      <c r="A133" s="18">
        <v>108</v>
      </c>
      <c r="B133" s="2" t="s">
        <v>231</v>
      </c>
      <c r="C133" s="96" t="s">
        <v>232</v>
      </c>
      <c r="D133" s="97"/>
      <c r="E133" s="97"/>
      <c r="F133" s="97"/>
      <c r="G133" s="97"/>
      <c r="H133" s="2" t="s">
        <v>29</v>
      </c>
      <c r="I133" s="19">
        <v>10.8</v>
      </c>
      <c r="J133" s="19"/>
      <c r="K133" s="20">
        <f t="shared" si="6"/>
        <v>0</v>
      </c>
      <c r="HV133" s="2" t="s">
        <v>225</v>
      </c>
      <c r="HW133" s="2" t="s">
        <v>53</v>
      </c>
      <c r="IR133" s="21">
        <f>J133*1</f>
        <v>0</v>
      </c>
      <c r="IS133" s="21">
        <f>J133*(1-1)</f>
        <v>0</v>
      </c>
    </row>
    <row r="134" spans="1:253" x14ac:dyDescent="0.25">
      <c r="A134" s="18">
        <v>109</v>
      </c>
      <c r="B134" s="2" t="s">
        <v>233</v>
      </c>
      <c r="C134" s="96" t="s">
        <v>234</v>
      </c>
      <c r="D134" s="97"/>
      <c r="E134" s="97"/>
      <c r="F134" s="97"/>
      <c r="G134" s="97"/>
      <c r="H134" s="2" t="s">
        <v>29</v>
      </c>
      <c r="I134" s="19">
        <v>21</v>
      </c>
      <c r="J134" s="19"/>
      <c r="K134" s="20">
        <f t="shared" si="6"/>
        <v>0</v>
      </c>
      <c r="HV134" s="2" t="s">
        <v>225</v>
      </c>
      <c r="HW134" s="2" t="s">
        <v>30</v>
      </c>
      <c r="IR134" s="21">
        <f>J134*0.825800933</f>
        <v>0</v>
      </c>
      <c r="IS134" s="21">
        <f>J134*(1-0.825800933)</f>
        <v>0</v>
      </c>
    </row>
    <row r="135" spans="1:253" x14ac:dyDescent="0.25">
      <c r="A135" s="18">
        <v>110</v>
      </c>
      <c r="B135" s="2" t="s">
        <v>235</v>
      </c>
      <c r="C135" s="96" t="s">
        <v>236</v>
      </c>
      <c r="D135" s="97"/>
      <c r="E135" s="97"/>
      <c r="F135" s="97"/>
      <c r="G135" s="97"/>
      <c r="H135" s="2" t="s">
        <v>29</v>
      </c>
      <c r="I135" s="19">
        <v>0.7</v>
      </c>
      <c r="J135" s="19"/>
      <c r="K135" s="20">
        <f t="shared" si="6"/>
        <v>0</v>
      </c>
      <c r="HV135" s="2" t="s">
        <v>225</v>
      </c>
      <c r="HW135" s="2" t="s">
        <v>53</v>
      </c>
      <c r="IR135" s="21">
        <f>J135*1</f>
        <v>0</v>
      </c>
      <c r="IS135" s="21">
        <f>J135*(1-1)</f>
        <v>0</v>
      </c>
    </row>
    <row r="136" spans="1:253" x14ac:dyDescent="0.25">
      <c r="A136" s="18">
        <v>111</v>
      </c>
      <c r="B136" s="2" t="s">
        <v>237</v>
      </c>
      <c r="C136" s="96" t="s">
        <v>238</v>
      </c>
      <c r="D136" s="97"/>
      <c r="E136" s="97"/>
      <c r="F136" s="97"/>
      <c r="G136" s="97"/>
      <c r="H136" s="2" t="s">
        <v>33</v>
      </c>
      <c r="I136" s="19">
        <v>26</v>
      </c>
      <c r="J136" s="19"/>
      <c r="K136" s="20">
        <f t="shared" si="6"/>
        <v>0</v>
      </c>
      <c r="HV136" s="2" t="s">
        <v>225</v>
      </c>
      <c r="HW136" s="2" t="s">
        <v>30</v>
      </c>
      <c r="IR136" s="21">
        <f>J136*0.829723821</f>
        <v>0</v>
      </c>
      <c r="IS136" s="21">
        <f>J136*(1-0.829723821)</f>
        <v>0</v>
      </c>
    </row>
    <row r="137" spans="1:253" x14ac:dyDescent="0.25">
      <c r="A137" s="18">
        <v>112</v>
      </c>
      <c r="B137" s="2" t="s">
        <v>239</v>
      </c>
      <c r="C137" s="96" t="s">
        <v>240</v>
      </c>
      <c r="D137" s="97"/>
      <c r="E137" s="97"/>
      <c r="F137" s="97"/>
      <c r="G137" s="97"/>
      <c r="H137" s="2" t="s">
        <v>29</v>
      </c>
      <c r="I137" s="19">
        <v>125</v>
      </c>
      <c r="J137" s="19"/>
      <c r="K137" s="20">
        <f t="shared" si="6"/>
        <v>0</v>
      </c>
      <c r="HV137" s="2" t="s">
        <v>225</v>
      </c>
      <c r="HW137" s="2" t="s">
        <v>30</v>
      </c>
      <c r="IR137" s="21">
        <f>J137*0</f>
        <v>0</v>
      </c>
      <c r="IS137" s="21">
        <f>J137*(1-0)</f>
        <v>0</v>
      </c>
    </row>
    <row r="138" spans="1:253" x14ac:dyDescent="0.25">
      <c r="A138" s="18">
        <v>113</v>
      </c>
      <c r="B138" s="2" t="s">
        <v>241</v>
      </c>
      <c r="C138" s="96" t="s">
        <v>242</v>
      </c>
      <c r="D138" s="97"/>
      <c r="E138" s="97"/>
      <c r="F138" s="97"/>
      <c r="G138" s="97"/>
      <c r="H138" s="2" t="s">
        <v>33</v>
      </c>
      <c r="I138" s="19">
        <v>5</v>
      </c>
      <c r="J138" s="19"/>
      <c r="K138" s="20">
        <f t="shared" si="6"/>
        <v>0</v>
      </c>
      <c r="HV138" s="2" t="s">
        <v>225</v>
      </c>
      <c r="HW138" s="2" t="s">
        <v>30</v>
      </c>
      <c r="IR138" s="21">
        <f>J138*0</f>
        <v>0</v>
      </c>
      <c r="IS138" s="21">
        <f>J138*(1-0)</f>
        <v>0</v>
      </c>
    </row>
    <row r="139" spans="1:253" x14ac:dyDescent="0.25">
      <c r="A139" s="18">
        <v>114</v>
      </c>
      <c r="B139" s="2" t="s">
        <v>243</v>
      </c>
      <c r="C139" s="96" t="s">
        <v>244</v>
      </c>
      <c r="D139" s="97"/>
      <c r="E139" s="97"/>
      <c r="F139" s="97"/>
      <c r="G139" s="97"/>
      <c r="H139" s="2" t="s">
        <v>33</v>
      </c>
      <c r="I139" s="19">
        <v>5</v>
      </c>
      <c r="J139" s="19"/>
      <c r="K139" s="20">
        <f t="shared" si="6"/>
        <v>0</v>
      </c>
      <c r="HV139" s="2" t="s">
        <v>225</v>
      </c>
      <c r="HW139" s="2" t="s">
        <v>30</v>
      </c>
      <c r="IR139" s="21">
        <f>J139*0</f>
        <v>0</v>
      </c>
      <c r="IS139" s="21">
        <f>J139*(1-0)</f>
        <v>0</v>
      </c>
    </row>
    <row r="140" spans="1:253" x14ac:dyDescent="0.25">
      <c r="A140" s="18">
        <v>115</v>
      </c>
      <c r="B140" s="2" t="s">
        <v>245</v>
      </c>
      <c r="C140" s="96" t="s">
        <v>246</v>
      </c>
      <c r="D140" s="97"/>
      <c r="E140" s="97"/>
      <c r="F140" s="97"/>
      <c r="G140" s="97"/>
      <c r="H140" s="2" t="s">
        <v>38</v>
      </c>
      <c r="I140" s="19">
        <v>5</v>
      </c>
      <c r="J140" s="19"/>
      <c r="K140" s="20">
        <f t="shared" si="6"/>
        <v>0</v>
      </c>
      <c r="HV140" s="2" t="s">
        <v>225</v>
      </c>
      <c r="HW140" s="2" t="s">
        <v>30</v>
      </c>
      <c r="IR140" s="21">
        <f>J140*0</f>
        <v>0</v>
      </c>
      <c r="IS140" s="21">
        <f>J140*(1-0)</f>
        <v>0</v>
      </c>
    </row>
    <row r="141" spans="1:253" x14ac:dyDescent="0.25">
      <c r="A141" s="18">
        <v>116</v>
      </c>
      <c r="B141" s="2" t="s">
        <v>247</v>
      </c>
      <c r="C141" s="96" t="s">
        <v>248</v>
      </c>
      <c r="D141" s="97"/>
      <c r="E141" s="97"/>
      <c r="F141" s="97"/>
      <c r="G141" s="97"/>
      <c r="H141" s="2" t="s">
        <v>33</v>
      </c>
      <c r="I141" s="19">
        <v>4</v>
      </c>
      <c r="J141" s="19"/>
      <c r="K141" s="20">
        <f t="shared" si="6"/>
        <v>0</v>
      </c>
      <c r="HV141" s="2" t="s">
        <v>225</v>
      </c>
      <c r="HW141" s="2" t="s">
        <v>30</v>
      </c>
      <c r="IR141" s="21">
        <f>J141*0.133333333</f>
        <v>0</v>
      </c>
      <c r="IS141" s="21">
        <f>J141*(1-0.133333333)</f>
        <v>0</v>
      </c>
    </row>
    <row r="142" spans="1:253" x14ac:dyDescent="0.25">
      <c r="A142" s="18">
        <v>117</v>
      </c>
      <c r="B142" s="2" t="s">
        <v>249</v>
      </c>
      <c r="C142" s="96" t="s">
        <v>250</v>
      </c>
      <c r="D142" s="97"/>
      <c r="E142" s="97"/>
      <c r="F142" s="97"/>
      <c r="G142" s="97"/>
      <c r="H142" s="2" t="s">
        <v>29</v>
      </c>
      <c r="I142" s="19">
        <v>125</v>
      </c>
      <c r="J142" s="19"/>
      <c r="K142" s="20">
        <f t="shared" si="6"/>
        <v>0</v>
      </c>
      <c r="HV142" s="2" t="s">
        <v>225</v>
      </c>
      <c r="HW142" s="2" t="s">
        <v>30</v>
      </c>
      <c r="IR142" s="21">
        <f>J142*0.5</f>
        <v>0</v>
      </c>
      <c r="IS142" s="21">
        <f>J142*(1-0.5)</f>
        <v>0</v>
      </c>
    </row>
    <row r="143" spans="1:253" x14ac:dyDescent="0.25">
      <c r="A143" s="18">
        <v>118</v>
      </c>
      <c r="B143" s="2" t="s">
        <v>251</v>
      </c>
      <c r="C143" s="96" t="s">
        <v>252</v>
      </c>
      <c r="D143" s="97"/>
      <c r="E143" s="97"/>
      <c r="F143" s="97"/>
      <c r="G143" s="97"/>
      <c r="H143" s="2" t="s">
        <v>33</v>
      </c>
      <c r="I143" s="19">
        <v>22</v>
      </c>
      <c r="J143" s="19"/>
      <c r="K143" s="20">
        <f t="shared" si="6"/>
        <v>0</v>
      </c>
      <c r="HV143" s="2" t="s">
        <v>225</v>
      </c>
      <c r="HW143" s="2" t="s">
        <v>30</v>
      </c>
      <c r="IR143" s="21">
        <f>J143*0.204102602</f>
        <v>0</v>
      </c>
      <c r="IS143" s="21">
        <f>J143*(1-0.204102602)</f>
        <v>0</v>
      </c>
    </row>
    <row r="144" spans="1:253" x14ac:dyDescent="0.25">
      <c r="A144" s="18">
        <v>119</v>
      </c>
      <c r="B144" s="2" t="s">
        <v>253</v>
      </c>
      <c r="C144" s="96" t="s">
        <v>254</v>
      </c>
      <c r="D144" s="97"/>
      <c r="E144" s="97"/>
      <c r="F144" s="97"/>
      <c r="G144" s="97"/>
      <c r="H144" s="2" t="s">
        <v>33</v>
      </c>
      <c r="I144" s="19">
        <v>22</v>
      </c>
      <c r="J144" s="19"/>
      <c r="K144" s="20">
        <f t="shared" si="6"/>
        <v>0</v>
      </c>
      <c r="HV144" s="2" t="s">
        <v>225</v>
      </c>
      <c r="HW144" s="2" t="s">
        <v>30</v>
      </c>
      <c r="IR144" s="21">
        <f>J144*0</f>
        <v>0</v>
      </c>
      <c r="IS144" s="21">
        <f>J144*(1-0)</f>
        <v>0</v>
      </c>
    </row>
    <row r="145" spans="1:253" x14ac:dyDescent="0.25">
      <c r="A145" s="18">
        <v>120</v>
      </c>
      <c r="B145" s="2" t="s">
        <v>255</v>
      </c>
      <c r="C145" s="96" t="s">
        <v>256</v>
      </c>
      <c r="D145" s="97"/>
      <c r="E145" s="97"/>
      <c r="F145" s="97"/>
      <c r="G145" s="97"/>
      <c r="H145" s="2" t="s">
        <v>257</v>
      </c>
      <c r="I145" s="19">
        <v>22</v>
      </c>
      <c r="J145" s="19"/>
      <c r="K145" s="20">
        <f t="shared" si="6"/>
        <v>0</v>
      </c>
      <c r="HV145" s="2" t="s">
        <v>225</v>
      </c>
      <c r="HW145" s="2" t="s">
        <v>30</v>
      </c>
      <c r="IR145" s="21">
        <f>J145*0</f>
        <v>0</v>
      </c>
      <c r="IS145" s="21">
        <f>J145*(1-0)</f>
        <v>0</v>
      </c>
    </row>
    <row r="146" spans="1:253" x14ac:dyDescent="0.25">
      <c r="A146" s="18">
        <v>121</v>
      </c>
      <c r="B146" s="2" t="s">
        <v>258</v>
      </c>
      <c r="C146" s="96" t="s">
        <v>259</v>
      </c>
      <c r="D146" s="97"/>
      <c r="E146" s="97"/>
      <c r="F146" s="97"/>
      <c r="G146" s="97"/>
      <c r="H146" s="2" t="s">
        <v>38</v>
      </c>
      <c r="I146" s="19">
        <v>22</v>
      </c>
      <c r="J146" s="19"/>
      <c r="K146" s="20">
        <f t="shared" si="6"/>
        <v>0</v>
      </c>
      <c r="HV146" s="2" t="s">
        <v>225</v>
      </c>
      <c r="HW146" s="2" t="s">
        <v>30</v>
      </c>
      <c r="IR146" s="21">
        <f>J146*0.45027027</f>
        <v>0</v>
      </c>
      <c r="IS146" s="21">
        <f>J146*(1-0.45027027)</f>
        <v>0</v>
      </c>
    </row>
    <row r="147" spans="1:253" x14ac:dyDescent="0.25">
      <c r="A147" s="18">
        <v>122</v>
      </c>
      <c r="B147" s="2" t="s">
        <v>260</v>
      </c>
      <c r="C147" s="96" t="s">
        <v>261</v>
      </c>
      <c r="D147" s="97"/>
      <c r="E147" s="97"/>
      <c r="F147" s="97"/>
      <c r="G147" s="97"/>
      <c r="H147" s="2" t="s">
        <v>38</v>
      </c>
      <c r="I147" s="19">
        <v>22</v>
      </c>
      <c r="J147" s="19"/>
      <c r="K147" s="20">
        <f t="shared" si="6"/>
        <v>0</v>
      </c>
      <c r="HV147" s="2" t="s">
        <v>225</v>
      </c>
      <c r="HW147" s="2" t="s">
        <v>30</v>
      </c>
      <c r="IR147" s="21">
        <f>J147*0.056808176</f>
        <v>0</v>
      </c>
      <c r="IS147" s="21">
        <f>J147*(1-0.056808176)</f>
        <v>0</v>
      </c>
    </row>
    <row r="148" spans="1:253" x14ac:dyDescent="0.25">
      <c r="A148" s="18">
        <v>123</v>
      </c>
      <c r="B148" s="2" t="s">
        <v>262</v>
      </c>
      <c r="C148" s="96" t="s">
        <v>263</v>
      </c>
      <c r="D148" s="97"/>
      <c r="E148" s="97"/>
      <c r="F148" s="97"/>
      <c r="G148" s="97"/>
      <c r="H148" s="2" t="s">
        <v>33</v>
      </c>
      <c r="I148" s="19">
        <v>22</v>
      </c>
      <c r="J148" s="19"/>
      <c r="K148" s="20">
        <f t="shared" si="6"/>
        <v>0</v>
      </c>
      <c r="HV148" s="2" t="s">
        <v>225</v>
      </c>
      <c r="HW148" s="2" t="s">
        <v>30</v>
      </c>
      <c r="IR148" s="21">
        <f>J148*0.232695652</f>
        <v>0</v>
      </c>
      <c r="IS148" s="21">
        <f>J148*(1-0.232695652)</f>
        <v>0</v>
      </c>
    </row>
    <row r="149" spans="1:253" x14ac:dyDescent="0.25">
      <c r="A149" s="18">
        <v>124</v>
      </c>
      <c r="B149" s="2" t="s">
        <v>264</v>
      </c>
      <c r="C149" s="96" t="s">
        <v>265</v>
      </c>
      <c r="D149" s="97"/>
      <c r="E149" s="97"/>
      <c r="F149" s="97"/>
      <c r="G149" s="97"/>
      <c r="H149" s="2" t="s">
        <v>33</v>
      </c>
      <c r="I149" s="19">
        <v>22</v>
      </c>
      <c r="J149" s="19"/>
      <c r="K149" s="20">
        <f t="shared" si="6"/>
        <v>0</v>
      </c>
      <c r="HV149" s="2" t="s">
        <v>225</v>
      </c>
      <c r="HW149" s="2" t="s">
        <v>30</v>
      </c>
      <c r="IR149" s="21">
        <f>J149*0.125</f>
        <v>0</v>
      </c>
      <c r="IS149" s="21">
        <f>J149*(1-0.125)</f>
        <v>0</v>
      </c>
    </row>
    <row r="150" spans="1:253" x14ac:dyDescent="0.25">
      <c r="A150" s="18">
        <v>125</v>
      </c>
      <c r="B150" s="2" t="s">
        <v>266</v>
      </c>
      <c r="C150" s="96" t="s">
        <v>267</v>
      </c>
      <c r="D150" s="97"/>
      <c r="E150" s="97"/>
      <c r="F150" s="97"/>
      <c r="G150" s="97"/>
      <c r="H150" s="2" t="s">
        <v>38</v>
      </c>
      <c r="I150" s="19">
        <v>22</v>
      </c>
      <c r="J150" s="19"/>
      <c r="K150" s="20">
        <f t="shared" si="6"/>
        <v>0</v>
      </c>
      <c r="HV150" s="2" t="s">
        <v>225</v>
      </c>
      <c r="HW150" s="2" t="s">
        <v>30</v>
      </c>
      <c r="IR150" s="21">
        <f>J150*0.692307692</f>
        <v>0</v>
      </c>
      <c r="IS150" s="21">
        <f>J150*(1-0.692307692)</f>
        <v>0</v>
      </c>
    </row>
    <row r="151" spans="1:253" x14ac:dyDescent="0.25">
      <c r="A151" s="18">
        <v>126</v>
      </c>
      <c r="B151" s="2" t="s">
        <v>268</v>
      </c>
      <c r="C151" s="96" t="s">
        <v>269</v>
      </c>
      <c r="D151" s="97"/>
      <c r="E151" s="97"/>
      <c r="F151" s="97"/>
      <c r="G151" s="97"/>
      <c r="H151" s="2" t="s">
        <v>38</v>
      </c>
      <c r="I151" s="19">
        <v>4</v>
      </c>
      <c r="J151" s="19"/>
      <c r="K151" s="20">
        <f t="shared" si="6"/>
        <v>0</v>
      </c>
      <c r="HV151" s="2" t="s">
        <v>225</v>
      </c>
      <c r="HW151" s="2" t="s">
        <v>30</v>
      </c>
      <c r="IR151" s="21">
        <f>J151*0.391304348</f>
        <v>0</v>
      </c>
      <c r="IS151" s="21">
        <f>J151*(1-0.391304348)</f>
        <v>0</v>
      </c>
    </row>
    <row r="152" spans="1:253" x14ac:dyDescent="0.25">
      <c r="A152" s="18">
        <v>127</v>
      </c>
      <c r="B152" s="2" t="s">
        <v>270</v>
      </c>
      <c r="C152" s="96" t="s">
        <v>271</v>
      </c>
      <c r="D152" s="97"/>
      <c r="E152" s="97"/>
      <c r="F152" s="97"/>
      <c r="G152" s="97"/>
      <c r="H152" s="2" t="s">
        <v>33</v>
      </c>
      <c r="I152" s="19">
        <v>22</v>
      </c>
      <c r="J152" s="19"/>
      <c r="K152" s="20">
        <f t="shared" si="6"/>
        <v>0</v>
      </c>
      <c r="HV152" s="2" t="s">
        <v>225</v>
      </c>
      <c r="HW152" s="2" t="s">
        <v>30</v>
      </c>
      <c r="IR152" s="21">
        <f>J152*0.741039755</f>
        <v>0</v>
      </c>
      <c r="IS152" s="21">
        <f>J152*(1-0.741039755)</f>
        <v>0</v>
      </c>
    </row>
    <row r="153" spans="1:253" x14ac:dyDescent="0.25">
      <c r="A153" s="18">
        <v>128</v>
      </c>
      <c r="B153" s="2" t="s">
        <v>272</v>
      </c>
      <c r="C153" s="96" t="s">
        <v>273</v>
      </c>
      <c r="D153" s="97"/>
      <c r="E153" s="97"/>
      <c r="F153" s="97"/>
      <c r="G153" s="97"/>
      <c r="H153" s="2" t="s">
        <v>90</v>
      </c>
      <c r="I153" s="19">
        <v>0.5</v>
      </c>
      <c r="J153" s="19"/>
      <c r="K153" s="20">
        <f t="shared" si="6"/>
        <v>0</v>
      </c>
      <c r="HV153" s="2" t="s">
        <v>225</v>
      </c>
      <c r="HW153" s="2" t="s">
        <v>30</v>
      </c>
      <c r="IR153" s="21">
        <f>J153*0</f>
        <v>0</v>
      </c>
      <c r="IS153" s="21">
        <f>J153*(1-0)</f>
        <v>0</v>
      </c>
    </row>
    <row r="154" spans="1:253" x14ac:dyDescent="0.25">
      <c r="A154" s="18">
        <v>129</v>
      </c>
      <c r="B154" s="2" t="s">
        <v>274</v>
      </c>
      <c r="C154" s="96" t="s">
        <v>275</v>
      </c>
      <c r="D154" s="97"/>
      <c r="E154" s="97"/>
      <c r="F154" s="97"/>
      <c r="G154" s="97"/>
      <c r="H154" s="2" t="s">
        <v>41</v>
      </c>
      <c r="I154" s="19">
        <v>3335</v>
      </c>
      <c r="J154" s="19"/>
      <c r="K154" s="20">
        <f t="shared" si="6"/>
        <v>0</v>
      </c>
      <c r="HV154" s="2" t="s">
        <v>225</v>
      </c>
      <c r="HW154" s="2" t="s">
        <v>30</v>
      </c>
      <c r="IR154" s="21">
        <f>J154*0</f>
        <v>0</v>
      </c>
      <c r="IS154" s="21">
        <f>J154*(1-0)</f>
        <v>0</v>
      </c>
    </row>
    <row r="155" spans="1:253" x14ac:dyDescent="0.25">
      <c r="A155" s="14" t="s">
        <v>22</v>
      </c>
      <c r="B155" s="15" t="s">
        <v>23</v>
      </c>
      <c r="C155" s="152" t="s">
        <v>276</v>
      </c>
      <c r="D155" s="153"/>
      <c r="E155" s="153"/>
      <c r="F155" s="153"/>
      <c r="G155" s="153"/>
      <c r="H155" s="15" t="s">
        <v>22</v>
      </c>
      <c r="I155" s="16" t="s">
        <v>22</v>
      </c>
      <c r="J155" s="16"/>
      <c r="K155" s="17">
        <f>K156</f>
        <v>0</v>
      </c>
    </row>
    <row r="156" spans="1:253" x14ac:dyDescent="0.25">
      <c r="A156" s="14" t="s">
        <v>22</v>
      </c>
      <c r="B156" s="15" t="s">
        <v>225</v>
      </c>
      <c r="C156" s="152" t="s">
        <v>226</v>
      </c>
      <c r="D156" s="153"/>
      <c r="E156" s="153"/>
      <c r="F156" s="153"/>
      <c r="G156" s="153"/>
      <c r="H156" s="15" t="s">
        <v>22</v>
      </c>
      <c r="I156" s="16" t="s">
        <v>22</v>
      </c>
      <c r="J156" s="16"/>
      <c r="K156" s="17">
        <f>SUM(K157:K169)</f>
        <v>0</v>
      </c>
    </row>
    <row r="157" spans="1:253" x14ac:dyDescent="0.25">
      <c r="A157" s="18">
        <v>130</v>
      </c>
      <c r="B157" s="2" t="s">
        <v>277</v>
      </c>
      <c r="C157" s="96" t="s">
        <v>278</v>
      </c>
      <c r="D157" s="97"/>
      <c r="E157" s="97"/>
      <c r="F157" s="97"/>
      <c r="G157" s="97"/>
      <c r="H157" s="2" t="s">
        <v>29</v>
      </c>
      <c r="I157" s="19">
        <v>77</v>
      </c>
      <c r="J157" s="19"/>
      <c r="K157" s="20">
        <f t="shared" ref="K157:K169" si="7">ROUND(IR157*I157+IS157*I157,2)</f>
        <v>0</v>
      </c>
      <c r="HV157" s="2" t="s">
        <v>225</v>
      </c>
      <c r="HW157" s="2" t="s">
        <v>30</v>
      </c>
      <c r="IR157" s="21">
        <f>J157*0.737598736</f>
        <v>0</v>
      </c>
      <c r="IS157" s="21">
        <f>J157*(1-0.737598736)</f>
        <v>0</v>
      </c>
    </row>
    <row r="158" spans="1:253" x14ac:dyDescent="0.25">
      <c r="A158" s="18">
        <v>131</v>
      </c>
      <c r="B158" s="2" t="s">
        <v>279</v>
      </c>
      <c r="C158" s="96" t="s">
        <v>280</v>
      </c>
      <c r="D158" s="97"/>
      <c r="E158" s="97"/>
      <c r="F158" s="97"/>
      <c r="G158" s="97"/>
      <c r="H158" s="2" t="s">
        <v>29</v>
      </c>
      <c r="I158" s="19">
        <v>77</v>
      </c>
      <c r="J158" s="19"/>
      <c r="K158" s="20">
        <f t="shared" si="7"/>
        <v>0</v>
      </c>
      <c r="HV158" s="2" t="s">
        <v>225</v>
      </c>
      <c r="HW158" s="2" t="s">
        <v>30</v>
      </c>
      <c r="IR158" s="21">
        <f>J158*0.630404858</f>
        <v>0</v>
      </c>
      <c r="IS158" s="21">
        <f>J158*(1-0.630404858)</f>
        <v>0</v>
      </c>
    </row>
    <row r="159" spans="1:253" x14ac:dyDescent="0.25">
      <c r="A159" s="18">
        <v>132</v>
      </c>
      <c r="B159" s="2" t="s">
        <v>281</v>
      </c>
      <c r="C159" s="96" t="s">
        <v>282</v>
      </c>
      <c r="D159" s="97"/>
      <c r="E159" s="97"/>
      <c r="F159" s="97"/>
      <c r="G159" s="97"/>
      <c r="H159" s="2" t="s">
        <v>29</v>
      </c>
      <c r="I159" s="19">
        <v>3.3</v>
      </c>
      <c r="J159" s="19"/>
      <c r="K159" s="20">
        <f t="shared" si="7"/>
        <v>0</v>
      </c>
      <c r="HV159" s="2" t="s">
        <v>225</v>
      </c>
      <c r="HW159" s="2" t="s">
        <v>53</v>
      </c>
      <c r="IR159" s="21">
        <f>J159*1</f>
        <v>0</v>
      </c>
      <c r="IS159" s="21">
        <f>J159*(1-1)</f>
        <v>0</v>
      </c>
    </row>
    <row r="160" spans="1:253" x14ac:dyDescent="0.25">
      <c r="A160" s="18">
        <v>133</v>
      </c>
      <c r="B160" s="2" t="s">
        <v>283</v>
      </c>
      <c r="C160" s="96" t="s">
        <v>284</v>
      </c>
      <c r="D160" s="97"/>
      <c r="E160" s="97"/>
      <c r="F160" s="97"/>
      <c r="G160" s="97"/>
      <c r="H160" s="2" t="s">
        <v>33</v>
      </c>
      <c r="I160" s="19">
        <v>22</v>
      </c>
      <c r="J160" s="19"/>
      <c r="K160" s="20">
        <f t="shared" si="7"/>
        <v>0</v>
      </c>
      <c r="HV160" s="2" t="s">
        <v>225</v>
      </c>
      <c r="HW160" s="2" t="s">
        <v>30</v>
      </c>
      <c r="IR160" s="21">
        <f>J160*0.351312974</f>
        <v>0</v>
      </c>
      <c r="IS160" s="21">
        <f>J160*(1-0.351312974)</f>
        <v>0</v>
      </c>
    </row>
    <row r="161" spans="1:253" x14ac:dyDescent="0.25">
      <c r="A161" s="18">
        <v>134</v>
      </c>
      <c r="B161" s="2" t="s">
        <v>241</v>
      </c>
      <c r="C161" s="96" t="s">
        <v>242</v>
      </c>
      <c r="D161" s="97"/>
      <c r="E161" s="97"/>
      <c r="F161" s="97"/>
      <c r="G161" s="97"/>
      <c r="H161" s="2" t="s">
        <v>33</v>
      </c>
      <c r="I161" s="19">
        <v>22</v>
      </c>
      <c r="J161" s="19"/>
      <c r="K161" s="20">
        <f t="shared" si="7"/>
        <v>0</v>
      </c>
      <c r="HV161" s="2" t="s">
        <v>225</v>
      </c>
      <c r="HW161" s="2" t="s">
        <v>30</v>
      </c>
      <c r="IR161" s="21">
        <f>J161*0</f>
        <v>0</v>
      </c>
      <c r="IS161" s="21">
        <f>J161*(1-0)</f>
        <v>0</v>
      </c>
    </row>
    <row r="162" spans="1:253" x14ac:dyDescent="0.25">
      <c r="A162" s="18">
        <v>135</v>
      </c>
      <c r="B162" s="2" t="s">
        <v>239</v>
      </c>
      <c r="C162" s="96" t="s">
        <v>240</v>
      </c>
      <c r="D162" s="97"/>
      <c r="E162" s="97"/>
      <c r="F162" s="97"/>
      <c r="G162" s="97"/>
      <c r="H162" s="2" t="s">
        <v>29</v>
      </c>
      <c r="I162" s="19">
        <v>77</v>
      </c>
      <c r="J162" s="19"/>
      <c r="K162" s="20">
        <f t="shared" si="7"/>
        <v>0</v>
      </c>
      <c r="HV162" s="2" t="s">
        <v>225</v>
      </c>
      <c r="HW162" s="2" t="s">
        <v>30</v>
      </c>
      <c r="IR162" s="21">
        <f>J162*0</f>
        <v>0</v>
      </c>
      <c r="IS162" s="21">
        <f>J162*(1-0)</f>
        <v>0</v>
      </c>
    </row>
    <row r="163" spans="1:253" x14ac:dyDescent="0.25">
      <c r="A163" s="18">
        <v>136</v>
      </c>
      <c r="B163" s="2" t="s">
        <v>243</v>
      </c>
      <c r="C163" s="96" t="s">
        <v>244</v>
      </c>
      <c r="D163" s="97"/>
      <c r="E163" s="97"/>
      <c r="F163" s="97"/>
      <c r="G163" s="97"/>
      <c r="H163" s="2" t="s">
        <v>33</v>
      </c>
      <c r="I163" s="19">
        <v>22</v>
      </c>
      <c r="J163" s="19"/>
      <c r="K163" s="20">
        <f t="shared" si="7"/>
        <v>0</v>
      </c>
      <c r="HV163" s="2" t="s">
        <v>225</v>
      </c>
      <c r="HW163" s="2" t="s">
        <v>30</v>
      </c>
      <c r="IR163" s="21">
        <f>J163*0</f>
        <v>0</v>
      </c>
      <c r="IS163" s="21">
        <f>J163*(1-0)</f>
        <v>0</v>
      </c>
    </row>
    <row r="164" spans="1:253" x14ac:dyDescent="0.25">
      <c r="A164" s="18">
        <v>137</v>
      </c>
      <c r="B164" s="2" t="s">
        <v>285</v>
      </c>
      <c r="C164" s="96" t="s">
        <v>286</v>
      </c>
      <c r="D164" s="97"/>
      <c r="E164" s="97"/>
      <c r="F164" s="97"/>
      <c r="G164" s="97"/>
      <c r="H164" s="2" t="s">
        <v>38</v>
      </c>
      <c r="I164" s="19">
        <v>22</v>
      </c>
      <c r="J164" s="19"/>
      <c r="K164" s="20">
        <f t="shared" si="7"/>
        <v>0</v>
      </c>
      <c r="HV164" s="2" t="s">
        <v>225</v>
      </c>
      <c r="HW164" s="2" t="s">
        <v>30</v>
      </c>
      <c r="IR164" s="21">
        <f>J164*0</f>
        <v>0</v>
      </c>
      <c r="IS164" s="21">
        <f>J164*(1-0)</f>
        <v>0</v>
      </c>
    </row>
    <row r="165" spans="1:253" x14ac:dyDescent="0.25">
      <c r="A165" s="18">
        <v>138</v>
      </c>
      <c r="B165" s="2" t="s">
        <v>287</v>
      </c>
      <c r="C165" s="96" t="s">
        <v>288</v>
      </c>
      <c r="D165" s="97"/>
      <c r="E165" s="97"/>
      <c r="F165" s="97"/>
      <c r="G165" s="97"/>
      <c r="H165" s="2" t="s">
        <v>33</v>
      </c>
      <c r="I165" s="19">
        <v>22</v>
      </c>
      <c r="J165" s="19"/>
      <c r="K165" s="20">
        <f t="shared" si="7"/>
        <v>0</v>
      </c>
      <c r="HV165" s="2" t="s">
        <v>225</v>
      </c>
      <c r="HW165" s="2" t="s">
        <v>30</v>
      </c>
      <c r="IR165" s="21">
        <f>J165*0.036813187</f>
        <v>0</v>
      </c>
      <c r="IS165" s="21">
        <f>J165*(1-0.036813187)</f>
        <v>0</v>
      </c>
    </row>
    <row r="166" spans="1:253" x14ac:dyDescent="0.25">
      <c r="A166" s="18">
        <v>139</v>
      </c>
      <c r="B166" s="2" t="s">
        <v>289</v>
      </c>
      <c r="C166" s="96" t="s">
        <v>290</v>
      </c>
      <c r="D166" s="97"/>
      <c r="E166" s="97"/>
      <c r="F166" s="97"/>
      <c r="G166" s="97"/>
      <c r="H166" s="2" t="s">
        <v>38</v>
      </c>
      <c r="I166" s="19">
        <v>22</v>
      </c>
      <c r="J166" s="19"/>
      <c r="K166" s="20">
        <f t="shared" si="7"/>
        <v>0</v>
      </c>
      <c r="HV166" s="2" t="s">
        <v>225</v>
      </c>
      <c r="HW166" s="2" t="s">
        <v>53</v>
      </c>
      <c r="IR166" s="21">
        <f>J166*1</f>
        <v>0</v>
      </c>
      <c r="IS166" s="21">
        <f>J166*(1-1)</f>
        <v>0</v>
      </c>
    </row>
    <row r="167" spans="1:253" x14ac:dyDescent="0.25">
      <c r="A167" s="18">
        <v>140</v>
      </c>
      <c r="B167" s="2" t="s">
        <v>291</v>
      </c>
      <c r="C167" s="96" t="s">
        <v>292</v>
      </c>
      <c r="D167" s="97"/>
      <c r="E167" s="97"/>
      <c r="F167" s="97"/>
      <c r="G167" s="97"/>
      <c r="H167" s="2" t="s">
        <v>38</v>
      </c>
      <c r="I167" s="19">
        <v>22</v>
      </c>
      <c r="J167" s="19"/>
      <c r="K167" s="20">
        <f t="shared" si="7"/>
        <v>0</v>
      </c>
      <c r="HV167" s="2" t="s">
        <v>225</v>
      </c>
      <c r="HW167" s="2" t="s">
        <v>30</v>
      </c>
      <c r="IR167" s="21">
        <f>J167*0</f>
        <v>0</v>
      </c>
      <c r="IS167" s="21">
        <f>J167*(1-0)</f>
        <v>0</v>
      </c>
    </row>
    <row r="168" spans="1:253" x14ac:dyDescent="0.25">
      <c r="A168" s="18">
        <v>141</v>
      </c>
      <c r="B168" s="2" t="s">
        <v>272</v>
      </c>
      <c r="C168" s="96" t="s">
        <v>273</v>
      </c>
      <c r="D168" s="97"/>
      <c r="E168" s="97"/>
      <c r="F168" s="97"/>
      <c r="G168" s="97"/>
      <c r="H168" s="2" t="s">
        <v>90</v>
      </c>
      <c r="I168" s="19">
        <v>0.2</v>
      </c>
      <c r="J168" s="19"/>
      <c r="K168" s="20">
        <f t="shared" si="7"/>
        <v>0</v>
      </c>
      <c r="HV168" s="2" t="s">
        <v>225</v>
      </c>
      <c r="HW168" s="2" t="s">
        <v>30</v>
      </c>
      <c r="IR168" s="21">
        <f>J168*0</f>
        <v>0</v>
      </c>
      <c r="IS168" s="21">
        <f>J168*(1-0)</f>
        <v>0</v>
      </c>
    </row>
    <row r="169" spans="1:253" x14ac:dyDescent="0.25">
      <c r="A169" s="18">
        <v>142</v>
      </c>
      <c r="B169" s="2" t="s">
        <v>274</v>
      </c>
      <c r="C169" s="96" t="s">
        <v>275</v>
      </c>
      <c r="D169" s="97"/>
      <c r="E169" s="97"/>
      <c r="F169" s="97"/>
      <c r="G169" s="97"/>
      <c r="H169" s="2" t="s">
        <v>41</v>
      </c>
      <c r="I169" s="19">
        <v>1220</v>
      </c>
      <c r="J169" s="19"/>
      <c r="K169" s="20">
        <f t="shared" si="7"/>
        <v>0</v>
      </c>
      <c r="HV169" s="2" t="s">
        <v>225</v>
      </c>
      <c r="HW169" s="2" t="s">
        <v>30</v>
      </c>
      <c r="IR169" s="21">
        <f>J169*0</f>
        <v>0</v>
      </c>
      <c r="IS169" s="21">
        <f>J169*(1-0)</f>
        <v>0</v>
      </c>
    </row>
    <row r="170" spans="1:253" x14ac:dyDescent="0.25">
      <c r="A170" s="14" t="s">
        <v>22</v>
      </c>
      <c r="B170" s="15" t="s">
        <v>23</v>
      </c>
      <c r="C170" s="152" t="s">
        <v>293</v>
      </c>
      <c r="D170" s="153"/>
      <c r="E170" s="153"/>
      <c r="F170" s="153"/>
      <c r="G170" s="153"/>
      <c r="H170" s="15" t="s">
        <v>22</v>
      </c>
      <c r="I170" s="16" t="s">
        <v>22</v>
      </c>
      <c r="J170" s="16"/>
      <c r="K170" s="17">
        <f>K171+K182+K186+K188+K193+K196+K198+K200+K202+K208</f>
        <v>0</v>
      </c>
    </row>
    <row r="171" spans="1:253" x14ac:dyDescent="0.25">
      <c r="A171" s="14" t="s">
        <v>22</v>
      </c>
      <c r="B171" s="15" t="s">
        <v>294</v>
      </c>
      <c r="C171" s="152" t="s">
        <v>295</v>
      </c>
      <c r="D171" s="153"/>
      <c r="E171" s="153"/>
      <c r="F171" s="153"/>
      <c r="G171" s="153"/>
      <c r="H171" s="15" t="s">
        <v>22</v>
      </c>
      <c r="I171" s="16" t="s">
        <v>22</v>
      </c>
      <c r="J171" s="16"/>
      <c r="K171" s="17">
        <f>SUM(K172:K181)</f>
        <v>0</v>
      </c>
    </row>
    <row r="172" spans="1:253" x14ac:dyDescent="0.25">
      <c r="A172" s="18">
        <v>143</v>
      </c>
      <c r="B172" s="2" t="s">
        <v>296</v>
      </c>
      <c r="C172" s="96" t="s">
        <v>297</v>
      </c>
      <c r="D172" s="97"/>
      <c r="E172" s="97"/>
      <c r="F172" s="97"/>
      <c r="G172" s="97"/>
      <c r="H172" s="2" t="s">
        <v>38</v>
      </c>
      <c r="I172" s="19">
        <v>22</v>
      </c>
      <c r="J172" s="19"/>
      <c r="K172" s="20">
        <f t="shared" ref="K172:K181" si="8">ROUND(IR172*I172+IS172*I172,2)</f>
        <v>0</v>
      </c>
      <c r="HV172" s="2" t="s">
        <v>294</v>
      </c>
      <c r="HW172" s="2" t="s">
        <v>30</v>
      </c>
      <c r="IR172" s="21">
        <f>J172*0</f>
        <v>0</v>
      </c>
      <c r="IS172" s="21">
        <f>J172*(1-0)</f>
        <v>0</v>
      </c>
    </row>
    <row r="173" spans="1:253" x14ac:dyDescent="0.25">
      <c r="A173" s="18">
        <v>144</v>
      </c>
      <c r="B173" s="2" t="s">
        <v>298</v>
      </c>
      <c r="C173" s="96" t="s">
        <v>299</v>
      </c>
      <c r="D173" s="97"/>
      <c r="E173" s="97"/>
      <c r="F173" s="97"/>
      <c r="G173" s="97"/>
      <c r="H173" s="2" t="s">
        <v>33</v>
      </c>
      <c r="I173" s="19">
        <v>22</v>
      </c>
      <c r="J173" s="19"/>
      <c r="K173" s="20">
        <f t="shared" si="8"/>
        <v>0</v>
      </c>
      <c r="HV173" s="2" t="s">
        <v>294</v>
      </c>
      <c r="HW173" s="2" t="s">
        <v>30</v>
      </c>
      <c r="IR173" s="21">
        <f>J173*0.497162857</f>
        <v>0</v>
      </c>
      <c r="IS173" s="21">
        <f>J173*(1-0.497162857)</f>
        <v>0</v>
      </c>
    </row>
    <row r="174" spans="1:253" x14ac:dyDescent="0.25">
      <c r="A174" s="18">
        <v>145</v>
      </c>
      <c r="B174" s="2" t="s">
        <v>300</v>
      </c>
      <c r="C174" s="96" t="s">
        <v>801</v>
      </c>
      <c r="D174" s="97"/>
      <c r="E174" s="97"/>
      <c r="F174" s="97"/>
      <c r="G174" s="97"/>
      <c r="H174" s="2" t="s">
        <v>33</v>
      </c>
      <c r="I174" s="19">
        <v>22</v>
      </c>
      <c r="J174" s="19"/>
      <c r="K174" s="20">
        <f t="shared" si="8"/>
        <v>0</v>
      </c>
      <c r="HV174" s="2" t="s">
        <v>294</v>
      </c>
      <c r="HW174" s="2" t="s">
        <v>30</v>
      </c>
      <c r="IR174" s="21">
        <f>J174*0.018723926</f>
        <v>0</v>
      </c>
      <c r="IS174" s="21">
        <f>J174*(1-0.018723926)</f>
        <v>0</v>
      </c>
    </row>
    <row r="175" spans="1:253" x14ac:dyDescent="0.25">
      <c r="A175" s="18">
        <v>146</v>
      </c>
      <c r="B175" s="2" t="s">
        <v>302</v>
      </c>
      <c r="C175" s="96" t="s">
        <v>303</v>
      </c>
      <c r="D175" s="97"/>
      <c r="E175" s="97"/>
      <c r="F175" s="97"/>
      <c r="G175" s="97"/>
      <c r="H175" s="2" t="s">
        <v>33</v>
      </c>
      <c r="I175" s="19">
        <v>22</v>
      </c>
      <c r="J175" s="19"/>
      <c r="K175" s="20">
        <f t="shared" si="8"/>
        <v>0</v>
      </c>
      <c r="HV175" s="2" t="s">
        <v>294</v>
      </c>
      <c r="HW175" s="2" t="s">
        <v>53</v>
      </c>
      <c r="IR175" s="21">
        <f>J175*1</f>
        <v>0</v>
      </c>
      <c r="IS175" s="21">
        <f>J175*(1-1)</f>
        <v>0</v>
      </c>
    </row>
    <row r="176" spans="1:253" x14ac:dyDescent="0.25">
      <c r="A176" s="18">
        <v>147</v>
      </c>
      <c r="B176" s="2" t="s">
        <v>304</v>
      </c>
      <c r="C176" s="96" t="s">
        <v>305</v>
      </c>
      <c r="D176" s="97"/>
      <c r="E176" s="97"/>
      <c r="F176" s="97"/>
      <c r="G176" s="97"/>
      <c r="H176" s="2" t="s">
        <v>306</v>
      </c>
      <c r="I176" s="19">
        <v>2.7</v>
      </c>
      <c r="J176" s="19"/>
      <c r="K176" s="20">
        <f t="shared" si="8"/>
        <v>0</v>
      </c>
      <c r="HV176" s="2" t="s">
        <v>294</v>
      </c>
      <c r="HW176" s="2" t="s">
        <v>30</v>
      </c>
      <c r="IR176" s="21">
        <f>J176*0.546818456</f>
        <v>0</v>
      </c>
      <c r="IS176" s="21">
        <f>J176*(1-0.546818456)</f>
        <v>0</v>
      </c>
    </row>
    <row r="177" spans="1:253" x14ac:dyDescent="0.25">
      <c r="A177" s="18">
        <v>148</v>
      </c>
      <c r="B177" s="2" t="s">
        <v>307</v>
      </c>
      <c r="C177" s="96" t="s">
        <v>308</v>
      </c>
      <c r="D177" s="97"/>
      <c r="E177" s="97"/>
      <c r="F177" s="97"/>
      <c r="G177" s="97"/>
      <c r="H177" s="2" t="s">
        <v>306</v>
      </c>
      <c r="I177" s="19">
        <v>1.4</v>
      </c>
      <c r="J177" s="19"/>
      <c r="K177" s="20">
        <f t="shared" si="8"/>
        <v>0</v>
      </c>
      <c r="HV177" s="2" t="s">
        <v>294</v>
      </c>
      <c r="HW177" s="2" t="s">
        <v>30</v>
      </c>
      <c r="IR177" s="21">
        <f>J177*0.641446667</f>
        <v>0</v>
      </c>
      <c r="IS177" s="21">
        <f>J177*(1-0.641446667)</f>
        <v>0</v>
      </c>
    </row>
    <row r="178" spans="1:253" x14ac:dyDescent="0.25">
      <c r="A178" s="18">
        <v>149</v>
      </c>
      <c r="B178" s="2" t="s">
        <v>309</v>
      </c>
      <c r="C178" s="96" t="s">
        <v>310</v>
      </c>
      <c r="D178" s="97"/>
      <c r="E178" s="97"/>
      <c r="F178" s="97"/>
      <c r="G178" s="97"/>
      <c r="H178" s="2" t="s">
        <v>306</v>
      </c>
      <c r="I178" s="19">
        <v>1.4</v>
      </c>
      <c r="J178" s="19"/>
      <c r="K178" s="20">
        <f t="shared" si="8"/>
        <v>0</v>
      </c>
      <c r="HV178" s="2" t="s">
        <v>294</v>
      </c>
      <c r="HW178" s="2" t="s">
        <v>30</v>
      </c>
      <c r="IR178" s="21">
        <f>J178*0</f>
        <v>0</v>
      </c>
      <c r="IS178" s="21">
        <f>J178*(1-0)</f>
        <v>0</v>
      </c>
    </row>
    <row r="179" spans="1:253" x14ac:dyDescent="0.25">
      <c r="A179" s="18">
        <v>150</v>
      </c>
      <c r="B179" s="2" t="s">
        <v>300</v>
      </c>
      <c r="C179" s="96" t="s">
        <v>311</v>
      </c>
      <c r="D179" s="97"/>
      <c r="E179" s="97"/>
      <c r="F179" s="97"/>
      <c r="G179" s="97"/>
      <c r="H179" s="2" t="s">
        <v>33</v>
      </c>
      <c r="I179" s="19">
        <v>2</v>
      </c>
      <c r="J179" s="19"/>
      <c r="K179" s="20">
        <f t="shared" si="8"/>
        <v>0</v>
      </c>
      <c r="HV179" s="2" t="s">
        <v>294</v>
      </c>
      <c r="HW179" s="2" t="s">
        <v>30</v>
      </c>
      <c r="IR179" s="21">
        <f>J179*0.018723926</f>
        <v>0</v>
      </c>
      <c r="IS179" s="21">
        <f>J179*(1-0.018723926)</f>
        <v>0</v>
      </c>
    </row>
    <row r="180" spans="1:253" x14ac:dyDescent="0.25">
      <c r="A180" s="18">
        <v>151</v>
      </c>
      <c r="B180" s="2" t="s">
        <v>312</v>
      </c>
      <c r="C180" s="96" t="s">
        <v>313</v>
      </c>
      <c r="D180" s="97"/>
      <c r="E180" s="97"/>
      <c r="F180" s="97"/>
      <c r="G180" s="97"/>
      <c r="H180" s="2" t="s">
        <v>33</v>
      </c>
      <c r="I180" s="19">
        <v>2</v>
      </c>
      <c r="J180" s="19"/>
      <c r="K180" s="20">
        <f t="shared" si="8"/>
        <v>0</v>
      </c>
      <c r="HV180" s="2" t="s">
        <v>294</v>
      </c>
      <c r="HW180" s="2" t="s">
        <v>53</v>
      </c>
      <c r="IR180" s="21">
        <f>J180*1</f>
        <v>0</v>
      </c>
      <c r="IS180" s="21">
        <f>J180*(1-1)</f>
        <v>0</v>
      </c>
    </row>
    <row r="181" spans="1:253" x14ac:dyDescent="0.25">
      <c r="A181" s="18">
        <v>152</v>
      </c>
      <c r="B181" s="2" t="s">
        <v>314</v>
      </c>
      <c r="C181" s="96" t="s">
        <v>315</v>
      </c>
      <c r="D181" s="97"/>
      <c r="E181" s="97"/>
      <c r="F181" s="97"/>
      <c r="G181" s="97"/>
      <c r="H181" s="2" t="s">
        <v>90</v>
      </c>
      <c r="I181" s="19">
        <v>1.1000000000000001</v>
      </c>
      <c r="J181" s="19"/>
      <c r="K181" s="20">
        <f t="shared" si="8"/>
        <v>0</v>
      </c>
      <c r="HV181" s="2" t="s">
        <v>294</v>
      </c>
      <c r="HW181" s="2" t="s">
        <v>30</v>
      </c>
      <c r="IR181" s="21">
        <f>J181*0</f>
        <v>0</v>
      </c>
      <c r="IS181" s="21">
        <f>J181*(1-0)</f>
        <v>0</v>
      </c>
    </row>
    <row r="182" spans="1:253" x14ac:dyDescent="0.25">
      <c r="A182" s="14" t="s">
        <v>22</v>
      </c>
      <c r="B182" s="15" t="s">
        <v>316</v>
      </c>
      <c r="C182" s="152" t="s">
        <v>317</v>
      </c>
      <c r="D182" s="153"/>
      <c r="E182" s="153"/>
      <c r="F182" s="153"/>
      <c r="G182" s="153"/>
      <c r="H182" s="15" t="s">
        <v>22</v>
      </c>
      <c r="I182" s="16" t="s">
        <v>22</v>
      </c>
      <c r="J182" s="16"/>
      <c r="K182" s="17">
        <f>SUM(K183:K185)</f>
        <v>0</v>
      </c>
    </row>
    <row r="183" spans="1:253" x14ac:dyDescent="0.25">
      <c r="A183" s="18">
        <v>153</v>
      </c>
      <c r="B183" s="2" t="s">
        <v>318</v>
      </c>
      <c r="C183" s="96" t="s">
        <v>319</v>
      </c>
      <c r="D183" s="97"/>
      <c r="E183" s="97"/>
      <c r="F183" s="97"/>
      <c r="G183" s="97"/>
      <c r="H183" s="2" t="s">
        <v>33</v>
      </c>
      <c r="I183" s="19">
        <v>22</v>
      </c>
      <c r="J183" s="19"/>
      <c r="K183" s="20">
        <f>ROUND(IR183*I183+IS183*I183,2)</f>
        <v>0</v>
      </c>
      <c r="HV183" s="2" t="s">
        <v>316</v>
      </c>
      <c r="HW183" s="2" t="s">
        <v>30</v>
      </c>
      <c r="IR183" s="21">
        <f>J183*0.287561202</f>
        <v>0</v>
      </c>
      <c r="IS183" s="21">
        <f>J183*(1-0.287561202)</f>
        <v>0</v>
      </c>
    </row>
    <row r="184" spans="1:253" x14ac:dyDescent="0.25">
      <c r="A184" s="18">
        <v>154</v>
      </c>
      <c r="B184" s="2" t="s">
        <v>320</v>
      </c>
      <c r="C184" s="96" t="s">
        <v>321</v>
      </c>
      <c r="D184" s="97"/>
      <c r="E184" s="97"/>
      <c r="F184" s="97"/>
      <c r="G184" s="97"/>
      <c r="H184" s="2" t="s">
        <v>33</v>
      </c>
      <c r="I184" s="19">
        <v>22</v>
      </c>
      <c r="J184" s="19"/>
      <c r="K184" s="20">
        <f>ROUND(IR184*I184+IS184*I184,2)</f>
        <v>0</v>
      </c>
      <c r="HV184" s="2" t="s">
        <v>316</v>
      </c>
      <c r="HW184" s="2" t="s">
        <v>30</v>
      </c>
      <c r="IR184" s="21">
        <f>J184*0.119058824</f>
        <v>0</v>
      </c>
      <c r="IS184" s="21">
        <f>J184*(1-0.119058824)</f>
        <v>0</v>
      </c>
    </row>
    <row r="185" spans="1:253" x14ac:dyDescent="0.25">
      <c r="A185" s="18">
        <v>155</v>
      </c>
      <c r="B185" s="2" t="s">
        <v>314</v>
      </c>
      <c r="C185" s="96" t="s">
        <v>315</v>
      </c>
      <c r="D185" s="97"/>
      <c r="E185" s="97"/>
      <c r="F185" s="97"/>
      <c r="G185" s="97"/>
      <c r="H185" s="2" t="s">
        <v>90</v>
      </c>
      <c r="I185" s="19">
        <v>1.5</v>
      </c>
      <c r="J185" s="19"/>
      <c r="K185" s="20">
        <f>ROUND(IR185*I185+IS185*I185,2)</f>
        <v>0</v>
      </c>
      <c r="HV185" s="2" t="s">
        <v>316</v>
      </c>
      <c r="HW185" s="2" t="s">
        <v>30</v>
      </c>
      <c r="IR185" s="21">
        <f>J185*0</f>
        <v>0</v>
      </c>
      <c r="IS185" s="21">
        <f>J185*(1-0)</f>
        <v>0</v>
      </c>
    </row>
    <row r="186" spans="1:253" x14ac:dyDescent="0.25">
      <c r="A186" s="14" t="s">
        <v>22</v>
      </c>
      <c r="B186" s="15" t="s">
        <v>322</v>
      </c>
      <c r="C186" s="152" t="s">
        <v>323</v>
      </c>
      <c r="D186" s="153"/>
      <c r="E186" s="153"/>
      <c r="F186" s="153"/>
      <c r="G186" s="153"/>
      <c r="H186" s="15" t="s">
        <v>22</v>
      </c>
      <c r="I186" s="16" t="s">
        <v>22</v>
      </c>
      <c r="J186" s="16"/>
      <c r="K186" s="17">
        <f>SUM(K187:K187)</f>
        <v>0</v>
      </c>
    </row>
    <row r="187" spans="1:253" x14ac:dyDescent="0.25">
      <c r="A187" s="18">
        <v>156</v>
      </c>
      <c r="B187" s="2" t="s">
        <v>324</v>
      </c>
      <c r="C187" s="96" t="s">
        <v>325</v>
      </c>
      <c r="D187" s="97"/>
      <c r="E187" s="97"/>
      <c r="F187" s="97"/>
      <c r="G187" s="97"/>
      <c r="H187" s="2" t="s">
        <v>38</v>
      </c>
      <c r="I187" s="19">
        <v>22</v>
      </c>
      <c r="J187" s="19"/>
      <c r="K187" s="20">
        <f>ROUND(IR187*I187+IS187*I187,2)</f>
        <v>0</v>
      </c>
      <c r="HV187" s="2" t="s">
        <v>322</v>
      </c>
      <c r="HW187" s="2" t="s">
        <v>30</v>
      </c>
      <c r="IR187" s="21">
        <f>J187*0.5</f>
        <v>0</v>
      </c>
      <c r="IS187" s="21">
        <f>J187*(1-0.5)</f>
        <v>0</v>
      </c>
    </row>
    <row r="188" spans="1:253" x14ac:dyDescent="0.25">
      <c r="A188" s="14" t="s">
        <v>22</v>
      </c>
      <c r="B188" s="15" t="s">
        <v>326</v>
      </c>
      <c r="C188" s="152" t="s">
        <v>327</v>
      </c>
      <c r="D188" s="153"/>
      <c r="E188" s="153"/>
      <c r="F188" s="153"/>
      <c r="G188" s="153"/>
      <c r="H188" s="15" t="s">
        <v>22</v>
      </c>
      <c r="I188" s="16" t="s">
        <v>22</v>
      </c>
      <c r="J188" s="16"/>
      <c r="K188" s="17">
        <f>SUM(K189:K192)</f>
        <v>0</v>
      </c>
    </row>
    <row r="189" spans="1:253" x14ac:dyDescent="0.25">
      <c r="A189" s="18">
        <v>157</v>
      </c>
      <c r="B189" s="2" t="s">
        <v>328</v>
      </c>
      <c r="C189" s="96" t="s">
        <v>329</v>
      </c>
      <c r="D189" s="97"/>
      <c r="E189" s="97"/>
      <c r="F189" s="97"/>
      <c r="G189" s="97"/>
      <c r="H189" s="2" t="s">
        <v>330</v>
      </c>
      <c r="I189" s="19">
        <v>88</v>
      </c>
      <c r="J189" s="19"/>
      <c r="K189" s="20">
        <f>ROUND(IR189*I189+IS189*I189,2)</f>
        <v>0</v>
      </c>
      <c r="HV189" s="2" t="s">
        <v>326</v>
      </c>
      <c r="HW189" s="2" t="s">
        <v>30</v>
      </c>
      <c r="IR189" s="21">
        <f>J189*0.402173557</f>
        <v>0</v>
      </c>
      <c r="IS189" s="21">
        <f>J189*(1-0.402173557)</f>
        <v>0</v>
      </c>
    </row>
    <row r="190" spans="1:253" x14ac:dyDescent="0.25">
      <c r="A190" s="18">
        <v>158</v>
      </c>
      <c r="B190" s="2" t="s">
        <v>331</v>
      </c>
      <c r="C190" s="96" t="s">
        <v>332</v>
      </c>
      <c r="D190" s="97"/>
      <c r="E190" s="97"/>
      <c r="F190" s="97"/>
      <c r="G190" s="97"/>
      <c r="H190" s="2" t="s">
        <v>33</v>
      </c>
      <c r="I190" s="19">
        <v>44</v>
      </c>
      <c r="J190" s="19"/>
      <c r="K190" s="20">
        <f>ROUND(IR190*I190+IS190*I190,2)</f>
        <v>0</v>
      </c>
      <c r="HV190" s="2" t="s">
        <v>326</v>
      </c>
      <c r="HW190" s="2" t="s">
        <v>53</v>
      </c>
      <c r="IR190" s="21">
        <f>J190*1</f>
        <v>0</v>
      </c>
      <c r="IS190" s="21">
        <f>J190*(1-1)</f>
        <v>0</v>
      </c>
    </row>
    <row r="191" spans="1:253" x14ac:dyDescent="0.25">
      <c r="A191" s="18">
        <v>159</v>
      </c>
      <c r="B191" s="2" t="s">
        <v>333</v>
      </c>
      <c r="C191" s="96" t="s">
        <v>334</v>
      </c>
      <c r="D191" s="97"/>
      <c r="E191" s="97"/>
      <c r="F191" s="97"/>
      <c r="G191" s="97"/>
      <c r="H191" s="2" t="s">
        <v>33</v>
      </c>
      <c r="I191" s="19">
        <v>88</v>
      </c>
      <c r="J191" s="19"/>
      <c r="K191" s="20">
        <f>ROUND(IR191*I191+IS191*I191,2)</f>
        <v>0</v>
      </c>
      <c r="HV191" s="2" t="s">
        <v>326</v>
      </c>
      <c r="HW191" s="2" t="s">
        <v>53</v>
      </c>
      <c r="IR191" s="21">
        <f>J191*1</f>
        <v>0</v>
      </c>
      <c r="IS191" s="21">
        <f>J191*(1-1)</f>
        <v>0</v>
      </c>
    </row>
    <row r="192" spans="1:253" x14ac:dyDescent="0.25">
      <c r="A192" s="18">
        <v>160</v>
      </c>
      <c r="B192" s="2" t="s">
        <v>335</v>
      </c>
      <c r="C192" s="96" t="s">
        <v>336</v>
      </c>
      <c r="D192" s="97"/>
      <c r="E192" s="97"/>
      <c r="F192" s="97"/>
      <c r="G192" s="97"/>
      <c r="H192" s="2" t="s">
        <v>41</v>
      </c>
      <c r="I192" s="19">
        <v>487</v>
      </c>
      <c r="J192" s="19"/>
      <c r="K192" s="20">
        <f>ROUND(IR192*I192+IS192*I192,2)</f>
        <v>0</v>
      </c>
      <c r="HV192" s="2" t="s">
        <v>326</v>
      </c>
      <c r="HW192" s="2" t="s">
        <v>30</v>
      </c>
      <c r="IR192" s="21">
        <f>J192*0</f>
        <v>0</v>
      </c>
      <c r="IS192" s="21">
        <f>J192*(1-0)</f>
        <v>0</v>
      </c>
    </row>
    <row r="193" spans="1:253" x14ac:dyDescent="0.25">
      <c r="A193" s="14" t="s">
        <v>22</v>
      </c>
      <c r="B193" s="15" t="s">
        <v>337</v>
      </c>
      <c r="C193" s="152" t="s">
        <v>338</v>
      </c>
      <c r="D193" s="153"/>
      <c r="E193" s="153"/>
      <c r="F193" s="153"/>
      <c r="G193" s="153"/>
      <c r="H193" s="15" t="s">
        <v>22</v>
      </c>
      <c r="I193" s="16" t="s">
        <v>22</v>
      </c>
      <c r="J193" s="16"/>
      <c r="K193" s="17">
        <f>SUM(K194:K195)</f>
        <v>0</v>
      </c>
    </row>
    <row r="194" spans="1:253" x14ac:dyDescent="0.25">
      <c r="A194" s="18">
        <v>161</v>
      </c>
      <c r="B194" s="2" t="s">
        <v>339</v>
      </c>
      <c r="C194" s="96" t="s">
        <v>340</v>
      </c>
      <c r="D194" s="97"/>
      <c r="E194" s="97"/>
      <c r="F194" s="97"/>
      <c r="G194" s="97"/>
      <c r="H194" s="2" t="s">
        <v>306</v>
      </c>
      <c r="I194" s="19">
        <v>5.3</v>
      </c>
      <c r="J194" s="19"/>
      <c r="K194" s="20">
        <f>ROUND(IR194*I194+IS194*I194,2)</f>
        <v>0</v>
      </c>
      <c r="HV194" s="2" t="s">
        <v>337</v>
      </c>
      <c r="HW194" s="2" t="s">
        <v>30</v>
      </c>
      <c r="IR194" s="21">
        <f>J194*0</f>
        <v>0</v>
      </c>
      <c r="IS194" s="21">
        <f>J194*(1-0)</f>
        <v>0</v>
      </c>
    </row>
    <row r="195" spans="1:253" x14ac:dyDescent="0.25">
      <c r="A195" s="18">
        <v>162</v>
      </c>
      <c r="B195" s="2" t="s">
        <v>341</v>
      </c>
      <c r="C195" s="96" t="s">
        <v>342</v>
      </c>
      <c r="D195" s="97"/>
      <c r="E195" s="97"/>
      <c r="F195" s="97"/>
      <c r="G195" s="97"/>
      <c r="H195" s="2" t="s">
        <v>343</v>
      </c>
      <c r="I195" s="19">
        <v>9.5</v>
      </c>
      <c r="J195" s="19"/>
      <c r="K195" s="20">
        <f>ROUND(IR195*I195+IS195*I195,2)</f>
        <v>0</v>
      </c>
      <c r="HV195" s="2" t="s">
        <v>337</v>
      </c>
      <c r="HW195" s="2" t="s">
        <v>53</v>
      </c>
      <c r="IR195" s="21">
        <f>J195*1</f>
        <v>0</v>
      </c>
      <c r="IS195" s="21">
        <f>J195*(1-1)</f>
        <v>0</v>
      </c>
    </row>
    <row r="196" spans="1:253" x14ac:dyDescent="0.25">
      <c r="A196" s="14" t="s">
        <v>22</v>
      </c>
      <c r="B196" s="15" t="s">
        <v>344</v>
      </c>
      <c r="C196" s="152" t="s">
        <v>345</v>
      </c>
      <c r="D196" s="153"/>
      <c r="E196" s="153"/>
      <c r="F196" s="153"/>
      <c r="G196" s="153"/>
      <c r="H196" s="15" t="s">
        <v>22</v>
      </c>
      <c r="I196" s="16" t="s">
        <v>22</v>
      </c>
      <c r="J196" s="16"/>
      <c r="K196" s="17">
        <f>SUM(K197:K197)</f>
        <v>0</v>
      </c>
    </row>
    <row r="197" spans="1:253" x14ac:dyDescent="0.25">
      <c r="A197" s="18">
        <v>163</v>
      </c>
      <c r="B197" s="2" t="s">
        <v>346</v>
      </c>
      <c r="C197" s="96" t="s">
        <v>347</v>
      </c>
      <c r="D197" s="97"/>
      <c r="E197" s="97"/>
      <c r="F197" s="97"/>
      <c r="G197" s="97"/>
      <c r="H197" s="2" t="s">
        <v>306</v>
      </c>
      <c r="I197" s="19">
        <v>120</v>
      </c>
      <c r="J197" s="19"/>
      <c r="K197" s="20">
        <f>ROUND(IR197*I197+IS197*I197,2)</f>
        <v>0</v>
      </c>
      <c r="HV197" s="2" t="s">
        <v>344</v>
      </c>
      <c r="HW197" s="2" t="s">
        <v>30</v>
      </c>
      <c r="IR197" s="21">
        <f>J197*0.186095017</f>
        <v>0</v>
      </c>
      <c r="IS197" s="21">
        <f>J197*(1-0.186095017)</f>
        <v>0</v>
      </c>
    </row>
    <row r="198" spans="1:253" x14ac:dyDescent="0.25">
      <c r="A198" s="14" t="s">
        <v>22</v>
      </c>
      <c r="B198" s="15" t="s">
        <v>348</v>
      </c>
      <c r="C198" s="152" t="s">
        <v>349</v>
      </c>
      <c r="D198" s="153"/>
      <c r="E198" s="153"/>
      <c r="F198" s="153"/>
      <c r="G198" s="153"/>
      <c r="H198" s="15" t="s">
        <v>22</v>
      </c>
      <c r="I198" s="16" t="s">
        <v>22</v>
      </c>
      <c r="J198" s="16"/>
      <c r="K198" s="17">
        <f>SUM(K199:K199)</f>
        <v>0</v>
      </c>
    </row>
    <row r="199" spans="1:253" x14ac:dyDescent="0.25">
      <c r="A199" s="18">
        <v>164</v>
      </c>
      <c r="B199" s="2" t="s">
        <v>350</v>
      </c>
      <c r="C199" s="96" t="s">
        <v>351</v>
      </c>
      <c r="D199" s="97"/>
      <c r="E199" s="97"/>
      <c r="F199" s="97"/>
      <c r="G199" s="97"/>
      <c r="H199" s="2" t="s">
        <v>306</v>
      </c>
      <c r="I199" s="19">
        <v>660</v>
      </c>
      <c r="J199" s="19"/>
      <c r="K199" s="20">
        <f>ROUND(IR199*I199+IS199*I199,2)</f>
        <v>0</v>
      </c>
      <c r="HV199" s="2" t="s">
        <v>348</v>
      </c>
      <c r="HW199" s="2" t="s">
        <v>30</v>
      </c>
      <c r="IR199" s="21">
        <f>J199*0</f>
        <v>0</v>
      </c>
      <c r="IS199" s="21">
        <f>J199*(1-0)</f>
        <v>0</v>
      </c>
    </row>
    <row r="200" spans="1:253" x14ac:dyDescent="0.25">
      <c r="A200" s="14" t="s">
        <v>22</v>
      </c>
      <c r="B200" s="15" t="s">
        <v>352</v>
      </c>
      <c r="C200" s="152" t="s">
        <v>353</v>
      </c>
      <c r="D200" s="153"/>
      <c r="E200" s="153"/>
      <c r="F200" s="153"/>
      <c r="G200" s="153"/>
      <c r="H200" s="15" t="s">
        <v>22</v>
      </c>
      <c r="I200" s="16" t="s">
        <v>22</v>
      </c>
      <c r="J200" s="16"/>
      <c r="K200" s="17">
        <f>SUM(K201:K201)</f>
        <v>0</v>
      </c>
    </row>
    <row r="201" spans="1:253" x14ac:dyDescent="0.25">
      <c r="A201" s="18">
        <v>165</v>
      </c>
      <c r="B201" s="2" t="s">
        <v>354</v>
      </c>
      <c r="C201" s="96" t="s">
        <v>355</v>
      </c>
      <c r="D201" s="97"/>
      <c r="E201" s="97"/>
      <c r="F201" s="97"/>
      <c r="G201" s="97"/>
      <c r="H201" s="2" t="s">
        <v>306</v>
      </c>
      <c r="I201" s="19">
        <v>51.5</v>
      </c>
      <c r="J201" s="19"/>
      <c r="K201" s="20">
        <f>ROUND(IR201*I201+IS201*I201,2)</f>
        <v>0</v>
      </c>
      <c r="HV201" s="2" t="s">
        <v>352</v>
      </c>
      <c r="HW201" s="2" t="s">
        <v>30</v>
      </c>
      <c r="IR201" s="21">
        <f>J201*0.197058824</f>
        <v>0</v>
      </c>
      <c r="IS201" s="21">
        <f>J201*(1-0.197058824)</f>
        <v>0</v>
      </c>
    </row>
    <row r="202" spans="1:253" x14ac:dyDescent="0.25">
      <c r="A202" s="14" t="s">
        <v>22</v>
      </c>
      <c r="B202" s="15" t="s">
        <v>356</v>
      </c>
      <c r="C202" s="152" t="s">
        <v>357</v>
      </c>
      <c r="D202" s="153"/>
      <c r="E202" s="153"/>
      <c r="F202" s="153"/>
      <c r="G202" s="153"/>
      <c r="H202" s="15" t="s">
        <v>22</v>
      </c>
      <c r="I202" s="16" t="s">
        <v>22</v>
      </c>
      <c r="J202" s="16"/>
      <c r="K202" s="17">
        <f>SUM(K203:K207)</f>
        <v>0</v>
      </c>
    </row>
    <row r="203" spans="1:253" x14ac:dyDescent="0.25">
      <c r="A203" s="18">
        <v>166</v>
      </c>
      <c r="B203" s="2" t="s">
        <v>358</v>
      </c>
      <c r="C203" s="96" t="s">
        <v>359</v>
      </c>
      <c r="D203" s="97"/>
      <c r="E203" s="97"/>
      <c r="F203" s="97"/>
      <c r="G203" s="97"/>
      <c r="H203" s="2" t="s">
        <v>33</v>
      </c>
      <c r="I203" s="19">
        <v>22</v>
      </c>
      <c r="J203" s="19"/>
      <c r="K203" s="20">
        <f>ROUND(IR203*I203+IS203*I203,2)</f>
        <v>0</v>
      </c>
      <c r="HV203" s="2" t="s">
        <v>356</v>
      </c>
      <c r="HW203" s="2" t="s">
        <v>30</v>
      </c>
      <c r="IR203" s="21">
        <f>J203*0</f>
        <v>0</v>
      </c>
      <c r="IS203" s="21">
        <f>J203*(1-0)</f>
        <v>0</v>
      </c>
    </row>
    <row r="204" spans="1:253" x14ac:dyDescent="0.25">
      <c r="A204" s="18">
        <v>167</v>
      </c>
      <c r="B204" s="2" t="s">
        <v>360</v>
      </c>
      <c r="C204" s="96" t="s">
        <v>361</v>
      </c>
      <c r="D204" s="97"/>
      <c r="E204" s="97"/>
      <c r="F204" s="97"/>
      <c r="G204" s="97"/>
      <c r="H204" s="2" t="s">
        <v>29</v>
      </c>
      <c r="I204" s="19">
        <v>2.9</v>
      </c>
      <c r="J204" s="19"/>
      <c r="K204" s="20">
        <f>ROUND(IR204*I204+IS204*I204,2)</f>
        <v>0</v>
      </c>
      <c r="HV204" s="2" t="s">
        <v>356</v>
      </c>
      <c r="HW204" s="2" t="s">
        <v>30</v>
      </c>
      <c r="IR204" s="21">
        <f>J204*0.290773562</f>
        <v>0</v>
      </c>
      <c r="IS204" s="21">
        <f>J204*(1-0.290773562)</f>
        <v>0</v>
      </c>
    </row>
    <row r="205" spans="1:253" x14ac:dyDescent="0.25">
      <c r="A205" s="18">
        <v>168</v>
      </c>
      <c r="B205" s="2" t="s">
        <v>362</v>
      </c>
      <c r="C205" s="96" t="s">
        <v>363</v>
      </c>
      <c r="D205" s="97"/>
      <c r="E205" s="97"/>
      <c r="F205" s="97"/>
      <c r="G205" s="97"/>
      <c r="H205" s="2" t="s">
        <v>29</v>
      </c>
      <c r="I205" s="19">
        <v>2.9</v>
      </c>
      <c r="J205" s="19"/>
      <c r="K205" s="20">
        <f>ROUND(IR205*I205+IS205*I205,2)</f>
        <v>0</v>
      </c>
      <c r="HV205" s="2" t="s">
        <v>356</v>
      </c>
      <c r="HW205" s="2" t="s">
        <v>30</v>
      </c>
      <c r="IR205" s="21">
        <f>J205*0.157200461</f>
        <v>0</v>
      </c>
      <c r="IS205" s="21">
        <f>J205*(1-0.157200461)</f>
        <v>0</v>
      </c>
    </row>
    <row r="206" spans="1:253" x14ac:dyDescent="0.25">
      <c r="A206" s="18">
        <v>169</v>
      </c>
      <c r="B206" s="2" t="s">
        <v>364</v>
      </c>
      <c r="C206" s="96" t="s">
        <v>365</v>
      </c>
      <c r="D206" s="97"/>
      <c r="E206" s="97"/>
      <c r="F206" s="97"/>
      <c r="G206" s="97"/>
      <c r="H206" s="2" t="s">
        <v>29</v>
      </c>
      <c r="I206" s="19">
        <v>2.9</v>
      </c>
      <c r="J206" s="19"/>
      <c r="K206" s="20">
        <f>ROUND(IR206*I206+IS206*I206,2)</f>
        <v>0</v>
      </c>
      <c r="HV206" s="2" t="s">
        <v>356</v>
      </c>
      <c r="HW206" s="2" t="s">
        <v>30</v>
      </c>
      <c r="IR206" s="21">
        <f>J206*0</f>
        <v>0</v>
      </c>
      <c r="IS206" s="21">
        <f>J206*(1-0)</f>
        <v>0</v>
      </c>
    </row>
    <row r="207" spans="1:253" x14ac:dyDescent="0.25">
      <c r="A207" s="18">
        <v>170</v>
      </c>
      <c r="B207" s="2" t="s">
        <v>366</v>
      </c>
      <c r="C207" s="96" t="s">
        <v>367</v>
      </c>
      <c r="D207" s="97"/>
      <c r="E207" s="97"/>
      <c r="F207" s="97"/>
      <c r="G207" s="97"/>
      <c r="H207" s="2" t="s">
        <v>29</v>
      </c>
      <c r="I207" s="19">
        <v>2.9</v>
      </c>
      <c r="J207" s="19"/>
      <c r="K207" s="20">
        <f>ROUND(IR207*I207+IS207*I207,2)</f>
        <v>0</v>
      </c>
      <c r="HV207" s="2" t="s">
        <v>356</v>
      </c>
      <c r="HW207" s="2" t="s">
        <v>30</v>
      </c>
      <c r="IR207" s="21">
        <f>J207*0.069608541</f>
        <v>0</v>
      </c>
      <c r="IS207" s="21">
        <f>J207*(1-0.069608541)</f>
        <v>0</v>
      </c>
    </row>
    <row r="208" spans="1:253" x14ac:dyDescent="0.25">
      <c r="A208" s="14" t="s">
        <v>22</v>
      </c>
      <c r="B208" s="15" t="s">
        <v>368</v>
      </c>
      <c r="C208" s="152" t="s">
        <v>369</v>
      </c>
      <c r="D208" s="153"/>
      <c r="E208" s="153"/>
      <c r="F208" s="153"/>
      <c r="G208" s="153"/>
      <c r="H208" s="15" t="s">
        <v>22</v>
      </c>
      <c r="I208" s="16" t="s">
        <v>22</v>
      </c>
      <c r="J208" s="16"/>
      <c r="K208" s="17">
        <f>SUM(K209:K217)</f>
        <v>0</v>
      </c>
    </row>
    <row r="209" spans="1:253" x14ac:dyDescent="0.25">
      <c r="A209" s="18">
        <v>171</v>
      </c>
      <c r="B209" s="2" t="s">
        <v>370</v>
      </c>
      <c r="C209" s="96" t="s">
        <v>371</v>
      </c>
      <c r="D209" s="97"/>
      <c r="E209" s="97"/>
      <c r="F209" s="97"/>
      <c r="G209" s="97"/>
      <c r="H209" s="2" t="s">
        <v>372</v>
      </c>
      <c r="I209" s="19">
        <v>45</v>
      </c>
      <c r="J209" s="19"/>
      <c r="K209" s="20">
        <f t="shared" ref="K209:K217" si="9">ROUND(IR209*I209+IS209*I209,2)</f>
        <v>0</v>
      </c>
      <c r="HV209" s="2" t="s">
        <v>368</v>
      </c>
      <c r="HW209" s="2" t="s">
        <v>30</v>
      </c>
      <c r="IR209" s="21">
        <f t="shared" ref="IR209:IR217" si="10">J209*0</f>
        <v>0</v>
      </c>
      <c r="IS209" s="21">
        <f t="shared" ref="IS209:IS217" si="11">J209*(1-0)</f>
        <v>0</v>
      </c>
    </row>
    <row r="210" spans="1:253" x14ac:dyDescent="0.25">
      <c r="A210" s="18">
        <v>172</v>
      </c>
      <c r="B210" s="2" t="s">
        <v>373</v>
      </c>
      <c r="C210" s="96" t="s">
        <v>374</v>
      </c>
      <c r="D210" s="97"/>
      <c r="E210" s="97"/>
      <c r="F210" s="97"/>
      <c r="G210" s="97"/>
      <c r="H210" s="2" t="s">
        <v>90</v>
      </c>
      <c r="I210" s="19">
        <v>2.7</v>
      </c>
      <c r="J210" s="19"/>
      <c r="K210" s="20">
        <f t="shared" si="9"/>
        <v>0</v>
      </c>
      <c r="HV210" s="2" t="s">
        <v>368</v>
      </c>
      <c r="HW210" s="2" t="s">
        <v>30</v>
      </c>
      <c r="IR210" s="21">
        <f t="shared" si="10"/>
        <v>0</v>
      </c>
      <c r="IS210" s="21">
        <f t="shared" si="11"/>
        <v>0</v>
      </c>
    </row>
    <row r="211" spans="1:253" x14ac:dyDescent="0.25">
      <c r="A211" s="18">
        <v>173</v>
      </c>
      <c r="B211" s="2" t="s">
        <v>375</v>
      </c>
      <c r="C211" s="96" t="s">
        <v>376</v>
      </c>
      <c r="D211" s="97"/>
      <c r="E211" s="97"/>
      <c r="F211" s="97"/>
      <c r="G211" s="97"/>
      <c r="H211" s="2" t="s">
        <v>90</v>
      </c>
      <c r="I211" s="19">
        <v>5.4</v>
      </c>
      <c r="J211" s="19"/>
      <c r="K211" s="20">
        <f t="shared" si="9"/>
        <v>0</v>
      </c>
      <c r="HV211" s="2" t="s">
        <v>368</v>
      </c>
      <c r="HW211" s="2" t="s">
        <v>30</v>
      </c>
      <c r="IR211" s="21">
        <f t="shared" si="10"/>
        <v>0</v>
      </c>
      <c r="IS211" s="21">
        <f t="shared" si="11"/>
        <v>0</v>
      </c>
    </row>
    <row r="212" spans="1:253" x14ac:dyDescent="0.25">
      <c r="A212" s="18">
        <v>174</v>
      </c>
      <c r="B212" s="2" t="s">
        <v>377</v>
      </c>
      <c r="C212" s="96" t="s">
        <v>378</v>
      </c>
      <c r="D212" s="97"/>
      <c r="E212" s="97"/>
      <c r="F212" s="97"/>
      <c r="G212" s="97"/>
      <c r="H212" s="2" t="s">
        <v>90</v>
      </c>
      <c r="I212" s="19">
        <v>8.1</v>
      </c>
      <c r="J212" s="19"/>
      <c r="K212" s="20">
        <f t="shared" si="9"/>
        <v>0</v>
      </c>
      <c r="HV212" s="2" t="s">
        <v>368</v>
      </c>
      <c r="HW212" s="2" t="s">
        <v>30</v>
      </c>
      <c r="IR212" s="21">
        <f t="shared" si="10"/>
        <v>0</v>
      </c>
      <c r="IS212" s="21">
        <f t="shared" si="11"/>
        <v>0</v>
      </c>
    </row>
    <row r="213" spans="1:253" x14ac:dyDescent="0.25">
      <c r="A213" s="18">
        <v>175</v>
      </c>
      <c r="B213" s="2" t="s">
        <v>379</v>
      </c>
      <c r="C213" s="96" t="s">
        <v>380</v>
      </c>
      <c r="D213" s="97"/>
      <c r="E213" s="97"/>
      <c r="F213" s="97"/>
      <c r="G213" s="97"/>
      <c r="H213" s="2" t="s">
        <v>90</v>
      </c>
      <c r="I213" s="19">
        <v>8.1</v>
      </c>
      <c r="J213" s="19"/>
      <c r="K213" s="20">
        <f t="shared" si="9"/>
        <v>0</v>
      </c>
      <c r="HV213" s="2" t="s">
        <v>368</v>
      </c>
      <c r="HW213" s="2" t="s">
        <v>30</v>
      </c>
      <c r="IR213" s="21">
        <f t="shared" si="10"/>
        <v>0</v>
      </c>
      <c r="IS213" s="21">
        <f t="shared" si="11"/>
        <v>0</v>
      </c>
    </row>
    <row r="214" spans="1:253" x14ac:dyDescent="0.25">
      <c r="A214" s="18">
        <v>176</v>
      </c>
      <c r="B214" s="2" t="s">
        <v>381</v>
      </c>
      <c r="C214" s="96" t="s">
        <v>382</v>
      </c>
      <c r="D214" s="97"/>
      <c r="E214" s="97"/>
      <c r="F214" s="97"/>
      <c r="G214" s="97"/>
      <c r="H214" s="2" t="s">
        <v>90</v>
      </c>
      <c r="I214" s="19">
        <v>8.1</v>
      </c>
      <c r="J214" s="19"/>
      <c r="K214" s="20">
        <f t="shared" si="9"/>
        <v>0</v>
      </c>
      <c r="HV214" s="2" t="s">
        <v>368</v>
      </c>
      <c r="HW214" s="2" t="s">
        <v>30</v>
      </c>
      <c r="IR214" s="21">
        <f t="shared" si="10"/>
        <v>0</v>
      </c>
      <c r="IS214" s="21">
        <f t="shared" si="11"/>
        <v>0</v>
      </c>
    </row>
    <row r="215" spans="1:253" x14ac:dyDescent="0.25">
      <c r="A215" s="18">
        <v>177</v>
      </c>
      <c r="B215" s="2" t="s">
        <v>383</v>
      </c>
      <c r="C215" s="96" t="s">
        <v>384</v>
      </c>
      <c r="D215" s="97"/>
      <c r="E215" s="97"/>
      <c r="F215" s="97"/>
      <c r="G215" s="97"/>
      <c r="H215" s="2" t="s">
        <v>90</v>
      </c>
      <c r="I215" s="19">
        <v>81</v>
      </c>
      <c r="J215" s="19"/>
      <c r="K215" s="20">
        <f t="shared" si="9"/>
        <v>0</v>
      </c>
      <c r="HV215" s="2" t="s">
        <v>368</v>
      </c>
      <c r="HW215" s="2" t="s">
        <v>30</v>
      </c>
      <c r="IR215" s="21">
        <f t="shared" si="10"/>
        <v>0</v>
      </c>
      <c r="IS215" s="21">
        <f t="shared" si="11"/>
        <v>0</v>
      </c>
    </row>
    <row r="216" spans="1:253" x14ac:dyDescent="0.25">
      <c r="A216" s="18">
        <v>178</v>
      </c>
      <c r="B216" s="2" t="s">
        <v>385</v>
      </c>
      <c r="C216" s="96" t="s">
        <v>386</v>
      </c>
      <c r="D216" s="97"/>
      <c r="E216" s="97"/>
      <c r="F216" s="97"/>
      <c r="G216" s="97"/>
      <c r="H216" s="2" t="s">
        <v>90</v>
      </c>
      <c r="I216" s="19">
        <v>7.6</v>
      </c>
      <c r="J216" s="19"/>
      <c r="K216" s="20">
        <f t="shared" si="9"/>
        <v>0</v>
      </c>
      <c r="HV216" s="2" t="s">
        <v>368</v>
      </c>
      <c r="HW216" s="2" t="s">
        <v>30</v>
      </c>
      <c r="IR216" s="21">
        <f t="shared" si="10"/>
        <v>0</v>
      </c>
      <c r="IS216" s="21">
        <f t="shared" si="11"/>
        <v>0</v>
      </c>
    </row>
    <row r="217" spans="1:253" x14ac:dyDescent="0.25">
      <c r="A217" s="18">
        <v>179</v>
      </c>
      <c r="B217" s="2" t="s">
        <v>387</v>
      </c>
      <c r="C217" s="96" t="s">
        <v>388</v>
      </c>
      <c r="D217" s="97"/>
      <c r="E217" s="97"/>
      <c r="F217" s="97"/>
      <c r="G217" s="97"/>
      <c r="H217" s="2" t="s">
        <v>90</v>
      </c>
      <c r="I217" s="19">
        <v>0.5</v>
      </c>
      <c r="J217" s="19"/>
      <c r="K217" s="20">
        <f t="shared" si="9"/>
        <v>0</v>
      </c>
      <c r="HV217" s="2" t="s">
        <v>368</v>
      </c>
      <c r="HW217" s="2" t="s">
        <v>30</v>
      </c>
      <c r="IR217" s="21">
        <f t="shared" si="10"/>
        <v>0</v>
      </c>
      <c r="IS217" s="21">
        <f t="shared" si="11"/>
        <v>0</v>
      </c>
    </row>
    <row r="218" spans="1:253" x14ac:dyDescent="0.25">
      <c r="A218" s="14" t="s">
        <v>22</v>
      </c>
      <c r="B218" s="15" t="s">
        <v>23</v>
      </c>
      <c r="C218" s="152" t="s">
        <v>389</v>
      </c>
      <c r="D218" s="153"/>
      <c r="E218" s="153"/>
      <c r="F218" s="153"/>
      <c r="G218" s="153"/>
      <c r="H218" s="15" t="s">
        <v>22</v>
      </c>
      <c r="I218" s="16" t="s">
        <v>22</v>
      </c>
      <c r="J218" s="16"/>
      <c r="K218" s="17">
        <f>K219</f>
        <v>0</v>
      </c>
    </row>
    <row r="219" spans="1:253" x14ac:dyDescent="0.25">
      <c r="A219" s="14" t="s">
        <v>22</v>
      </c>
      <c r="B219" s="15" t="s">
        <v>390</v>
      </c>
      <c r="C219" s="152" t="s">
        <v>391</v>
      </c>
      <c r="D219" s="153"/>
      <c r="E219" s="153"/>
      <c r="F219" s="153"/>
      <c r="G219" s="153"/>
      <c r="H219" s="15" t="s">
        <v>22</v>
      </c>
      <c r="I219" s="16" t="s">
        <v>22</v>
      </c>
      <c r="J219" s="16"/>
      <c r="K219" s="17">
        <f>SUM(K220:K224)</f>
        <v>0</v>
      </c>
    </row>
    <row r="220" spans="1:253" x14ac:dyDescent="0.25">
      <c r="A220" s="18">
        <v>180</v>
      </c>
      <c r="B220" s="2" t="s">
        <v>392</v>
      </c>
      <c r="C220" s="96" t="s">
        <v>393</v>
      </c>
      <c r="D220" s="97"/>
      <c r="E220" s="97"/>
      <c r="F220" s="97"/>
      <c r="G220" s="97"/>
      <c r="H220" s="2" t="s">
        <v>306</v>
      </c>
      <c r="I220" s="19">
        <v>40.700000000000003</v>
      </c>
      <c r="J220" s="19"/>
      <c r="K220" s="20">
        <f>ROUND(IR220*I220+IS220*I220,2)</f>
        <v>0</v>
      </c>
      <c r="HV220" s="2" t="s">
        <v>390</v>
      </c>
      <c r="HW220" s="2" t="s">
        <v>30</v>
      </c>
      <c r="IR220" s="21">
        <f>J220*0.422532895</f>
        <v>0</v>
      </c>
      <c r="IS220" s="21">
        <f>J220*(1-0.422532895)</f>
        <v>0</v>
      </c>
    </row>
    <row r="221" spans="1:253" x14ac:dyDescent="0.25">
      <c r="A221" s="18">
        <v>181</v>
      </c>
      <c r="B221" s="2" t="s">
        <v>394</v>
      </c>
      <c r="C221" s="96" t="s">
        <v>395</v>
      </c>
      <c r="D221" s="97"/>
      <c r="E221" s="97"/>
      <c r="F221" s="97"/>
      <c r="G221" s="97"/>
      <c r="H221" s="2" t="s">
        <v>306</v>
      </c>
      <c r="I221" s="19">
        <v>40.700000000000003</v>
      </c>
      <c r="J221" s="19"/>
      <c r="K221" s="20">
        <f>ROUND(IR221*I221+IS221*I221,2)</f>
        <v>0</v>
      </c>
      <c r="HV221" s="2" t="s">
        <v>390</v>
      </c>
      <c r="HW221" s="2" t="s">
        <v>30</v>
      </c>
      <c r="IR221" s="21">
        <f>J221*0</f>
        <v>0</v>
      </c>
      <c r="IS221" s="21">
        <f>J221*(1-0)</f>
        <v>0</v>
      </c>
    </row>
    <row r="222" spans="1:253" x14ac:dyDescent="0.25">
      <c r="A222" s="18">
        <v>182</v>
      </c>
      <c r="B222" s="2" t="s">
        <v>396</v>
      </c>
      <c r="C222" s="96" t="s">
        <v>397</v>
      </c>
      <c r="D222" s="97"/>
      <c r="E222" s="97"/>
      <c r="F222" s="97"/>
      <c r="G222" s="97"/>
      <c r="H222" s="2" t="s">
        <v>306</v>
      </c>
      <c r="I222" s="19">
        <v>42.7</v>
      </c>
      <c r="J222" s="19"/>
      <c r="K222" s="20">
        <f>ROUND(IR222*I222+IS222*I222,2)</f>
        <v>0</v>
      </c>
      <c r="HV222" s="2" t="s">
        <v>390</v>
      </c>
      <c r="HW222" s="2" t="s">
        <v>53</v>
      </c>
      <c r="IR222" s="21">
        <f>J222*1</f>
        <v>0</v>
      </c>
      <c r="IS222" s="21">
        <f>J222*(1-1)</f>
        <v>0</v>
      </c>
    </row>
    <row r="223" spans="1:253" x14ac:dyDescent="0.25">
      <c r="A223" s="18">
        <v>183</v>
      </c>
      <c r="B223" s="2" t="s">
        <v>398</v>
      </c>
      <c r="C223" s="96" t="s">
        <v>399</v>
      </c>
      <c r="D223" s="97"/>
      <c r="E223" s="97"/>
      <c r="F223" s="97"/>
      <c r="G223" s="97"/>
      <c r="H223" s="2" t="s">
        <v>33</v>
      </c>
      <c r="I223" s="19">
        <v>220</v>
      </c>
      <c r="J223" s="19"/>
      <c r="K223" s="20">
        <f>ROUND(IR223*I223+IS223*I223,2)</f>
        <v>0</v>
      </c>
      <c r="HV223" s="2" t="s">
        <v>390</v>
      </c>
      <c r="HW223" s="2" t="s">
        <v>30</v>
      </c>
      <c r="IR223" s="21">
        <f>J223*0.264058577</f>
        <v>0</v>
      </c>
      <c r="IS223" s="21">
        <f>J223*(1-0.264058577)</f>
        <v>0</v>
      </c>
    </row>
    <row r="224" spans="1:253" x14ac:dyDescent="0.25">
      <c r="A224" s="18">
        <v>184</v>
      </c>
      <c r="B224" s="2" t="s">
        <v>400</v>
      </c>
      <c r="C224" s="96" t="s">
        <v>401</v>
      </c>
      <c r="D224" s="97"/>
      <c r="E224" s="97"/>
      <c r="F224" s="97"/>
      <c r="G224" s="97"/>
      <c r="H224" s="2" t="s">
        <v>41</v>
      </c>
      <c r="I224" s="19">
        <v>1130</v>
      </c>
      <c r="J224" s="19"/>
      <c r="K224" s="20">
        <f>ROUND(IR224*I224+IS224*I224,2)</f>
        <v>0</v>
      </c>
      <c r="HV224" s="2" t="s">
        <v>390</v>
      </c>
      <c r="HW224" s="2" t="s">
        <v>30</v>
      </c>
      <c r="IR224" s="21">
        <f>J224*0</f>
        <v>0</v>
      </c>
      <c r="IS224" s="21">
        <f>J224*(1-0)</f>
        <v>0</v>
      </c>
    </row>
    <row r="225" spans="1:253" x14ac:dyDescent="0.25">
      <c r="A225" s="14" t="s">
        <v>22</v>
      </c>
      <c r="B225" s="15" t="s">
        <v>23</v>
      </c>
      <c r="C225" s="152" t="s">
        <v>402</v>
      </c>
      <c r="D225" s="153"/>
      <c r="E225" s="153"/>
      <c r="F225" s="153"/>
      <c r="G225" s="153"/>
      <c r="H225" s="15" t="s">
        <v>22</v>
      </c>
      <c r="I225" s="16" t="s">
        <v>22</v>
      </c>
      <c r="J225" s="16"/>
      <c r="K225" s="17">
        <f>K227+K229+K232+K234</f>
        <v>0</v>
      </c>
    </row>
    <row r="226" spans="1:253" x14ac:dyDescent="0.25">
      <c r="A226" s="14" t="s">
        <v>22</v>
      </c>
      <c r="B226" s="15" t="s">
        <v>403</v>
      </c>
      <c r="C226" s="152" t="s">
        <v>404</v>
      </c>
      <c r="D226" s="153"/>
      <c r="E226" s="153"/>
      <c r="F226" s="153"/>
      <c r="G226" s="153"/>
      <c r="H226" s="15" t="s">
        <v>22</v>
      </c>
      <c r="I226" s="16" t="s">
        <v>22</v>
      </c>
      <c r="J226" s="16"/>
      <c r="K226" s="17">
        <f>K227+K229+K232+K234</f>
        <v>0</v>
      </c>
    </row>
    <row r="227" spans="1:253" x14ac:dyDescent="0.25">
      <c r="A227" s="14" t="s">
        <v>22</v>
      </c>
      <c r="B227" s="15" t="s">
        <v>405</v>
      </c>
      <c r="C227" s="152" t="s">
        <v>406</v>
      </c>
      <c r="D227" s="153"/>
      <c r="E227" s="153"/>
      <c r="F227" s="153"/>
      <c r="G227" s="153"/>
      <c r="H227" s="15" t="s">
        <v>22</v>
      </c>
      <c r="I227" s="16" t="s">
        <v>22</v>
      </c>
      <c r="J227" s="16"/>
      <c r="K227" s="17">
        <f>SUM(K228:K228)</f>
        <v>0</v>
      </c>
    </row>
    <row r="228" spans="1:253" x14ac:dyDescent="0.25">
      <c r="A228" s="18">
        <v>185</v>
      </c>
      <c r="B228" s="2" t="s">
        <v>407</v>
      </c>
      <c r="C228" s="96" t="s">
        <v>408</v>
      </c>
      <c r="D228" s="97"/>
      <c r="E228" s="97"/>
      <c r="F228" s="97"/>
      <c r="G228" s="97"/>
      <c r="H228" s="2" t="s">
        <v>56</v>
      </c>
      <c r="I228" s="19">
        <v>22</v>
      </c>
      <c r="J228" s="19"/>
      <c r="K228" s="20">
        <f>ROUND(IR228*I228+IS228*I228,2)</f>
        <v>0</v>
      </c>
      <c r="HV228" s="2" t="s">
        <v>405</v>
      </c>
      <c r="HW228" s="2" t="s">
        <v>30</v>
      </c>
      <c r="IR228" s="21">
        <f>J228*0</f>
        <v>0</v>
      </c>
      <c r="IS228" s="21">
        <f>J228*(1-0)</f>
        <v>0</v>
      </c>
    </row>
    <row r="229" spans="1:253" x14ac:dyDescent="0.25">
      <c r="A229" s="14" t="s">
        <v>22</v>
      </c>
      <c r="B229" s="15" t="s">
        <v>409</v>
      </c>
      <c r="C229" s="152" t="s">
        <v>410</v>
      </c>
      <c r="D229" s="153"/>
      <c r="E229" s="153"/>
      <c r="F229" s="153"/>
      <c r="G229" s="153"/>
      <c r="H229" s="15" t="s">
        <v>22</v>
      </c>
      <c r="I229" s="16" t="s">
        <v>22</v>
      </c>
      <c r="J229" s="16"/>
      <c r="K229" s="17">
        <f>SUM(K230:K231)</f>
        <v>0</v>
      </c>
    </row>
    <row r="230" spans="1:253" x14ac:dyDescent="0.25">
      <c r="A230" s="18">
        <v>186</v>
      </c>
      <c r="B230" s="2" t="s">
        <v>411</v>
      </c>
      <c r="C230" s="96" t="s">
        <v>410</v>
      </c>
      <c r="D230" s="97"/>
      <c r="E230" s="97"/>
      <c r="F230" s="97"/>
      <c r="G230" s="97"/>
      <c r="H230" s="2" t="s">
        <v>412</v>
      </c>
      <c r="I230" s="19">
        <v>1</v>
      </c>
      <c r="J230" s="19"/>
      <c r="K230" s="20">
        <f>ROUND(IR230*I230+IS230*I230,2)</f>
        <v>0</v>
      </c>
      <c r="HV230" s="2" t="s">
        <v>409</v>
      </c>
      <c r="HW230" s="2" t="s">
        <v>30</v>
      </c>
      <c r="IR230" s="21">
        <f>J230*0</f>
        <v>0</v>
      </c>
      <c r="IS230" s="21">
        <f>J230*(1-0)</f>
        <v>0</v>
      </c>
    </row>
    <row r="231" spans="1:253" x14ac:dyDescent="0.25">
      <c r="A231" s="18">
        <v>187</v>
      </c>
      <c r="B231" s="2" t="s">
        <v>413</v>
      </c>
      <c r="C231" s="96" t="s">
        <v>414</v>
      </c>
      <c r="D231" s="97"/>
      <c r="E231" s="97"/>
      <c r="F231" s="97"/>
      <c r="G231" s="97"/>
      <c r="H231" s="2" t="s">
        <v>412</v>
      </c>
      <c r="I231" s="19">
        <v>1</v>
      </c>
      <c r="J231" s="19"/>
      <c r="K231" s="20">
        <f>ROUND(IR231*I231+IS231*I231,2)</f>
        <v>0</v>
      </c>
      <c r="HV231" s="2" t="s">
        <v>409</v>
      </c>
      <c r="HW231" s="2" t="s">
        <v>30</v>
      </c>
      <c r="IR231" s="21">
        <f>J231*0</f>
        <v>0</v>
      </c>
      <c r="IS231" s="21">
        <f>J231*(1-0)</f>
        <v>0</v>
      </c>
    </row>
    <row r="232" spans="1:253" x14ac:dyDescent="0.25">
      <c r="A232" s="14" t="s">
        <v>22</v>
      </c>
      <c r="B232" s="15" t="s">
        <v>415</v>
      </c>
      <c r="C232" s="152" t="s">
        <v>416</v>
      </c>
      <c r="D232" s="153"/>
      <c r="E232" s="153"/>
      <c r="F232" s="153"/>
      <c r="G232" s="153"/>
      <c r="H232" s="15" t="s">
        <v>22</v>
      </c>
      <c r="I232" s="16" t="s">
        <v>22</v>
      </c>
      <c r="J232" s="16"/>
      <c r="K232" s="17">
        <f>SUM(K233:K233)</f>
        <v>0</v>
      </c>
    </row>
    <row r="233" spans="1:253" x14ac:dyDescent="0.25">
      <c r="A233" s="18">
        <v>188</v>
      </c>
      <c r="B233" s="2" t="s">
        <v>417</v>
      </c>
      <c r="C233" s="96" t="s">
        <v>416</v>
      </c>
      <c r="D233" s="97"/>
      <c r="E233" s="97"/>
      <c r="F233" s="97"/>
      <c r="G233" s="97"/>
      <c r="H233" s="2" t="s">
        <v>412</v>
      </c>
      <c r="I233" s="19">
        <v>1</v>
      </c>
      <c r="J233" s="19"/>
      <c r="K233" s="20">
        <f>ROUND(IR233*I233+IS233*I233,2)</f>
        <v>0</v>
      </c>
      <c r="HV233" s="2" t="s">
        <v>415</v>
      </c>
      <c r="HW233" s="2" t="s">
        <v>30</v>
      </c>
      <c r="IR233" s="21">
        <f>J233*0</f>
        <v>0</v>
      </c>
      <c r="IS233" s="21">
        <f>J233*(1-0)</f>
        <v>0</v>
      </c>
    </row>
    <row r="234" spans="1:253" x14ac:dyDescent="0.25">
      <c r="A234" s="14" t="s">
        <v>22</v>
      </c>
      <c r="B234" s="15" t="s">
        <v>418</v>
      </c>
      <c r="C234" s="152" t="s">
        <v>419</v>
      </c>
      <c r="D234" s="153"/>
      <c r="E234" s="153"/>
      <c r="F234" s="153"/>
      <c r="G234" s="153"/>
      <c r="H234" s="15" t="s">
        <v>22</v>
      </c>
      <c r="I234" s="16" t="s">
        <v>22</v>
      </c>
      <c r="J234" s="16"/>
      <c r="K234" s="17">
        <f>SUM(K235:K235)</f>
        <v>0</v>
      </c>
    </row>
    <row r="235" spans="1:253" x14ac:dyDescent="0.25">
      <c r="A235" s="22">
        <v>189</v>
      </c>
      <c r="B235" s="6" t="s">
        <v>420</v>
      </c>
      <c r="C235" s="154" t="s">
        <v>421</v>
      </c>
      <c r="D235" s="133"/>
      <c r="E235" s="133"/>
      <c r="F235" s="133"/>
      <c r="G235" s="133"/>
      <c r="H235" s="6" t="s">
        <v>412</v>
      </c>
      <c r="I235" s="23">
        <v>22</v>
      </c>
      <c r="J235" s="23"/>
      <c r="K235" s="24">
        <f>ROUND(IR235*I235+IS235*I235,2)</f>
        <v>0</v>
      </c>
      <c r="HV235" s="2" t="s">
        <v>418</v>
      </c>
      <c r="HW235" s="2" t="s">
        <v>30</v>
      </c>
      <c r="IR235" s="21">
        <f>J235*0</f>
        <v>0</v>
      </c>
      <c r="IS235" s="21">
        <f>J235*(1-0)</f>
        <v>0</v>
      </c>
    </row>
    <row r="237" spans="1:253" x14ac:dyDescent="0.25">
      <c r="J237" s="3" t="s">
        <v>422</v>
      </c>
      <c r="K237" s="25">
        <f>ROUND(K12+K19+K28+K31+K46+K93+K98+K125+K130+K156+K171+K182+K186+K188+K193+K196+K198+K200+K202+K208+K219+K227+K229+K232+K234,0)</f>
        <v>0</v>
      </c>
    </row>
  </sheetData>
  <mergeCells count="251">
    <mergeCell ref="A1:K1"/>
    <mergeCell ref="A2:B3"/>
    <mergeCell ref="A4:B5"/>
    <mergeCell ref="A6:B7"/>
    <mergeCell ref="A8:B9"/>
    <mergeCell ref="C2:C3"/>
    <mergeCell ref="C4:C5"/>
    <mergeCell ref="C6:C7"/>
    <mergeCell ref="C8:C9"/>
    <mergeCell ref="D2:E3"/>
    <mergeCell ref="D4:E5"/>
    <mergeCell ref="D6:E7"/>
    <mergeCell ref="D8:E9"/>
    <mergeCell ref="F2:F3"/>
    <mergeCell ref="F4:F5"/>
    <mergeCell ref="C12:G12"/>
    <mergeCell ref="C13:G13"/>
    <mergeCell ref="C14:G14"/>
    <mergeCell ref="C15:G15"/>
    <mergeCell ref="C16:G16"/>
    <mergeCell ref="H2:K3"/>
    <mergeCell ref="H4:K5"/>
    <mergeCell ref="H6:K7"/>
    <mergeCell ref="H8:K9"/>
    <mergeCell ref="C11:G11"/>
    <mergeCell ref="F6:F7"/>
    <mergeCell ref="F8:F9"/>
    <mergeCell ref="G2:G3"/>
    <mergeCell ref="G4:G5"/>
    <mergeCell ref="G6:G7"/>
    <mergeCell ref="G8:G9"/>
    <mergeCell ref="C10:G10"/>
    <mergeCell ref="C22:G22"/>
    <mergeCell ref="C23:G23"/>
    <mergeCell ref="C24:G24"/>
    <mergeCell ref="C25:G25"/>
    <mergeCell ref="C26:G26"/>
    <mergeCell ref="C17:G17"/>
    <mergeCell ref="C18:G18"/>
    <mergeCell ref="C19:G19"/>
    <mergeCell ref="C20:G20"/>
    <mergeCell ref="C21:G21"/>
    <mergeCell ref="C32:G32"/>
    <mergeCell ref="C33:G33"/>
    <mergeCell ref="C34:G34"/>
    <mergeCell ref="C35:G35"/>
    <mergeCell ref="C36:G36"/>
    <mergeCell ref="C27:G27"/>
    <mergeCell ref="C28:G28"/>
    <mergeCell ref="C29:G29"/>
    <mergeCell ref="C30:G30"/>
    <mergeCell ref="C31:G31"/>
    <mergeCell ref="C42:G42"/>
    <mergeCell ref="C43:G43"/>
    <mergeCell ref="C44:G44"/>
    <mergeCell ref="C45:G45"/>
    <mergeCell ref="C46:G46"/>
    <mergeCell ref="C37:G37"/>
    <mergeCell ref="C38:G38"/>
    <mergeCell ref="C39:G39"/>
    <mergeCell ref="C40:G40"/>
    <mergeCell ref="C41:G41"/>
    <mergeCell ref="C52:G52"/>
    <mergeCell ref="C53:G53"/>
    <mergeCell ref="C54:G54"/>
    <mergeCell ref="C55:G55"/>
    <mergeCell ref="C56:G56"/>
    <mergeCell ref="C47:G47"/>
    <mergeCell ref="C48:G48"/>
    <mergeCell ref="C49:G49"/>
    <mergeCell ref="C50:G50"/>
    <mergeCell ref="C51:G51"/>
    <mergeCell ref="C62:G62"/>
    <mergeCell ref="C63:G63"/>
    <mergeCell ref="C64:G64"/>
    <mergeCell ref="C65:G65"/>
    <mergeCell ref="C66:G66"/>
    <mergeCell ref="C57:G57"/>
    <mergeCell ref="C58:G58"/>
    <mergeCell ref="C59:G59"/>
    <mergeCell ref="C60:G60"/>
    <mergeCell ref="C61:G61"/>
    <mergeCell ref="C72:G72"/>
    <mergeCell ref="C73:G73"/>
    <mergeCell ref="C74:G74"/>
    <mergeCell ref="C75:G75"/>
    <mergeCell ref="C76:G76"/>
    <mergeCell ref="C67:G67"/>
    <mergeCell ref="C68:G68"/>
    <mergeCell ref="C69:G69"/>
    <mergeCell ref="C70:G70"/>
    <mergeCell ref="C71:G71"/>
    <mergeCell ref="C82:G82"/>
    <mergeCell ref="C83:G83"/>
    <mergeCell ref="C84:G84"/>
    <mergeCell ref="C85:G85"/>
    <mergeCell ref="C86:G86"/>
    <mergeCell ref="C77:G77"/>
    <mergeCell ref="C78:G78"/>
    <mergeCell ref="C79:G79"/>
    <mergeCell ref="C80:G80"/>
    <mergeCell ref="C81:G81"/>
    <mergeCell ref="C92:G92"/>
    <mergeCell ref="C93:G93"/>
    <mergeCell ref="C94:G94"/>
    <mergeCell ref="C95:G95"/>
    <mergeCell ref="C96:G96"/>
    <mergeCell ref="C87:G87"/>
    <mergeCell ref="C88:G88"/>
    <mergeCell ref="C89:G89"/>
    <mergeCell ref="C90:G90"/>
    <mergeCell ref="C91:G91"/>
    <mergeCell ref="C102:G102"/>
    <mergeCell ref="C103:G103"/>
    <mergeCell ref="C104:G104"/>
    <mergeCell ref="C105:G105"/>
    <mergeCell ref="C106:G106"/>
    <mergeCell ref="C97:G97"/>
    <mergeCell ref="C98:G98"/>
    <mergeCell ref="C99:G99"/>
    <mergeCell ref="C100:G100"/>
    <mergeCell ref="C101:G101"/>
    <mergeCell ref="C112:G112"/>
    <mergeCell ref="C113:G113"/>
    <mergeCell ref="C114:G114"/>
    <mergeCell ref="C115:G115"/>
    <mergeCell ref="C116:G116"/>
    <mergeCell ref="C107:G107"/>
    <mergeCell ref="C108:G108"/>
    <mergeCell ref="C109:G109"/>
    <mergeCell ref="C110:G110"/>
    <mergeCell ref="C111:G111"/>
    <mergeCell ref="C122:G122"/>
    <mergeCell ref="C123:G123"/>
    <mergeCell ref="C124:G124"/>
    <mergeCell ref="C125:G125"/>
    <mergeCell ref="C126:G126"/>
    <mergeCell ref="C117:G117"/>
    <mergeCell ref="C118:G118"/>
    <mergeCell ref="C119:G119"/>
    <mergeCell ref="C120:G120"/>
    <mergeCell ref="C121:G121"/>
    <mergeCell ref="C132:G132"/>
    <mergeCell ref="C133:G133"/>
    <mergeCell ref="C134:G134"/>
    <mergeCell ref="C135:G135"/>
    <mergeCell ref="C136:G136"/>
    <mergeCell ref="C127:G127"/>
    <mergeCell ref="C128:G128"/>
    <mergeCell ref="C129:G129"/>
    <mergeCell ref="C130:G130"/>
    <mergeCell ref="C131:G131"/>
    <mergeCell ref="C142:G142"/>
    <mergeCell ref="C143:G143"/>
    <mergeCell ref="C144:G144"/>
    <mergeCell ref="C145:G145"/>
    <mergeCell ref="C146:G146"/>
    <mergeCell ref="C137:G137"/>
    <mergeCell ref="C138:G138"/>
    <mergeCell ref="C139:G139"/>
    <mergeCell ref="C140:G140"/>
    <mergeCell ref="C141:G141"/>
    <mergeCell ref="C152:G152"/>
    <mergeCell ref="C153:G153"/>
    <mergeCell ref="C154:G154"/>
    <mergeCell ref="C155:G155"/>
    <mergeCell ref="C156:G156"/>
    <mergeCell ref="C147:G147"/>
    <mergeCell ref="C148:G148"/>
    <mergeCell ref="C149:G149"/>
    <mergeCell ref="C150:G150"/>
    <mergeCell ref="C151:G151"/>
    <mergeCell ref="C162:G162"/>
    <mergeCell ref="C163:G163"/>
    <mergeCell ref="C164:G164"/>
    <mergeCell ref="C165:G165"/>
    <mergeCell ref="C166:G166"/>
    <mergeCell ref="C157:G157"/>
    <mergeCell ref="C158:G158"/>
    <mergeCell ref="C159:G159"/>
    <mergeCell ref="C160:G160"/>
    <mergeCell ref="C161:G161"/>
    <mergeCell ref="C172:G172"/>
    <mergeCell ref="C173:G173"/>
    <mergeCell ref="C174:G174"/>
    <mergeCell ref="C175:G175"/>
    <mergeCell ref="C176:G176"/>
    <mergeCell ref="C167:G167"/>
    <mergeCell ref="C168:G168"/>
    <mergeCell ref="C169:G169"/>
    <mergeCell ref="C170:G170"/>
    <mergeCell ref="C171:G171"/>
    <mergeCell ref="C182:G182"/>
    <mergeCell ref="C183:G183"/>
    <mergeCell ref="C184:G184"/>
    <mergeCell ref="C185:G185"/>
    <mergeCell ref="C186:G186"/>
    <mergeCell ref="C177:G177"/>
    <mergeCell ref="C178:G178"/>
    <mergeCell ref="C179:G179"/>
    <mergeCell ref="C180:G180"/>
    <mergeCell ref="C181:G181"/>
    <mergeCell ref="C192:G192"/>
    <mergeCell ref="C193:G193"/>
    <mergeCell ref="C194:G194"/>
    <mergeCell ref="C195:G195"/>
    <mergeCell ref="C196:G196"/>
    <mergeCell ref="C187:G187"/>
    <mergeCell ref="C188:G188"/>
    <mergeCell ref="C189:G189"/>
    <mergeCell ref="C190:G190"/>
    <mergeCell ref="C191:G191"/>
    <mergeCell ref="C202:G202"/>
    <mergeCell ref="C203:G203"/>
    <mergeCell ref="C204:G204"/>
    <mergeCell ref="C205:G205"/>
    <mergeCell ref="C206:G206"/>
    <mergeCell ref="C197:G197"/>
    <mergeCell ref="C198:G198"/>
    <mergeCell ref="C199:G199"/>
    <mergeCell ref="C200:G200"/>
    <mergeCell ref="C201:G201"/>
    <mergeCell ref="C212:G212"/>
    <mergeCell ref="C213:G213"/>
    <mergeCell ref="C214:G214"/>
    <mergeCell ref="C215:G215"/>
    <mergeCell ref="C216:G216"/>
    <mergeCell ref="C207:G207"/>
    <mergeCell ref="C208:G208"/>
    <mergeCell ref="C209:G209"/>
    <mergeCell ref="C210:G210"/>
    <mergeCell ref="C211:G211"/>
    <mergeCell ref="C222:G222"/>
    <mergeCell ref="C223:G223"/>
    <mergeCell ref="C224:G224"/>
    <mergeCell ref="C225:G225"/>
    <mergeCell ref="C226:G226"/>
    <mergeCell ref="C217:G217"/>
    <mergeCell ref="C218:G218"/>
    <mergeCell ref="C219:G219"/>
    <mergeCell ref="C220:G220"/>
    <mergeCell ref="C221:G221"/>
    <mergeCell ref="C232:G232"/>
    <mergeCell ref="C233:G233"/>
    <mergeCell ref="C234:G234"/>
    <mergeCell ref="C235:G235"/>
    <mergeCell ref="C227:G227"/>
    <mergeCell ref="C228:G228"/>
    <mergeCell ref="C229:G229"/>
    <mergeCell ref="C230:G230"/>
    <mergeCell ref="C231:G231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40" t="s">
        <v>404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25">
      <c r="A2" s="142" t="s">
        <v>1</v>
      </c>
      <c r="B2" s="143"/>
      <c r="C2" s="137" t="str">
        <f>'Stavební rozpočet'!D2</f>
        <v>Oprava rozvodů kanalizace, vody a plynu v bytovém domě Karvinská 1275 Havířov</v>
      </c>
      <c r="D2" s="138"/>
      <c r="E2" s="134" t="s">
        <v>3</v>
      </c>
      <c r="F2" s="134" t="str">
        <f>'Stavební rozpočet'!J2</f>
        <v>Společenství vlastníků Karvinská 1275/37, Havířov,</v>
      </c>
      <c r="G2" s="143"/>
      <c r="H2" s="134" t="s">
        <v>441</v>
      </c>
      <c r="I2" s="145" t="s">
        <v>442</v>
      </c>
    </row>
    <row r="3" spans="1:9" ht="25.5" customHeight="1" x14ac:dyDescent="0.25">
      <c r="A3" s="144"/>
      <c r="B3" s="97"/>
      <c r="C3" s="139"/>
      <c r="D3" s="139"/>
      <c r="E3" s="97"/>
      <c r="F3" s="97"/>
      <c r="G3" s="97"/>
      <c r="H3" s="97"/>
      <c r="I3" s="146"/>
    </row>
    <row r="4" spans="1:9" x14ac:dyDescent="0.25">
      <c r="A4" s="135" t="s">
        <v>4</v>
      </c>
      <c r="B4" s="97"/>
      <c r="C4" s="96" t="str">
        <f>'Stavební rozpočet'!D4</f>
        <v xml:space="preserve"> </v>
      </c>
      <c r="D4" s="97"/>
      <c r="E4" s="96" t="s">
        <v>6</v>
      </c>
      <c r="F4" s="96" t="str">
        <f>'Stavební rozpočet'!J4</f>
        <v>Ing. Radim Kyjonka</v>
      </c>
      <c r="G4" s="97"/>
      <c r="H4" s="96" t="s">
        <v>441</v>
      </c>
      <c r="I4" s="146" t="s">
        <v>443</v>
      </c>
    </row>
    <row r="5" spans="1:9" ht="15" customHeight="1" x14ac:dyDescent="0.25">
      <c r="A5" s="144"/>
      <c r="B5" s="97"/>
      <c r="C5" s="97"/>
      <c r="D5" s="97"/>
      <c r="E5" s="97"/>
      <c r="F5" s="97"/>
      <c r="G5" s="97"/>
      <c r="H5" s="97"/>
      <c r="I5" s="146"/>
    </row>
    <row r="6" spans="1:9" x14ac:dyDescent="0.25">
      <c r="A6" s="135" t="s">
        <v>7</v>
      </c>
      <c r="B6" s="97"/>
      <c r="C6" s="96" t="str">
        <f>'Stavební rozpočet'!D6</f>
        <v xml:space="preserve"> </v>
      </c>
      <c r="D6" s="97"/>
      <c r="E6" s="96" t="s">
        <v>9</v>
      </c>
      <c r="F6" s="96" t="str">
        <f>'Stavební rozpočet'!J6</f>
        <v> </v>
      </c>
      <c r="G6" s="97"/>
      <c r="H6" s="96" t="s">
        <v>441</v>
      </c>
      <c r="I6" s="146" t="s">
        <v>23</v>
      </c>
    </row>
    <row r="7" spans="1:9" ht="15" customHeight="1" x14ac:dyDescent="0.25">
      <c r="A7" s="144"/>
      <c r="B7" s="97"/>
      <c r="C7" s="97"/>
      <c r="D7" s="97"/>
      <c r="E7" s="97"/>
      <c r="F7" s="97"/>
      <c r="G7" s="97"/>
      <c r="H7" s="97"/>
      <c r="I7" s="146"/>
    </row>
    <row r="8" spans="1:9" x14ac:dyDescent="0.25">
      <c r="A8" s="135" t="s">
        <v>5</v>
      </c>
      <c r="B8" s="97"/>
      <c r="C8" s="96" t="str">
        <f>'Stavební rozpočet'!H4</f>
        <v xml:space="preserve"> </v>
      </c>
      <c r="D8" s="97"/>
      <c r="E8" s="96" t="s">
        <v>8</v>
      </c>
      <c r="F8" s="96" t="str">
        <f>'Stavební rozpočet'!H6</f>
        <v xml:space="preserve"> </v>
      </c>
      <c r="G8" s="97"/>
      <c r="H8" s="97" t="s">
        <v>444</v>
      </c>
      <c r="I8" s="147">
        <v>189</v>
      </c>
    </row>
    <row r="9" spans="1:9" x14ac:dyDescent="0.25">
      <c r="A9" s="144"/>
      <c r="B9" s="97"/>
      <c r="C9" s="97"/>
      <c r="D9" s="97"/>
      <c r="E9" s="97"/>
      <c r="F9" s="97"/>
      <c r="G9" s="97"/>
      <c r="H9" s="97"/>
      <c r="I9" s="146"/>
    </row>
    <row r="10" spans="1:9" x14ac:dyDescent="0.25">
      <c r="A10" s="135" t="s">
        <v>10</v>
      </c>
      <c r="B10" s="97"/>
      <c r="C10" s="96" t="str">
        <f>'Stavební rozpočet'!D8</f>
        <v xml:space="preserve"> </v>
      </c>
      <c r="D10" s="97"/>
      <c r="E10" s="96" t="s">
        <v>12</v>
      </c>
      <c r="F10" s="96" t="str">
        <f>'Stavební rozpočet'!J8</f>
        <v>Ing. Radim Kyjonka</v>
      </c>
      <c r="G10" s="97"/>
      <c r="H10" s="97" t="s">
        <v>445</v>
      </c>
      <c r="I10" s="128" t="str">
        <f>'Stavební rozpočet'!H8</f>
        <v>11.04.2025</v>
      </c>
    </row>
    <row r="11" spans="1:9" x14ac:dyDescent="0.25">
      <c r="A11" s="136"/>
      <c r="B11" s="133"/>
      <c r="C11" s="133"/>
      <c r="D11" s="133"/>
      <c r="E11" s="133"/>
      <c r="F11" s="133"/>
      <c r="G11" s="133"/>
      <c r="H11" s="133"/>
      <c r="I11" s="129"/>
    </row>
    <row r="13" spans="1:9" ht="15.75" x14ac:dyDescent="0.25">
      <c r="A13" s="175" t="s">
        <v>486</v>
      </c>
      <c r="B13" s="175"/>
      <c r="C13" s="175"/>
      <c r="D13" s="175"/>
      <c r="E13" s="175"/>
    </row>
    <row r="14" spans="1:9" x14ac:dyDescent="0.25">
      <c r="A14" s="176" t="s">
        <v>487</v>
      </c>
      <c r="B14" s="177"/>
      <c r="C14" s="177"/>
      <c r="D14" s="177"/>
      <c r="E14" s="178"/>
      <c r="F14" s="52" t="s">
        <v>488</v>
      </c>
      <c r="G14" s="52" t="s">
        <v>41</v>
      </c>
      <c r="H14" s="52" t="s">
        <v>489</v>
      </c>
      <c r="I14" s="52" t="s">
        <v>488</v>
      </c>
    </row>
    <row r="15" spans="1:9" x14ac:dyDescent="0.25">
      <c r="A15" s="160" t="s">
        <v>455</v>
      </c>
      <c r="B15" s="161"/>
      <c r="C15" s="161"/>
      <c r="D15" s="161"/>
      <c r="E15" s="162"/>
      <c r="F15" s="53">
        <v>0</v>
      </c>
      <c r="G15" s="54" t="s">
        <v>23</v>
      </c>
      <c r="H15" s="54" t="s">
        <v>23</v>
      </c>
      <c r="I15" s="53">
        <f>F15</f>
        <v>0</v>
      </c>
    </row>
    <row r="16" spans="1:9" x14ac:dyDescent="0.25">
      <c r="A16" s="160" t="s">
        <v>457</v>
      </c>
      <c r="B16" s="161"/>
      <c r="C16" s="161"/>
      <c r="D16" s="161"/>
      <c r="E16" s="162"/>
      <c r="F16" s="53">
        <v>0</v>
      </c>
      <c r="G16" s="54" t="s">
        <v>23</v>
      </c>
      <c r="H16" s="54" t="s">
        <v>23</v>
      </c>
      <c r="I16" s="53">
        <f>F16</f>
        <v>0</v>
      </c>
    </row>
    <row r="17" spans="1:9" x14ac:dyDescent="0.25">
      <c r="A17" s="163" t="s">
        <v>460</v>
      </c>
      <c r="B17" s="164"/>
      <c r="C17" s="164"/>
      <c r="D17" s="164"/>
      <c r="E17" s="165"/>
      <c r="F17" s="55">
        <v>0</v>
      </c>
      <c r="G17" s="56" t="s">
        <v>23</v>
      </c>
      <c r="H17" s="56" t="s">
        <v>23</v>
      </c>
      <c r="I17" s="55">
        <f>F17</f>
        <v>0</v>
      </c>
    </row>
    <row r="18" spans="1:9" x14ac:dyDescent="0.25">
      <c r="A18" s="166" t="s">
        <v>490</v>
      </c>
      <c r="B18" s="167"/>
      <c r="C18" s="167"/>
      <c r="D18" s="167"/>
      <c r="E18" s="168"/>
      <c r="F18" s="57" t="s">
        <v>23</v>
      </c>
      <c r="G18" s="58" t="s">
        <v>23</v>
      </c>
      <c r="H18" s="58" t="s">
        <v>23</v>
      </c>
      <c r="I18" s="59">
        <f>SUM(I15:I17)</f>
        <v>0</v>
      </c>
    </row>
    <row r="20" spans="1:9" x14ac:dyDescent="0.25">
      <c r="A20" s="176" t="s">
        <v>452</v>
      </c>
      <c r="B20" s="177"/>
      <c r="C20" s="177"/>
      <c r="D20" s="177"/>
      <c r="E20" s="178"/>
      <c r="F20" s="52" t="s">
        <v>488</v>
      </c>
      <c r="G20" s="52" t="s">
        <v>41</v>
      </c>
      <c r="H20" s="52" t="s">
        <v>489</v>
      </c>
      <c r="I20" s="52" t="s">
        <v>488</v>
      </c>
    </row>
    <row r="21" spans="1:9" x14ac:dyDescent="0.25">
      <c r="A21" s="160" t="s">
        <v>410</v>
      </c>
      <c r="B21" s="161"/>
      <c r="C21" s="161"/>
      <c r="D21" s="161"/>
      <c r="E21" s="162"/>
      <c r="F21" s="53">
        <v>0</v>
      </c>
      <c r="G21" s="54" t="s">
        <v>23</v>
      </c>
      <c r="H21" s="54" t="s">
        <v>23</v>
      </c>
      <c r="I21" s="53">
        <f t="shared" ref="I21:I26" si="0">F21</f>
        <v>0</v>
      </c>
    </row>
    <row r="22" spans="1:9" x14ac:dyDescent="0.25">
      <c r="A22" s="160" t="s">
        <v>458</v>
      </c>
      <c r="B22" s="161"/>
      <c r="C22" s="161"/>
      <c r="D22" s="161"/>
      <c r="E22" s="162"/>
      <c r="F22" s="53">
        <v>0</v>
      </c>
      <c r="G22" s="54" t="s">
        <v>23</v>
      </c>
      <c r="H22" s="54" t="s">
        <v>23</v>
      </c>
      <c r="I22" s="53">
        <f t="shared" si="0"/>
        <v>0</v>
      </c>
    </row>
    <row r="23" spans="1:9" x14ac:dyDescent="0.25">
      <c r="A23" s="160" t="s">
        <v>461</v>
      </c>
      <c r="B23" s="161"/>
      <c r="C23" s="161"/>
      <c r="D23" s="161"/>
      <c r="E23" s="162"/>
      <c r="F23" s="53">
        <v>0</v>
      </c>
      <c r="G23" s="54" t="s">
        <v>23</v>
      </c>
      <c r="H23" s="54" t="s">
        <v>23</v>
      </c>
      <c r="I23" s="53">
        <f t="shared" si="0"/>
        <v>0</v>
      </c>
    </row>
    <row r="24" spans="1:9" x14ac:dyDescent="0.25">
      <c r="A24" s="160" t="s">
        <v>416</v>
      </c>
      <c r="B24" s="161"/>
      <c r="C24" s="161"/>
      <c r="D24" s="161"/>
      <c r="E24" s="162"/>
      <c r="F24" s="53">
        <v>0</v>
      </c>
      <c r="G24" s="54" t="s">
        <v>23</v>
      </c>
      <c r="H24" s="54" t="s">
        <v>23</v>
      </c>
      <c r="I24" s="53">
        <f t="shared" si="0"/>
        <v>0</v>
      </c>
    </row>
    <row r="25" spans="1:9" x14ac:dyDescent="0.25">
      <c r="A25" s="160" t="s">
        <v>463</v>
      </c>
      <c r="B25" s="161"/>
      <c r="C25" s="161"/>
      <c r="D25" s="161"/>
      <c r="E25" s="162"/>
      <c r="F25" s="53">
        <v>0</v>
      </c>
      <c r="G25" s="54" t="s">
        <v>23</v>
      </c>
      <c r="H25" s="54" t="s">
        <v>23</v>
      </c>
      <c r="I25" s="53">
        <f t="shared" si="0"/>
        <v>0</v>
      </c>
    </row>
    <row r="26" spans="1:9" x14ac:dyDescent="0.25">
      <c r="A26" s="163" t="s">
        <v>464</v>
      </c>
      <c r="B26" s="164"/>
      <c r="C26" s="164"/>
      <c r="D26" s="164"/>
      <c r="E26" s="165"/>
      <c r="F26" s="55">
        <v>0</v>
      </c>
      <c r="G26" s="56" t="s">
        <v>23</v>
      </c>
      <c r="H26" s="56" t="s">
        <v>23</v>
      </c>
      <c r="I26" s="55">
        <f t="shared" si="0"/>
        <v>0</v>
      </c>
    </row>
    <row r="27" spans="1:9" x14ac:dyDescent="0.25">
      <c r="A27" s="166" t="s">
        <v>491</v>
      </c>
      <c r="B27" s="167"/>
      <c r="C27" s="167"/>
      <c r="D27" s="167"/>
      <c r="E27" s="168"/>
      <c r="F27" s="57" t="s">
        <v>23</v>
      </c>
      <c r="G27" s="58" t="s">
        <v>23</v>
      </c>
      <c r="H27" s="58" t="s">
        <v>23</v>
      </c>
      <c r="I27" s="59">
        <f>SUM(I21:I26)</f>
        <v>0</v>
      </c>
    </row>
    <row r="29" spans="1:9" ht="15.75" x14ac:dyDescent="0.25">
      <c r="A29" s="169" t="s">
        <v>492</v>
      </c>
      <c r="B29" s="170"/>
      <c r="C29" s="170"/>
      <c r="D29" s="170"/>
      <c r="E29" s="171"/>
      <c r="F29" s="172">
        <f>I18+I27</f>
        <v>0</v>
      </c>
      <c r="G29" s="173"/>
      <c r="H29" s="173"/>
      <c r="I29" s="174"/>
    </row>
    <row r="33" spans="1:9" ht="15.75" x14ac:dyDescent="0.25">
      <c r="A33" s="175" t="s">
        <v>493</v>
      </c>
      <c r="B33" s="175"/>
      <c r="C33" s="175"/>
      <c r="D33" s="175"/>
      <c r="E33" s="175"/>
    </row>
    <row r="34" spans="1:9" x14ac:dyDescent="0.25">
      <c r="A34" s="176" t="s">
        <v>494</v>
      </c>
      <c r="B34" s="177"/>
      <c r="C34" s="177"/>
      <c r="D34" s="177"/>
      <c r="E34" s="178"/>
      <c r="F34" s="52" t="s">
        <v>488</v>
      </c>
      <c r="G34" s="52" t="s">
        <v>41</v>
      </c>
      <c r="H34" s="52" t="s">
        <v>489</v>
      </c>
      <c r="I34" s="52" t="s">
        <v>488</v>
      </c>
    </row>
    <row r="35" spans="1:9" x14ac:dyDescent="0.25">
      <c r="A35" s="160" t="s">
        <v>406</v>
      </c>
      <c r="B35" s="161"/>
      <c r="C35" s="161"/>
      <c r="D35" s="161"/>
      <c r="E35" s="162"/>
      <c r="F35" s="53">
        <f>SUM('Stavební rozpočet'!BM12:BM578)</f>
        <v>0</v>
      </c>
      <c r="G35" s="54" t="s">
        <v>23</v>
      </c>
      <c r="H35" s="54" t="s">
        <v>23</v>
      </c>
      <c r="I35" s="53">
        <f t="shared" ref="I35:I44" si="1">F35</f>
        <v>0</v>
      </c>
    </row>
    <row r="36" spans="1:9" x14ac:dyDescent="0.25">
      <c r="A36" s="160" t="s">
        <v>495</v>
      </c>
      <c r="B36" s="161"/>
      <c r="C36" s="161"/>
      <c r="D36" s="161"/>
      <c r="E36" s="162"/>
      <c r="F36" s="53">
        <f>SUM('Stavební rozpočet'!BN12:BN578)</f>
        <v>0</v>
      </c>
      <c r="G36" s="54" t="s">
        <v>23</v>
      </c>
      <c r="H36" s="54" t="s">
        <v>23</v>
      </c>
      <c r="I36" s="53">
        <f t="shared" si="1"/>
        <v>0</v>
      </c>
    </row>
    <row r="37" spans="1:9" x14ac:dyDescent="0.25">
      <c r="A37" s="160" t="s">
        <v>410</v>
      </c>
      <c r="B37" s="161"/>
      <c r="C37" s="161"/>
      <c r="D37" s="161"/>
      <c r="E37" s="162"/>
      <c r="F37" s="53">
        <f>SUM('Stavební rozpočet'!BO12:BO578)</f>
        <v>0</v>
      </c>
      <c r="G37" s="54" t="s">
        <v>23</v>
      </c>
      <c r="H37" s="54" t="s">
        <v>23</v>
      </c>
      <c r="I37" s="53">
        <f t="shared" si="1"/>
        <v>0</v>
      </c>
    </row>
    <row r="38" spans="1:9" x14ac:dyDescent="0.25">
      <c r="A38" s="160" t="s">
        <v>496</v>
      </c>
      <c r="B38" s="161"/>
      <c r="C38" s="161"/>
      <c r="D38" s="161"/>
      <c r="E38" s="162"/>
      <c r="F38" s="53">
        <f>SUM('Stavební rozpočet'!BP12:BP578)</f>
        <v>0</v>
      </c>
      <c r="G38" s="54" t="s">
        <v>23</v>
      </c>
      <c r="H38" s="54" t="s">
        <v>23</v>
      </c>
      <c r="I38" s="53">
        <f t="shared" si="1"/>
        <v>0</v>
      </c>
    </row>
    <row r="39" spans="1:9" x14ac:dyDescent="0.25">
      <c r="A39" s="160" t="s">
        <v>497</v>
      </c>
      <c r="B39" s="161"/>
      <c r="C39" s="161"/>
      <c r="D39" s="161"/>
      <c r="E39" s="162"/>
      <c r="F39" s="53">
        <f>SUM('Stavební rozpočet'!BQ12:BQ578)</f>
        <v>0</v>
      </c>
      <c r="G39" s="54" t="s">
        <v>23</v>
      </c>
      <c r="H39" s="54" t="s">
        <v>23</v>
      </c>
      <c r="I39" s="53">
        <f t="shared" si="1"/>
        <v>0</v>
      </c>
    </row>
    <row r="40" spans="1:9" x14ac:dyDescent="0.25">
      <c r="A40" s="160" t="s">
        <v>461</v>
      </c>
      <c r="B40" s="161"/>
      <c r="C40" s="161"/>
      <c r="D40" s="161"/>
      <c r="E40" s="162"/>
      <c r="F40" s="53">
        <f>SUM('Stavební rozpočet'!BR12:BR578)</f>
        <v>0</v>
      </c>
      <c r="G40" s="54" t="s">
        <v>23</v>
      </c>
      <c r="H40" s="54" t="s">
        <v>23</v>
      </c>
      <c r="I40" s="53">
        <f t="shared" si="1"/>
        <v>0</v>
      </c>
    </row>
    <row r="41" spans="1:9" x14ac:dyDescent="0.25">
      <c r="A41" s="160" t="s">
        <v>416</v>
      </c>
      <c r="B41" s="161"/>
      <c r="C41" s="161"/>
      <c r="D41" s="161"/>
      <c r="E41" s="162"/>
      <c r="F41" s="53">
        <f>SUM('Stavební rozpočet'!BS12:BS578)</f>
        <v>0</v>
      </c>
      <c r="G41" s="54" t="s">
        <v>23</v>
      </c>
      <c r="H41" s="54" t="s">
        <v>23</v>
      </c>
      <c r="I41" s="53">
        <f t="shared" si="1"/>
        <v>0</v>
      </c>
    </row>
    <row r="42" spans="1:9" x14ac:dyDescent="0.25">
      <c r="A42" s="160" t="s">
        <v>498</v>
      </c>
      <c r="B42" s="161"/>
      <c r="C42" s="161"/>
      <c r="D42" s="161"/>
      <c r="E42" s="162"/>
      <c r="F42" s="53">
        <f>SUM('Stavební rozpočet'!BT12:BT578)</f>
        <v>0</v>
      </c>
      <c r="G42" s="54" t="s">
        <v>23</v>
      </c>
      <c r="H42" s="54" t="s">
        <v>23</v>
      </c>
      <c r="I42" s="53">
        <f t="shared" si="1"/>
        <v>0</v>
      </c>
    </row>
    <row r="43" spans="1:9" x14ac:dyDescent="0.25">
      <c r="A43" s="160" t="s">
        <v>419</v>
      </c>
      <c r="B43" s="161"/>
      <c r="C43" s="161"/>
      <c r="D43" s="161"/>
      <c r="E43" s="162"/>
      <c r="F43" s="53">
        <f>SUM('Stavební rozpočet'!BU12:BU578)</f>
        <v>0</v>
      </c>
      <c r="G43" s="54" t="s">
        <v>23</v>
      </c>
      <c r="H43" s="54" t="s">
        <v>23</v>
      </c>
      <c r="I43" s="53">
        <f t="shared" si="1"/>
        <v>0</v>
      </c>
    </row>
    <row r="44" spans="1:9" x14ac:dyDescent="0.25">
      <c r="A44" s="163" t="s">
        <v>499</v>
      </c>
      <c r="B44" s="164"/>
      <c r="C44" s="164"/>
      <c r="D44" s="164"/>
      <c r="E44" s="165"/>
      <c r="F44" s="55">
        <f>SUM('Stavební rozpočet'!BV12:BV578)</f>
        <v>0</v>
      </c>
      <c r="G44" s="56" t="s">
        <v>23</v>
      </c>
      <c r="H44" s="56" t="s">
        <v>23</v>
      </c>
      <c r="I44" s="55">
        <f t="shared" si="1"/>
        <v>0</v>
      </c>
    </row>
    <row r="45" spans="1:9" x14ac:dyDescent="0.25">
      <c r="A45" s="166" t="s">
        <v>500</v>
      </c>
      <c r="B45" s="167"/>
      <c r="C45" s="167"/>
      <c r="D45" s="167"/>
      <c r="E45" s="168"/>
      <c r="F45" s="57" t="s">
        <v>23</v>
      </c>
      <c r="G45" s="58" t="s">
        <v>23</v>
      </c>
      <c r="H45" s="58" t="s">
        <v>23</v>
      </c>
      <c r="I45" s="59">
        <f>SUM(I35:I44)</f>
        <v>0</v>
      </c>
    </row>
  </sheetData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Z292"/>
  <sheetViews>
    <sheetView workbookViewId="0">
      <pane ySplit="11" topLeftCell="A12" activePane="bottomLeft" state="frozen"/>
      <selection pane="bottomLeft" activeCell="A292" sqref="A292:P292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42.85546875" customWidth="1"/>
    <col min="5" max="5" width="35.7109375" customWidth="1"/>
    <col min="6" max="6" width="6.7109375" customWidth="1"/>
    <col min="7" max="7" width="12.85546875" customWidth="1"/>
    <col min="8" max="8" width="12" customWidth="1"/>
    <col min="9" max="9" width="11.140625" customWidth="1"/>
    <col min="10" max="13" width="15.7109375" customWidth="1"/>
    <col min="14" max="15" width="11.7109375" customWidth="1"/>
    <col min="16" max="16" width="13.4257812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AS1" s="60">
        <f>SUM(AJ1:AJ2)</f>
        <v>0</v>
      </c>
      <c r="AT1" s="60">
        <f>SUM(AK1:AK2)</f>
        <v>0</v>
      </c>
      <c r="AU1" s="60">
        <f>SUM(AL1:AL2)</f>
        <v>0</v>
      </c>
    </row>
    <row r="2" spans="1:76" x14ac:dyDescent="0.25">
      <c r="A2" s="142" t="s">
        <v>1</v>
      </c>
      <c r="B2" s="143"/>
      <c r="C2" s="143"/>
      <c r="D2" s="137" t="s">
        <v>501</v>
      </c>
      <c r="E2" s="138"/>
      <c r="F2" s="143" t="s">
        <v>2</v>
      </c>
      <c r="G2" s="143"/>
      <c r="H2" s="143" t="s">
        <v>22</v>
      </c>
      <c r="I2" s="134" t="s">
        <v>3</v>
      </c>
      <c r="J2" s="134" t="s">
        <v>502</v>
      </c>
      <c r="K2" s="143"/>
      <c r="L2" s="143"/>
      <c r="M2" s="143"/>
      <c r="N2" s="143"/>
      <c r="O2" s="143"/>
      <c r="P2" s="145"/>
    </row>
    <row r="3" spans="1:76" x14ac:dyDescent="0.25">
      <c r="A3" s="144"/>
      <c r="B3" s="97"/>
      <c r="C3" s="97"/>
      <c r="D3" s="139"/>
      <c r="E3" s="139"/>
      <c r="F3" s="97"/>
      <c r="G3" s="97"/>
      <c r="H3" s="97"/>
      <c r="I3" s="97"/>
      <c r="J3" s="97"/>
      <c r="K3" s="97"/>
      <c r="L3" s="97"/>
      <c r="M3" s="97"/>
      <c r="N3" s="97"/>
      <c r="O3" s="97"/>
      <c r="P3" s="146"/>
    </row>
    <row r="4" spans="1:76" x14ac:dyDescent="0.25">
      <c r="A4" s="135" t="s">
        <v>4</v>
      </c>
      <c r="B4" s="97"/>
      <c r="C4" s="97"/>
      <c r="D4" s="96" t="s">
        <v>22</v>
      </c>
      <c r="E4" s="97"/>
      <c r="F4" s="97" t="s">
        <v>5</v>
      </c>
      <c r="G4" s="97"/>
      <c r="H4" s="97" t="s">
        <v>22</v>
      </c>
      <c r="I4" s="96" t="s">
        <v>6</v>
      </c>
      <c r="J4" s="96" t="s">
        <v>503</v>
      </c>
      <c r="K4" s="97"/>
      <c r="L4" s="97"/>
      <c r="M4" s="97"/>
      <c r="N4" s="97"/>
      <c r="O4" s="97"/>
      <c r="P4" s="146"/>
    </row>
    <row r="5" spans="1:76" x14ac:dyDescent="0.25">
      <c r="A5" s="144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146"/>
    </row>
    <row r="6" spans="1:76" x14ac:dyDescent="0.25">
      <c r="A6" s="135" t="s">
        <v>7</v>
      </c>
      <c r="B6" s="97"/>
      <c r="C6" s="97"/>
      <c r="D6" s="96" t="s">
        <v>22</v>
      </c>
      <c r="E6" s="97"/>
      <c r="F6" s="97" t="s">
        <v>8</v>
      </c>
      <c r="G6" s="97"/>
      <c r="H6" s="97" t="s">
        <v>22</v>
      </c>
      <c r="I6" s="96" t="s">
        <v>9</v>
      </c>
      <c r="J6" s="97" t="s">
        <v>504</v>
      </c>
      <c r="K6" s="97"/>
      <c r="L6" s="97"/>
      <c r="M6" s="97"/>
      <c r="N6" s="97"/>
      <c r="O6" s="97"/>
      <c r="P6" s="146"/>
    </row>
    <row r="7" spans="1:76" x14ac:dyDescent="0.25">
      <c r="A7" s="14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146"/>
    </row>
    <row r="8" spans="1:76" x14ac:dyDescent="0.25">
      <c r="A8" s="135" t="s">
        <v>10</v>
      </c>
      <c r="B8" s="97"/>
      <c r="C8" s="97"/>
      <c r="D8" s="96" t="s">
        <v>22</v>
      </c>
      <c r="E8" s="97"/>
      <c r="F8" s="97" t="s">
        <v>11</v>
      </c>
      <c r="G8" s="97"/>
      <c r="H8" s="97" t="s">
        <v>423</v>
      </c>
      <c r="I8" s="96" t="s">
        <v>12</v>
      </c>
      <c r="J8" s="96" t="s">
        <v>503</v>
      </c>
      <c r="K8" s="97"/>
      <c r="L8" s="97"/>
      <c r="M8" s="97"/>
      <c r="N8" s="97"/>
      <c r="O8" s="97"/>
      <c r="P8" s="146"/>
    </row>
    <row r="9" spans="1:76" x14ac:dyDescent="0.25">
      <c r="A9" s="151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49"/>
    </row>
    <row r="10" spans="1:76" x14ac:dyDescent="0.25">
      <c r="A10" s="61" t="s">
        <v>13</v>
      </c>
      <c r="B10" s="62" t="s">
        <v>424</v>
      </c>
      <c r="C10" s="62" t="s">
        <v>14</v>
      </c>
      <c r="D10" s="190" t="s">
        <v>15</v>
      </c>
      <c r="E10" s="191"/>
      <c r="F10" s="62" t="s">
        <v>16</v>
      </c>
      <c r="G10" s="63" t="s">
        <v>17</v>
      </c>
      <c r="H10" s="64" t="s">
        <v>505</v>
      </c>
      <c r="I10" s="65" t="s">
        <v>506</v>
      </c>
      <c r="J10" s="185" t="s">
        <v>507</v>
      </c>
      <c r="K10" s="186"/>
      <c r="L10" s="187"/>
      <c r="M10" s="66" t="s">
        <v>507</v>
      </c>
      <c r="N10" s="188" t="s">
        <v>508</v>
      </c>
      <c r="O10" s="189"/>
      <c r="P10" s="67" t="s">
        <v>509</v>
      </c>
      <c r="BK10" s="16" t="s">
        <v>21</v>
      </c>
      <c r="BL10" s="68" t="s">
        <v>20</v>
      </c>
      <c r="BW10" s="68" t="s">
        <v>510</v>
      </c>
    </row>
    <row r="11" spans="1:76" x14ac:dyDescent="0.25">
      <c r="A11" s="69" t="s">
        <v>22</v>
      </c>
      <c r="B11" s="70" t="s">
        <v>22</v>
      </c>
      <c r="C11" s="70" t="s">
        <v>22</v>
      </c>
      <c r="D11" s="183" t="s">
        <v>511</v>
      </c>
      <c r="E11" s="184"/>
      <c r="F11" s="70" t="s">
        <v>22</v>
      </c>
      <c r="G11" s="70" t="s">
        <v>22</v>
      </c>
      <c r="H11" s="71" t="s">
        <v>512</v>
      </c>
      <c r="I11" s="72" t="s">
        <v>22</v>
      </c>
      <c r="J11" s="73" t="s">
        <v>513</v>
      </c>
      <c r="K11" s="74" t="s">
        <v>456</v>
      </c>
      <c r="L11" s="75" t="s">
        <v>514</v>
      </c>
      <c r="M11" s="76" t="s">
        <v>515</v>
      </c>
      <c r="N11" s="77" t="s">
        <v>516</v>
      </c>
      <c r="O11" s="78" t="s">
        <v>514</v>
      </c>
      <c r="P11" s="79" t="s">
        <v>517</v>
      </c>
      <c r="Z11" s="16" t="s">
        <v>518</v>
      </c>
      <c r="AA11" s="16" t="s">
        <v>519</v>
      </c>
      <c r="AB11" s="16" t="s">
        <v>520</v>
      </c>
      <c r="AC11" s="16" t="s">
        <v>521</v>
      </c>
      <c r="AD11" s="16" t="s">
        <v>522</v>
      </c>
      <c r="AE11" s="16" t="s">
        <v>523</v>
      </c>
      <c r="AF11" s="16" t="s">
        <v>524</v>
      </c>
      <c r="AG11" s="16" t="s">
        <v>525</v>
      </c>
      <c r="AH11" s="16" t="s">
        <v>526</v>
      </c>
      <c r="BH11" s="16" t="s">
        <v>527</v>
      </c>
      <c r="BI11" s="16" t="s">
        <v>528</v>
      </c>
      <c r="BJ11" s="16" t="s">
        <v>529</v>
      </c>
    </row>
    <row r="12" spans="1:76" x14ac:dyDescent="0.25">
      <c r="A12" s="80" t="s">
        <v>23</v>
      </c>
      <c r="B12" s="11" t="s">
        <v>429</v>
      </c>
      <c r="C12" s="11" t="s">
        <v>23</v>
      </c>
      <c r="D12" s="155" t="s">
        <v>24</v>
      </c>
      <c r="E12" s="156"/>
      <c r="F12" s="81" t="s">
        <v>22</v>
      </c>
      <c r="G12" s="81" t="s">
        <v>22</v>
      </c>
      <c r="H12" s="81" t="s">
        <v>22</v>
      </c>
      <c r="I12" s="81" t="s">
        <v>22</v>
      </c>
      <c r="J12" s="82">
        <f>J13</f>
        <v>0</v>
      </c>
      <c r="K12" s="82">
        <f>K13</f>
        <v>0</v>
      </c>
      <c r="L12" s="82">
        <f>L13</f>
        <v>0</v>
      </c>
      <c r="M12" s="82">
        <f>M13</f>
        <v>0</v>
      </c>
      <c r="N12" s="12" t="s">
        <v>23</v>
      </c>
      <c r="O12" s="82">
        <f>O13</f>
        <v>4.6960000000000002E-2</v>
      </c>
      <c r="P12" s="83" t="s">
        <v>23</v>
      </c>
    </row>
    <row r="13" spans="1:76" x14ac:dyDescent="0.25">
      <c r="A13" s="84" t="s">
        <v>23</v>
      </c>
      <c r="B13" s="15" t="s">
        <v>429</v>
      </c>
      <c r="C13" s="15" t="s">
        <v>25</v>
      </c>
      <c r="D13" s="152" t="s">
        <v>26</v>
      </c>
      <c r="E13" s="153"/>
      <c r="F13" s="85" t="s">
        <v>22</v>
      </c>
      <c r="G13" s="85" t="s">
        <v>22</v>
      </c>
      <c r="H13" s="85" t="s">
        <v>22</v>
      </c>
      <c r="I13" s="85" t="s">
        <v>22</v>
      </c>
      <c r="J13" s="60">
        <f>SUM(J14:J18)</f>
        <v>0</v>
      </c>
      <c r="K13" s="60">
        <f>SUM(K14:K18)</f>
        <v>0</v>
      </c>
      <c r="L13" s="60">
        <f>SUM(L14:L18)</f>
        <v>0</v>
      </c>
      <c r="M13" s="60">
        <f>SUM(M14:M18)</f>
        <v>0</v>
      </c>
      <c r="N13" s="16" t="s">
        <v>23</v>
      </c>
      <c r="O13" s="60">
        <f>SUM(O14:O18)</f>
        <v>4.6960000000000002E-2</v>
      </c>
      <c r="P13" s="86" t="s">
        <v>23</v>
      </c>
      <c r="AI13" s="16" t="s">
        <v>429</v>
      </c>
      <c r="AS13" s="60">
        <f>SUM(AJ14:AJ18)</f>
        <v>0</v>
      </c>
      <c r="AT13" s="60">
        <f>SUM(AK14:AK18)</f>
        <v>0</v>
      </c>
      <c r="AU13" s="60">
        <f>SUM(AL14:AL18)</f>
        <v>0</v>
      </c>
    </row>
    <row r="14" spans="1:76" x14ac:dyDescent="0.25">
      <c r="A14" s="1" t="s">
        <v>530</v>
      </c>
      <c r="B14" s="2" t="s">
        <v>429</v>
      </c>
      <c r="C14" s="2" t="s">
        <v>27</v>
      </c>
      <c r="D14" s="96" t="s">
        <v>28</v>
      </c>
      <c r="E14" s="97"/>
      <c r="F14" s="2" t="s">
        <v>29</v>
      </c>
      <c r="G14" s="19">
        <f>'Rozpočet - vybrané sloupce'!I13</f>
        <v>36</v>
      </c>
      <c r="H14" s="19">
        <f>'Rozpočet - vybrané sloupce'!J13</f>
        <v>0</v>
      </c>
      <c r="I14" s="87">
        <v>12</v>
      </c>
      <c r="J14" s="19">
        <f>ROUND(G14*AO14,2)</f>
        <v>0</v>
      </c>
      <c r="K14" s="19">
        <f>ROUND(G14*AP14,2)</f>
        <v>0</v>
      </c>
      <c r="L14" s="19">
        <f>ROUND(G14*H14,2)</f>
        <v>0</v>
      </c>
      <c r="M14" s="19">
        <f>L14*(1+BW14/100)</f>
        <v>0</v>
      </c>
      <c r="N14" s="19">
        <v>0</v>
      </c>
      <c r="O14" s="19">
        <f>G14*N14</f>
        <v>0</v>
      </c>
      <c r="P14" s="88" t="s">
        <v>531</v>
      </c>
      <c r="Z14" s="19">
        <f>ROUND(IF(AQ14="5",BJ14,0),2)</f>
        <v>0</v>
      </c>
      <c r="AB14" s="19">
        <f>ROUND(IF(AQ14="1",BH14,0),2)</f>
        <v>0</v>
      </c>
      <c r="AC14" s="19">
        <f>ROUND(IF(AQ14="1",BI14,0),2)</f>
        <v>0</v>
      </c>
      <c r="AD14" s="19">
        <f>ROUND(IF(AQ14="7",BH14,0),2)</f>
        <v>0</v>
      </c>
      <c r="AE14" s="19">
        <f>ROUND(IF(AQ14="7",BI14,0),2)</f>
        <v>0</v>
      </c>
      <c r="AF14" s="19">
        <f>ROUND(IF(AQ14="2",BH14,0),2)</f>
        <v>0</v>
      </c>
      <c r="AG14" s="19">
        <f>ROUND(IF(AQ14="2",BI14,0),2)</f>
        <v>0</v>
      </c>
      <c r="AH14" s="19">
        <f>ROUND(IF(AQ14="0",BJ14,0),2)</f>
        <v>0</v>
      </c>
      <c r="AI14" s="16" t="s">
        <v>429</v>
      </c>
      <c r="AJ14" s="19">
        <f>IF(AN14=0,L14,0)</f>
        <v>0</v>
      </c>
      <c r="AK14" s="19">
        <f>IF(AN14=12,L14,0)</f>
        <v>0</v>
      </c>
      <c r="AL14" s="19">
        <f>IF(AN14=21,L14,0)</f>
        <v>0</v>
      </c>
      <c r="AN14" s="19">
        <v>12</v>
      </c>
      <c r="AO14" s="19">
        <f>H14*1</f>
        <v>0</v>
      </c>
      <c r="AP14" s="19">
        <f>H14*(1-1)</f>
        <v>0</v>
      </c>
      <c r="AQ14" s="89" t="s">
        <v>532</v>
      </c>
      <c r="AV14" s="19">
        <f>ROUND(AW14+AX14,2)</f>
        <v>0</v>
      </c>
      <c r="AW14" s="19">
        <f>ROUND(G14*AO14,2)</f>
        <v>0</v>
      </c>
      <c r="AX14" s="19">
        <f>ROUND(G14*AP14,2)</f>
        <v>0</v>
      </c>
      <c r="AY14" s="89" t="s">
        <v>533</v>
      </c>
      <c r="AZ14" s="89" t="s">
        <v>534</v>
      </c>
      <c r="BA14" s="16" t="s">
        <v>535</v>
      </c>
      <c r="BC14" s="19">
        <f>AW14+AX14</f>
        <v>0</v>
      </c>
      <c r="BD14" s="19">
        <f>H14/(100-BE14)*100</f>
        <v>0</v>
      </c>
      <c r="BE14" s="19">
        <v>0</v>
      </c>
      <c r="BF14" s="19">
        <f>O14</f>
        <v>0</v>
      </c>
      <c r="BH14" s="19">
        <f>G14*AO14</f>
        <v>0</v>
      </c>
      <c r="BI14" s="19">
        <f>G14*AP14</f>
        <v>0</v>
      </c>
      <c r="BJ14" s="19">
        <f>G14*H14</f>
        <v>0</v>
      </c>
      <c r="BK14" s="89" t="s">
        <v>30</v>
      </c>
      <c r="BL14" s="19">
        <v>721</v>
      </c>
      <c r="BW14" s="19">
        <f>I14</f>
        <v>12</v>
      </c>
      <c r="BX14" s="4" t="s">
        <v>28</v>
      </c>
    </row>
    <row r="15" spans="1:76" x14ac:dyDescent="0.25">
      <c r="A15" s="1" t="s">
        <v>536</v>
      </c>
      <c r="B15" s="2" t="s">
        <v>429</v>
      </c>
      <c r="C15" s="2" t="s">
        <v>31</v>
      </c>
      <c r="D15" s="96" t="s">
        <v>32</v>
      </c>
      <c r="E15" s="97"/>
      <c r="F15" s="2" t="s">
        <v>33</v>
      </c>
      <c r="G15" s="19">
        <f>'Rozpočet - vybrané sloupce'!I14</f>
        <v>2</v>
      </c>
      <c r="H15" s="19">
        <f>'Rozpočet - vybrané sloupce'!J14</f>
        <v>0</v>
      </c>
      <c r="I15" s="87">
        <v>12</v>
      </c>
      <c r="J15" s="19">
        <f>ROUND(G15*AO15,2)</f>
        <v>0</v>
      </c>
      <c r="K15" s="19">
        <f>ROUND(G15*AP15,2)</f>
        <v>0</v>
      </c>
      <c r="L15" s="19">
        <f>ROUND(G15*H15,2)</f>
        <v>0</v>
      </c>
      <c r="M15" s="19">
        <f>L15*(1+BW15/100)</f>
        <v>0</v>
      </c>
      <c r="N15" s="19">
        <v>2.0109999999999999E-2</v>
      </c>
      <c r="O15" s="19">
        <f>G15*N15</f>
        <v>4.0219999999999999E-2</v>
      </c>
      <c r="P15" s="88" t="s">
        <v>531</v>
      </c>
      <c r="Z15" s="19">
        <f>ROUND(IF(AQ15="5",BJ15,0),2)</f>
        <v>0</v>
      </c>
      <c r="AB15" s="19">
        <f>ROUND(IF(AQ15="1",BH15,0),2)</f>
        <v>0</v>
      </c>
      <c r="AC15" s="19">
        <f>ROUND(IF(AQ15="1",BI15,0),2)</f>
        <v>0</v>
      </c>
      <c r="AD15" s="19">
        <f>ROUND(IF(AQ15="7",BH15,0),2)</f>
        <v>0</v>
      </c>
      <c r="AE15" s="19">
        <f>ROUND(IF(AQ15="7",BI15,0),2)</f>
        <v>0</v>
      </c>
      <c r="AF15" s="19">
        <f>ROUND(IF(AQ15="2",BH15,0),2)</f>
        <v>0</v>
      </c>
      <c r="AG15" s="19">
        <f>ROUND(IF(AQ15="2",BI15,0),2)</f>
        <v>0</v>
      </c>
      <c r="AH15" s="19">
        <f>ROUND(IF(AQ15="0",BJ15,0),2)</f>
        <v>0</v>
      </c>
      <c r="AI15" s="16" t="s">
        <v>429</v>
      </c>
      <c r="AJ15" s="19">
        <f>IF(AN15=0,L15,0)</f>
        <v>0</v>
      </c>
      <c r="AK15" s="19">
        <f>IF(AN15=12,L15,0)</f>
        <v>0</v>
      </c>
      <c r="AL15" s="19">
        <f>IF(AN15=21,L15,0)</f>
        <v>0</v>
      </c>
      <c r="AN15" s="19">
        <v>12</v>
      </c>
      <c r="AO15" s="19">
        <f>H15*0</f>
        <v>0</v>
      </c>
      <c r="AP15" s="19">
        <f>H15*(1-0)</f>
        <v>0</v>
      </c>
      <c r="AQ15" s="89" t="s">
        <v>532</v>
      </c>
      <c r="AV15" s="19">
        <f>ROUND(AW15+AX15,2)</f>
        <v>0</v>
      </c>
      <c r="AW15" s="19">
        <f>ROUND(G15*AO15,2)</f>
        <v>0</v>
      </c>
      <c r="AX15" s="19">
        <f>ROUND(G15*AP15,2)</f>
        <v>0</v>
      </c>
      <c r="AY15" s="89" t="s">
        <v>533</v>
      </c>
      <c r="AZ15" s="89" t="s">
        <v>534</v>
      </c>
      <c r="BA15" s="16" t="s">
        <v>535</v>
      </c>
      <c r="BC15" s="19">
        <f>AW15+AX15</f>
        <v>0</v>
      </c>
      <c r="BD15" s="19">
        <f>H15/(100-BE15)*100</f>
        <v>0</v>
      </c>
      <c r="BE15" s="19">
        <v>0</v>
      </c>
      <c r="BF15" s="19">
        <f>O15</f>
        <v>4.0219999999999999E-2</v>
      </c>
      <c r="BH15" s="19">
        <f>G15*AO15</f>
        <v>0</v>
      </c>
      <c r="BI15" s="19">
        <f>G15*AP15</f>
        <v>0</v>
      </c>
      <c r="BJ15" s="19">
        <f>G15*H15</f>
        <v>0</v>
      </c>
      <c r="BK15" s="89" t="s">
        <v>30</v>
      </c>
      <c r="BL15" s="19">
        <v>721</v>
      </c>
      <c r="BW15" s="19">
        <f>I15</f>
        <v>12</v>
      </c>
      <c r="BX15" s="4" t="s">
        <v>32</v>
      </c>
    </row>
    <row r="16" spans="1:76" x14ac:dyDescent="0.25">
      <c r="A16" s="1" t="s">
        <v>537</v>
      </c>
      <c r="B16" s="2" t="s">
        <v>429</v>
      </c>
      <c r="C16" s="2" t="s">
        <v>34</v>
      </c>
      <c r="D16" s="96" t="s">
        <v>35</v>
      </c>
      <c r="E16" s="97"/>
      <c r="F16" s="2" t="s">
        <v>33</v>
      </c>
      <c r="G16" s="19">
        <f>'Rozpočet - vybrané sloupce'!I15</f>
        <v>2</v>
      </c>
      <c r="H16" s="19">
        <f>'Rozpočet - vybrané sloupce'!J15</f>
        <v>0</v>
      </c>
      <c r="I16" s="87">
        <v>12</v>
      </c>
      <c r="J16" s="19">
        <f>ROUND(G16*AO16,2)</f>
        <v>0</v>
      </c>
      <c r="K16" s="19">
        <f>ROUND(G16*AP16,2)</f>
        <v>0</v>
      </c>
      <c r="L16" s="19">
        <f>ROUND(G16*H16,2)</f>
        <v>0</v>
      </c>
      <c r="M16" s="19">
        <f>L16*(1+BW16/100)</f>
        <v>0</v>
      </c>
      <c r="N16" s="19">
        <v>1.67E-3</v>
      </c>
      <c r="O16" s="19">
        <f>G16*N16</f>
        <v>3.3400000000000001E-3</v>
      </c>
      <c r="P16" s="88" t="s">
        <v>531</v>
      </c>
      <c r="Z16" s="19">
        <f>ROUND(IF(AQ16="5",BJ16,0),2)</f>
        <v>0</v>
      </c>
      <c r="AB16" s="19">
        <f>ROUND(IF(AQ16="1",BH16,0),2)</f>
        <v>0</v>
      </c>
      <c r="AC16" s="19">
        <f>ROUND(IF(AQ16="1",BI16,0),2)</f>
        <v>0</v>
      </c>
      <c r="AD16" s="19">
        <f>ROUND(IF(AQ16="7",BH16,0),2)</f>
        <v>0</v>
      </c>
      <c r="AE16" s="19">
        <f>ROUND(IF(AQ16="7",BI16,0),2)</f>
        <v>0</v>
      </c>
      <c r="AF16" s="19">
        <f>ROUND(IF(AQ16="2",BH16,0),2)</f>
        <v>0</v>
      </c>
      <c r="AG16" s="19">
        <f>ROUND(IF(AQ16="2",BI16,0),2)</f>
        <v>0</v>
      </c>
      <c r="AH16" s="19">
        <f>ROUND(IF(AQ16="0",BJ16,0),2)</f>
        <v>0</v>
      </c>
      <c r="AI16" s="16" t="s">
        <v>429</v>
      </c>
      <c r="AJ16" s="19">
        <f>IF(AN16=0,L16,0)</f>
        <v>0</v>
      </c>
      <c r="AK16" s="19">
        <f>IF(AN16=12,L16,0)</f>
        <v>0</v>
      </c>
      <c r="AL16" s="19">
        <f>IF(AN16=21,L16,0)</f>
        <v>0</v>
      </c>
      <c r="AN16" s="19">
        <v>12</v>
      </c>
      <c r="AO16" s="19">
        <f>H16*0.845767055</f>
        <v>0</v>
      </c>
      <c r="AP16" s="19">
        <f>H16*(1-0.845767055)</f>
        <v>0</v>
      </c>
      <c r="AQ16" s="89" t="s">
        <v>532</v>
      </c>
      <c r="AV16" s="19">
        <f>ROUND(AW16+AX16,2)</f>
        <v>0</v>
      </c>
      <c r="AW16" s="19">
        <f>ROUND(G16*AO16,2)</f>
        <v>0</v>
      </c>
      <c r="AX16" s="19">
        <f>ROUND(G16*AP16,2)</f>
        <v>0</v>
      </c>
      <c r="AY16" s="89" t="s">
        <v>533</v>
      </c>
      <c r="AZ16" s="89" t="s">
        <v>534</v>
      </c>
      <c r="BA16" s="16" t="s">
        <v>535</v>
      </c>
      <c r="BC16" s="19">
        <f>AW16+AX16</f>
        <v>0</v>
      </c>
      <c r="BD16" s="19">
        <f>H16/(100-BE16)*100</f>
        <v>0</v>
      </c>
      <c r="BE16" s="19">
        <v>0</v>
      </c>
      <c r="BF16" s="19">
        <f>O16</f>
        <v>3.3400000000000001E-3</v>
      </c>
      <c r="BH16" s="19">
        <f>G16*AO16</f>
        <v>0</v>
      </c>
      <c r="BI16" s="19">
        <f>G16*AP16</f>
        <v>0</v>
      </c>
      <c r="BJ16" s="19">
        <f>G16*H16</f>
        <v>0</v>
      </c>
      <c r="BK16" s="89" t="s">
        <v>30</v>
      </c>
      <c r="BL16" s="19">
        <v>721</v>
      </c>
      <c r="BW16" s="19">
        <f>I16</f>
        <v>12</v>
      </c>
      <c r="BX16" s="4" t="s">
        <v>35</v>
      </c>
    </row>
    <row r="17" spans="1:76" x14ac:dyDescent="0.25">
      <c r="A17" s="1" t="s">
        <v>538</v>
      </c>
      <c r="B17" s="2" t="s">
        <v>429</v>
      </c>
      <c r="C17" s="2" t="s">
        <v>36</v>
      </c>
      <c r="D17" s="96" t="s">
        <v>37</v>
      </c>
      <c r="E17" s="97"/>
      <c r="F17" s="2" t="s">
        <v>38</v>
      </c>
      <c r="G17" s="19">
        <f>'Rozpočet - vybrané sloupce'!I16</f>
        <v>2</v>
      </c>
      <c r="H17" s="19">
        <f>'Rozpočet - vybrané sloupce'!J16</f>
        <v>0</v>
      </c>
      <c r="I17" s="87">
        <v>12</v>
      </c>
      <c r="J17" s="19">
        <f>ROUND(G17*AO17,2)</f>
        <v>0</v>
      </c>
      <c r="K17" s="19">
        <f>ROUND(G17*AP17,2)</f>
        <v>0</v>
      </c>
      <c r="L17" s="19">
        <f>ROUND(G17*H17,2)</f>
        <v>0</v>
      </c>
      <c r="M17" s="19">
        <f>L17*(1+BW17/100)</f>
        <v>0</v>
      </c>
      <c r="N17" s="19">
        <v>1.6999999999999999E-3</v>
      </c>
      <c r="O17" s="19">
        <f>G17*N17</f>
        <v>3.3999999999999998E-3</v>
      </c>
      <c r="P17" s="88" t="s">
        <v>539</v>
      </c>
      <c r="Z17" s="19">
        <f>ROUND(IF(AQ17="5",BJ17,0),2)</f>
        <v>0</v>
      </c>
      <c r="AB17" s="19">
        <f>ROUND(IF(AQ17="1",BH17,0),2)</f>
        <v>0</v>
      </c>
      <c r="AC17" s="19">
        <f>ROUND(IF(AQ17="1",BI17,0),2)</f>
        <v>0</v>
      </c>
      <c r="AD17" s="19">
        <f>ROUND(IF(AQ17="7",BH17,0),2)</f>
        <v>0</v>
      </c>
      <c r="AE17" s="19">
        <f>ROUND(IF(AQ17="7",BI17,0),2)</f>
        <v>0</v>
      </c>
      <c r="AF17" s="19">
        <f>ROUND(IF(AQ17="2",BH17,0),2)</f>
        <v>0</v>
      </c>
      <c r="AG17" s="19">
        <f>ROUND(IF(AQ17="2",BI17,0),2)</f>
        <v>0</v>
      </c>
      <c r="AH17" s="19">
        <f>ROUND(IF(AQ17="0",BJ17,0),2)</f>
        <v>0</v>
      </c>
      <c r="AI17" s="16" t="s">
        <v>429</v>
      </c>
      <c r="AJ17" s="19">
        <f>IF(AN17=0,L17,0)</f>
        <v>0</v>
      </c>
      <c r="AK17" s="19">
        <f>IF(AN17=12,L17,0)</f>
        <v>0</v>
      </c>
      <c r="AL17" s="19">
        <f>IF(AN17=21,L17,0)</f>
        <v>0</v>
      </c>
      <c r="AN17" s="19">
        <v>12</v>
      </c>
      <c r="AO17" s="19">
        <f>H17*0.865097778</f>
        <v>0</v>
      </c>
      <c r="AP17" s="19">
        <f>H17*(1-0.865097778)</f>
        <v>0</v>
      </c>
      <c r="AQ17" s="89" t="s">
        <v>532</v>
      </c>
      <c r="AV17" s="19">
        <f>ROUND(AW17+AX17,2)</f>
        <v>0</v>
      </c>
      <c r="AW17" s="19">
        <f>ROUND(G17*AO17,2)</f>
        <v>0</v>
      </c>
      <c r="AX17" s="19">
        <f>ROUND(G17*AP17,2)</f>
        <v>0</v>
      </c>
      <c r="AY17" s="89" t="s">
        <v>533</v>
      </c>
      <c r="AZ17" s="89" t="s">
        <v>534</v>
      </c>
      <c r="BA17" s="16" t="s">
        <v>535</v>
      </c>
      <c r="BC17" s="19">
        <f>AW17+AX17</f>
        <v>0</v>
      </c>
      <c r="BD17" s="19">
        <f>H17/(100-BE17)*100</f>
        <v>0</v>
      </c>
      <c r="BE17" s="19">
        <v>0</v>
      </c>
      <c r="BF17" s="19">
        <f>O17</f>
        <v>3.3999999999999998E-3</v>
      </c>
      <c r="BH17" s="19">
        <f>G17*AO17</f>
        <v>0</v>
      </c>
      <c r="BI17" s="19">
        <f>G17*AP17</f>
        <v>0</v>
      </c>
      <c r="BJ17" s="19">
        <f>G17*H17</f>
        <v>0</v>
      </c>
      <c r="BK17" s="89" t="s">
        <v>30</v>
      </c>
      <c r="BL17" s="19">
        <v>721</v>
      </c>
      <c r="BW17" s="19">
        <f>I17</f>
        <v>12</v>
      </c>
      <c r="BX17" s="4" t="s">
        <v>37</v>
      </c>
    </row>
    <row r="18" spans="1:76" x14ac:dyDescent="0.25">
      <c r="A18" s="1" t="s">
        <v>540</v>
      </c>
      <c r="B18" s="2" t="s">
        <v>429</v>
      </c>
      <c r="C18" s="2" t="s">
        <v>39</v>
      </c>
      <c r="D18" s="96" t="s">
        <v>40</v>
      </c>
      <c r="E18" s="97"/>
      <c r="F18" s="2" t="s">
        <v>41</v>
      </c>
      <c r="G18" s="19">
        <f>'Rozpočet - vybrané sloupce'!I17</f>
        <v>2090</v>
      </c>
      <c r="H18" s="19">
        <f>'Rozpočet - vybrané sloupce'!J17</f>
        <v>0</v>
      </c>
      <c r="I18" s="87">
        <v>12</v>
      </c>
      <c r="J18" s="19">
        <f>ROUND(G18*AO18,2)</f>
        <v>0</v>
      </c>
      <c r="K18" s="19">
        <f>ROUND(G18*AP18,2)</f>
        <v>0</v>
      </c>
      <c r="L18" s="19">
        <f>ROUND(G18*H18,2)</f>
        <v>0</v>
      </c>
      <c r="M18" s="19">
        <f>L18*(1+BW18/100)</f>
        <v>0</v>
      </c>
      <c r="N18" s="19">
        <v>0</v>
      </c>
      <c r="O18" s="19">
        <f>G18*N18</f>
        <v>0</v>
      </c>
      <c r="P18" s="88" t="s">
        <v>531</v>
      </c>
      <c r="Z18" s="19">
        <f>ROUND(IF(AQ18="5",BJ18,0),2)</f>
        <v>0</v>
      </c>
      <c r="AB18" s="19">
        <f>ROUND(IF(AQ18="1",BH18,0),2)</f>
        <v>0</v>
      </c>
      <c r="AC18" s="19">
        <f>ROUND(IF(AQ18="1",BI18,0),2)</f>
        <v>0</v>
      </c>
      <c r="AD18" s="19">
        <f>ROUND(IF(AQ18="7",BH18,0),2)</f>
        <v>0</v>
      </c>
      <c r="AE18" s="19">
        <f>ROUND(IF(AQ18="7",BI18,0),2)</f>
        <v>0</v>
      </c>
      <c r="AF18" s="19">
        <f>ROUND(IF(AQ18="2",BH18,0),2)</f>
        <v>0</v>
      </c>
      <c r="AG18" s="19">
        <f>ROUND(IF(AQ18="2",BI18,0),2)</f>
        <v>0</v>
      </c>
      <c r="AH18" s="19">
        <f>ROUND(IF(AQ18="0",BJ18,0),2)</f>
        <v>0</v>
      </c>
      <c r="AI18" s="16" t="s">
        <v>429</v>
      </c>
      <c r="AJ18" s="19">
        <f>IF(AN18=0,L18,0)</f>
        <v>0</v>
      </c>
      <c r="AK18" s="19">
        <f>IF(AN18=12,L18,0)</f>
        <v>0</v>
      </c>
      <c r="AL18" s="19">
        <f>IF(AN18=21,L18,0)</f>
        <v>0</v>
      </c>
      <c r="AN18" s="19">
        <v>12</v>
      </c>
      <c r="AO18" s="19">
        <f>H18*0</f>
        <v>0</v>
      </c>
      <c r="AP18" s="19">
        <f>H18*(1-0)</f>
        <v>0</v>
      </c>
      <c r="AQ18" s="89" t="s">
        <v>540</v>
      </c>
      <c r="AV18" s="19">
        <f>ROUND(AW18+AX18,2)</f>
        <v>0</v>
      </c>
      <c r="AW18" s="19">
        <f>ROUND(G18*AO18,2)</f>
        <v>0</v>
      </c>
      <c r="AX18" s="19">
        <f>ROUND(G18*AP18,2)</f>
        <v>0</v>
      </c>
      <c r="AY18" s="89" t="s">
        <v>533</v>
      </c>
      <c r="AZ18" s="89" t="s">
        <v>534</v>
      </c>
      <c r="BA18" s="16" t="s">
        <v>535</v>
      </c>
      <c r="BC18" s="19">
        <f>AW18+AX18</f>
        <v>0</v>
      </c>
      <c r="BD18" s="19">
        <f>H18/(100-BE18)*100</f>
        <v>0</v>
      </c>
      <c r="BE18" s="19">
        <v>0</v>
      </c>
      <c r="BF18" s="19">
        <f>O18</f>
        <v>0</v>
      </c>
      <c r="BH18" s="19">
        <f>G18*AO18</f>
        <v>0</v>
      </c>
      <c r="BI18" s="19">
        <f>G18*AP18</f>
        <v>0</v>
      </c>
      <c r="BJ18" s="19">
        <f>G18*H18</f>
        <v>0</v>
      </c>
      <c r="BK18" s="89" t="s">
        <v>30</v>
      </c>
      <c r="BL18" s="19">
        <v>721</v>
      </c>
      <c r="BW18" s="19">
        <f>I18</f>
        <v>12</v>
      </c>
      <c r="BX18" s="4" t="s">
        <v>40</v>
      </c>
    </row>
    <row r="19" spans="1:76" x14ac:dyDescent="0.25">
      <c r="A19" s="84" t="s">
        <v>23</v>
      </c>
      <c r="B19" s="15" t="s">
        <v>432</v>
      </c>
      <c r="C19" s="15" t="s">
        <v>23</v>
      </c>
      <c r="D19" s="152" t="s">
        <v>42</v>
      </c>
      <c r="E19" s="153"/>
      <c r="F19" s="85" t="s">
        <v>22</v>
      </c>
      <c r="G19" s="85" t="s">
        <v>22</v>
      </c>
      <c r="H19" s="85" t="s">
        <v>22</v>
      </c>
      <c r="I19" s="85" t="s">
        <v>22</v>
      </c>
      <c r="J19" s="60">
        <f>J20</f>
        <v>0</v>
      </c>
      <c r="K19" s="60">
        <f>K20</f>
        <v>0</v>
      </c>
      <c r="L19" s="60">
        <f>L20</f>
        <v>0</v>
      </c>
      <c r="M19" s="60">
        <f>M20</f>
        <v>0</v>
      </c>
      <c r="N19" s="16" t="s">
        <v>23</v>
      </c>
      <c r="O19" s="60">
        <f>O20</f>
        <v>0.49928</v>
      </c>
      <c r="P19" s="86" t="s">
        <v>23</v>
      </c>
    </row>
    <row r="20" spans="1:76" x14ac:dyDescent="0.25">
      <c r="A20" s="84" t="s">
        <v>23</v>
      </c>
      <c r="B20" s="15" t="s">
        <v>432</v>
      </c>
      <c r="C20" s="15" t="s">
        <v>25</v>
      </c>
      <c r="D20" s="152" t="s">
        <v>26</v>
      </c>
      <c r="E20" s="153"/>
      <c r="F20" s="85" t="s">
        <v>22</v>
      </c>
      <c r="G20" s="85" t="s">
        <v>22</v>
      </c>
      <c r="H20" s="85" t="s">
        <v>22</v>
      </c>
      <c r="I20" s="85" t="s">
        <v>22</v>
      </c>
      <c r="J20" s="60">
        <f>SUM(J21:J28)</f>
        <v>0</v>
      </c>
      <c r="K20" s="60">
        <f>SUM(K21:K28)</f>
        <v>0</v>
      </c>
      <c r="L20" s="60">
        <f>SUM(L21:L28)</f>
        <v>0</v>
      </c>
      <c r="M20" s="60">
        <f>SUM(M21:M28)</f>
        <v>0</v>
      </c>
      <c r="N20" s="16" t="s">
        <v>23</v>
      </c>
      <c r="O20" s="60">
        <f>SUM(O21:O28)</f>
        <v>0.49928</v>
      </c>
      <c r="P20" s="86" t="s">
        <v>23</v>
      </c>
      <c r="AI20" s="16" t="s">
        <v>432</v>
      </c>
      <c r="AS20" s="60">
        <f>SUM(AJ21:AJ28)</f>
        <v>0</v>
      </c>
      <c r="AT20" s="60">
        <f>SUM(AK21:AK28)</f>
        <v>0</v>
      </c>
      <c r="AU20" s="60">
        <f>SUM(AL21:AL28)</f>
        <v>0</v>
      </c>
    </row>
    <row r="21" spans="1:76" x14ac:dyDescent="0.25">
      <c r="A21" s="1" t="s">
        <v>541</v>
      </c>
      <c r="B21" s="2" t="s">
        <v>432</v>
      </c>
      <c r="C21" s="2" t="s">
        <v>43</v>
      </c>
      <c r="D21" s="96" t="s">
        <v>44</v>
      </c>
      <c r="E21" s="97"/>
      <c r="F21" s="2" t="s">
        <v>29</v>
      </c>
      <c r="G21" s="19">
        <f>'Rozpočet - vybrané sloupce'!I20</f>
        <v>15</v>
      </c>
      <c r="H21" s="19">
        <f>'Rozpočet - vybrané sloupce'!J20</f>
        <v>0</v>
      </c>
      <c r="I21" s="87">
        <v>12</v>
      </c>
      <c r="J21" s="19">
        <f>ROUND(G21*AO21,2)</f>
        <v>0</v>
      </c>
      <c r="K21" s="19">
        <f>ROUND(G21*AP21,2)</f>
        <v>0</v>
      </c>
      <c r="L21" s="19">
        <f>ROUND(G21*H21,2)</f>
        <v>0</v>
      </c>
      <c r="M21" s="19">
        <f>L21*(1+BW21/100)</f>
        <v>0</v>
      </c>
      <c r="N21" s="19">
        <v>3.065E-2</v>
      </c>
      <c r="O21" s="19">
        <f>G21*N21</f>
        <v>0.45974999999999999</v>
      </c>
      <c r="P21" s="88" t="s">
        <v>531</v>
      </c>
      <c r="Z21" s="19">
        <f>ROUND(IF(AQ21="5",BJ21,0),2)</f>
        <v>0</v>
      </c>
      <c r="AB21" s="19">
        <f>ROUND(IF(AQ21="1",BH21,0),2)</f>
        <v>0</v>
      </c>
      <c r="AC21" s="19">
        <f>ROUND(IF(AQ21="1",BI21,0),2)</f>
        <v>0</v>
      </c>
      <c r="AD21" s="19">
        <f>ROUND(IF(AQ21="7",BH21,0),2)</f>
        <v>0</v>
      </c>
      <c r="AE21" s="19">
        <f>ROUND(IF(AQ21="7",BI21,0),2)</f>
        <v>0</v>
      </c>
      <c r="AF21" s="19">
        <f>ROUND(IF(AQ21="2",BH21,0),2)</f>
        <v>0</v>
      </c>
      <c r="AG21" s="19">
        <f>ROUND(IF(AQ21="2",BI21,0),2)</f>
        <v>0</v>
      </c>
      <c r="AH21" s="19">
        <f>ROUND(IF(AQ21="0",BJ21,0),2)</f>
        <v>0</v>
      </c>
      <c r="AI21" s="16" t="s">
        <v>432</v>
      </c>
      <c r="AJ21" s="19">
        <f>IF(AN21=0,L21,0)</f>
        <v>0</v>
      </c>
      <c r="AK21" s="19">
        <f>IF(AN21=12,L21,0)</f>
        <v>0</v>
      </c>
      <c r="AL21" s="19">
        <f>IF(AN21=21,L21,0)</f>
        <v>0</v>
      </c>
      <c r="AN21" s="19">
        <v>12</v>
      </c>
      <c r="AO21" s="19">
        <f>H21*0</f>
        <v>0</v>
      </c>
      <c r="AP21" s="19">
        <f>H21*(1-0)</f>
        <v>0</v>
      </c>
      <c r="AQ21" s="89" t="s">
        <v>532</v>
      </c>
      <c r="AV21" s="19">
        <f>ROUND(AW21+AX21,2)</f>
        <v>0</v>
      </c>
      <c r="AW21" s="19">
        <f>ROUND(G21*AO21,2)</f>
        <v>0</v>
      </c>
      <c r="AX21" s="19">
        <f>ROUND(G21*AP21,2)</f>
        <v>0</v>
      </c>
      <c r="AY21" s="89" t="s">
        <v>533</v>
      </c>
      <c r="AZ21" s="89" t="s">
        <v>542</v>
      </c>
      <c r="BA21" s="16" t="s">
        <v>543</v>
      </c>
      <c r="BC21" s="19">
        <f>AW21+AX21</f>
        <v>0</v>
      </c>
      <c r="BD21" s="19">
        <f>H21/(100-BE21)*100</f>
        <v>0</v>
      </c>
      <c r="BE21" s="19">
        <v>0</v>
      </c>
      <c r="BF21" s="19">
        <f>O21</f>
        <v>0.45974999999999999</v>
      </c>
      <c r="BH21" s="19">
        <f>G21*AO21</f>
        <v>0</v>
      </c>
      <c r="BI21" s="19">
        <f>G21*AP21</f>
        <v>0</v>
      </c>
      <c r="BJ21" s="19">
        <f>G21*H21</f>
        <v>0</v>
      </c>
      <c r="BK21" s="89" t="s">
        <v>30</v>
      </c>
      <c r="BL21" s="19">
        <v>721</v>
      </c>
      <c r="BW21" s="19">
        <f>I21</f>
        <v>12</v>
      </c>
      <c r="BX21" s="4" t="s">
        <v>44</v>
      </c>
    </row>
    <row r="22" spans="1:76" x14ac:dyDescent="0.25">
      <c r="A22" s="1" t="s">
        <v>532</v>
      </c>
      <c r="B22" s="2" t="s">
        <v>432</v>
      </c>
      <c r="C22" s="2" t="s">
        <v>45</v>
      </c>
      <c r="D22" s="96" t="s">
        <v>46</v>
      </c>
      <c r="E22" s="97"/>
      <c r="F22" s="2" t="s">
        <v>33</v>
      </c>
      <c r="G22" s="19">
        <f>'Rozpočet - vybrané sloupce'!I21</f>
        <v>1</v>
      </c>
      <c r="H22" s="19">
        <f>'Rozpočet - vybrané sloupce'!J21</f>
        <v>0</v>
      </c>
      <c r="I22" s="87">
        <v>12</v>
      </c>
      <c r="J22" s="19">
        <f>ROUND(G22*AO22,2)</f>
        <v>0</v>
      </c>
      <c r="K22" s="19">
        <f>ROUND(G22*AP22,2)</f>
        <v>0</v>
      </c>
      <c r="L22" s="19">
        <f>ROUND(G22*H22,2)</f>
        <v>0</v>
      </c>
      <c r="M22" s="19">
        <f>L22*(1+BW22/100)</f>
        <v>0</v>
      </c>
      <c r="N22" s="19">
        <v>0</v>
      </c>
      <c r="O22" s="19">
        <f>G22*N22</f>
        <v>0</v>
      </c>
      <c r="P22" s="88" t="s">
        <v>531</v>
      </c>
      <c r="Z22" s="19">
        <f>ROUND(IF(AQ22="5",BJ22,0),2)</f>
        <v>0</v>
      </c>
      <c r="AB22" s="19">
        <f>ROUND(IF(AQ22="1",BH22,0),2)</f>
        <v>0</v>
      </c>
      <c r="AC22" s="19">
        <f>ROUND(IF(AQ22="1",BI22,0),2)</f>
        <v>0</v>
      </c>
      <c r="AD22" s="19">
        <f>ROUND(IF(AQ22="7",BH22,0),2)</f>
        <v>0</v>
      </c>
      <c r="AE22" s="19">
        <f>ROUND(IF(AQ22="7",BI22,0),2)</f>
        <v>0</v>
      </c>
      <c r="AF22" s="19">
        <f>ROUND(IF(AQ22="2",BH22,0),2)</f>
        <v>0</v>
      </c>
      <c r="AG22" s="19">
        <f>ROUND(IF(AQ22="2",BI22,0),2)</f>
        <v>0</v>
      </c>
      <c r="AH22" s="19">
        <f>ROUND(IF(AQ22="0",BJ22,0),2)</f>
        <v>0</v>
      </c>
      <c r="AI22" s="16" t="s">
        <v>432</v>
      </c>
      <c r="AJ22" s="19">
        <f>IF(AN22=0,L22,0)</f>
        <v>0</v>
      </c>
      <c r="AK22" s="19">
        <f>IF(AN22=12,L22,0)</f>
        <v>0</v>
      </c>
      <c r="AL22" s="19">
        <f>IF(AN22=21,L22,0)</f>
        <v>0</v>
      </c>
      <c r="AN22" s="19">
        <v>12</v>
      </c>
      <c r="AO22" s="19">
        <f>H22*0.192188006</f>
        <v>0</v>
      </c>
      <c r="AP22" s="19">
        <f>H22*(1-0.192188006)</f>
        <v>0</v>
      </c>
      <c r="AQ22" s="89" t="s">
        <v>532</v>
      </c>
      <c r="AV22" s="19">
        <f>ROUND(AW22+AX22,2)</f>
        <v>0</v>
      </c>
      <c r="AW22" s="19">
        <f>ROUND(G22*AO22,2)</f>
        <v>0</v>
      </c>
      <c r="AX22" s="19">
        <f>ROUND(G22*AP22,2)</f>
        <v>0</v>
      </c>
      <c r="AY22" s="89" t="s">
        <v>533</v>
      </c>
      <c r="AZ22" s="89" t="s">
        <v>542</v>
      </c>
      <c r="BA22" s="16" t="s">
        <v>543</v>
      </c>
      <c r="BC22" s="19">
        <f>AW22+AX22</f>
        <v>0</v>
      </c>
      <c r="BD22" s="19">
        <f>H22/(100-BE22)*100</f>
        <v>0</v>
      </c>
      <c r="BE22" s="19">
        <v>0</v>
      </c>
      <c r="BF22" s="19">
        <f>O22</f>
        <v>0</v>
      </c>
      <c r="BH22" s="19">
        <f>G22*AO22</f>
        <v>0</v>
      </c>
      <c r="BI22" s="19">
        <f>G22*AP22</f>
        <v>0</v>
      </c>
      <c r="BJ22" s="19">
        <f>G22*H22</f>
        <v>0</v>
      </c>
      <c r="BK22" s="89" t="s">
        <v>30</v>
      </c>
      <c r="BL22" s="19">
        <v>721</v>
      </c>
      <c r="BW22" s="19">
        <f>I22</f>
        <v>12</v>
      </c>
      <c r="BX22" s="4" t="s">
        <v>46</v>
      </c>
    </row>
    <row r="23" spans="1:76" x14ac:dyDescent="0.25">
      <c r="A23" s="1" t="s">
        <v>544</v>
      </c>
      <c r="B23" s="2" t="s">
        <v>432</v>
      </c>
      <c r="C23" s="2" t="s">
        <v>47</v>
      </c>
      <c r="D23" s="96" t="s">
        <v>48</v>
      </c>
      <c r="E23" s="97"/>
      <c r="F23" s="2" t="s">
        <v>29</v>
      </c>
      <c r="G23" s="19">
        <f>'Rozpočet - vybrané sloupce'!I22</f>
        <v>8</v>
      </c>
      <c r="H23" s="19">
        <f>'Rozpočet - vybrané sloupce'!J22</f>
        <v>0</v>
      </c>
      <c r="I23" s="87">
        <v>12</v>
      </c>
      <c r="J23" s="19">
        <f>ROUND(G23*AO23,2)</f>
        <v>0</v>
      </c>
      <c r="K23" s="19">
        <f>ROUND(G23*AP23,2)</f>
        <v>0</v>
      </c>
      <c r="L23" s="19">
        <f>ROUND(G23*H23,2)</f>
        <v>0</v>
      </c>
      <c r="M23" s="19">
        <f>L23*(1+BW23/100)</f>
        <v>0</v>
      </c>
      <c r="N23" s="19">
        <v>2.1800000000000001E-3</v>
      </c>
      <c r="O23" s="19">
        <f>G23*N23</f>
        <v>1.7440000000000001E-2</v>
      </c>
      <c r="P23" s="88" t="s">
        <v>531</v>
      </c>
      <c r="Z23" s="19">
        <f>ROUND(IF(AQ23="5",BJ23,0),2)</f>
        <v>0</v>
      </c>
      <c r="AB23" s="19">
        <f>ROUND(IF(AQ23="1",BH23,0),2)</f>
        <v>0</v>
      </c>
      <c r="AC23" s="19">
        <f>ROUND(IF(AQ23="1",BI23,0),2)</f>
        <v>0</v>
      </c>
      <c r="AD23" s="19">
        <f>ROUND(IF(AQ23="7",BH23,0),2)</f>
        <v>0</v>
      </c>
      <c r="AE23" s="19">
        <f>ROUND(IF(AQ23="7",BI23,0),2)</f>
        <v>0</v>
      </c>
      <c r="AF23" s="19">
        <f>ROUND(IF(AQ23="2",BH23,0),2)</f>
        <v>0</v>
      </c>
      <c r="AG23" s="19">
        <f>ROUND(IF(AQ23="2",BI23,0),2)</f>
        <v>0</v>
      </c>
      <c r="AH23" s="19">
        <f>ROUND(IF(AQ23="0",BJ23,0),2)</f>
        <v>0</v>
      </c>
      <c r="AI23" s="16" t="s">
        <v>432</v>
      </c>
      <c r="AJ23" s="19">
        <f>IF(AN23=0,L23,0)</f>
        <v>0</v>
      </c>
      <c r="AK23" s="19">
        <f>IF(AN23=12,L23,0)</f>
        <v>0</v>
      </c>
      <c r="AL23" s="19">
        <f>IF(AN23=21,L23,0)</f>
        <v>0</v>
      </c>
      <c r="AN23" s="19">
        <v>12</v>
      </c>
      <c r="AO23" s="19">
        <f>H23*0.380894569</f>
        <v>0</v>
      </c>
      <c r="AP23" s="19">
        <f>H23*(1-0.380894569)</f>
        <v>0</v>
      </c>
      <c r="AQ23" s="89" t="s">
        <v>532</v>
      </c>
      <c r="AV23" s="19">
        <f>ROUND(AW23+AX23,2)</f>
        <v>0</v>
      </c>
      <c r="AW23" s="19">
        <f>ROUND(G23*AO23,2)</f>
        <v>0</v>
      </c>
      <c r="AX23" s="19">
        <f>ROUND(G23*AP23,2)</f>
        <v>0</v>
      </c>
      <c r="AY23" s="89" t="s">
        <v>533</v>
      </c>
      <c r="AZ23" s="89" t="s">
        <v>542</v>
      </c>
      <c r="BA23" s="16" t="s">
        <v>543</v>
      </c>
      <c r="BC23" s="19">
        <f>AW23+AX23</f>
        <v>0</v>
      </c>
      <c r="BD23" s="19">
        <f>H23/(100-BE23)*100</f>
        <v>0</v>
      </c>
      <c r="BE23" s="19">
        <v>0</v>
      </c>
      <c r="BF23" s="19">
        <f>O23</f>
        <v>1.7440000000000001E-2</v>
      </c>
      <c r="BH23" s="19">
        <f>G23*AO23</f>
        <v>0</v>
      </c>
      <c r="BI23" s="19">
        <f>G23*AP23</f>
        <v>0</v>
      </c>
      <c r="BJ23" s="19">
        <f>G23*H23</f>
        <v>0</v>
      </c>
      <c r="BK23" s="89" t="s">
        <v>30</v>
      </c>
      <c r="BL23" s="19">
        <v>721</v>
      </c>
      <c r="BW23" s="19">
        <f>I23</f>
        <v>12</v>
      </c>
      <c r="BX23" s="4" t="s">
        <v>48</v>
      </c>
    </row>
    <row r="24" spans="1:76" x14ac:dyDescent="0.25">
      <c r="A24" s="1" t="s">
        <v>545</v>
      </c>
      <c r="B24" s="2" t="s">
        <v>432</v>
      </c>
      <c r="C24" s="2" t="s">
        <v>49</v>
      </c>
      <c r="D24" s="96" t="s">
        <v>50</v>
      </c>
      <c r="E24" s="97"/>
      <c r="F24" s="2" t="s">
        <v>29</v>
      </c>
      <c r="G24" s="19">
        <f>'Rozpočet - vybrané sloupce'!I23</f>
        <v>7</v>
      </c>
      <c r="H24" s="19">
        <f>'Rozpočet - vybrané sloupce'!J23</f>
        <v>0</v>
      </c>
      <c r="I24" s="87">
        <v>12</v>
      </c>
      <c r="J24" s="19">
        <f>ROUND(G24*AO24,2)</f>
        <v>0</v>
      </c>
      <c r="K24" s="19">
        <f>ROUND(G24*AP24,2)</f>
        <v>0</v>
      </c>
      <c r="L24" s="19">
        <f>ROUND(G24*H24,2)</f>
        <v>0</v>
      </c>
      <c r="M24" s="19">
        <f>L24*(1+BW24/100)</f>
        <v>0</v>
      </c>
      <c r="N24" s="19">
        <v>3.0000000000000001E-3</v>
      </c>
      <c r="O24" s="19">
        <f>G24*N24</f>
        <v>2.1000000000000001E-2</v>
      </c>
      <c r="P24" s="88" t="s">
        <v>531</v>
      </c>
      <c r="Z24" s="19">
        <f>ROUND(IF(AQ24="5",BJ24,0),2)</f>
        <v>0</v>
      </c>
      <c r="AB24" s="19">
        <f>ROUND(IF(AQ24="1",BH24,0),2)</f>
        <v>0</v>
      </c>
      <c r="AC24" s="19">
        <f>ROUND(IF(AQ24="1",BI24,0),2)</f>
        <v>0</v>
      </c>
      <c r="AD24" s="19">
        <f>ROUND(IF(AQ24="7",BH24,0),2)</f>
        <v>0</v>
      </c>
      <c r="AE24" s="19">
        <f>ROUND(IF(AQ24="7",BI24,0),2)</f>
        <v>0</v>
      </c>
      <c r="AF24" s="19">
        <f>ROUND(IF(AQ24="2",BH24,0),2)</f>
        <v>0</v>
      </c>
      <c r="AG24" s="19">
        <f>ROUND(IF(AQ24="2",BI24,0),2)</f>
        <v>0</v>
      </c>
      <c r="AH24" s="19">
        <f>ROUND(IF(AQ24="0",BJ24,0),2)</f>
        <v>0</v>
      </c>
      <c r="AI24" s="16" t="s">
        <v>432</v>
      </c>
      <c r="AJ24" s="19">
        <f>IF(AN24=0,L24,0)</f>
        <v>0</v>
      </c>
      <c r="AK24" s="19">
        <f>IF(AN24=12,L24,0)</f>
        <v>0</v>
      </c>
      <c r="AL24" s="19">
        <f>IF(AN24=21,L24,0)</f>
        <v>0</v>
      </c>
      <c r="AN24" s="19">
        <v>12</v>
      </c>
      <c r="AO24" s="19">
        <f>H24*0.425329457</f>
        <v>0</v>
      </c>
      <c r="AP24" s="19">
        <f>H24*(1-0.425329457)</f>
        <v>0</v>
      </c>
      <c r="AQ24" s="89" t="s">
        <v>532</v>
      </c>
      <c r="AV24" s="19">
        <f>ROUND(AW24+AX24,2)</f>
        <v>0</v>
      </c>
      <c r="AW24" s="19">
        <f>ROUND(G24*AO24,2)</f>
        <v>0</v>
      </c>
      <c r="AX24" s="19">
        <f>ROUND(G24*AP24,2)</f>
        <v>0</v>
      </c>
      <c r="AY24" s="89" t="s">
        <v>533</v>
      </c>
      <c r="AZ24" s="89" t="s">
        <v>542</v>
      </c>
      <c r="BA24" s="16" t="s">
        <v>543</v>
      </c>
      <c r="BC24" s="19">
        <f>AW24+AX24</f>
        <v>0</v>
      </c>
      <c r="BD24" s="19">
        <f>H24/(100-BE24)*100</f>
        <v>0</v>
      </c>
      <c r="BE24" s="19">
        <v>0</v>
      </c>
      <c r="BF24" s="19">
        <f>O24</f>
        <v>2.1000000000000001E-2</v>
      </c>
      <c r="BH24" s="19">
        <f>G24*AO24</f>
        <v>0</v>
      </c>
      <c r="BI24" s="19">
        <f>G24*AP24</f>
        <v>0</v>
      </c>
      <c r="BJ24" s="19">
        <f>G24*H24</f>
        <v>0</v>
      </c>
      <c r="BK24" s="89" t="s">
        <v>30</v>
      </c>
      <c r="BL24" s="19">
        <v>721</v>
      </c>
      <c r="BW24" s="19">
        <f>I24</f>
        <v>12</v>
      </c>
      <c r="BX24" s="4" t="s">
        <v>50</v>
      </c>
    </row>
    <row r="25" spans="1:76" x14ac:dyDescent="0.25">
      <c r="A25" s="1" t="s">
        <v>546</v>
      </c>
      <c r="B25" s="2" t="s">
        <v>432</v>
      </c>
      <c r="C25" s="2" t="s">
        <v>51</v>
      </c>
      <c r="D25" s="96" t="s">
        <v>52</v>
      </c>
      <c r="E25" s="97"/>
      <c r="F25" s="2" t="s">
        <v>33</v>
      </c>
      <c r="G25" s="19">
        <f>'Rozpočet - vybrané sloupce'!I24</f>
        <v>1</v>
      </c>
      <c r="H25" s="19">
        <f>'Rozpočet - vybrané sloupce'!J24</f>
        <v>0</v>
      </c>
      <c r="I25" s="87">
        <v>12</v>
      </c>
      <c r="J25" s="19">
        <f>ROUND(G25*AO25,2)</f>
        <v>0</v>
      </c>
      <c r="K25" s="19">
        <f>ROUND(G25*AP25,2)</f>
        <v>0</v>
      </c>
      <c r="L25" s="19">
        <f>ROUND(G25*H25,2)</f>
        <v>0</v>
      </c>
      <c r="M25" s="19">
        <f>L25*(1+BW25/100)</f>
        <v>0</v>
      </c>
      <c r="N25" s="19">
        <v>1.09E-3</v>
      </c>
      <c r="O25" s="19">
        <f>G25*N25</f>
        <v>1.09E-3</v>
      </c>
      <c r="P25" s="88" t="s">
        <v>531</v>
      </c>
      <c r="Z25" s="19">
        <f>ROUND(IF(AQ25="5",BJ25,0),2)</f>
        <v>0</v>
      </c>
      <c r="AB25" s="19">
        <f>ROUND(IF(AQ25="1",BH25,0),2)</f>
        <v>0</v>
      </c>
      <c r="AC25" s="19">
        <f>ROUND(IF(AQ25="1",BI25,0),2)</f>
        <v>0</v>
      </c>
      <c r="AD25" s="19">
        <f>ROUND(IF(AQ25="7",BH25,0),2)</f>
        <v>0</v>
      </c>
      <c r="AE25" s="19">
        <f>ROUND(IF(AQ25="7",BI25,0),2)</f>
        <v>0</v>
      </c>
      <c r="AF25" s="19">
        <f>ROUND(IF(AQ25="2",BH25,0),2)</f>
        <v>0</v>
      </c>
      <c r="AG25" s="19">
        <f>ROUND(IF(AQ25="2",BI25,0),2)</f>
        <v>0</v>
      </c>
      <c r="AH25" s="19">
        <f>ROUND(IF(AQ25="0",BJ25,0),2)</f>
        <v>0</v>
      </c>
      <c r="AI25" s="16" t="s">
        <v>432</v>
      </c>
      <c r="AJ25" s="19">
        <f>IF(AN25=0,L25,0)</f>
        <v>0</v>
      </c>
      <c r="AK25" s="19">
        <f>IF(AN25=12,L25,0)</f>
        <v>0</v>
      </c>
      <c r="AL25" s="19">
        <f>IF(AN25=21,L25,0)</f>
        <v>0</v>
      </c>
      <c r="AN25" s="19">
        <v>12</v>
      </c>
      <c r="AO25" s="19">
        <f>H25*1</f>
        <v>0</v>
      </c>
      <c r="AP25" s="19">
        <f>H25*(1-1)</f>
        <v>0</v>
      </c>
      <c r="AQ25" s="89" t="s">
        <v>532</v>
      </c>
      <c r="AV25" s="19">
        <f>ROUND(AW25+AX25,2)</f>
        <v>0</v>
      </c>
      <c r="AW25" s="19">
        <f>ROUND(G25*AO25,2)</f>
        <v>0</v>
      </c>
      <c r="AX25" s="19">
        <f>ROUND(G25*AP25,2)</f>
        <v>0</v>
      </c>
      <c r="AY25" s="89" t="s">
        <v>533</v>
      </c>
      <c r="AZ25" s="89" t="s">
        <v>542</v>
      </c>
      <c r="BA25" s="16" t="s">
        <v>543</v>
      </c>
      <c r="BC25" s="19">
        <f>AW25+AX25</f>
        <v>0</v>
      </c>
      <c r="BD25" s="19">
        <f>H25/(100-BE25)*100</f>
        <v>0</v>
      </c>
      <c r="BE25" s="19">
        <v>0</v>
      </c>
      <c r="BF25" s="19">
        <f>O25</f>
        <v>1.09E-3</v>
      </c>
      <c r="BH25" s="19">
        <f>G25*AO25</f>
        <v>0</v>
      </c>
      <c r="BI25" s="19">
        <f>G25*AP25</f>
        <v>0</v>
      </c>
      <c r="BJ25" s="19">
        <f>G25*H25</f>
        <v>0</v>
      </c>
      <c r="BK25" s="89" t="s">
        <v>53</v>
      </c>
      <c r="BL25" s="19">
        <v>721</v>
      </c>
      <c r="BW25" s="19">
        <f>I25</f>
        <v>12</v>
      </c>
      <c r="BX25" s="4" t="s">
        <v>52</v>
      </c>
    </row>
    <row r="26" spans="1:76" x14ac:dyDescent="0.25">
      <c r="A26" s="90"/>
      <c r="C26" s="91" t="s">
        <v>547</v>
      </c>
      <c r="D26" s="180" t="s">
        <v>548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2"/>
      <c r="BX26" s="92" t="s">
        <v>548</v>
      </c>
    </row>
    <row r="27" spans="1:76" x14ac:dyDescent="0.25">
      <c r="A27" s="1" t="s">
        <v>549</v>
      </c>
      <c r="B27" s="2" t="s">
        <v>432</v>
      </c>
      <c r="C27" s="2" t="s">
        <v>54</v>
      </c>
      <c r="D27" s="96" t="s">
        <v>55</v>
      </c>
      <c r="E27" s="97"/>
      <c r="F27" s="2" t="s">
        <v>56</v>
      </c>
      <c r="G27" s="19">
        <f>'Rozpočet - vybrané sloupce'!I25</f>
        <v>15</v>
      </c>
      <c r="H27" s="19">
        <f>'Rozpočet - vybrané sloupce'!J25</f>
        <v>0</v>
      </c>
      <c r="I27" s="87">
        <v>12</v>
      </c>
      <c r="J27" s="19">
        <f>ROUND(G27*AO27,2)</f>
        <v>0</v>
      </c>
      <c r="K27" s="19">
        <f>ROUND(G27*AP27,2)</f>
        <v>0</v>
      </c>
      <c r="L27" s="19">
        <f>ROUND(G27*H27,2)</f>
        <v>0</v>
      </c>
      <c r="M27" s="19">
        <f>L27*(1+BW27/100)</f>
        <v>0</v>
      </c>
      <c r="N27" s="19">
        <v>0</v>
      </c>
      <c r="O27" s="19">
        <f>G27*N27</f>
        <v>0</v>
      </c>
      <c r="P27" s="88" t="s">
        <v>531</v>
      </c>
      <c r="Z27" s="19">
        <f>ROUND(IF(AQ27="5",BJ27,0),2)</f>
        <v>0</v>
      </c>
      <c r="AB27" s="19">
        <f>ROUND(IF(AQ27="1",BH27,0),2)</f>
        <v>0</v>
      </c>
      <c r="AC27" s="19">
        <f>ROUND(IF(AQ27="1",BI27,0),2)</f>
        <v>0</v>
      </c>
      <c r="AD27" s="19">
        <f>ROUND(IF(AQ27="7",BH27,0),2)</f>
        <v>0</v>
      </c>
      <c r="AE27" s="19">
        <f>ROUND(IF(AQ27="7",BI27,0),2)</f>
        <v>0</v>
      </c>
      <c r="AF27" s="19">
        <f>ROUND(IF(AQ27="2",BH27,0),2)</f>
        <v>0</v>
      </c>
      <c r="AG27" s="19">
        <f>ROUND(IF(AQ27="2",BI27,0),2)</f>
        <v>0</v>
      </c>
      <c r="AH27" s="19">
        <f>ROUND(IF(AQ27="0",BJ27,0),2)</f>
        <v>0</v>
      </c>
      <c r="AI27" s="16" t="s">
        <v>432</v>
      </c>
      <c r="AJ27" s="19">
        <f>IF(AN27=0,L27,0)</f>
        <v>0</v>
      </c>
      <c r="AK27" s="19">
        <f>IF(AN27=12,L27,0)</f>
        <v>0</v>
      </c>
      <c r="AL27" s="19">
        <f>IF(AN27=21,L27,0)</f>
        <v>0</v>
      </c>
      <c r="AN27" s="19">
        <v>12</v>
      </c>
      <c r="AO27" s="19">
        <f>H27*0</f>
        <v>0</v>
      </c>
      <c r="AP27" s="19">
        <f>H27*(1-0)</f>
        <v>0</v>
      </c>
      <c r="AQ27" s="89" t="s">
        <v>532</v>
      </c>
      <c r="AV27" s="19">
        <f>ROUND(AW27+AX27,2)</f>
        <v>0</v>
      </c>
      <c r="AW27" s="19">
        <f>ROUND(G27*AO27,2)</f>
        <v>0</v>
      </c>
      <c r="AX27" s="19">
        <f>ROUND(G27*AP27,2)</f>
        <v>0</v>
      </c>
      <c r="AY27" s="89" t="s">
        <v>533</v>
      </c>
      <c r="AZ27" s="89" t="s">
        <v>542</v>
      </c>
      <c r="BA27" s="16" t="s">
        <v>543</v>
      </c>
      <c r="BC27" s="19">
        <f>AW27+AX27</f>
        <v>0</v>
      </c>
      <c r="BD27" s="19">
        <f>H27/(100-BE27)*100</f>
        <v>0</v>
      </c>
      <c r="BE27" s="19">
        <v>0</v>
      </c>
      <c r="BF27" s="19">
        <f>O27</f>
        <v>0</v>
      </c>
      <c r="BH27" s="19">
        <f>G27*AO27</f>
        <v>0</v>
      </c>
      <c r="BI27" s="19">
        <f>G27*AP27</f>
        <v>0</v>
      </c>
      <c r="BJ27" s="19">
        <f>G27*H27</f>
        <v>0</v>
      </c>
      <c r="BK27" s="89" t="s">
        <v>30</v>
      </c>
      <c r="BL27" s="19">
        <v>721</v>
      </c>
      <c r="BW27" s="19">
        <f>I27</f>
        <v>12</v>
      </c>
      <c r="BX27" s="4" t="s">
        <v>55</v>
      </c>
    </row>
    <row r="28" spans="1:76" x14ac:dyDescent="0.25">
      <c r="A28" s="1" t="s">
        <v>550</v>
      </c>
      <c r="B28" s="2" t="s">
        <v>432</v>
      </c>
      <c r="C28" s="2" t="s">
        <v>57</v>
      </c>
      <c r="D28" s="96" t="s">
        <v>58</v>
      </c>
      <c r="E28" s="97"/>
      <c r="F28" s="2" t="s">
        <v>41</v>
      </c>
      <c r="G28" s="19">
        <f>'Rozpočet - vybrané sloupce'!I26</f>
        <v>289</v>
      </c>
      <c r="H28" s="19">
        <f>'Rozpočet - vybrané sloupce'!J26</f>
        <v>0</v>
      </c>
      <c r="I28" s="87">
        <v>12</v>
      </c>
      <c r="J28" s="19">
        <f>ROUND(G28*AO28,2)</f>
        <v>0</v>
      </c>
      <c r="K28" s="19">
        <f>ROUND(G28*AP28,2)</f>
        <v>0</v>
      </c>
      <c r="L28" s="19">
        <f>ROUND(G28*H28,2)</f>
        <v>0</v>
      </c>
      <c r="M28" s="19">
        <f>L28*(1+BW28/100)</f>
        <v>0</v>
      </c>
      <c r="N28" s="19">
        <v>0</v>
      </c>
      <c r="O28" s="19">
        <f>G28*N28</f>
        <v>0</v>
      </c>
      <c r="P28" s="88" t="s">
        <v>531</v>
      </c>
      <c r="Z28" s="19">
        <f>ROUND(IF(AQ28="5",BJ28,0),2)</f>
        <v>0</v>
      </c>
      <c r="AB28" s="19">
        <f>ROUND(IF(AQ28="1",BH28,0),2)</f>
        <v>0</v>
      </c>
      <c r="AC28" s="19">
        <f>ROUND(IF(AQ28="1",BI28,0),2)</f>
        <v>0</v>
      </c>
      <c r="AD28" s="19">
        <f>ROUND(IF(AQ28="7",BH28,0),2)</f>
        <v>0</v>
      </c>
      <c r="AE28" s="19">
        <f>ROUND(IF(AQ28="7",BI28,0),2)</f>
        <v>0</v>
      </c>
      <c r="AF28" s="19">
        <f>ROUND(IF(AQ28="2",BH28,0),2)</f>
        <v>0</v>
      </c>
      <c r="AG28" s="19">
        <f>ROUND(IF(AQ28="2",BI28,0),2)</f>
        <v>0</v>
      </c>
      <c r="AH28" s="19">
        <f>ROUND(IF(AQ28="0",BJ28,0),2)</f>
        <v>0</v>
      </c>
      <c r="AI28" s="16" t="s">
        <v>432</v>
      </c>
      <c r="AJ28" s="19">
        <f>IF(AN28=0,L28,0)</f>
        <v>0</v>
      </c>
      <c r="AK28" s="19">
        <f>IF(AN28=12,L28,0)</f>
        <v>0</v>
      </c>
      <c r="AL28" s="19">
        <f>IF(AN28=21,L28,0)</f>
        <v>0</v>
      </c>
      <c r="AN28" s="19">
        <v>12</v>
      </c>
      <c r="AO28" s="19">
        <f>H28*0</f>
        <v>0</v>
      </c>
      <c r="AP28" s="19">
        <f>H28*(1-0)</f>
        <v>0</v>
      </c>
      <c r="AQ28" s="89" t="s">
        <v>540</v>
      </c>
      <c r="AV28" s="19">
        <f>ROUND(AW28+AX28,2)</f>
        <v>0</v>
      </c>
      <c r="AW28" s="19">
        <f>ROUND(G28*AO28,2)</f>
        <v>0</v>
      </c>
      <c r="AX28" s="19">
        <f>ROUND(G28*AP28,2)</f>
        <v>0</v>
      </c>
      <c r="AY28" s="89" t="s">
        <v>533</v>
      </c>
      <c r="AZ28" s="89" t="s">
        <v>542</v>
      </c>
      <c r="BA28" s="16" t="s">
        <v>543</v>
      </c>
      <c r="BC28" s="19">
        <f>AW28+AX28</f>
        <v>0</v>
      </c>
      <c r="BD28" s="19">
        <f>H28/(100-BE28)*100</f>
        <v>0</v>
      </c>
      <c r="BE28" s="19">
        <v>0</v>
      </c>
      <c r="BF28" s="19">
        <f>O28</f>
        <v>0</v>
      </c>
      <c r="BH28" s="19">
        <f>G28*AO28</f>
        <v>0</v>
      </c>
      <c r="BI28" s="19">
        <f>G28*AP28</f>
        <v>0</v>
      </c>
      <c r="BJ28" s="19">
        <f>G28*H28</f>
        <v>0</v>
      </c>
      <c r="BK28" s="89" t="s">
        <v>30</v>
      </c>
      <c r="BL28" s="19">
        <v>721</v>
      </c>
      <c r="BW28" s="19">
        <f>I28</f>
        <v>12</v>
      </c>
      <c r="BX28" s="4" t="s">
        <v>58</v>
      </c>
    </row>
    <row r="29" spans="1:76" x14ac:dyDescent="0.25">
      <c r="A29" s="84" t="s">
        <v>23</v>
      </c>
      <c r="B29" s="15" t="s">
        <v>433</v>
      </c>
      <c r="C29" s="15" t="s">
        <v>23</v>
      </c>
      <c r="D29" s="152" t="s">
        <v>59</v>
      </c>
      <c r="E29" s="153"/>
      <c r="F29" s="85" t="s">
        <v>22</v>
      </c>
      <c r="G29" s="85" t="s">
        <v>22</v>
      </c>
      <c r="H29" s="85" t="s">
        <v>22</v>
      </c>
      <c r="I29" s="85" t="s">
        <v>22</v>
      </c>
      <c r="J29" s="60">
        <f>J30+J34</f>
        <v>0</v>
      </c>
      <c r="K29" s="60">
        <f>K30+K34</f>
        <v>0</v>
      </c>
      <c r="L29" s="60">
        <f>L30+L34</f>
        <v>0</v>
      </c>
      <c r="M29" s="60">
        <f>M30+M34</f>
        <v>0</v>
      </c>
      <c r="N29" s="16" t="s">
        <v>23</v>
      </c>
      <c r="O29" s="60">
        <f>O30+O34</f>
        <v>1.2619599999999997</v>
      </c>
      <c r="P29" s="86" t="s">
        <v>23</v>
      </c>
    </row>
    <row r="30" spans="1:76" x14ac:dyDescent="0.25">
      <c r="A30" s="84" t="s">
        <v>23</v>
      </c>
      <c r="B30" s="15" t="s">
        <v>433</v>
      </c>
      <c r="C30" s="15" t="s">
        <v>60</v>
      </c>
      <c r="D30" s="152" t="s">
        <v>61</v>
      </c>
      <c r="E30" s="153"/>
      <c r="F30" s="85" t="s">
        <v>22</v>
      </c>
      <c r="G30" s="85" t="s">
        <v>22</v>
      </c>
      <c r="H30" s="85" t="s">
        <v>22</v>
      </c>
      <c r="I30" s="85" t="s">
        <v>22</v>
      </c>
      <c r="J30" s="60">
        <f>SUM(J31:J33)</f>
        <v>0</v>
      </c>
      <c r="K30" s="60">
        <f>SUM(K31:K33)</f>
        <v>0</v>
      </c>
      <c r="L30" s="60">
        <f>SUM(L31:L33)</f>
        <v>0</v>
      </c>
      <c r="M30" s="60">
        <f>SUM(M31:M33)</f>
        <v>0</v>
      </c>
      <c r="N30" s="16" t="s">
        <v>23</v>
      </c>
      <c r="O30" s="60">
        <f>SUM(O31:O33)</f>
        <v>1E-3</v>
      </c>
      <c r="P30" s="86" t="s">
        <v>23</v>
      </c>
      <c r="AI30" s="16" t="s">
        <v>433</v>
      </c>
      <c r="AS30" s="60">
        <f>SUM(AJ31:AJ33)</f>
        <v>0</v>
      </c>
      <c r="AT30" s="60">
        <f>SUM(AK31:AK33)</f>
        <v>0</v>
      </c>
      <c r="AU30" s="60">
        <f>SUM(AL31:AL33)</f>
        <v>0</v>
      </c>
    </row>
    <row r="31" spans="1:76" x14ac:dyDescent="0.25">
      <c r="A31" s="1" t="s">
        <v>551</v>
      </c>
      <c r="B31" s="2" t="s">
        <v>433</v>
      </c>
      <c r="C31" s="2" t="s">
        <v>62</v>
      </c>
      <c r="D31" s="96" t="s">
        <v>63</v>
      </c>
      <c r="E31" s="97"/>
      <c r="F31" s="2" t="s">
        <v>33</v>
      </c>
      <c r="G31" s="19">
        <f>'Rozpočet - vybrané sloupce'!I29</f>
        <v>20</v>
      </c>
      <c r="H31" s="19">
        <f>'Rozpočet - vybrané sloupce'!J29</f>
        <v>0</v>
      </c>
      <c r="I31" s="87">
        <v>12</v>
      </c>
      <c r="J31" s="19">
        <f>ROUND(G31*AO31,2)</f>
        <v>0</v>
      </c>
      <c r="K31" s="19">
        <f>ROUND(G31*AP31,2)</f>
        <v>0</v>
      </c>
      <c r="L31" s="19">
        <f>ROUND(G31*H31,2)</f>
        <v>0</v>
      </c>
      <c r="M31" s="19">
        <f>L31*(1+BW31/100)</f>
        <v>0</v>
      </c>
      <c r="N31" s="19">
        <v>5.0000000000000002E-5</v>
      </c>
      <c r="O31" s="19">
        <f>G31*N31</f>
        <v>1E-3</v>
      </c>
      <c r="P31" s="88" t="s">
        <v>531</v>
      </c>
      <c r="Z31" s="19">
        <f>ROUND(IF(AQ31="5",BJ31,0),2)</f>
        <v>0</v>
      </c>
      <c r="AB31" s="19">
        <f>ROUND(IF(AQ31="1",BH31,0),2)</f>
        <v>0</v>
      </c>
      <c r="AC31" s="19">
        <f>ROUND(IF(AQ31="1",BI31,0),2)</f>
        <v>0</v>
      </c>
      <c r="AD31" s="19">
        <f>ROUND(IF(AQ31="7",BH31,0),2)</f>
        <v>0</v>
      </c>
      <c r="AE31" s="19">
        <f>ROUND(IF(AQ31="7",BI31,0),2)</f>
        <v>0</v>
      </c>
      <c r="AF31" s="19">
        <f>ROUND(IF(AQ31="2",BH31,0),2)</f>
        <v>0</v>
      </c>
      <c r="AG31" s="19">
        <f>ROUND(IF(AQ31="2",BI31,0),2)</f>
        <v>0</v>
      </c>
      <c r="AH31" s="19">
        <f>ROUND(IF(AQ31="0",BJ31,0),2)</f>
        <v>0</v>
      </c>
      <c r="AI31" s="16" t="s">
        <v>433</v>
      </c>
      <c r="AJ31" s="19">
        <f>IF(AN31=0,L31,0)</f>
        <v>0</v>
      </c>
      <c r="AK31" s="19">
        <f>IF(AN31=12,L31,0)</f>
        <v>0</v>
      </c>
      <c r="AL31" s="19">
        <f>IF(AN31=21,L31,0)</f>
        <v>0</v>
      </c>
      <c r="AN31" s="19">
        <v>12</v>
      </c>
      <c r="AO31" s="19">
        <f>H31*0.819944056</f>
        <v>0</v>
      </c>
      <c r="AP31" s="19">
        <f>H31*(1-0.819944056)</f>
        <v>0</v>
      </c>
      <c r="AQ31" s="89" t="s">
        <v>532</v>
      </c>
      <c r="AV31" s="19">
        <f>ROUND(AW31+AX31,2)</f>
        <v>0</v>
      </c>
      <c r="AW31" s="19">
        <f>ROUND(G31*AO31,2)</f>
        <v>0</v>
      </c>
      <c r="AX31" s="19">
        <f>ROUND(G31*AP31,2)</f>
        <v>0</v>
      </c>
      <c r="AY31" s="89" t="s">
        <v>552</v>
      </c>
      <c r="AZ31" s="89" t="s">
        <v>553</v>
      </c>
      <c r="BA31" s="16" t="s">
        <v>554</v>
      </c>
      <c r="BC31" s="19">
        <f>AW31+AX31</f>
        <v>0</v>
      </c>
      <c r="BD31" s="19">
        <f>H31/(100-BE31)*100</f>
        <v>0</v>
      </c>
      <c r="BE31" s="19">
        <v>0</v>
      </c>
      <c r="BF31" s="19">
        <f>O31</f>
        <v>1E-3</v>
      </c>
      <c r="BH31" s="19">
        <f>G31*AO31</f>
        <v>0</v>
      </c>
      <c r="BI31" s="19">
        <f>G31*AP31</f>
        <v>0</v>
      </c>
      <c r="BJ31" s="19">
        <f>G31*H31</f>
        <v>0</v>
      </c>
      <c r="BK31" s="89" t="s">
        <v>30</v>
      </c>
      <c r="BL31" s="19">
        <v>713</v>
      </c>
      <c r="BW31" s="19">
        <f>I31</f>
        <v>12</v>
      </c>
      <c r="BX31" s="4" t="s">
        <v>63</v>
      </c>
    </row>
    <row r="32" spans="1:76" ht="38.25" x14ac:dyDescent="0.25">
      <c r="A32" s="90"/>
      <c r="C32" s="91" t="s">
        <v>547</v>
      </c>
      <c r="D32" s="180" t="s">
        <v>555</v>
      </c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2"/>
      <c r="BX32" s="92" t="s">
        <v>555</v>
      </c>
    </row>
    <row r="33" spans="1:76" x14ac:dyDescent="0.25">
      <c r="A33" s="1" t="s">
        <v>556</v>
      </c>
      <c r="B33" s="2" t="s">
        <v>433</v>
      </c>
      <c r="C33" s="2" t="s">
        <v>64</v>
      </c>
      <c r="D33" s="96" t="s">
        <v>65</v>
      </c>
      <c r="E33" s="97"/>
      <c r="F33" s="2" t="s">
        <v>41</v>
      </c>
      <c r="G33" s="19">
        <f>'Rozpočet - vybrané sloupce'!I30</f>
        <v>332</v>
      </c>
      <c r="H33" s="19">
        <f>'Rozpočet - vybrané sloupce'!J30</f>
        <v>0</v>
      </c>
      <c r="I33" s="87">
        <v>12</v>
      </c>
      <c r="J33" s="19">
        <f>ROUND(G33*AO33,2)</f>
        <v>0</v>
      </c>
      <c r="K33" s="19">
        <f>ROUND(G33*AP33,2)</f>
        <v>0</v>
      </c>
      <c r="L33" s="19">
        <f>ROUND(G33*H33,2)</f>
        <v>0</v>
      </c>
      <c r="M33" s="19">
        <f>L33*(1+BW33/100)</f>
        <v>0</v>
      </c>
      <c r="N33" s="19">
        <v>0</v>
      </c>
      <c r="O33" s="19">
        <f>G33*N33</f>
        <v>0</v>
      </c>
      <c r="P33" s="88" t="s">
        <v>531</v>
      </c>
      <c r="Z33" s="19">
        <f>ROUND(IF(AQ33="5",BJ33,0),2)</f>
        <v>0</v>
      </c>
      <c r="AB33" s="19">
        <f>ROUND(IF(AQ33="1",BH33,0),2)</f>
        <v>0</v>
      </c>
      <c r="AC33" s="19">
        <f>ROUND(IF(AQ33="1",BI33,0),2)</f>
        <v>0</v>
      </c>
      <c r="AD33" s="19">
        <f>ROUND(IF(AQ33="7",BH33,0),2)</f>
        <v>0</v>
      </c>
      <c r="AE33" s="19">
        <f>ROUND(IF(AQ33="7",BI33,0),2)</f>
        <v>0</v>
      </c>
      <c r="AF33" s="19">
        <f>ROUND(IF(AQ33="2",BH33,0),2)</f>
        <v>0</v>
      </c>
      <c r="AG33" s="19">
        <f>ROUND(IF(AQ33="2",BI33,0),2)</f>
        <v>0</v>
      </c>
      <c r="AH33" s="19">
        <f>ROUND(IF(AQ33="0",BJ33,0),2)</f>
        <v>0</v>
      </c>
      <c r="AI33" s="16" t="s">
        <v>433</v>
      </c>
      <c r="AJ33" s="19">
        <f>IF(AN33=0,L33,0)</f>
        <v>0</v>
      </c>
      <c r="AK33" s="19">
        <f>IF(AN33=12,L33,0)</f>
        <v>0</v>
      </c>
      <c r="AL33" s="19">
        <f>IF(AN33=21,L33,0)</f>
        <v>0</v>
      </c>
      <c r="AN33" s="19">
        <v>12</v>
      </c>
      <c r="AO33" s="19">
        <f>H33*0</f>
        <v>0</v>
      </c>
      <c r="AP33" s="19">
        <f>H33*(1-0)</f>
        <v>0</v>
      </c>
      <c r="AQ33" s="89" t="s">
        <v>540</v>
      </c>
      <c r="AV33" s="19">
        <f>ROUND(AW33+AX33,2)</f>
        <v>0</v>
      </c>
      <c r="AW33" s="19">
        <f>ROUND(G33*AO33,2)</f>
        <v>0</v>
      </c>
      <c r="AX33" s="19">
        <f>ROUND(G33*AP33,2)</f>
        <v>0</v>
      </c>
      <c r="AY33" s="89" t="s">
        <v>552</v>
      </c>
      <c r="AZ33" s="89" t="s">
        <v>553</v>
      </c>
      <c r="BA33" s="16" t="s">
        <v>554</v>
      </c>
      <c r="BC33" s="19">
        <f>AW33+AX33</f>
        <v>0</v>
      </c>
      <c r="BD33" s="19">
        <f>H33/(100-BE33)*100</f>
        <v>0</v>
      </c>
      <c r="BE33" s="19">
        <v>0</v>
      </c>
      <c r="BF33" s="19">
        <f>O33</f>
        <v>0</v>
      </c>
      <c r="BH33" s="19">
        <f>G33*AO33</f>
        <v>0</v>
      </c>
      <c r="BI33" s="19">
        <f>G33*AP33</f>
        <v>0</v>
      </c>
      <c r="BJ33" s="19">
        <f>G33*H33</f>
        <v>0</v>
      </c>
      <c r="BK33" s="89" t="s">
        <v>30</v>
      </c>
      <c r="BL33" s="19">
        <v>713</v>
      </c>
      <c r="BW33" s="19">
        <f>I33</f>
        <v>12</v>
      </c>
      <c r="BX33" s="4" t="s">
        <v>65</v>
      </c>
    </row>
    <row r="34" spans="1:76" x14ac:dyDescent="0.25">
      <c r="A34" s="84" t="s">
        <v>23</v>
      </c>
      <c r="B34" s="15" t="s">
        <v>433</v>
      </c>
      <c r="C34" s="15" t="s">
        <v>25</v>
      </c>
      <c r="D34" s="152" t="s">
        <v>26</v>
      </c>
      <c r="E34" s="153"/>
      <c r="F34" s="85" t="s">
        <v>22</v>
      </c>
      <c r="G34" s="85" t="s">
        <v>22</v>
      </c>
      <c r="H34" s="85" t="s">
        <v>22</v>
      </c>
      <c r="I34" s="85" t="s">
        <v>22</v>
      </c>
      <c r="J34" s="60">
        <f>SUM(J35:J49)</f>
        <v>0</v>
      </c>
      <c r="K34" s="60">
        <f>SUM(K35:K49)</f>
        <v>0</v>
      </c>
      <c r="L34" s="60">
        <f>SUM(L35:L49)</f>
        <v>0</v>
      </c>
      <c r="M34" s="60">
        <f>SUM(M35:M49)</f>
        <v>0</v>
      </c>
      <c r="N34" s="16" t="s">
        <v>23</v>
      </c>
      <c r="O34" s="60">
        <f>SUM(O35:O49)</f>
        <v>1.2609599999999999</v>
      </c>
      <c r="P34" s="86" t="s">
        <v>23</v>
      </c>
      <c r="AI34" s="16" t="s">
        <v>433</v>
      </c>
      <c r="AS34" s="60">
        <f>SUM(AJ35:AJ49)</f>
        <v>0</v>
      </c>
      <c r="AT34" s="60">
        <f>SUM(AK35:AK49)</f>
        <v>0</v>
      </c>
      <c r="AU34" s="60">
        <f>SUM(AL35:AL49)</f>
        <v>0</v>
      </c>
    </row>
    <row r="35" spans="1:76" x14ac:dyDescent="0.25">
      <c r="A35" s="1" t="s">
        <v>557</v>
      </c>
      <c r="B35" s="2" t="s">
        <v>433</v>
      </c>
      <c r="C35" s="2" t="s">
        <v>66</v>
      </c>
      <c r="D35" s="96" t="s">
        <v>67</v>
      </c>
      <c r="E35" s="97"/>
      <c r="F35" s="2" t="s">
        <v>29</v>
      </c>
      <c r="G35" s="19">
        <f>'Rozpočet - vybrané sloupce'!I32</f>
        <v>8</v>
      </c>
      <c r="H35" s="19">
        <f>'Rozpočet - vybrané sloupce'!J32</f>
        <v>0</v>
      </c>
      <c r="I35" s="87">
        <v>12</v>
      </c>
      <c r="J35" s="19">
        <f>ROUND(G35*AO35,2)</f>
        <v>0</v>
      </c>
      <c r="K35" s="19">
        <f>ROUND(G35*AP35,2)</f>
        <v>0</v>
      </c>
      <c r="L35" s="19">
        <f>ROUND(G35*H35,2)</f>
        <v>0</v>
      </c>
      <c r="M35" s="19">
        <f>L35*(1+BW35/100)</f>
        <v>0</v>
      </c>
      <c r="N35" s="19">
        <v>1.4919999999999999E-2</v>
      </c>
      <c r="O35" s="19">
        <f>G35*N35</f>
        <v>0.11935999999999999</v>
      </c>
      <c r="P35" s="88" t="s">
        <v>531</v>
      </c>
      <c r="Z35" s="19">
        <f>ROUND(IF(AQ35="5",BJ35,0),2)</f>
        <v>0</v>
      </c>
      <c r="AB35" s="19">
        <f>ROUND(IF(AQ35="1",BH35,0),2)</f>
        <v>0</v>
      </c>
      <c r="AC35" s="19">
        <f>ROUND(IF(AQ35="1",BI35,0),2)</f>
        <v>0</v>
      </c>
      <c r="AD35" s="19">
        <f>ROUND(IF(AQ35="7",BH35,0),2)</f>
        <v>0</v>
      </c>
      <c r="AE35" s="19">
        <f>ROUND(IF(AQ35="7",BI35,0),2)</f>
        <v>0</v>
      </c>
      <c r="AF35" s="19">
        <f>ROUND(IF(AQ35="2",BH35,0),2)</f>
        <v>0</v>
      </c>
      <c r="AG35" s="19">
        <f>ROUND(IF(AQ35="2",BI35,0),2)</f>
        <v>0</v>
      </c>
      <c r="AH35" s="19">
        <f>ROUND(IF(AQ35="0",BJ35,0),2)</f>
        <v>0</v>
      </c>
      <c r="AI35" s="16" t="s">
        <v>433</v>
      </c>
      <c r="AJ35" s="19">
        <f>IF(AN35=0,L35,0)</f>
        <v>0</v>
      </c>
      <c r="AK35" s="19">
        <f>IF(AN35=12,L35,0)</f>
        <v>0</v>
      </c>
      <c r="AL35" s="19">
        <f>IF(AN35=21,L35,0)</f>
        <v>0</v>
      </c>
      <c r="AN35" s="19">
        <v>12</v>
      </c>
      <c r="AO35" s="19">
        <f>H35*0</f>
        <v>0</v>
      </c>
      <c r="AP35" s="19">
        <f>H35*(1-0)</f>
        <v>0</v>
      </c>
      <c r="AQ35" s="89" t="s">
        <v>532</v>
      </c>
      <c r="AV35" s="19">
        <f>ROUND(AW35+AX35,2)</f>
        <v>0</v>
      </c>
      <c r="AW35" s="19">
        <f>ROUND(G35*AO35,2)</f>
        <v>0</v>
      </c>
      <c r="AX35" s="19">
        <f>ROUND(G35*AP35,2)</f>
        <v>0</v>
      </c>
      <c r="AY35" s="89" t="s">
        <v>533</v>
      </c>
      <c r="AZ35" s="89" t="s">
        <v>558</v>
      </c>
      <c r="BA35" s="16" t="s">
        <v>554</v>
      </c>
      <c r="BC35" s="19">
        <f>AW35+AX35</f>
        <v>0</v>
      </c>
      <c r="BD35" s="19">
        <f>H35/(100-BE35)*100</f>
        <v>0</v>
      </c>
      <c r="BE35" s="19">
        <v>0</v>
      </c>
      <c r="BF35" s="19">
        <f>O35</f>
        <v>0.11935999999999999</v>
      </c>
      <c r="BH35" s="19">
        <f>G35*AO35</f>
        <v>0</v>
      </c>
      <c r="BI35" s="19">
        <f>G35*AP35</f>
        <v>0</v>
      </c>
      <c r="BJ35" s="19">
        <f>G35*H35</f>
        <v>0</v>
      </c>
      <c r="BK35" s="89" t="s">
        <v>30</v>
      </c>
      <c r="BL35" s="19">
        <v>721</v>
      </c>
      <c r="BW35" s="19">
        <f>I35</f>
        <v>12</v>
      </c>
      <c r="BX35" s="4" t="s">
        <v>67</v>
      </c>
    </row>
    <row r="36" spans="1:76" x14ac:dyDescent="0.25">
      <c r="A36" s="1" t="s">
        <v>559</v>
      </c>
      <c r="B36" s="2" t="s">
        <v>433</v>
      </c>
      <c r="C36" s="2" t="s">
        <v>68</v>
      </c>
      <c r="D36" s="96" t="s">
        <v>69</v>
      </c>
      <c r="E36" s="97"/>
      <c r="F36" s="2" t="s">
        <v>33</v>
      </c>
      <c r="G36" s="19">
        <f>'Rozpočet - vybrané sloupce'!I33</f>
        <v>2</v>
      </c>
      <c r="H36" s="19">
        <f>'Rozpočet - vybrané sloupce'!J33</f>
        <v>0</v>
      </c>
      <c r="I36" s="87">
        <v>12</v>
      </c>
      <c r="J36" s="19">
        <f>ROUND(G36*AO36,2)</f>
        <v>0</v>
      </c>
      <c r="K36" s="19">
        <f>ROUND(G36*AP36,2)</f>
        <v>0</v>
      </c>
      <c r="L36" s="19">
        <f>ROUND(G36*H36,2)</f>
        <v>0</v>
      </c>
      <c r="M36" s="19">
        <f>L36*(1+BW36/100)</f>
        <v>0</v>
      </c>
      <c r="N36" s="19">
        <v>3.8000000000000002E-4</v>
      </c>
      <c r="O36" s="19">
        <f>G36*N36</f>
        <v>7.6000000000000004E-4</v>
      </c>
      <c r="P36" s="88" t="s">
        <v>531</v>
      </c>
      <c r="Z36" s="19">
        <f>ROUND(IF(AQ36="5",BJ36,0),2)</f>
        <v>0</v>
      </c>
      <c r="AB36" s="19">
        <f>ROUND(IF(AQ36="1",BH36,0),2)</f>
        <v>0</v>
      </c>
      <c r="AC36" s="19">
        <f>ROUND(IF(AQ36="1",BI36,0),2)</f>
        <v>0</v>
      </c>
      <c r="AD36" s="19">
        <f>ROUND(IF(AQ36="7",BH36,0),2)</f>
        <v>0</v>
      </c>
      <c r="AE36" s="19">
        <f>ROUND(IF(AQ36="7",BI36,0),2)</f>
        <v>0</v>
      </c>
      <c r="AF36" s="19">
        <f>ROUND(IF(AQ36="2",BH36,0),2)</f>
        <v>0</v>
      </c>
      <c r="AG36" s="19">
        <f>ROUND(IF(AQ36="2",BI36,0),2)</f>
        <v>0</v>
      </c>
      <c r="AH36" s="19">
        <f>ROUND(IF(AQ36="0",BJ36,0),2)</f>
        <v>0</v>
      </c>
      <c r="AI36" s="16" t="s">
        <v>433</v>
      </c>
      <c r="AJ36" s="19">
        <f>IF(AN36=0,L36,0)</f>
        <v>0</v>
      </c>
      <c r="AK36" s="19">
        <f>IF(AN36=12,L36,0)</f>
        <v>0</v>
      </c>
      <c r="AL36" s="19">
        <f>IF(AN36=21,L36,0)</f>
        <v>0</v>
      </c>
      <c r="AN36" s="19">
        <v>12</v>
      </c>
      <c r="AO36" s="19">
        <f>H36*0.781821429</f>
        <v>0</v>
      </c>
      <c r="AP36" s="19">
        <f>H36*(1-0.781821429)</f>
        <v>0</v>
      </c>
      <c r="AQ36" s="89" t="s">
        <v>532</v>
      </c>
      <c r="AV36" s="19">
        <f>ROUND(AW36+AX36,2)</f>
        <v>0</v>
      </c>
      <c r="AW36" s="19">
        <f>ROUND(G36*AO36,2)</f>
        <v>0</v>
      </c>
      <c r="AX36" s="19">
        <f>ROUND(G36*AP36,2)</f>
        <v>0</v>
      </c>
      <c r="AY36" s="89" t="s">
        <v>533</v>
      </c>
      <c r="AZ36" s="89" t="s">
        <v>558</v>
      </c>
      <c r="BA36" s="16" t="s">
        <v>554</v>
      </c>
      <c r="BC36" s="19">
        <f>AW36+AX36</f>
        <v>0</v>
      </c>
      <c r="BD36" s="19">
        <f>H36/(100-BE36)*100</f>
        <v>0</v>
      </c>
      <c r="BE36" s="19">
        <v>0</v>
      </c>
      <c r="BF36" s="19">
        <f>O36</f>
        <v>7.6000000000000004E-4</v>
      </c>
      <c r="BH36" s="19">
        <f>G36*AO36</f>
        <v>0</v>
      </c>
      <c r="BI36" s="19">
        <f>G36*AP36</f>
        <v>0</v>
      </c>
      <c r="BJ36" s="19">
        <f>G36*H36</f>
        <v>0</v>
      </c>
      <c r="BK36" s="89" t="s">
        <v>30</v>
      </c>
      <c r="BL36" s="19">
        <v>721</v>
      </c>
      <c r="BW36" s="19">
        <f>I36</f>
        <v>12</v>
      </c>
      <c r="BX36" s="4" t="s">
        <v>69</v>
      </c>
    </row>
    <row r="37" spans="1:76" x14ac:dyDescent="0.25">
      <c r="A37" s="90"/>
      <c r="C37" s="91" t="s">
        <v>547</v>
      </c>
      <c r="D37" s="180" t="s">
        <v>560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2"/>
      <c r="BX37" s="92" t="s">
        <v>560</v>
      </c>
    </row>
    <row r="38" spans="1:76" x14ac:dyDescent="0.25">
      <c r="A38" s="1" t="s">
        <v>561</v>
      </c>
      <c r="B38" s="2" t="s">
        <v>433</v>
      </c>
      <c r="C38" s="2" t="s">
        <v>70</v>
      </c>
      <c r="D38" s="96" t="s">
        <v>71</v>
      </c>
      <c r="E38" s="97"/>
      <c r="F38" s="2" t="s">
        <v>29</v>
      </c>
      <c r="G38" s="19">
        <f>'Rozpočet - vybrané sloupce'!I34</f>
        <v>66</v>
      </c>
      <c r="H38" s="19">
        <f>'Rozpočet - vybrané sloupce'!J34</f>
        <v>0</v>
      </c>
      <c r="I38" s="87">
        <v>12</v>
      </c>
      <c r="J38" s="19">
        <f t="shared" ref="J38:J47" si="0">ROUND(G38*AO38,2)</f>
        <v>0</v>
      </c>
      <c r="K38" s="19">
        <f t="shared" ref="K38:K47" si="1">ROUND(G38*AP38,2)</f>
        <v>0</v>
      </c>
      <c r="L38" s="19">
        <f t="shared" ref="L38:L47" si="2">ROUND(G38*H38,2)</f>
        <v>0</v>
      </c>
      <c r="M38" s="19">
        <f t="shared" ref="M38:M47" si="3">L38*(1+BW38/100)</f>
        <v>0</v>
      </c>
      <c r="N38" s="19">
        <v>6.6899999999999998E-3</v>
      </c>
      <c r="O38" s="19">
        <f t="shared" ref="O38:O47" si="4">G38*N38</f>
        <v>0.44153999999999999</v>
      </c>
      <c r="P38" s="88" t="s">
        <v>562</v>
      </c>
      <c r="Z38" s="19">
        <f t="shared" ref="Z38:Z47" si="5">ROUND(IF(AQ38="5",BJ38,0),2)</f>
        <v>0</v>
      </c>
      <c r="AB38" s="19">
        <f t="shared" ref="AB38:AB47" si="6">ROUND(IF(AQ38="1",BH38,0),2)</f>
        <v>0</v>
      </c>
      <c r="AC38" s="19">
        <f t="shared" ref="AC38:AC47" si="7">ROUND(IF(AQ38="1",BI38,0),2)</f>
        <v>0</v>
      </c>
      <c r="AD38" s="19">
        <f t="shared" ref="AD38:AD47" si="8">ROUND(IF(AQ38="7",BH38,0),2)</f>
        <v>0</v>
      </c>
      <c r="AE38" s="19">
        <f t="shared" ref="AE38:AE47" si="9">ROUND(IF(AQ38="7",BI38,0),2)</f>
        <v>0</v>
      </c>
      <c r="AF38" s="19">
        <f t="shared" ref="AF38:AF47" si="10">ROUND(IF(AQ38="2",BH38,0),2)</f>
        <v>0</v>
      </c>
      <c r="AG38" s="19">
        <f t="shared" ref="AG38:AG47" si="11">ROUND(IF(AQ38="2",BI38,0),2)</f>
        <v>0</v>
      </c>
      <c r="AH38" s="19">
        <f t="shared" ref="AH38:AH47" si="12">ROUND(IF(AQ38="0",BJ38,0),2)</f>
        <v>0</v>
      </c>
      <c r="AI38" s="16" t="s">
        <v>433</v>
      </c>
      <c r="AJ38" s="19">
        <f t="shared" ref="AJ38:AJ47" si="13">IF(AN38=0,L38,0)</f>
        <v>0</v>
      </c>
      <c r="AK38" s="19">
        <f t="shared" ref="AK38:AK47" si="14">IF(AN38=12,L38,0)</f>
        <v>0</v>
      </c>
      <c r="AL38" s="19">
        <f t="shared" ref="AL38:AL47" si="15">IF(AN38=21,L38,0)</f>
        <v>0</v>
      </c>
      <c r="AN38" s="19">
        <v>12</v>
      </c>
      <c r="AO38" s="19">
        <f>H38*0.355217391</f>
        <v>0</v>
      </c>
      <c r="AP38" s="19">
        <f>H38*(1-0.355217391)</f>
        <v>0</v>
      </c>
      <c r="AQ38" s="89" t="s">
        <v>532</v>
      </c>
      <c r="AV38" s="19">
        <f t="shared" ref="AV38:AV47" si="16">ROUND(AW38+AX38,2)</f>
        <v>0</v>
      </c>
      <c r="AW38" s="19">
        <f t="shared" ref="AW38:AW47" si="17">ROUND(G38*AO38,2)</f>
        <v>0</v>
      </c>
      <c r="AX38" s="19">
        <f t="shared" ref="AX38:AX47" si="18">ROUND(G38*AP38,2)</f>
        <v>0</v>
      </c>
      <c r="AY38" s="89" t="s">
        <v>533</v>
      </c>
      <c r="AZ38" s="89" t="s">
        <v>558</v>
      </c>
      <c r="BA38" s="16" t="s">
        <v>554</v>
      </c>
      <c r="BC38" s="19">
        <f t="shared" ref="BC38:BC47" si="19">AW38+AX38</f>
        <v>0</v>
      </c>
      <c r="BD38" s="19">
        <f t="shared" ref="BD38:BD47" si="20">H38/(100-BE38)*100</f>
        <v>0</v>
      </c>
      <c r="BE38" s="19">
        <v>0</v>
      </c>
      <c r="BF38" s="19">
        <f t="shared" ref="BF38:BF47" si="21">O38</f>
        <v>0.44153999999999999</v>
      </c>
      <c r="BH38" s="19">
        <f t="shared" ref="BH38:BH47" si="22">G38*AO38</f>
        <v>0</v>
      </c>
      <c r="BI38" s="19">
        <f t="shared" ref="BI38:BI47" si="23">G38*AP38</f>
        <v>0</v>
      </c>
      <c r="BJ38" s="19">
        <f t="shared" ref="BJ38:BJ47" si="24">G38*H38</f>
        <v>0</v>
      </c>
      <c r="BK38" s="89" t="s">
        <v>30</v>
      </c>
      <c r="BL38" s="19">
        <v>721</v>
      </c>
      <c r="BW38" s="19">
        <f t="shared" ref="BW38:BW47" si="25">I38</f>
        <v>12</v>
      </c>
      <c r="BX38" s="4" t="s">
        <v>71</v>
      </c>
    </row>
    <row r="39" spans="1:76" x14ac:dyDescent="0.25">
      <c r="A39" s="1" t="s">
        <v>563</v>
      </c>
      <c r="B39" s="2" t="s">
        <v>433</v>
      </c>
      <c r="C39" s="2" t="s">
        <v>72</v>
      </c>
      <c r="D39" s="96" t="s">
        <v>73</v>
      </c>
      <c r="E39" s="97"/>
      <c r="F39" s="2" t="s">
        <v>29</v>
      </c>
      <c r="G39" s="19">
        <f>'Rozpočet - vybrané sloupce'!I35</f>
        <v>74</v>
      </c>
      <c r="H39" s="19">
        <f>'Rozpočet - vybrané sloupce'!J35</f>
        <v>0</v>
      </c>
      <c r="I39" s="87">
        <v>12</v>
      </c>
      <c r="J39" s="19">
        <f t="shared" si="0"/>
        <v>0</v>
      </c>
      <c r="K39" s="19">
        <f t="shared" si="1"/>
        <v>0</v>
      </c>
      <c r="L39" s="19">
        <f t="shared" si="2"/>
        <v>0</v>
      </c>
      <c r="M39" s="19">
        <f t="shared" si="3"/>
        <v>0</v>
      </c>
      <c r="N39" s="19">
        <v>1.31E-3</v>
      </c>
      <c r="O39" s="19">
        <f t="shared" si="4"/>
        <v>9.6939999999999998E-2</v>
      </c>
      <c r="P39" s="88" t="s">
        <v>531</v>
      </c>
      <c r="Z39" s="19">
        <f t="shared" si="5"/>
        <v>0</v>
      </c>
      <c r="AB39" s="19">
        <f t="shared" si="6"/>
        <v>0</v>
      </c>
      <c r="AC39" s="19">
        <f t="shared" si="7"/>
        <v>0</v>
      </c>
      <c r="AD39" s="19">
        <f t="shared" si="8"/>
        <v>0</v>
      </c>
      <c r="AE39" s="19">
        <f t="shared" si="9"/>
        <v>0</v>
      </c>
      <c r="AF39" s="19">
        <f t="shared" si="10"/>
        <v>0</v>
      </c>
      <c r="AG39" s="19">
        <f t="shared" si="11"/>
        <v>0</v>
      </c>
      <c r="AH39" s="19">
        <f t="shared" si="12"/>
        <v>0</v>
      </c>
      <c r="AI39" s="16" t="s">
        <v>433</v>
      </c>
      <c r="AJ39" s="19">
        <f t="shared" si="13"/>
        <v>0</v>
      </c>
      <c r="AK39" s="19">
        <f t="shared" si="14"/>
        <v>0</v>
      </c>
      <c r="AL39" s="19">
        <f t="shared" si="15"/>
        <v>0</v>
      </c>
      <c r="AN39" s="19">
        <v>12</v>
      </c>
      <c r="AO39" s="19">
        <f>H39*0.349406286</f>
        <v>0</v>
      </c>
      <c r="AP39" s="19">
        <f>H39*(1-0.349406286)</f>
        <v>0</v>
      </c>
      <c r="AQ39" s="89" t="s">
        <v>532</v>
      </c>
      <c r="AV39" s="19">
        <f t="shared" si="16"/>
        <v>0</v>
      </c>
      <c r="AW39" s="19">
        <f t="shared" si="17"/>
        <v>0</v>
      </c>
      <c r="AX39" s="19">
        <f t="shared" si="18"/>
        <v>0</v>
      </c>
      <c r="AY39" s="89" t="s">
        <v>533</v>
      </c>
      <c r="AZ39" s="89" t="s">
        <v>558</v>
      </c>
      <c r="BA39" s="16" t="s">
        <v>554</v>
      </c>
      <c r="BC39" s="19">
        <f t="shared" si="19"/>
        <v>0</v>
      </c>
      <c r="BD39" s="19">
        <f t="shared" si="20"/>
        <v>0</v>
      </c>
      <c r="BE39" s="19">
        <v>0</v>
      </c>
      <c r="BF39" s="19">
        <f t="shared" si="21"/>
        <v>9.6939999999999998E-2</v>
      </c>
      <c r="BH39" s="19">
        <f t="shared" si="22"/>
        <v>0</v>
      </c>
      <c r="BI39" s="19">
        <f t="shared" si="23"/>
        <v>0</v>
      </c>
      <c r="BJ39" s="19">
        <f t="shared" si="24"/>
        <v>0</v>
      </c>
      <c r="BK39" s="89" t="s">
        <v>30</v>
      </c>
      <c r="BL39" s="19">
        <v>721</v>
      </c>
      <c r="BW39" s="19">
        <f t="shared" si="25"/>
        <v>12</v>
      </c>
      <c r="BX39" s="4" t="s">
        <v>73</v>
      </c>
    </row>
    <row r="40" spans="1:76" ht="25.5" x14ac:dyDescent="0.25">
      <c r="A40" s="1" t="s">
        <v>564</v>
      </c>
      <c r="B40" s="2" t="s">
        <v>433</v>
      </c>
      <c r="C40" s="2" t="s">
        <v>74</v>
      </c>
      <c r="D40" s="96" t="s">
        <v>75</v>
      </c>
      <c r="E40" s="97"/>
      <c r="F40" s="2" t="s">
        <v>33</v>
      </c>
      <c r="G40" s="19">
        <f>'Rozpočet - vybrané sloupce'!I36</f>
        <v>44</v>
      </c>
      <c r="H40" s="19">
        <f>'Rozpočet - vybrané sloupce'!J36</f>
        <v>0</v>
      </c>
      <c r="I40" s="87">
        <v>12</v>
      </c>
      <c r="J40" s="19">
        <f t="shared" si="0"/>
        <v>0</v>
      </c>
      <c r="K40" s="19">
        <f t="shared" si="1"/>
        <v>0</v>
      </c>
      <c r="L40" s="19">
        <f t="shared" si="2"/>
        <v>0</v>
      </c>
      <c r="M40" s="19">
        <f t="shared" si="3"/>
        <v>0</v>
      </c>
      <c r="N40" s="19">
        <v>1.265E-2</v>
      </c>
      <c r="O40" s="19">
        <f t="shared" si="4"/>
        <v>0.55659999999999998</v>
      </c>
      <c r="P40" s="88" t="s">
        <v>531</v>
      </c>
      <c r="Z40" s="19">
        <f t="shared" si="5"/>
        <v>0</v>
      </c>
      <c r="AB40" s="19">
        <f t="shared" si="6"/>
        <v>0</v>
      </c>
      <c r="AC40" s="19">
        <f t="shared" si="7"/>
        <v>0</v>
      </c>
      <c r="AD40" s="19">
        <f t="shared" si="8"/>
        <v>0</v>
      </c>
      <c r="AE40" s="19">
        <f t="shared" si="9"/>
        <v>0</v>
      </c>
      <c r="AF40" s="19">
        <f t="shared" si="10"/>
        <v>0</v>
      </c>
      <c r="AG40" s="19">
        <f t="shared" si="11"/>
        <v>0</v>
      </c>
      <c r="AH40" s="19">
        <f t="shared" si="12"/>
        <v>0</v>
      </c>
      <c r="AI40" s="16" t="s">
        <v>433</v>
      </c>
      <c r="AJ40" s="19">
        <f t="shared" si="13"/>
        <v>0</v>
      </c>
      <c r="AK40" s="19">
        <f t="shared" si="14"/>
        <v>0</v>
      </c>
      <c r="AL40" s="19">
        <f t="shared" si="15"/>
        <v>0</v>
      </c>
      <c r="AN40" s="19">
        <v>12</v>
      </c>
      <c r="AO40" s="19">
        <f>H40*0.215700713</f>
        <v>0</v>
      </c>
      <c r="AP40" s="19">
        <f>H40*(1-0.215700713)</f>
        <v>0</v>
      </c>
      <c r="AQ40" s="89" t="s">
        <v>532</v>
      </c>
      <c r="AV40" s="19">
        <f t="shared" si="16"/>
        <v>0</v>
      </c>
      <c r="AW40" s="19">
        <f t="shared" si="17"/>
        <v>0</v>
      </c>
      <c r="AX40" s="19">
        <f t="shared" si="18"/>
        <v>0</v>
      </c>
      <c r="AY40" s="89" t="s">
        <v>533</v>
      </c>
      <c r="AZ40" s="89" t="s">
        <v>558</v>
      </c>
      <c r="BA40" s="16" t="s">
        <v>554</v>
      </c>
      <c r="BC40" s="19">
        <f t="shared" si="19"/>
        <v>0</v>
      </c>
      <c r="BD40" s="19">
        <f t="shared" si="20"/>
        <v>0</v>
      </c>
      <c r="BE40" s="19">
        <v>0</v>
      </c>
      <c r="BF40" s="19">
        <f t="shared" si="21"/>
        <v>0.55659999999999998</v>
      </c>
      <c r="BH40" s="19">
        <f t="shared" si="22"/>
        <v>0</v>
      </c>
      <c r="BI40" s="19">
        <f t="shared" si="23"/>
        <v>0</v>
      </c>
      <c r="BJ40" s="19">
        <f t="shared" si="24"/>
        <v>0</v>
      </c>
      <c r="BK40" s="89" t="s">
        <v>30</v>
      </c>
      <c r="BL40" s="19">
        <v>721</v>
      </c>
      <c r="BW40" s="19">
        <f t="shared" si="25"/>
        <v>12</v>
      </c>
      <c r="BX40" s="4" t="s">
        <v>75</v>
      </c>
    </row>
    <row r="41" spans="1:76" ht="25.5" x14ac:dyDescent="0.25">
      <c r="A41" s="1" t="s">
        <v>565</v>
      </c>
      <c r="B41" s="2" t="s">
        <v>433</v>
      </c>
      <c r="C41" s="2" t="s">
        <v>76</v>
      </c>
      <c r="D41" s="96" t="s">
        <v>77</v>
      </c>
      <c r="E41" s="97"/>
      <c r="F41" s="2" t="s">
        <v>33</v>
      </c>
      <c r="G41" s="19">
        <f>'Rozpočet - vybrané sloupce'!I37</f>
        <v>4</v>
      </c>
      <c r="H41" s="19">
        <f>'Rozpočet - vybrané sloupce'!J37</f>
        <v>0</v>
      </c>
      <c r="I41" s="87">
        <v>12</v>
      </c>
      <c r="J41" s="19">
        <f t="shared" si="0"/>
        <v>0</v>
      </c>
      <c r="K41" s="19">
        <f t="shared" si="1"/>
        <v>0</v>
      </c>
      <c r="L41" s="19">
        <f t="shared" si="2"/>
        <v>0</v>
      </c>
      <c r="M41" s="19">
        <f t="shared" si="3"/>
        <v>0</v>
      </c>
      <c r="N41" s="19">
        <v>6.7499999999999999E-3</v>
      </c>
      <c r="O41" s="19">
        <f t="shared" si="4"/>
        <v>2.7E-2</v>
      </c>
      <c r="P41" s="88" t="s">
        <v>531</v>
      </c>
      <c r="Z41" s="19">
        <f t="shared" si="5"/>
        <v>0</v>
      </c>
      <c r="AB41" s="19">
        <f t="shared" si="6"/>
        <v>0</v>
      </c>
      <c r="AC41" s="19">
        <f t="shared" si="7"/>
        <v>0</v>
      </c>
      <c r="AD41" s="19">
        <f t="shared" si="8"/>
        <v>0</v>
      </c>
      <c r="AE41" s="19">
        <f t="shared" si="9"/>
        <v>0</v>
      </c>
      <c r="AF41" s="19">
        <f t="shared" si="10"/>
        <v>0</v>
      </c>
      <c r="AG41" s="19">
        <f t="shared" si="11"/>
        <v>0</v>
      </c>
      <c r="AH41" s="19">
        <f t="shared" si="12"/>
        <v>0</v>
      </c>
      <c r="AI41" s="16" t="s">
        <v>433</v>
      </c>
      <c r="AJ41" s="19">
        <f t="shared" si="13"/>
        <v>0</v>
      </c>
      <c r="AK41" s="19">
        <f t="shared" si="14"/>
        <v>0</v>
      </c>
      <c r="AL41" s="19">
        <f t="shared" si="15"/>
        <v>0</v>
      </c>
      <c r="AN41" s="19">
        <v>12</v>
      </c>
      <c r="AO41" s="19">
        <f>H41*0.192581197</f>
        <v>0</v>
      </c>
      <c r="AP41" s="19">
        <f>H41*(1-0.192581197)</f>
        <v>0</v>
      </c>
      <c r="AQ41" s="89" t="s">
        <v>532</v>
      </c>
      <c r="AV41" s="19">
        <f t="shared" si="16"/>
        <v>0</v>
      </c>
      <c r="AW41" s="19">
        <f t="shared" si="17"/>
        <v>0</v>
      </c>
      <c r="AX41" s="19">
        <f t="shared" si="18"/>
        <v>0</v>
      </c>
      <c r="AY41" s="89" t="s">
        <v>533</v>
      </c>
      <c r="AZ41" s="89" t="s">
        <v>558</v>
      </c>
      <c r="BA41" s="16" t="s">
        <v>554</v>
      </c>
      <c r="BC41" s="19">
        <f t="shared" si="19"/>
        <v>0</v>
      </c>
      <c r="BD41" s="19">
        <f t="shared" si="20"/>
        <v>0</v>
      </c>
      <c r="BE41" s="19">
        <v>0</v>
      </c>
      <c r="BF41" s="19">
        <f t="shared" si="21"/>
        <v>2.7E-2</v>
      </c>
      <c r="BH41" s="19">
        <f t="shared" si="22"/>
        <v>0</v>
      </c>
      <c r="BI41" s="19">
        <f t="shared" si="23"/>
        <v>0</v>
      </c>
      <c r="BJ41" s="19">
        <f t="shared" si="24"/>
        <v>0</v>
      </c>
      <c r="BK41" s="89" t="s">
        <v>30</v>
      </c>
      <c r="BL41" s="19">
        <v>721</v>
      </c>
      <c r="BW41" s="19">
        <f t="shared" si="25"/>
        <v>12</v>
      </c>
      <c r="BX41" s="4" t="s">
        <v>77</v>
      </c>
    </row>
    <row r="42" spans="1:76" x14ac:dyDescent="0.25">
      <c r="A42" s="1" t="s">
        <v>566</v>
      </c>
      <c r="B42" s="2" t="s">
        <v>433</v>
      </c>
      <c r="C42" s="2" t="s">
        <v>78</v>
      </c>
      <c r="D42" s="96" t="s">
        <v>79</v>
      </c>
      <c r="E42" s="97"/>
      <c r="F42" s="2" t="s">
        <v>29</v>
      </c>
      <c r="G42" s="19">
        <f>'Rozpočet - vybrané sloupce'!I38</f>
        <v>11</v>
      </c>
      <c r="H42" s="19">
        <f>'Rozpočet - vybrané sloupce'!J38</f>
        <v>0</v>
      </c>
      <c r="I42" s="87">
        <v>12</v>
      </c>
      <c r="J42" s="19">
        <f t="shared" si="0"/>
        <v>0</v>
      </c>
      <c r="K42" s="19">
        <f t="shared" si="1"/>
        <v>0</v>
      </c>
      <c r="L42" s="19">
        <f t="shared" si="2"/>
        <v>0</v>
      </c>
      <c r="M42" s="19">
        <f t="shared" si="3"/>
        <v>0</v>
      </c>
      <c r="N42" s="19">
        <v>1.5200000000000001E-3</v>
      </c>
      <c r="O42" s="19">
        <f t="shared" si="4"/>
        <v>1.6720000000000002E-2</v>
      </c>
      <c r="P42" s="88" t="s">
        <v>531</v>
      </c>
      <c r="Z42" s="19">
        <f t="shared" si="5"/>
        <v>0</v>
      </c>
      <c r="AB42" s="19">
        <f t="shared" si="6"/>
        <v>0</v>
      </c>
      <c r="AC42" s="19">
        <f t="shared" si="7"/>
        <v>0</v>
      </c>
      <c r="AD42" s="19">
        <f t="shared" si="8"/>
        <v>0</v>
      </c>
      <c r="AE42" s="19">
        <f t="shared" si="9"/>
        <v>0</v>
      </c>
      <c r="AF42" s="19">
        <f t="shared" si="10"/>
        <v>0</v>
      </c>
      <c r="AG42" s="19">
        <f t="shared" si="11"/>
        <v>0</v>
      </c>
      <c r="AH42" s="19">
        <f t="shared" si="12"/>
        <v>0</v>
      </c>
      <c r="AI42" s="16" t="s">
        <v>433</v>
      </c>
      <c r="AJ42" s="19">
        <f t="shared" si="13"/>
        <v>0</v>
      </c>
      <c r="AK42" s="19">
        <f t="shared" si="14"/>
        <v>0</v>
      </c>
      <c r="AL42" s="19">
        <f t="shared" si="15"/>
        <v>0</v>
      </c>
      <c r="AN42" s="19">
        <v>12</v>
      </c>
      <c r="AO42" s="19">
        <f>H42*0.244082569</f>
        <v>0</v>
      </c>
      <c r="AP42" s="19">
        <f>H42*(1-0.244082569)</f>
        <v>0</v>
      </c>
      <c r="AQ42" s="89" t="s">
        <v>532</v>
      </c>
      <c r="AV42" s="19">
        <f t="shared" si="16"/>
        <v>0</v>
      </c>
      <c r="AW42" s="19">
        <f t="shared" si="17"/>
        <v>0</v>
      </c>
      <c r="AX42" s="19">
        <f t="shared" si="18"/>
        <v>0</v>
      </c>
      <c r="AY42" s="89" t="s">
        <v>533</v>
      </c>
      <c r="AZ42" s="89" t="s">
        <v>558</v>
      </c>
      <c r="BA42" s="16" t="s">
        <v>554</v>
      </c>
      <c r="BC42" s="19">
        <f t="shared" si="19"/>
        <v>0</v>
      </c>
      <c r="BD42" s="19">
        <f t="shared" si="20"/>
        <v>0</v>
      </c>
      <c r="BE42" s="19">
        <v>0</v>
      </c>
      <c r="BF42" s="19">
        <f t="shared" si="21"/>
        <v>1.6720000000000002E-2</v>
      </c>
      <c r="BH42" s="19">
        <f t="shared" si="22"/>
        <v>0</v>
      </c>
      <c r="BI42" s="19">
        <f t="shared" si="23"/>
        <v>0</v>
      </c>
      <c r="BJ42" s="19">
        <f t="shared" si="24"/>
        <v>0</v>
      </c>
      <c r="BK42" s="89" t="s">
        <v>30</v>
      </c>
      <c r="BL42" s="19">
        <v>721</v>
      </c>
      <c r="BW42" s="19">
        <f t="shared" si="25"/>
        <v>12</v>
      </c>
      <c r="BX42" s="4" t="s">
        <v>79</v>
      </c>
    </row>
    <row r="43" spans="1:76" x14ac:dyDescent="0.25">
      <c r="A43" s="1" t="s">
        <v>567</v>
      </c>
      <c r="B43" s="2" t="s">
        <v>433</v>
      </c>
      <c r="C43" s="2" t="s">
        <v>80</v>
      </c>
      <c r="D43" s="96" t="s">
        <v>81</v>
      </c>
      <c r="E43" s="97"/>
      <c r="F43" s="2" t="s">
        <v>33</v>
      </c>
      <c r="G43" s="19">
        <f>'Rozpočet - vybrané sloupce'!I39</f>
        <v>4</v>
      </c>
      <c r="H43" s="19">
        <f>'Rozpočet - vybrané sloupce'!J39</f>
        <v>0</v>
      </c>
      <c r="I43" s="87">
        <v>12</v>
      </c>
      <c r="J43" s="19">
        <f t="shared" si="0"/>
        <v>0</v>
      </c>
      <c r="K43" s="19">
        <f t="shared" si="1"/>
        <v>0</v>
      </c>
      <c r="L43" s="19">
        <f t="shared" si="2"/>
        <v>0</v>
      </c>
      <c r="M43" s="19">
        <f t="shared" si="3"/>
        <v>0</v>
      </c>
      <c r="N43" s="19">
        <v>2.4000000000000001E-4</v>
      </c>
      <c r="O43" s="19">
        <f t="shared" si="4"/>
        <v>9.6000000000000002E-4</v>
      </c>
      <c r="P43" s="88" t="s">
        <v>531</v>
      </c>
      <c r="Z43" s="19">
        <f t="shared" si="5"/>
        <v>0</v>
      </c>
      <c r="AB43" s="19">
        <f t="shared" si="6"/>
        <v>0</v>
      </c>
      <c r="AC43" s="19">
        <f t="shared" si="7"/>
        <v>0</v>
      </c>
      <c r="AD43" s="19">
        <f t="shared" si="8"/>
        <v>0</v>
      </c>
      <c r="AE43" s="19">
        <f t="shared" si="9"/>
        <v>0</v>
      </c>
      <c r="AF43" s="19">
        <f t="shared" si="10"/>
        <v>0</v>
      </c>
      <c r="AG43" s="19">
        <f t="shared" si="11"/>
        <v>0</v>
      </c>
      <c r="AH43" s="19">
        <f t="shared" si="12"/>
        <v>0</v>
      </c>
      <c r="AI43" s="16" t="s">
        <v>433</v>
      </c>
      <c r="AJ43" s="19">
        <f t="shared" si="13"/>
        <v>0</v>
      </c>
      <c r="AK43" s="19">
        <f t="shared" si="14"/>
        <v>0</v>
      </c>
      <c r="AL43" s="19">
        <f t="shared" si="15"/>
        <v>0</v>
      </c>
      <c r="AN43" s="19">
        <v>12</v>
      </c>
      <c r="AO43" s="19">
        <f>H43*0.560580205</f>
        <v>0</v>
      </c>
      <c r="AP43" s="19">
        <f>H43*(1-0.560580205)</f>
        <v>0</v>
      </c>
      <c r="AQ43" s="89" t="s">
        <v>532</v>
      </c>
      <c r="AV43" s="19">
        <f t="shared" si="16"/>
        <v>0</v>
      </c>
      <c r="AW43" s="19">
        <f t="shared" si="17"/>
        <v>0</v>
      </c>
      <c r="AX43" s="19">
        <f t="shared" si="18"/>
        <v>0</v>
      </c>
      <c r="AY43" s="89" t="s">
        <v>533</v>
      </c>
      <c r="AZ43" s="89" t="s">
        <v>558</v>
      </c>
      <c r="BA43" s="16" t="s">
        <v>554</v>
      </c>
      <c r="BC43" s="19">
        <f t="shared" si="19"/>
        <v>0</v>
      </c>
      <c r="BD43" s="19">
        <f t="shared" si="20"/>
        <v>0</v>
      </c>
      <c r="BE43" s="19">
        <v>0</v>
      </c>
      <c r="BF43" s="19">
        <f t="shared" si="21"/>
        <v>9.6000000000000002E-4</v>
      </c>
      <c r="BH43" s="19">
        <f t="shared" si="22"/>
        <v>0</v>
      </c>
      <c r="BI43" s="19">
        <f t="shared" si="23"/>
        <v>0</v>
      </c>
      <c r="BJ43" s="19">
        <f t="shared" si="24"/>
        <v>0</v>
      </c>
      <c r="BK43" s="89" t="s">
        <v>30</v>
      </c>
      <c r="BL43" s="19">
        <v>721</v>
      </c>
      <c r="BW43" s="19">
        <f t="shared" si="25"/>
        <v>12</v>
      </c>
      <c r="BX43" s="4" t="s">
        <v>81</v>
      </c>
    </row>
    <row r="44" spans="1:76" x14ac:dyDescent="0.25">
      <c r="A44" s="1" t="s">
        <v>568</v>
      </c>
      <c r="B44" s="2" t="s">
        <v>433</v>
      </c>
      <c r="C44" s="2" t="s">
        <v>82</v>
      </c>
      <c r="D44" s="96" t="s">
        <v>83</v>
      </c>
      <c r="E44" s="97"/>
      <c r="F44" s="2" t="s">
        <v>33</v>
      </c>
      <c r="G44" s="19">
        <f>'Rozpočet - vybrané sloupce'!I40</f>
        <v>22</v>
      </c>
      <c r="H44" s="19">
        <f>'Rozpočet - vybrané sloupce'!J40</f>
        <v>0</v>
      </c>
      <c r="I44" s="87">
        <v>12</v>
      </c>
      <c r="J44" s="19">
        <f t="shared" si="0"/>
        <v>0</v>
      </c>
      <c r="K44" s="19">
        <f t="shared" si="1"/>
        <v>0</v>
      </c>
      <c r="L44" s="19">
        <f t="shared" si="2"/>
        <v>0</v>
      </c>
      <c r="M44" s="19">
        <f t="shared" si="3"/>
        <v>0</v>
      </c>
      <c r="N44" s="19">
        <v>0</v>
      </c>
      <c r="O44" s="19">
        <f t="shared" si="4"/>
        <v>0</v>
      </c>
      <c r="P44" s="88" t="s">
        <v>531</v>
      </c>
      <c r="Z44" s="19">
        <f t="shared" si="5"/>
        <v>0</v>
      </c>
      <c r="AB44" s="19">
        <f t="shared" si="6"/>
        <v>0</v>
      </c>
      <c r="AC44" s="19">
        <f t="shared" si="7"/>
        <v>0</v>
      </c>
      <c r="AD44" s="19">
        <f t="shared" si="8"/>
        <v>0</v>
      </c>
      <c r="AE44" s="19">
        <f t="shared" si="9"/>
        <v>0</v>
      </c>
      <c r="AF44" s="19">
        <f t="shared" si="10"/>
        <v>0</v>
      </c>
      <c r="AG44" s="19">
        <f t="shared" si="11"/>
        <v>0</v>
      </c>
      <c r="AH44" s="19">
        <f t="shared" si="12"/>
        <v>0</v>
      </c>
      <c r="AI44" s="16" t="s">
        <v>433</v>
      </c>
      <c r="AJ44" s="19">
        <f t="shared" si="13"/>
        <v>0</v>
      </c>
      <c r="AK44" s="19">
        <f t="shared" si="14"/>
        <v>0</v>
      </c>
      <c r="AL44" s="19">
        <f t="shared" si="15"/>
        <v>0</v>
      </c>
      <c r="AN44" s="19">
        <v>12</v>
      </c>
      <c r="AO44" s="19">
        <f>H44*0</f>
        <v>0</v>
      </c>
      <c r="AP44" s="19">
        <f>H44*(1-0)</f>
        <v>0</v>
      </c>
      <c r="AQ44" s="89" t="s">
        <v>532</v>
      </c>
      <c r="AV44" s="19">
        <f t="shared" si="16"/>
        <v>0</v>
      </c>
      <c r="AW44" s="19">
        <f t="shared" si="17"/>
        <v>0</v>
      </c>
      <c r="AX44" s="19">
        <f t="shared" si="18"/>
        <v>0</v>
      </c>
      <c r="AY44" s="89" t="s">
        <v>533</v>
      </c>
      <c r="AZ44" s="89" t="s">
        <v>558</v>
      </c>
      <c r="BA44" s="16" t="s">
        <v>554</v>
      </c>
      <c r="BC44" s="19">
        <f t="shared" si="19"/>
        <v>0</v>
      </c>
      <c r="BD44" s="19">
        <f t="shared" si="20"/>
        <v>0</v>
      </c>
      <c r="BE44" s="19">
        <v>0</v>
      </c>
      <c r="BF44" s="19">
        <f t="shared" si="21"/>
        <v>0</v>
      </c>
      <c r="BH44" s="19">
        <f t="shared" si="22"/>
        <v>0</v>
      </c>
      <c r="BI44" s="19">
        <f t="shared" si="23"/>
        <v>0</v>
      </c>
      <c r="BJ44" s="19">
        <f t="shared" si="24"/>
        <v>0</v>
      </c>
      <c r="BK44" s="89" t="s">
        <v>30</v>
      </c>
      <c r="BL44" s="19">
        <v>721</v>
      </c>
      <c r="BW44" s="19">
        <f t="shared" si="25"/>
        <v>12</v>
      </c>
      <c r="BX44" s="4" t="s">
        <v>83</v>
      </c>
    </row>
    <row r="45" spans="1:76" x14ac:dyDescent="0.25">
      <c r="A45" s="1" t="s">
        <v>569</v>
      </c>
      <c r="B45" s="2" t="s">
        <v>433</v>
      </c>
      <c r="C45" s="2" t="s">
        <v>84</v>
      </c>
      <c r="D45" s="96" t="s">
        <v>85</v>
      </c>
      <c r="E45" s="97"/>
      <c r="F45" s="2" t="s">
        <v>33</v>
      </c>
      <c r="G45" s="19">
        <f>'Rozpočet - vybrané sloupce'!I41</f>
        <v>4</v>
      </c>
      <c r="H45" s="19">
        <f>'Rozpočet - vybrané sloupce'!J41</f>
        <v>0</v>
      </c>
      <c r="I45" s="87">
        <v>12</v>
      </c>
      <c r="J45" s="19">
        <f t="shared" si="0"/>
        <v>0</v>
      </c>
      <c r="K45" s="19">
        <f t="shared" si="1"/>
        <v>0</v>
      </c>
      <c r="L45" s="19">
        <f t="shared" si="2"/>
        <v>0</v>
      </c>
      <c r="M45" s="19">
        <f t="shared" si="3"/>
        <v>0</v>
      </c>
      <c r="N45" s="19">
        <v>2.7E-4</v>
      </c>
      <c r="O45" s="19">
        <f t="shared" si="4"/>
        <v>1.08E-3</v>
      </c>
      <c r="P45" s="88" t="s">
        <v>531</v>
      </c>
      <c r="Z45" s="19">
        <f t="shared" si="5"/>
        <v>0</v>
      </c>
      <c r="AB45" s="19">
        <f t="shared" si="6"/>
        <v>0</v>
      </c>
      <c r="AC45" s="19">
        <f t="shared" si="7"/>
        <v>0</v>
      </c>
      <c r="AD45" s="19">
        <f t="shared" si="8"/>
        <v>0</v>
      </c>
      <c r="AE45" s="19">
        <f t="shared" si="9"/>
        <v>0</v>
      </c>
      <c r="AF45" s="19">
        <f t="shared" si="10"/>
        <v>0</v>
      </c>
      <c r="AG45" s="19">
        <f t="shared" si="11"/>
        <v>0</v>
      </c>
      <c r="AH45" s="19">
        <f t="shared" si="12"/>
        <v>0</v>
      </c>
      <c r="AI45" s="16" t="s">
        <v>433</v>
      </c>
      <c r="AJ45" s="19">
        <f t="shared" si="13"/>
        <v>0</v>
      </c>
      <c r="AK45" s="19">
        <f t="shared" si="14"/>
        <v>0</v>
      </c>
      <c r="AL45" s="19">
        <f t="shared" si="15"/>
        <v>0</v>
      </c>
      <c r="AN45" s="19">
        <v>12</v>
      </c>
      <c r="AO45" s="19">
        <f>H45*0.793949904</f>
        <v>0</v>
      </c>
      <c r="AP45" s="19">
        <f>H45*(1-0.793949904)</f>
        <v>0</v>
      </c>
      <c r="AQ45" s="89" t="s">
        <v>532</v>
      </c>
      <c r="AV45" s="19">
        <f t="shared" si="16"/>
        <v>0</v>
      </c>
      <c r="AW45" s="19">
        <f t="shared" si="17"/>
        <v>0</v>
      </c>
      <c r="AX45" s="19">
        <f t="shared" si="18"/>
        <v>0</v>
      </c>
      <c r="AY45" s="89" t="s">
        <v>533</v>
      </c>
      <c r="AZ45" s="89" t="s">
        <v>558</v>
      </c>
      <c r="BA45" s="16" t="s">
        <v>554</v>
      </c>
      <c r="BC45" s="19">
        <f t="shared" si="19"/>
        <v>0</v>
      </c>
      <c r="BD45" s="19">
        <f t="shared" si="20"/>
        <v>0</v>
      </c>
      <c r="BE45" s="19">
        <v>0</v>
      </c>
      <c r="BF45" s="19">
        <f t="shared" si="21"/>
        <v>1.08E-3</v>
      </c>
      <c r="BH45" s="19">
        <f t="shared" si="22"/>
        <v>0</v>
      </c>
      <c r="BI45" s="19">
        <f t="shared" si="23"/>
        <v>0</v>
      </c>
      <c r="BJ45" s="19">
        <f t="shared" si="24"/>
        <v>0</v>
      </c>
      <c r="BK45" s="89" t="s">
        <v>30</v>
      </c>
      <c r="BL45" s="19">
        <v>721</v>
      </c>
      <c r="BW45" s="19">
        <f t="shared" si="25"/>
        <v>12</v>
      </c>
      <c r="BX45" s="4" t="s">
        <v>85</v>
      </c>
    </row>
    <row r="46" spans="1:76" x14ac:dyDescent="0.25">
      <c r="A46" s="1" t="s">
        <v>570</v>
      </c>
      <c r="B46" s="2" t="s">
        <v>433</v>
      </c>
      <c r="C46" s="2" t="s">
        <v>86</v>
      </c>
      <c r="D46" s="96" t="s">
        <v>87</v>
      </c>
      <c r="E46" s="97"/>
      <c r="F46" s="2" t="s">
        <v>29</v>
      </c>
      <c r="G46" s="19">
        <f>'Rozpočet - vybrané sloupce'!I42</f>
        <v>67</v>
      </c>
      <c r="H46" s="19">
        <f>'Rozpočet - vybrané sloupce'!J42</f>
        <v>0</v>
      </c>
      <c r="I46" s="87">
        <v>12</v>
      </c>
      <c r="J46" s="19">
        <f t="shared" si="0"/>
        <v>0</v>
      </c>
      <c r="K46" s="19">
        <f t="shared" si="1"/>
        <v>0</v>
      </c>
      <c r="L46" s="19">
        <f t="shared" si="2"/>
        <v>0</v>
      </c>
      <c r="M46" s="19">
        <f t="shared" si="3"/>
        <v>0</v>
      </c>
      <c r="N46" s="19">
        <v>0</v>
      </c>
      <c r="O46" s="19">
        <f t="shared" si="4"/>
        <v>0</v>
      </c>
      <c r="P46" s="88" t="s">
        <v>531</v>
      </c>
      <c r="Z46" s="19">
        <f t="shared" si="5"/>
        <v>0</v>
      </c>
      <c r="AB46" s="19">
        <f t="shared" si="6"/>
        <v>0</v>
      </c>
      <c r="AC46" s="19">
        <f t="shared" si="7"/>
        <v>0</v>
      </c>
      <c r="AD46" s="19">
        <f t="shared" si="8"/>
        <v>0</v>
      </c>
      <c r="AE46" s="19">
        <f t="shared" si="9"/>
        <v>0</v>
      </c>
      <c r="AF46" s="19">
        <f t="shared" si="10"/>
        <v>0</v>
      </c>
      <c r="AG46" s="19">
        <f t="shared" si="11"/>
        <v>0</v>
      </c>
      <c r="AH46" s="19">
        <f t="shared" si="12"/>
        <v>0</v>
      </c>
      <c r="AI46" s="16" t="s">
        <v>433</v>
      </c>
      <c r="AJ46" s="19">
        <f t="shared" si="13"/>
        <v>0</v>
      </c>
      <c r="AK46" s="19">
        <f t="shared" si="14"/>
        <v>0</v>
      </c>
      <c r="AL46" s="19">
        <f t="shared" si="15"/>
        <v>0</v>
      </c>
      <c r="AN46" s="19">
        <v>12</v>
      </c>
      <c r="AO46" s="19">
        <f>H46*0.026013805</f>
        <v>0</v>
      </c>
      <c r="AP46" s="19">
        <f>H46*(1-0.026013805)</f>
        <v>0</v>
      </c>
      <c r="AQ46" s="89" t="s">
        <v>532</v>
      </c>
      <c r="AV46" s="19">
        <f t="shared" si="16"/>
        <v>0</v>
      </c>
      <c r="AW46" s="19">
        <f t="shared" si="17"/>
        <v>0</v>
      </c>
      <c r="AX46" s="19">
        <f t="shared" si="18"/>
        <v>0</v>
      </c>
      <c r="AY46" s="89" t="s">
        <v>533</v>
      </c>
      <c r="AZ46" s="89" t="s">
        <v>558</v>
      </c>
      <c r="BA46" s="16" t="s">
        <v>554</v>
      </c>
      <c r="BC46" s="19">
        <f t="shared" si="19"/>
        <v>0</v>
      </c>
      <c r="BD46" s="19">
        <f t="shared" si="20"/>
        <v>0</v>
      </c>
      <c r="BE46" s="19">
        <v>0</v>
      </c>
      <c r="BF46" s="19">
        <f t="shared" si="21"/>
        <v>0</v>
      </c>
      <c r="BH46" s="19">
        <f t="shared" si="22"/>
        <v>0</v>
      </c>
      <c r="BI46" s="19">
        <f t="shared" si="23"/>
        <v>0</v>
      </c>
      <c r="BJ46" s="19">
        <f t="shared" si="24"/>
        <v>0</v>
      </c>
      <c r="BK46" s="89" t="s">
        <v>30</v>
      </c>
      <c r="BL46" s="19">
        <v>721</v>
      </c>
      <c r="BW46" s="19">
        <f t="shared" si="25"/>
        <v>12</v>
      </c>
      <c r="BX46" s="4" t="s">
        <v>87</v>
      </c>
    </row>
    <row r="47" spans="1:76" x14ac:dyDescent="0.25">
      <c r="A47" s="1" t="s">
        <v>571</v>
      </c>
      <c r="B47" s="2" t="s">
        <v>433</v>
      </c>
      <c r="C47" s="2" t="s">
        <v>88</v>
      </c>
      <c r="D47" s="96" t="s">
        <v>89</v>
      </c>
      <c r="E47" s="97"/>
      <c r="F47" s="2" t="s">
        <v>90</v>
      </c>
      <c r="G47" s="19">
        <f>'Rozpočet - vybrané sloupce'!I43</f>
        <v>0.6</v>
      </c>
      <c r="H47" s="19">
        <f>'Rozpočet - vybrané sloupce'!J43</f>
        <v>0</v>
      </c>
      <c r="I47" s="87">
        <v>12</v>
      </c>
      <c r="J47" s="19">
        <f t="shared" si="0"/>
        <v>0</v>
      </c>
      <c r="K47" s="19">
        <f t="shared" si="1"/>
        <v>0</v>
      </c>
      <c r="L47" s="19">
        <f t="shared" si="2"/>
        <v>0</v>
      </c>
      <c r="M47" s="19">
        <f t="shared" si="3"/>
        <v>0</v>
      </c>
      <c r="N47" s="19">
        <v>0</v>
      </c>
      <c r="O47" s="19">
        <f t="shared" si="4"/>
        <v>0</v>
      </c>
      <c r="P47" s="88" t="s">
        <v>531</v>
      </c>
      <c r="Z47" s="19">
        <f t="shared" si="5"/>
        <v>0</v>
      </c>
      <c r="AB47" s="19">
        <f t="shared" si="6"/>
        <v>0</v>
      </c>
      <c r="AC47" s="19">
        <f t="shared" si="7"/>
        <v>0</v>
      </c>
      <c r="AD47" s="19">
        <f t="shared" si="8"/>
        <v>0</v>
      </c>
      <c r="AE47" s="19">
        <f t="shared" si="9"/>
        <v>0</v>
      </c>
      <c r="AF47" s="19">
        <f t="shared" si="10"/>
        <v>0</v>
      </c>
      <c r="AG47" s="19">
        <f t="shared" si="11"/>
        <v>0</v>
      </c>
      <c r="AH47" s="19">
        <f t="shared" si="12"/>
        <v>0</v>
      </c>
      <c r="AI47" s="16" t="s">
        <v>433</v>
      </c>
      <c r="AJ47" s="19">
        <f t="shared" si="13"/>
        <v>0</v>
      </c>
      <c r="AK47" s="19">
        <f t="shared" si="14"/>
        <v>0</v>
      </c>
      <c r="AL47" s="19">
        <f t="shared" si="15"/>
        <v>0</v>
      </c>
      <c r="AN47" s="19">
        <v>12</v>
      </c>
      <c r="AO47" s="19">
        <f>H47*0</f>
        <v>0</v>
      </c>
      <c r="AP47" s="19">
        <f>H47*(1-0)</f>
        <v>0</v>
      </c>
      <c r="AQ47" s="89" t="s">
        <v>532</v>
      </c>
      <c r="AV47" s="19">
        <f t="shared" si="16"/>
        <v>0</v>
      </c>
      <c r="AW47" s="19">
        <f t="shared" si="17"/>
        <v>0</v>
      </c>
      <c r="AX47" s="19">
        <f t="shared" si="18"/>
        <v>0</v>
      </c>
      <c r="AY47" s="89" t="s">
        <v>533</v>
      </c>
      <c r="AZ47" s="89" t="s">
        <v>558</v>
      </c>
      <c r="BA47" s="16" t="s">
        <v>554</v>
      </c>
      <c r="BC47" s="19">
        <f t="shared" si="19"/>
        <v>0</v>
      </c>
      <c r="BD47" s="19">
        <f t="shared" si="20"/>
        <v>0</v>
      </c>
      <c r="BE47" s="19">
        <v>0</v>
      </c>
      <c r="BF47" s="19">
        <f t="shared" si="21"/>
        <v>0</v>
      </c>
      <c r="BH47" s="19">
        <f t="shared" si="22"/>
        <v>0</v>
      </c>
      <c r="BI47" s="19">
        <f t="shared" si="23"/>
        <v>0</v>
      </c>
      <c r="BJ47" s="19">
        <f t="shared" si="24"/>
        <v>0</v>
      </c>
      <c r="BK47" s="89" t="s">
        <v>30</v>
      </c>
      <c r="BL47" s="19">
        <v>721</v>
      </c>
      <c r="BW47" s="19">
        <f t="shared" si="25"/>
        <v>12</v>
      </c>
      <c r="BX47" s="4" t="s">
        <v>89</v>
      </c>
    </row>
    <row r="48" spans="1:76" x14ac:dyDescent="0.25">
      <c r="A48" s="90"/>
      <c r="C48" s="91" t="s">
        <v>547</v>
      </c>
      <c r="D48" s="180" t="s">
        <v>572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2"/>
      <c r="BX48" s="92" t="s">
        <v>572</v>
      </c>
    </row>
    <row r="49" spans="1:76" x14ac:dyDescent="0.25">
      <c r="A49" s="1" t="s">
        <v>573</v>
      </c>
      <c r="B49" s="2" t="s">
        <v>433</v>
      </c>
      <c r="C49" s="2" t="s">
        <v>39</v>
      </c>
      <c r="D49" s="96" t="s">
        <v>40</v>
      </c>
      <c r="E49" s="97"/>
      <c r="F49" s="2" t="s">
        <v>41</v>
      </c>
      <c r="G49" s="19">
        <f>'Rozpočet - vybrané sloupce'!I44</f>
        <v>1357</v>
      </c>
      <c r="H49" s="19">
        <f>'Rozpočet - vybrané sloupce'!J44</f>
        <v>0</v>
      </c>
      <c r="I49" s="87">
        <v>12</v>
      </c>
      <c r="J49" s="19">
        <f>ROUND(G49*AO49,2)</f>
        <v>0</v>
      </c>
      <c r="K49" s="19">
        <f>ROUND(G49*AP49,2)</f>
        <v>0</v>
      </c>
      <c r="L49" s="19">
        <f>ROUND(G49*H49,2)</f>
        <v>0</v>
      </c>
      <c r="M49" s="19">
        <f>L49*(1+BW49/100)</f>
        <v>0</v>
      </c>
      <c r="N49" s="19">
        <v>0</v>
      </c>
      <c r="O49" s="19">
        <f>G49*N49</f>
        <v>0</v>
      </c>
      <c r="P49" s="88" t="s">
        <v>531</v>
      </c>
      <c r="Z49" s="19">
        <f>ROUND(IF(AQ49="5",BJ49,0),2)</f>
        <v>0</v>
      </c>
      <c r="AB49" s="19">
        <f>ROUND(IF(AQ49="1",BH49,0),2)</f>
        <v>0</v>
      </c>
      <c r="AC49" s="19">
        <f>ROUND(IF(AQ49="1",BI49,0),2)</f>
        <v>0</v>
      </c>
      <c r="AD49" s="19">
        <f>ROUND(IF(AQ49="7",BH49,0),2)</f>
        <v>0</v>
      </c>
      <c r="AE49" s="19">
        <f>ROUND(IF(AQ49="7",BI49,0),2)</f>
        <v>0</v>
      </c>
      <c r="AF49" s="19">
        <f>ROUND(IF(AQ49="2",BH49,0),2)</f>
        <v>0</v>
      </c>
      <c r="AG49" s="19">
        <f>ROUND(IF(AQ49="2",BI49,0),2)</f>
        <v>0</v>
      </c>
      <c r="AH49" s="19">
        <f>ROUND(IF(AQ49="0",BJ49,0),2)</f>
        <v>0</v>
      </c>
      <c r="AI49" s="16" t="s">
        <v>433</v>
      </c>
      <c r="AJ49" s="19">
        <f>IF(AN49=0,L49,0)</f>
        <v>0</v>
      </c>
      <c r="AK49" s="19">
        <f>IF(AN49=12,L49,0)</f>
        <v>0</v>
      </c>
      <c r="AL49" s="19">
        <f>IF(AN49=21,L49,0)</f>
        <v>0</v>
      </c>
      <c r="AN49" s="19">
        <v>12</v>
      </c>
      <c r="AO49" s="19">
        <f>H49*0</f>
        <v>0</v>
      </c>
      <c r="AP49" s="19">
        <f>H49*(1-0)</f>
        <v>0</v>
      </c>
      <c r="AQ49" s="89" t="s">
        <v>540</v>
      </c>
      <c r="AV49" s="19">
        <f>ROUND(AW49+AX49,2)</f>
        <v>0</v>
      </c>
      <c r="AW49" s="19">
        <f>ROUND(G49*AO49,2)</f>
        <v>0</v>
      </c>
      <c r="AX49" s="19">
        <f>ROUND(G49*AP49,2)</f>
        <v>0</v>
      </c>
      <c r="AY49" s="89" t="s">
        <v>533</v>
      </c>
      <c r="AZ49" s="89" t="s">
        <v>558</v>
      </c>
      <c r="BA49" s="16" t="s">
        <v>554</v>
      </c>
      <c r="BC49" s="19">
        <f>AW49+AX49</f>
        <v>0</v>
      </c>
      <c r="BD49" s="19">
        <f>H49/(100-BE49)*100</f>
        <v>0</v>
      </c>
      <c r="BE49" s="19">
        <v>0</v>
      </c>
      <c r="BF49" s="19">
        <f>O49</f>
        <v>0</v>
      </c>
      <c r="BH49" s="19">
        <f>G49*AO49</f>
        <v>0</v>
      </c>
      <c r="BI49" s="19">
        <f>G49*AP49</f>
        <v>0</v>
      </c>
      <c r="BJ49" s="19">
        <f>G49*H49</f>
        <v>0</v>
      </c>
      <c r="BK49" s="89" t="s">
        <v>30</v>
      </c>
      <c r="BL49" s="19">
        <v>721</v>
      </c>
      <c r="BW49" s="19">
        <f>I49</f>
        <v>12</v>
      </c>
      <c r="BX49" s="4" t="s">
        <v>40</v>
      </c>
    </row>
    <row r="50" spans="1:76" x14ac:dyDescent="0.25">
      <c r="A50" s="84" t="s">
        <v>23</v>
      </c>
      <c r="B50" s="15" t="s">
        <v>434</v>
      </c>
      <c r="C50" s="15" t="s">
        <v>23</v>
      </c>
      <c r="D50" s="152" t="s">
        <v>91</v>
      </c>
      <c r="E50" s="153"/>
      <c r="F50" s="85" t="s">
        <v>22</v>
      </c>
      <c r="G50" s="85" t="s">
        <v>22</v>
      </c>
      <c r="H50" s="85" t="s">
        <v>22</v>
      </c>
      <c r="I50" s="85" t="s">
        <v>22</v>
      </c>
      <c r="J50" s="60">
        <f>J51</f>
        <v>0</v>
      </c>
      <c r="K50" s="60">
        <f>K51</f>
        <v>0</v>
      </c>
      <c r="L50" s="60">
        <f>L51</f>
        <v>0</v>
      </c>
      <c r="M50" s="60">
        <f>M51</f>
        <v>0</v>
      </c>
      <c r="N50" s="16" t="s">
        <v>23</v>
      </c>
      <c r="O50" s="60">
        <f>O51</f>
        <v>0.42637999999999993</v>
      </c>
      <c r="P50" s="86" t="s">
        <v>23</v>
      </c>
    </row>
    <row r="51" spans="1:76" x14ac:dyDescent="0.25">
      <c r="A51" s="84" t="s">
        <v>23</v>
      </c>
      <c r="B51" s="15" t="s">
        <v>434</v>
      </c>
      <c r="C51" s="15" t="s">
        <v>92</v>
      </c>
      <c r="D51" s="152" t="s">
        <v>93</v>
      </c>
      <c r="E51" s="153"/>
      <c r="F51" s="85" t="s">
        <v>22</v>
      </c>
      <c r="G51" s="85" t="s">
        <v>22</v>
      </c>
      <c r="H51" s="85" t="s">
        <v>22</v>
      </c>
      <c r="I51" s="85" t="s">
        <v>22</v>
      </c>
      <c r="J51" s="60">
        <f>SUM(J52:J109)</f>
        <v>0</v>
      </c>
      <c r="K51" s="60">
        <f>SUM(K52:K109)</f>
        <v>0</v>
      </c>
      <c r="L51" s="60">
        <f>SUM(L52:L109)</f>
        <v>0</v>
      </c>
      <c r="M51" s="60">
        <f>SUM(M52:M109)</f>
        <v>0</v>
      </c>
      <c r="N51" s="16" t="s">
        <v>23</v>
      </c>
      <c r="O51" s="60">
        <f>SUM(O52:O109)</f>
        <v>0.42637999999999993</v>
      </c>
      <c r="P51" s="86" t="s">
        <v>23</v>
      </c>
      <c r="AI51" s="16" t="s">
        <v>434</v>
      </c>
      <c r="AS51" s="60">
        <f>SUM(AJ52:AJ109)</f>
        <v>0</v>
      </c>
      <c r="AT51" s="60">
        <f>SUM(AK52:AK109)</f>
        <v>0</v>
      </c>
      <c r="AU51" s="60">
        <f>SUM(AL52:AL109)</f>
        <v>0</v>
      </c>
    </row>
    <row r="52" spans="1:76" x14ac:dyDescent="0.25">
      <c r="A52" s="1" t="s">
        <v>574</v>
      </c>
      <c r="B52" s="2" t="s">
        <v>434</v>
      </c>
      <c r="C52" s="2" t="s">
        <v>94</v>
      </c>
      <c r="D52" s="96" t="s">
        <v>95</v>
      </c>
      <c r="E52" s="97"/>
      <c r="F52" s="2" t="s">
        <v>33</v>
      </c>
      <c r="G52" s="19">
        <f>'Rozpočet - vybrané sloupce'!I47</f>
        <v>1</v>
      </c>
      <c r="H52" s="19">
        <f>'Rozpočet - vybrané sloupce'!J47</f>
        <v>0</v>
      </c>
      <c r="I52" s="87">
        <v>12</v>
      </c>
      <c r="J52" s="19">
        <f>ROUND(G52*AO52,2)</f>
        <v>0</v>
      </c>
      <c r="K52" s="19">
        <f>ROUND(G52*AP52,2)</f>
        <v>0</v>
      </c>
      <c r="L52" s="19">
        <f>ROUND(G52*H52,2)</f>
        <v>0</v>
      </c>
      <c r="M52" s="19">
        <f>L52*(1+BW52/100)</f>
        <v>0</v>
      </c>
      <c r="N52" s="19">
        <v>9.8999999999999999E-4</v>
      </c>
      <c r="O52" s="19">
        <f>G52*N52</f>
        <v>9.8999999999999999E-4</v>
      </c>
      <c r="P52" s="88" t="s">
        <v>531</v>
      </c>
      <c r="Z52" s="19">
        <f>ROUND(IF(AQ52="5",BJ52,0),2)</f>
        <v>0</v>
      </c>
      <c r="AB52" s="19">
        <f>ROUND(IF(AQ52="1",BH52,0),2)</f>
        <v>0</v>
      </c>
      <c r="AC52" s="19">
        <f>ROUND(IF(AQ52="1",BI52,0),2)</f>
        <v>0</v>
      </c>
      <c r="AD52" s="19">
        <f>ROUND(IF(AQ52="7",BH52,0),2)</f>
        <v>0</v>
      </c>
      <c r="AE52" s="19">
        <f>ROUND(IF(AQ52="7",BI52,0),2)</f>
        <v>0</v>
      </c>
      <c r="AF52" s="19">
        <f>ROUND(IF(AQ52="2",BH52,0),2)</f>
        <v>0</v>
      </c>
      <c r="AG52" s="19">
        <f>ROUND(IF(AQ52="2",BI52,0),2)</f>
        <v>0</v>
      </c>
      <c r="AH52" s="19">
        <f>ROUND(IF(AQ52="0",BJ52,0),2)</f>
        <v>0</v>
      </c>
      <c r="AI52" s="16" t="s">
        <v>434</v>
      </c>
      <c r="AJ52" s="19">
        <f>IF(AN52=0,L52,0)</f>
        <v>0</v>
      </c>
      <c r="AK52" s="19">
        <f>IF(AN52=12,L52,0)</f>
        <v>0</v>
      </c>
      <c r="AL52" s="19">
        <f>IF(AN52=21,L52,0)</f>
        <v>0</v>
      </c>
      <c r="AN52" s="19">
        <v>12</v>
      </c>
      <c r="AO52" s="19">
        <f>H52*0.287777778</f>
        <v>0</v>
      </c>
      <c r="AP52" s="19">
        <f>H52*(1-0.287777778)</f>
        <v>0</v>
      </c>
      <c r="AQ52" s="89" t="s">
        <v>532</v>
      </c>
      <c r="AV52" s="19">
        <f>ROUND(AW52+AX52,2)</f>
        <v>0</v>
      </c>
      <c r="AW52" s="19">
        <f>ROUND(G52*AO52,2)</f>
        <v>0</v>
      </c>
      <c r="AX52" s="19">
        <f>ROUND(G52*AP52,2)</f>
        <v>0</v>
      </c>
      <c r="AY52" s="89" t="s">
        <v>575</v>
      </c>
      <c r="AZ52" s="89" t="s">
        <v>576</v>
      </c>
      <c r="BA52" s="16" t="s">
        <v>577</v>
      </c>
      <c r="BC52" s="19">
        <f>AW52+AX52</f>
        <v>0</v>
      </c>
      <c r="BD52" s="19">
        <f>H52/(100-BE52)*100</f>
        <v>0</v>
      </c>
      <c r="BE52" s="19">
        <v>0</v>
      </c>
      <c r="BF52" s="19">
        <f>O52</f>
        <v>9.8999999999999999E-4</v>
      </c>
      <c r="BH52" s="19">
        <f>G52*AO52</f>
        <v>0</v>
      </c>
      <c r="BI52" s="19">
        <f>G52*AP52</f>
        <v>0</v>
      </c>
      <c r="BJ52" s="19">
        <f>G52*H52</f>
        <v>0</v>
      </c>
      <c r="BK52" s="89" t="s">
        <v>30</v>
      </c>
      <c r="BL52" s="19">
        <v>722</v>
      </c>
      <c r="BW52" s="19">
        <f>I52</f>
        <v>12</v>
      </c>
      <c r="BX52" s="4" t="s">
        <v>95</v>
      </c>
    </row>
    <row r="53" spans="1:76" x14ac:dyDescent="0.25">
      <c r="A53" s="1" t="s">
        <v>578</v>
      </c>
      <c r="B53" s="2" t="s">
        <v>434</v>
      </c>
      <c r="C53" s="2" t="s">
        <v>96</v>
      </c>
      <c r="D53" s="96" t="s">
        <v>97</v>
      </c>
      <c r="E53" s="97"/>
      <c r="F53" s="2" t="s">
        <v>29</v>
      </c>
      <c r="G53" s="19">
        <f>'Rozpočet - vybrané sloupce'!I48</f>
        <v>36</v>
      </c>
      <c r="H53" s="19">
        <f>'Rozpočet - vybrané sloupce'!J48</f>
        <v>0</v>
      </c>
      <c r="I53" s="87">
        <v>12</v>
      </c>
      <c r="J53" s="19">
        <f>ROUND(G53*AO53,2)</f>
        <v>0</v>
      </c>
      <c r="K53" s="19">
        <f>ROUND(G53*AP53,2)</f>
        <v>0</v>
      </c>
      <c r="L53" s="19">
        <f>ROUND(G53*H53,2)</f>
        <v>0</v>
      </c>
      <c r="M53" s="19">
        <f>L53*(1+BW53/100)</f>
        <v>0</v>
      </c>
      <c r="N53" s="19">
        <v>4.9699999999999996E-3</v>
      </c>
      <c r="O53" s="19">
        <f>G53*N53</f>
        <v>0.17892</v>
      </c>
      <c r="P53" s="88" t="s">
        <v>531</v>
      </c>
      <c r="Z53" s="19">
        <f>ROUND(IF(AQ53="5",BJ53,0),2)</f>
        <v>0</v>
      </c>
      <c r="AB53" s="19">
        <f>ROUND(IF(AQ53="1",BH53,0),2)</f>
        <v>0</v>
      </c>
      <c r="AC53" s="19">
        <f>ROUND(IF(AQ53="1",BI53,0),2)</f>
        <v>0</v>
      </c>
      <c r="AD53" s="19">
        <f>ROUND(IF(AQ53="7",BH53,0),2)</f>
        <v>0</v>
      </c>
      <c r="AE53" s="19">
        <f>ROUND(IF(AQ53="7",BI53,0),2)</f>
        <v>0</v>
      </c>
      <c r="AF53" s="19">
        <f>ROUND(IF(AQ53="2",BH53,0),2)</f>
        <v>0</v>
      </c>
      <c r="AG53" s="19">
        <f>ROUND(IF(AQ53="2",BI53,0),2)</f>
        <v>0</v>
      </c>
      <c r="AH53" s="19">
        <f>ROUND(IF(AQ53="0",BJ53,0),2)</f>
        <v>0</v>
      </c>
      <c r="AI53" s="16" t="s">
        <v>434</v>
      </c>
      <c r="AJ53" s="19">
        <f>IF(AN53=0,L53,0)</f>
        <v>0</v>
      </c>
      <c r="AK53" s="19">
        <f>IF(AN53=12,L53,0)</f>
        <v>0</v>
      </c>
      <c r="AL53" s="19">
        <f>IF(AN53=21,L53,0)</f>
        <v>0</v>
      </c>
      <c r="AN53" s="19">
        <v>12</v>
      </c>
      <c r="AO53" s="19">
        <f>H53*0</f>
        <v>0</v>
      </c>
      <c r="AP53" s="19">
        <f>H53*(1-0)</f>
        <v>0</v>
      </c>
      <c r="AQ53" s="89" t="s">
        <v>532</v>
      </c>
      <c r="AV53" s="19">
        <f>ROUND(AW53+AX53,2)</f>
        <v>0</v>
      </c>
      <c r="AW53" s="19">
        <f>ROUND(G53*AO53,2)</f>
        <v>0</v>
      </c>
      <c r="AX53" s="19">
        <f>ROUND(G53*AP53,2)</f>
        <v>0</v>
      </c>
      <c r="AY53" s="89" t="s">
        <v>575</v>
      </c>
      <c r="AZ53" s="89" t="s">
        <v>576</v>
      </c>
      <c r="BA53" s="16" t="s">
        <v>577</v>
      </c>
      <c r="BC53" s="19">
        <f>AW53+AX53</f>
        <v>0</v>
      </c>
      <c r="BD53" s="19">
        <f>H53/(100-BE53)*100</f>
        <v>0</v>
      </c>
      <c r="BE53" s="19">
        <v>0</v>
      </c>
      <c r="BF53" s="19">
        <f>O53</f>
        <v>0.17892</v>
      </c>
      <c r="BH53" s="19">
        <f>G53*AO53</f>
        <v>0</v>
      </c>
      <c r="BI53" s="19">
        <f>G53*AP53</f>
        <v>0</v>
      </c>
      <c r="BJ53" s="19">
        <f>G53*H53</f>
        <v>0</v>
      </c>
      <c r="BK53" s="89" t="s">
        <v>30</v>
      </c>
      <c r="BL53" s="19">
        <v>722</v>
      </c>
      <c r="BW53" s="19">
        <f>I53</f>
        <v>12</v>
      </c>
      <c r="BX53" s="4" t="s">
        <v>97</v>
      </c>
    </row>
    <row r="54" spans="1:76" x14ac:dyDescent="0.25">
      <c r="A54" s="1" t="s">
        <v>579</v>
      </c>
      <c r="B54" s="2" t="s">
        <v>434</v>
      </c>
      <c r="C54" s="2" t="s">
        <v>98</v>
      </c>
      <c r="D54" s="96" t="s">
        <v>99</v>
      </c>
      <c r="E54" s="97"/>
      <c r="F54" s="2" t="s">
        <v>29</v>
      </c>
      <c r="G54" s="19">
        <f>'Rozpočet - vybrané sloupce'!I49</f>
        <v>24</v>
      </c>
      <c r="H54" s="19">
        <f>'Rozpočet - vybrané sloupce'!J49</f>
        <v>0</v>
      </c>
      <c r="I54" s="87">
        <v>12</v>
      </c>
      <c r="J54" s="19">
        <f>ROUND(G54*AO54,2)</f>
        <v>0</v>
      </c>
      <c r="K54" s="19">
        <f>ROUND(G54*AP54,2)</f>
        <v>0</v>
      </c>
      <c r="L54" s="19">
        <f>ROUND(G54*H54,2)</f>
        <v>0</v>
      </c>
      <c r="M54" s="19">
        <f>L54*(1+BW54/100)</f>
        <v>0</v>
      </c>
      <c r="N54" s="19">
        <v>2.7999999999999998E-4</v>
      </c>
      <c r="O54" s="19">
        <f>G54*N54</f>
        <v>6.7199999999999994E-3</v>
      </c>
      <c r="P54" s="88" t="s">
        <v>531</v>
      </c>
      <c r="Z54" s="19">
        <f>ROUND(IF(AQ54="5",BJ54,0),2)</f>
        <v>0</v>
      </c>
      <c r="AB54" s="19">
        <f>ROUND(IF(AQ54="1",BH54,0),2)</f>
        <v>0</v>
      </c>
      <c r="AC54" s="19">
        <f>ROUND(IF(AQ54="1",BI54,0),2)</f>
        <v>0</v>
      </c>
      <c r="AD54" s="19">
        <f>ROUND(IF(AQ54="7",BH54,0),2)</f>
        <v>0</v>
      </c>
      <c r="AE54" s="19">
        <f>ROUND(IF(AQ54="7",BI54,0),2)</f>
        <v>0</v>
      </c>
      <c r="AF54" s="19">
        <f>ROUND(IF(AQ54="2",BH54,0),2)</f>
        <v>0</v>
      </c>
      <c r="AG54" s="19">
        <f>ROUND(IF(AQ54="2",BI54,0),2)</f>
        <v>0</v>
      </c>
      <c r="AH54" s="19">
        <f>ROUND(IF(AQ54="0",BJ54,0),2)</f>
        <v>0</v>
      </c>
      <c r="AI54" s="16" t="s">
        <v>434</v>
      </c>
      <c r="AJ54" s="19">
        <f>IF(AN54=0,L54,0)</f>
        <v>0</v>
      </c>
      <c r="AK54" s="19">
        <f>IF(AN54=12,L54,0)</f>
        <v>0</v>
      </c>
      <c r="AL54" s="19">
        <f>IF(AN54=21,L54,0)</f>
        <v>0</v>
      </c>
      <c r="AN54" s="19">
        <v>12</v>
      </c>
      <c r="AO54" s="19">
        <f>H54*0</f>
        <v>0</v>
      </c>
      <c r="AP54" s="19">
        <f>H54*(1-0)</f>
        <v>0</v>
      </c>
      <c r="AQ54" s="89" t="s">
        <v>532</v>
      </c>
      <c r="AV54" s="19">
        <f>ROUND(AW54+AX54,2)</f>
        <v>0</v>
      </c>
      <c r="AW54" s="19">
        <f>ROUND(G54*AO54,2)</f>
        <v>0</v>
      </c>
      <c r="AX54" s="19">
        <f>ROUND(G54*AP54,2)</f>
        <v>0</v>
      </c>
      <c r="AY54" s="89" t="s">
        <v>575</v>
      </c>
      <c r="AZ54" s="89" t="s">
        <v>576</v>
      </c>
      <c r="BA54" s="16" t="s">
        <v>577</v>
      </c>
      <c r="BC54" s="19">
        <f>AW54+AX54</f>
        <v>0</v>
      </c>
      <c r="BD54" s="19">
        <f>H54/(100-BE54)*100</f>
        <v>0</v>
      </c>
      <c r="BE54" s="19">
        <v>0</v>
      </c>
      <c r="BF54" s="19">
        <f>O54</f>
        <v>6.7199999999999994E-3</v>
      </c>
      <c r="BH54" s="19">
        <f>G54*AO54</f>
        <v>0</v>
      </c>
      <c r="BI54" s="19">
        <f>G54*AP54</f>
        <v>0</v>
      </c>
      <c r="BJ54" s="19">
        <f>G54*H54</f>
        <v>0</v>
      </c>
      <c r="BK54" s="89" t="s">
        <v>30</v>
      </c>
      <c r="BL54" s="19">
        <v>722</v>
      </c>
      <c r="BW54" s="19">
        <f>I54</f>
        <v>12</v>
      </c>
      <c r="BX54" s="4" t="s">
        <v>99</v>
      </c>
    </row>
    <row r="55" spans="1:76" x14ac:dyDescent="0.25">
      <c r="A55" s="1" t="s">
        <v>580</v>
      </c>
      <c r="B55" s="2" t="s">
        <v>434</v>
      </c>
      <c r="C55" s="2" t="s">
        <v>100</v>
      </c>
      <c r="D55" s="96" t="s">
        <v>101</v>
      </c>
      <c r="E55" s="97"/>
      <c r="F55" s="2" t="s">
        <v>29</v>
      </c>
      <c r="G55" s="19">
        <f>'Rozpočet - vybrané sloupce'!I50</f>
        <v>58</v>
      </c>
      <c r="H55" s="19">
        <f>'Rozpočet - vybrané sloupce'!J50</f>
        <v>0</v>
      </c>
      <c r="I55" s="87">
        <v>12</v>
      </c>
      <c r="J55" s="19">
        <f>ROUND(G55*AO55,2)</f>
        <v>0</v>
      </c>
      <c r="K55" s="19">
        <f>ROUND(G55*AP55,2)</f>
        <v>0</v>
      </c>
      <c r="L55" s="19">
        <f>ROUND(G55*H55,2)</f>
        <v>0</v>
      </c>
      <c r="M55" s="19">
        <f>L55*(1+BW55/100)</f>
        <v>0</v>
      </c>
      <c r="N55" s="19">
        <v>2.9E-4</v>
      </c>
      <c r="O55" s="19">
        <f>G55*N55</f>
        <v>1.6820000000000002E-2</v>
      </c>
      <c r="P55" s="88" t="s">
        <v>531</v>
      </c>
      <c r="Z55" s="19">
        <f>ROUND(IF(AQ55="5",BJ55,0),2)</f>
        <v>0</v>
      </c>
      <c r="AB55" s="19">
        <f>ROUND(IF(AQ55="1",BH55,0),2)</f>
        <v>0</v>
      </c>
      <c r="AC55" s="19">
        <f>ROUND(IF(AQ55="1",BI55,0),2)</f>
        <v>0</v>
      </c>
      <c r="AD55" s="19">
        <f>ROUND(IF(AQ55="7",BH55,0),2)</f>
        <v>0</v>
      </c>
      <c r="AE55" s="19">
        <f>ROUND(IF(AQ55="7",BI55,0),2)</f>
        <v>0</v>
      </c>
      <c r="AF55" s="19">
        <f>ROUND(IF(AQ55="2",BH55,0),2)</f>
        <v>0</v>
      </c>
      <c r="AG55" s="19">
        <f>ROUND(IF(AQ55="2",BI55,0),2)</f>
        <v>0</v>
      </c>
      <c r="AH55" s="19">
        <f>ROUND(IF(AQ55="0",BJ55,0),2)</f>
        <v>0</v>
      </c>
      <c r="AI55" s="16" t="s">
        <v>434</v>
      </c>
      <c r="AJ55" s="19">
        <f>IF(AN55=0,L55,0)</f>
        <v>0</v>
      </c>
      <c r="AK55" s="19">
        <f>IF(AN55=12,L55,0)</f>
        <v>0</v>
      </c>
      <c r="AL55" s="19">
        <f>IF(AN55=21,L55,0)</f>
        <v>0</v>
      </c>
      <c r="AN55" s="19">
        <v>12</v>
      </c>
      <c r="AO55" s="19">
        <f>H55*0</f>
        <v>0</v>
      </c>
      <c r="AP55" s="19">
        <f>H55*(1-0)</f>
        <v>0</v>
      </c>
      <c r="AQ55" s="89" t="s">
        <v>532</v>
      </c>
      <c r="AV55" s="19">
        <f>ROUND(AW55+AX55,2)</f>
        <v>0</v>
      </c>
      <c r="AW55" s="19">
        <f>ROUND(G55*AO55,2)</f>
        <v>0</v>
      </c>
      <c r="AX55" s="19">
        <f>ROUND(G55*AP55,2)</f>
        <v>0</v>
      </c>
      <c r="AY55" s="89" t="s">
        <v>575</v>
      </c>
      <c r="AZ55" s="89" t="s">
        <v>576</v>
      </c>
      <c r="BA55" s="16" t="s">
        <v>577</v>
      </c>
      <c r="BC55" s="19">
        <f>AW55+AX55</f>
        <v>0</v>
      </c>
      <c r="BD55" s="19">
        <f>H55/(100-BE55)*100</f>
        <v>0</v>
      </c>
      <c r="BE55" s="19">
        <v>0</v>
      </c>
      <c r="BF55" s="19">
        <f>O55</f>
        <v>1.6820000000000002E-2</v>
      </c>
      <c r="BH55" s="19">
        <f>G55*AO55</f>
        <v>0</v>
      </c>
      <c r="BI55" s="19">
        <f>G55*AP55</f>
        <v>0</v>
      </c>
      <c r="BJ55" s="19">
        <f>G55*H55</f>
        <v>0</v>
      </c>
      <c r="BK55" s="89" t="s">
        <v>30</v>
      </c>
      <c r="BL55" s="19">
        <v>722</v>
      </c>
      <c r="BW55" s="19">
        <f>I55</f>
        <v>12</v>
      </c>
      <c r="BX55" s="4" t="s">
        <v>101</v>
      </c>
    </row>
    <row r="56" spans="1:76" x14ac:dyDescent="0.25">
      <c r="A56" s="1" t="s">
        <v>581</v>
      </c>
      <c r="B56" s="2" t="s">
        <v>434</v>
      </c>
      <c r="C56" s="2" t="s">
        <v>102</v>
      </c>
      <c r="D56" s="96" t="s">
        <v>103</v>
      </c>
      <c r="E56" s="97"/>
      <c r="F56" s="2" t="s">
        <v>29</v>
      </c>
      <c r="G56" s="19">
        <f>'Rozpočet - vybrané sloupce'!I51</f>
        <v>5</v>
      </c>
      <c r="H56" s="19">
        <f>'Rozpočet - vybrané sloupce'!J51</f>
        <v>0</v>
      </c>
      <c r="I56" s="87">
        <v>12</v>
      </c>
      <c r="J56" s="19">
        <f>ROUND(G56*AO56,2)</f>
        <v>0</v>
      </c>
      <c r="K56" s="19">
        <f>ROUND(G56*AP56,2)</f>
        <v>0</v>
      </c>
      <c r="L56" s="19">
        <f>ROUND(G56*H56,2)</f>
        <v>0</v>
      </c>
      <c r="M56" s="19">
        <f>L56*(1+BW56/100)</f>
        <v>0</v>
      </c>
      <c r="N56" s="19">
        <v>4.2999999999999999E-4</v>
      </c>
      <c r="O56" s="19">
        <f>G56*N56</f>
        <v>2.15E-3</v>
      </c>
      <c r="P56" s="88" t="s">
        <v>531</v>
      </c>
      <c r="Z56" s="19">
        <f>ROUND(IF(AQ56="5",BJ56,0),2)</f>
        <v>0</v>
      </c>
      <c r="AB56" s="19">
        <f>ROUND(IF(AQ56="1",BH56,0),2)</f>
        <v>0</v>
      </c>
      <c r="AC56" s="19">
        <f>ROUND(IF(AQ56="1",BI56,0),2)</f>
        <v>0</v>
      </c>
      <c r="AD56" s="19">
        <f>ROUND(IF(AQ56="7",BH56,0),2)</f>
        <v>0</v>
      </c>
      <c r="AE56" s="19">
        <f>ROUND(IF(AQ56="7",BI56,0),2)</f>
        <v>0</v>
      </c>
      <c r="AF56" s="19">
        <f>ROUND(IF(AQ56="2",BH56,0),2)</f>
        <v>0</v>
      </c>
      <c r="AG56" s="19">
        <f>ROUND(IF(AQ56="2",BI56,0),2)</f>
        <v>0</v>
      </c>
      <c r="AH56" s="19">
        <f>ROUND(IF(AQ56="0",BJ56,0),2)</f>
        <v>0</v>
      </c>
      <c r="AI56" s="16" t="s">
        <v>434</v>
      </c>
      <c r="AJ56" s="19">
        <f>IF(AN56=0,L56,0)</f>
        <v>0</v>
      </c>
      <c r="AK56" s="19">
        <f>IF(AN56=12,L56,0)</f>
        <v>0</v>
      </c>
      <c r="AL56" s="19">
        <f>IF(AN56=21,L56,0)</f>
        <v>0</v>
      </c>
      <c r="AN56" s="19">
        <v>12</v>
      </c>
      <c r="AO56" s="19">
        <f>H56*0.433809524</f>
        <v>0</v>
      </c>
      <c r="AP56" s="19">
        <f>H56*(1-0.433809524)</f>
        <v>0</v>
      </c>
      <c r="AQ56" s="89" t="s">
        <v>532</v>
      </c>
      <c r="AV56" s="19">
        <f>ROUND(AW56+AX56,2)</f>
        <v>0</v>
      </c>
      <c r="AW56" s="19">
        <f>ROUND(G56*AO56,2)</f>
        <v>0</v>
      </c>
      <c r="AX56" s="19">
        <f>ROUND(G56*AP56,2)</f>
        <v>0</v>
      </c>
      <c r="AY56" s="89" t="s">
        <v>575</v>
      </c>
      <c r="AZ56" s="89" t="s">
        <v>576</v>
      </c>
      <c r="BA56" s="16" t="s">
        <v>577</v>
      </c>
      <c r="BC56" s="19">
        <f>AW56+AX56</f>
        <v>0</v>
      </c>
      <c r="BD56" s="19">
        <f>H56/(100-BE56)*100</f>
        <v>0</v>
      </c>
      <c r="BE56" s="19">
        <v>0</v>
      </c>
      <c r="BF56" s="19">
        <f>O56</f>
        <v>2.15E-3</v>
      </c>
      <c r="BH56" s="19">
        <f>G56*AO56</f>
        <v>0</v>
      </c>
      <c r="BI56" s="19">
        <f>G56*AP56</f>
        <v>0</v>
      </c>
      <c r="BJ56" s="19">
        <f>G56*H56</f>
        <v>0</v>
      </c>
      <c r="BK56" s="89" t="s">
        <v>30</v>
      </c>
      <c r="BL56" s="19">
        <v>722</v>
      </c>
      <c r="BW56" s="19">
        <f>I56</f>
        <v>12</v>
      </c>
      <c r="BX56" s="4" t="s">
        <v>103</v>
      </c>
    </row>
    <row r="57" spans="1:76" x14ac:dyDescent="0.25">
      <c r="A57" s="90"/>
      <c r="C57" s="91" t="s">
        <v>547</v>
      </c>
      <c r="D57" s="180" t="s">
        <v>582</v>
      </c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2"/>
      <c r="BX57" s="92" t="s">
        <v>582</v>
      </c>
    </row>
    <row r="58" spans="1:76" x14ac:dyDescent="0.25">
      <c r="A58" s="1" t="s">
        <v>583</v>
      </c>
      <c r="B58" s="2" t="s">
        <v>434</v>
      </c>
      <c r="C58" s="2" t="s">
        <v>104</v>
      </c>
      <c r="D58" s="96" t="s">
        <v>105</v>
      </c>
      <c r="E58" s="97"/>
      <c r="F58" s="2" t="s">
        <v>29</v>
      </c>
      <c r="G58" s="19">
        <f>'Rozpočet - vybrané sloupce'!I52</f>
        <v>34</v>
      </c>
      <c r="H58" s="19">
        <f>'Rozpočet - vybrané sloupce'!J52</f>
        <v>0</v>
      </c>
      <c r="I58" s="87">
        <v>12</v>
      </c>
      <c r="J58" s="19">
        <f>ROUND(G58*AO58,2)</f>
        <v>0</v>
      </c>
      <c r="K58" s="19">
        <f>ROUND(G58*AP58,2)</f>
        <v>0</v>
      </c>
      <c r="L58" s="19">
        <f>ROUND(G58*H58,2)</f>
        <v>0</v>
      </c>
      <c r="M58" s="19">
        <f>L58*(1+BW58/100)</f>
        <v>0</v>
      </c>
      <c r="N58" s="19">
        <v>5.2999999999999998E-4</v>
      </c>
      <c r="O58" s="19">
        <f>G58*N58</f>
        <v>1.8019999999999998E-2</v>
      </c>
      <c r="P58" s="88" t="s">
        <v>531</v>
      </c>
      <c r="Z58" s="19">
        <f>ROUND(IF(AQ58="5",BJ58,0),2)</f>
        <v>0</v>
      </c>
      <c r="AB58" s="19">
        <f>ROUND(IF(AQ58="1",BH58,0),2)</f>
        <v>0</v>
      </c>
      <c r="AC58" s="19">
        <f>ROUND(IF(AQ58="1",BI58,0),2)</f>
        <v>0</v>
      </c>
      <c r="AD58" s="19">
        <f>ROUND(IF(AQ58="7",BH58,0),2)</f>
        <v>0</v>
      </c>
      <c r="AE58" s="19">
        <f>ROUND(IF(AQ58="7",BI58,0),2)</f>
        <v>0</v>
      </c>
      <c r="AF58" s="19">
        <f>ROUND(IF(AQ58="2",BH58,0),2)</f>
        <v>0</v>
      </c>
      <c r="AG58" s="19">
        <f>ROUND(IF(AQ58="2",BI58,0),2)</f>
        <v>0</v>
      </c>
      <c r="AH58" s="19">
        <f>ROUND(IF(AQ58="0",BJ58,0),2)</f>
        <v>0</v>
      </c>
      <c r="AI58" s="16" t="s">
        <v>434</v>
      </c>
      <c r="AJ58" s="19">
        <f>IF(AN58=0,L58,0)</f>
        <v>0</v>
      </c>
      <c r="AK58" s="19">
        <f>IF(AN58=12,L58,0)</f>
        <v>0</v>
      </c>
      <c r="AL58" s="19">
        <f>IF(AN58=21,L58,0)</f>
        <v>0</v>
      </c>
      <c r="AN58" s="19">
        <v>12</v>
      </c>
      <c r="AO58" s="19">
        <f>H58*0.499111111</f>
        <v>0</v>
      </c>
      <c r="AP58" s="19">
        <f>H58*(1-0.499111111)</f>
        <v>0</v>
      </c>
      <c r="AQ58" s="89" t="s">
        <v>532</v>
      </c>
      <c r="AV58" s="19">
        <f>ROUND(AW58+AX58,2)</f>
        <v>0</v>
      </c>
      <c r="AW58" s="19">
        <f>ROUND(G58*AO58,2)</f>
        <v>0</v>
      </c>
      <c r="AX58" s="19">
        <f>ROUND(G58*AP58,2)</f>
        <v>0</v>
      </c>
      <c r="AY58" s="89" t="s">
        <v>575</v>
      </c>
      <c r="AZ58" s="89" t="s">
        <v>576</v>
      </c>
      <c r="BA58" s="16" t="s">
        <v>577</v>
      </c>
      <c r="BC58" s="19">
        <f>AW58+AX58</f>
        <v>0</v>
      </c>
      <c r="BD58" s="19">
        <f>H58/(100-BE58)*100</f>
        <v>0</v>
      </c>
      <c r="BE58" s="19">
        <v>0</v>
      </c>
      <c r="BF58" s="19">
        <f>O58</f>
        <v>1.8019999999999998E-2</v>
      </c>
      <c r="BH58" s="19">
        <f>G58*AO58</f>
        <v>0</v>
      </c>
      <c r="BI58" s="19">
        <f>G58*AP58</f>
        <v>0</v>
      </c>
      <c r="BJ58" s="19">
        <f>G58*H58</f>
        <v>0</v>
      </c>
      <c r="BK58" s="89" t="s">
        <v>30</v>
      </c>
      <c r="BL58" s="19">
        <v>722</v>
      </c>
      <c r="BW58" s="19">
        <f>I58</f>
        <v>12</v>
      </c>
      <c r="BX58" s="4" t="s">
        <v>105</v>
      </c>
    </row>
    <row r="59" spans="1:76" x14ac:dyDescent="0.25">
      <c r="A59" s="1" t="s">
        <v>294</v>
      </c>
      <c r="B59" s="2" t="s">
        <v>434</v>
      </c>
      <c r="C59" s="2" t="s">
        <v>106</v>
      </c>
      <c r="D59" s="96" t="s">
        <v>107</v>
      </c>
      <c r="E59" s="97"/>
      <c r="F59" s="2" t="s">
        <v>29</v>
      </c>
      <c r="G59" s="19">
        <f>'Rozpočet - vybrané sloupce'!I53</f>
        <v>26</v>
      </c>
      <c r="H59" s="19">
        <f>'Rozpočet - vybrané sloupce'!J53</f>
        <v>0</v>
      </c>
      <c r="I59" s="87">
        <v>12</v>
      </c>
      <c r="J59" s="19">
        <f>ROUND(G59*AO59,2)</f>
        <v>0</v>
      </c>
      <c r="K59" s="19">
        <f>ROUND(G59*AP59,2)</f>
        <v>0</v>
      </c>
      <c r="L59" s="19">
        <f>ROUND(G59*H59,2)</f>
        <v>0</v>
      </c>
      <c r="M59" s="19">
        <f>L59*(1+BW59/100)</f>
        <v>0</v>
      </c>
      <c r="N59" s="19">
        <v>7.2999999999999996E-4</v>
      </c>
      <c r="O59" s="19">
        <f>G59*N59</f>
        <v>1.898E-2</v>
      </c>
      <c r="P59" s="88" t="s">
        <v>531</v>
      </c>
      <c r="Z59" s="19">
        <f>ROUND(IF(AQ59="5",BJ59,0),2)</f>
        <v>0</v>
      </c>
      <c r="AB59" s="19">
        <f>ROUND(IF(AQ59="1",BH59,0),2)</f>
        <v>0</v>
      </c>
      <c r="AC59" s="19">
        <f>ROUND(IF(AQ59="1",BI59,0),2)</f>
        <v>0</v>
      </c>
      <c r="AD59" s="19">
        <f>ROUND(IF(AQ59="7",BH59,0),2)</f>
        <v>0</v>
      </c>
      <c r="AE59" s="19">
        <f>ROUND(IF(AQ59="7",BI59,0),2)</f>
        <v>0</v>
      </c>
      <c r="AF59" s="19">
        <f>ROUND(IF(AQ59="2",BH59,0),2)</f>
        <v>0</v>
      </c>
      <c r="AG59" s="19">
        <f>ROUND(IF(AQ59="2",BI59,0),2)</f>
        <v>0</v>
      </c>
      <c r="AH59" s="19">
        <f>ROUND(IF(AQ59="0",BJ59,0),2)</f>
        <v>0</v>
      </c>
      <c r="AI59" s="16" t="s">
        <v>434</v>
      </c>
      <c r="AJ59" s="19">
        <f>IF(AN59=0,L59,0)</f>
        <v>0</v>
      </c>
      <c r="AK59" s="19">
        <f>IF(AN59=12,L59,0)</f>
        <v>0</v>
      </c>
      <c r="AL59" s="19">
        <f>IF(AN59=21,L59,0)</f>
        <v>0</v>
      </c>
      <c r="AN59" s="19">
        <v>12</v>
      </c>
      <c r="AO59" s="19">
        <f>H59*0.578547486</f>
        <v>0</v>
      </c>
      <c r="AP59" s="19">
        <f>H59*(1-0.578547486)</f>
        <v>0</v>
      </c>
      <c r="AQ59" s="89" t="s">
        <v>532</v>
      </c>
      <c r="AV59" s="19">
        <f>ROUND(AW59+AX59,2)</f>
        <v>0</v>
      </c>
      <c r="AW59" s="19">
        <f>ROUND(G59*AO59,2)</f>
        <v>0</v>
      </c>
      <c r="AX59" s="19">
        <f>ROUND(G59*AP59,2)</f>
        <v>0</v>
      </c>
      <c r="AY59" s="89" t="s">
        <v>575</v>
      </c>
      <c r="AZ59" s="89" t="s">
        <v>576</v>
      </c>
      <c r="BA59" s="16" t="s">
        <v>577</v>
      </c>
      <c r="BC59" s="19">
        <f>AW59+AX59</f>
        <v>0</v>
      </c>
      <c r="BD59" s="19">
        <f>H59/(100-BE59)*100</f>
        <v>0</v>
      </c>
      <c r="BE59" s="19">
        <v>0</v>
      </c>
      <c r="BF59" s="19">
        <f>O59</f>
        <v>1.898E-2</v>
      </c>
      <c r="BH59" s="19">
        <f>G59*AO59</f>
        <v>0</v>
      </c>
      <c r="BI59" s="19">
        <f>G59*AP59</f>
        <v>0</v>
      </c>
      <c r="BJ59" s="19">
        <f>G59*H59</f>
        <v>0</v>
      </c>
      <c r="BK59" s="89" t="s">
        <v>30</v>
      </c>
      <c r="BL59" s="19">
        <v>722</v>
      </c>
      <c r="BW59" s="19">
        <f>I59</f>
        <v>12</v>
      </c>
      <c r="BX59" s="4" t="s">
        <v>107</v>
      </c>
    </row>
    <row r="60" spans="1:76" x14ac:dyDescent="0.25">
      <c r="A60" s="1" t="s">
        <v>584</v>
      </c>
      <c r="B60" s="2" t="s">
        <v>434</v>
      </c>
      <c r="C60" s="2" t="s">
        <v>108</v>
      </c>
      <c r="D60" s="96" t="s">
        <v>109</v>
      </c>
      <c r="E60" s="97"/>
      <c r="F60" s="2" t="s">
        <v>29</v>
      </c>
      <c r="G60" s="19">
        <f>'Rozpočet - vybrané sloupce'!I54</f>
        <v>70</v>
      </c>
      <c r="H60" s="19">
        <f>'Rozpočet - vybrané sloupce'!J54</f>
        <v>0</v>
      </c>
      <c r="I60" s="87">
        <v>12</v>
      </c>
      <c r="J60" s="19">
        <f>ROUND(G60*AO60,2)</f>
        <v>0</v>
      </c>
      <c r="K60" s="19">
        <f>ROUND(G60*AP60,2)</f>
        <v>0</v>
      </c>
      <c r="L60" s="19">
        <f>ROUND(G60*H60,2)</f>
        <v>0</v>
      </c>
      <c r="M60" s="19">
        <f>L60*(1+BW60/100)</f>
        <v>0</v>
      </c>
      <c r="N60" s="19">
        <v>1.0200000000000001E-3</v>
      </c>
      <c r="O60" s="19">
        <f>G60*N60</f>
        <v>7.1400000000000005E-2</v>
      </c>
      <c r="P60" s="88" t="s">
        <v>531</v>
      </c>
      <c r="Z60" s="19">
        <f>ROUND(IF(AQ60="5",BJ60,0),2)</f>
        <v>0</v>
      </c>
      <c r="AB60" s="19">
        <f>ROUND(IF(AQ60="1",BH60,0),2)</f>
        <v>0</v>
      </c>
      <c r="AC60" s="19">
        <f>ROUND(IF(AQ60="1",BI60,0),2)</f>
        <v>0</v>
      </c>
      <c r="AD60" s="19">
        <f>ROUND(IF(AQ60="7",BH60,0),2)</f>
        <v>0</v>
      </c>
      <c r="AE60" s="19">
        <f>ROUND(IF(AQ60="7",BI60,0),2)</f>
        <v>0</v>
      </c>
      <c r="AF60" s="19">
        <f>ROUND(IF(AQ60="2",BH60,0),2)</f>
        <v>0</v>
      </c>
      <c r="AG60" s="19">
        <f>ROUND(IF(AQ60="2",BI60,0),2)</f>
        <v>0</v>
      </c>
      <c r="AH60" s="19">
        <f>ROUND(IF(AQ60="0",BJ60,0),2)</f>
        <v>0</v>
      </c>
      <c r="AI60" s="16" t="s">
        <v>434</v>
      </c>
      <c r="AJ60" s="19">
        <f>IF(AN60=0,L60,0)</f>
        <v>0</v>
      </c>
      <c r="AK60" s="19">
        <f>IF(AN60=12,L60,0)</f>
        <v>0</v>
      </c>
      <c r="AL60" s="19">
        <f>IF(AN60=21,L60,0)</f>
        <v>0</v>
      </c>
      <c r="AN60" s="19">
        <v>12</v>
      </c>
      <c r="AO60" s="19">
        <f>H60*0.679694377</f>
        <v>0</v>
      </c>
      <c r="AP60" s="19">
        <f>H60*(1-0.679694377)</f>
        <v>0</v>
      </c>
      <c r="AQ60" s="89" t="s">
        <v>532</v>
      </c>
      <c r="AV60" s="19">
        <f>ROUND(AW60+AX60,2)</f>
        <v>0</v>
      </c>
      <c r="AW60" s="19">
        <f>ROUND(G60*AO60,2)</f>
        <v>0</v>
      </c>
      <c r="AX60" s="19">
        <f>ROUND(G60*AP60,2)</f>
        <v>0</v>
      </c>
      <c r="AY60" s="89" t="s">
        <v>575</v>
      </c>
      <c r="AZ60" s="89" t="s">
        <v>576</v>
      </c>
      <c r="BA60" s="16" t="s">
        <v>577</v>
      </c>
      <c r="BC60" s="19">
        <f>AW60+AX60</f>
        <v>0</v>
      </c>
      <c r="BD60" s="19">
        <f>H60/(100-BE60)*100</f>
        <v>0</v>
      </c>
      <c r="BE60" s="19">
        <v>0</v>
      </c>
      <c r="BF60" s="19">
        <f>O60</f>
        <v>7.1400000000000005E-2</v>
      </c>
      <c r="BH60" s="19">
        <f>G60*AO60</f>
        <v>0</v>
      </c>
      <c r="BI60" s="19">
        <f>G60*AP60</f>
        <v>0</v>
      </c>
      <c r="BJ60" s="19">
        <f>G60*H60</f>
        <v>0</v>
      </c>
      <c r="BK60" s="89" t="s">
        <v>30</v>
      </c>
      <c r="BL60" s="19">
        <v>722</v>
      </c>
      <c r="BW60" s="19">
        <f>I60</f>
        <v>12</v>
      </c>
      <c r="BX60" s="4" t="s">
        <v>109</v>
      </c>
    </row>
    <row r="61" spans="1:76" x14ac:dyDescent="0.25">
      <c r="A61" s="1" t="s">
        <v>585</v>
      </c>
      <c r="B61" s="2" t="s">
        <v>434</v>
      </c>
      <c r="C61" s="2" t="s">
        <v>110</v>
      </c>
      <c r="D61" s="96" t="s">
        <v>111</v>
      </c>
      <c r="E61" s="97"/>
      <c r="F61" s="2" t="s">
        <v>29</v>
      </c>
      <c r="G61" s="19">
        <f>'Rozpočet - vybrané sloupce'!I55</f>
        <v>48</v>
      </c>
      <c r="H61" s="19">
        <f>'Rozpočet - vybrané sloupce'!J55</f>
        <v>0</v>
      </c>
      <c r="I61" s="87">
        <v>12</v>
      </c>
      <c r="J61" s="19">
        <f>ROUND(G61*AO61,2)</f>
        <v>0</v>
      </c>
      <c r="K61" s="19">
        <f>ROUND(G61*AP61,2)</f>
        <v>0</v>
      </c>
      <c r="L61" s="19">
        <f>ROUND(G61*H61,2)</f>
        <v>0</v>
      </c>
      <c r="M61" s="19">
        <f>L61*(1+BW61/100)</f>
        <v>0</v>
      </c>
      <c r="N61" s="19">
        <v>1.3799999999999999E-3</v>
      </c>
      <c r="O61" s="19">
        <f>G61*N61</f>
        <v>6.6239999999999993E-2</v>
      </c>
      <c r="P61" s="88" t="s">
        <v>531</v>
      </c>
      <c r="Z61" s="19">
        <f>ROUND(IF(AQ61="5",BJ61,0),2)</f>
        <v>0</v>
      </c>
      <c r="AB61" s="19">
        <f>ROUND(IF(AQ61="1",BH61,0),2)</f>
        <v>0</v>
      </c>
      <c r="AC61" s="19">
        <f>ROUND(IF(AQ61="1",BI61,0),2)</f>
        <v>0</v>
      </c>
      <c r="AD61" s="19">
        <f>ROUND(IF(AQ61="7",BH61,0),2)</f>
        <v>0</v>
      </c>
      <c r="AE61" s="19">
        <f>ROUND(IF(AQ61="7",BI61,0),2)</f>
        <v>0</v>
      </c>
      <c r="AF61" s="19">
        <f>ROUND(IF(AQ61="2",BH61,0),2)</f>
        <v>0</v>
      </c>
      <c r="AG61" s="19">
        <f>ROUND(IF(AQ61="2",BI61,0),2)</f>
        <v>0</v>
      </c>
      <c r="AH61" s="19">
        <f>ROUND(IF(AQ61="0",BJ61,0),2)</f>
        <v>0</v>
      </c>
      <c r="AI61" s="16" t="s">
        <v>434</v>
      </c>
      <c r="AJ61" s="19">
        <f>IF(AN61=0,L61,0)</f>
        <v>0</v>
      </c>
      <c r="AK61" s="19">
        <f>IF(AN61=12,L61,0)</f>
        <v>0</v>
      </c>
      <c r="AL61" s="19">
        <f>IF(AN61=21,L61,0)</f>
        <v>0</v>
      </c>
      <c r="AN61" s="19">
        <v>12</v>
      </c>
      <c r="AO61" s="19">
        <f>H61*0.677040715</f>
        <v>0</v>
      </c>
      <c r="AP61" s="19">
        <f>H61*(1-0.677040715)</f>
        <v>0</v>
      </c>
      <c r="AQ61" s="89" t="s">
        <v>532</v>
      </c>
      <c r="AV61" s="19">
        <f>ROUND(AW61+AX61,2)</f>
        <v>0</v>
      </c>
      <c r="AW61" s="19">
        <f>ROUND(G61*AO61,2)</f>
        <v>0</v>
      </c>
      <c r="AX61" s="19">
        <f>ROUND(G61*AP61,2)</f>
        <v>0</v>
      </c>
      <c r="AY61" s="89" t="s">
        <v>575</v>
      </c>
      <c r="AZ61" s="89" t="s">
        <v>576</v>
      </c>
      <c r="BA61" s="16" t="s">
        <v>577</v>
      </c>
      <c r="BC61" s="19">
        <f>AW61+AX61</f>
        <v>0</v>
      </c>
      <c r="BD61" s="19">
        <f>H61/(100-BE61)*100</f>
        <v>0</v>
      </c>
      <c r="BE61" s="19">
        <v>0</v>
      </c>
      <c r="BF61" s="19">
        <f>O61</f>
        <v>6.6239999999999993E-2</v>
      </c>
      <c r="BH61" s="19">
        <f>G61*AO61</f>
        <v>0</v>
      </c>
      <c r="BI61" s="19">
        <f>G61*AP61</f>
        <v>0</v>
      </c>
      <c r="BJ61" s="19">
        <f>G61*H61</f>
        <v>0</v>
      </c>
      <c r="BK61" s="89" t="s">
        <v>30</v>
      </c>
      <c r="BL61" s="19">
        <v>722</v>
      </c>
      <c r="BW61" s="19">
        <f>I61</f>
        <v>12</v>
      </c>
      <c r="BX61" s="4" t="s">
        <v>111</v>
      </c>
    </row>
    <row r="62" spans="1:76" x14ac:dyDescent="0.25">
      <c r="A62" s="1" t="s">
        <v>586</v>
      </c>
      <c r="B62" s="2" t="s">
        <v>434</v>
      </c>
      <c r="C62" s="2" t="s">
        <v>112</v>
      </c>
      <c r="D62" s="96" t="s">
        <v>113</v>
      </c>
      <c r="E62" s="97"/>
      <c r="F62" s="2" t="s">
        <v>29</v>
      </c>
      <c r="G62" s="19">
        <f>'Rozpočet - vybrané sloupce'!I56</f>
        <v>5</v>
      </c>
      <c r="H62" s="19">
        <f>'Rozpočet - vybrané sloupce'!J56</f>
        <v>0</v>
      </c>
      <c r="I62" s="87">
        <v>12</v>
      </c>
      <c r="J62" s="19">
        <f>ROUND(G62*AO62,2)</f>
        <v>0</v>
      </c>
      <c r="K62" s="19">
        <f>ROUND(G62*AP62,2)</f>
        <v>0</v>
      </c>
      <c r="L62" s="19">
        <f>ROUND(G62*H62,2)</f>
        <v>0</v>
      </c>
      <c r="M62" s="19">
        <f>L62*(1+BW62/100)</f>
        <v>0</v>
      </c>
      <c r="N62" s="19">
        <v>4.0000000000000003E-5</v>
      </c>
      <c r="O62" s="19">
        <f>G62*N62</f>
        <v>2.0000000000000001E-4</v>
      </c>
      <c r="P62" s="88" t="s">
        <v>531</v>
      </c>
      <c r="Z62" s="19">
        <f>ROUND(IF(AQ62="5",BJ62,0),2)</f>
        <v>0</v>
      </c>
      <c r="AB62" s="19">
        <f>ROUND(IF(AQ62="1",BH62,0),2)</f>
        <v>0</v>
      </c>
      <c r="AC62" s="19">
        <f>ROUND(IF(AQ62="1",BI62,0),2)</f>
        <v>0</v>
      </c>
      <c r="AD62" s="19">
        <f>ROUND(IF(AQ62="7",BH62,0),2)</f>
        <v>0</v>
      </c>
      <c r="AE62" s="19">
        <f>ROUND(IF(AQ62="7",BI62,0),2)</f>
        <v>0</v>
      </c>
      <c r="AF62" s="19">
        <f>ROUND(IF(AQ62="2",BH62,0),2)</f>
        <v>0</v>
      </c>
      <c r="AG62" s="19">
        <f>ROUND(IF(AQ62="2",BI62,0),2)</f>
        <v>0</v>
      </c>
      <c r="AH62" s="19">
        <f>ROUND(IF(AQ62="0",BJ62,0),2)</f>
        <v>0</v>
      </c>
      <c r="AI62" s="16" t="s">
        <v>434</v>
      </c>
      <c r="AJ62" s="19">
        <f>IF(AN62=0,L62,0)</f>
        <v>0</v>
      </c>
      <c r="AK62" s="19">
        <f>IF(AN62=12,L62,0)</f>
        <v>0</v>
      </c>
      <c r="AL62" s="19">
        <f>IF(AN62=21,L62,0)</f>
        <v>0</v>
      </c>
      <c r="AN62" s="19">
        <v>12</v>
      </c>
      <c r="AO62" s="19">
        <f>H62*0.21344697</f>
        <v>0</v>
      </c>
      <c r="AP62" s="19">
        <f>H62*(1-0.21344697)</f>
        <v>0</v>
      </c>
      <c r="AQ62" s="89" t="s">
        <v>532</v>
      </c>
      <c r="AV62" s="19">
        <f>ROUND(AW62+AX62,2)</f>
        <v>0</v>
      </c>
      <c r="AW62" s="19">
        <f>ROUND(G62*AO62,2)</f>
        <v>0</v>
      </c>
      <c r="AX62" s="19">
        <f>ROUND(G62*AP62,2)</f>
        <v>0</v>
      </c>
      <c r="AY62" s="89" t="s">
        <v>575</v>
      </c>
      <c r="AZ62" s="89" t="s">
        <v>576</v>
      </c>
      <c r="BA62" s="16" t="s">
        <v>577</v>
      </c>
      <c r="BC62" s="19">
        <f>AW62+AX62</f>
        <v>0</v>
      </c>
      <c r="BD62" s="19">
        <f>H62/(100-BE62)*100</f>
        <v>0</v>
      </c>
      <c r="BE62" s="19">
        <v>0</v>
      </c>
      <c r="BF62" s="19">
        <f>O62</f>
        <v>2.0000000000000001E-4</v>
      </c>
      <c r="BH62" s="19">
        <f>G62*AO62</f>
        <v>0</v>
      </c>
      <c r="BI62" s="19">
        <f>G62*AP62</f>
        <v>0</v>
      </c>
      <c r="BJ62" s="19">
        <f>G62*H62</f>
        <v>0</v>
      </c>
      <c r="BK62" s="89" t="s">
        <v>30</v>
      </c>
      <c r="BL62" s="19">
        <v>722</v>
      </c>
      <c r="BW62" s="19">
        <f>I62</f>
        <v>12</v>
      </c>
      <c r="BX62" s="4" t="s">
        <v>113</v>
      </c>
    </row>
    <row r="63" spans="1:76" x14ac:dyDescent="0.25">
      <c r="A63" s="90"/>
      <c r="C63" s="91" t="s">
        <v>547</v>
      </c>
      <c r="D63" s="180" t="s">
        <v>587</v>
      </c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2"/>
      <c r="BX63" s="92" t="s">
        <v>587</v>
      </c>
    </row>
    <row r="64" spans="1:76" x14ac:dyDescent="0.25">
      <c r="A64" s="1" t="s">
        <v>588</v>
      </c>
      <c r="B64" s="2" t="s">
        <v>434</v>
      </c>
      <c r="C64" s="2" t="s">
        <v>114</v>
      </c>
      <c r="D64" s="96" t="s">
        <v>115</v>
      </c>
      <c r="E64" s="97"/>
      <c r="F64" s="2" t="s">
        <v>29</v>
      </c>
      <c r="G64" s="19">
        <f>'Rozpočet - vybrané sloupce'!I57</f>
        <v>35</v>
      </c>
      <c r="H64" s="19">
        <f>'Rozpočet - vybrané sloupce'!J57</f>
        <v>0</v>
      </c>
      <c r="I64" s="87">
        <v>12</v>
      </c>
      <c r="J64" s="19">
        <f>ROUND(G64*AO64,2)</f>
        <v>0</v>
      </c>
      <c r="K64" s="19">
        <f>ROUND(G64*AP64,2)</f>
        <v>0</v>
      </c>
      <c r="L64" s="19">
        <f>ROUND(G64*H64,2)</f>
        <v>0</v>
      </c>
      <c r="M64" s="19">
        <f>L64*(1+BW64/100)</f>
        <v>0</v>
      </c>
      <c r="N64" s="19">
        <v>9.0000000000000006E-5</v>
      </c>
      <c r="O64" s="19">
        <f>G64*N64</f>
        <v>3.15E-3</v>
      </c>
      <c r="P64" s="88" t="s">
        <v>531</v>
      </c>
      <c r="Z64" s="19">
        <f>ROUND(IF(AQ64="5",BJ64,0),2)</f>
        <v>0</v>
      </c>
      <c r="AB64" s="19">
        <f>ROUND(IF(AQ64="1",BH64,0),2)</f>
        <v>0</v>
      </c>
      <c r="AC64" s="19">
        <f>ROUND(IF(AQ64="1",BI64,0),2)</f>
        <v>0</v>
      </c>
      <c r="AD64" s="19">
        <f>ROUND(IF(AQ64="7",BH64,0),2)</f>
        <v>0</v>
      </c>
      <c r="AE64" s="19">
        <f>ROUND(IF(AQ64="7",BI64,0),2)</f>
        <v>0</v>
      </c>
      <c r="AF64" s="19">
        <f>ROUND(IF(AQ64="2",BH64,0),2)</f>
        <v>0</v>
      </c>
      <c r="AG64" s="19">
        <f>ROUND(IF(AQ64="2",BI64,0),2)</f>
        <v>0</v>
      </c>
      <c r="AH64" s="19">
        <f>ROUND(IF(AQ64="0",BJ64,0),2)</f>
        <v>0</v>
      </c>
      <c r="AI64" s="16" t="s">
        <v>434</v>
      </c>
      <c r="AJ64" s="19">
        <f>IF(AN64=0,L64,0)</f>
        <v>0</v>
      </c>
      <c r="AK64" s="19">
        <f>IF(AN64=12,L64,0)</f>
        <v>0</v>
      </c>
      <c r="AL64" s="19">
        <f>IF(AN64=21,L64,0)</f>
        <v>0</v>
      </c>
      <c r="AN64" s="19">
        <v>12</v>
      </c>
      <c r="AO64" s="19">
        <f>H64*0.236955584</f>
        <v>0</v>
      </c>
      <c r="AP64" s="19">
        <f>H64*(1-0.236955584)</f>
        <v>0</v>
      </c>
      <c r="AQ64" s="89" t="s">
        <v>532</v>
      </c>
      <c r="AV64" s="19">
        <f>ROUND(AW64+AX64,2)</f>
        <v>0</v>
      </c>
      <c r="AW64" s="19">
        <f>ROUND(G64*AO64,2)</f>
        <v>0</v>
      </c>
      <c r="AX64" s="19">
        <f>ROUND(G64*AP64,2)</f>
        <v>0</v>
      </c>
      <c r="AY64" s="89" t="s">
        <v>575</v>
      </c>
      <c r="AZ64" s="89" t="s">
        <v>576</v>
      </c>
      <c r="BA64" s="16" t="s">
        <v>577</v>
      </c>
      <c r="BC64" s="19">
        <f>AW64+AX64</f>
        <v>0</v>
      </c>
      <c r="BD64" s="19">
        <f>H64/(100-BE64)*100</f>
        <v>0</v>
      </c>
      <c r="BE64" s="19">
        <v>0</v>
      </c>
      <c r="BF64" s="19">
        <f>O64</f>
        <v>3.15E-3</v>
      </c>
      <c r="BH64" s="19">
        <f>G64*AO64</f>
        <v>0</v>
      </c>
      <c r="BI64" s="19">
        <f>G64*AP64</f>
        <v>0</v>
      </c>
      <c r="BJ64" s="19">
        <f>G64*H64</f>
        <v>0</v>
      </c>
      <c r="BK64" s="89" t="s">
        <v>30</v>
      </c>
      <c r="BL64" s="19">
        <v>722</v>
      </c>
      <c r="BW64" s="19">
        <f>I64</f>
        <v>12</v>
      </c>
      <c r="BX64" s="4" t="s">
        <v>115</v>
      </c>
    </row>
    <row r="65" spans="1:76" x14ac:dyDescent="0.25">
      <c r="A65" s="90"/>
      <c r="C65" s="91" t="s">
        <v>547</v>
      </c>
      <c r="D65" s="180" t="s">
        <v>587</v>
      </c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2"/>
      <c r="BX65" s="92" t="s">
        <v>587</v>
      </c>
    </row>
    <row r="66" spans="1:76" x14ac:dyDescent="0.25">
      <c r="A66" s="1" t="s">
        <v>589</v>
      </c>
      <c r="B66" s="2" t="s">
        <v>434</v>
      </c>
      <c r="C66" s="2" t="s">
        <v>116</v>
      </c>
      <c r="D66" s="96" t="s">
        <v>117</v>
      </c>
      <c r="E66" s="97"/>
      <c r="F66" s="2" t="s">
        <v>29</v>
      </c>
      <c r="G66" s="19">
        <f>'Rozpočet - vybrané sloupce'!I58</f>
        <v>23</v>
      </c>
      <c r="H66" s="19">
        <f>'Rozpočet - vybrané sloupce'!J58</f>
        <v>0</v>
      </c>
      <c r="I66" s="87">
        <v>12</v>
      </c>
      <c r="J66" s="19">
        <f>ROUND(G66*AO66,2)</f>
        <v>0</v>
      </c>
      <c r="K66" s="19">
        <f>ROUND(G66*AP66,2)</f>
        <v>0</v>
      </c>
      <c r="L66" s="19">
        <f>ROUND(G66*H66,2)</f>
        <v>0</v>
      </c>
      <c r="M66" s="19">
        <f>L66*(1+BW66/100)</f>
        <v>0</v>
      </c>
      <c r="N66" s="19">
        <v>1.2E-4</v>
      </c>
      <c r="O66" s="19">
        <f>G66*N66</f>
        <v>2.7599999999999999E-3</v>
      </c>
      <c r="P66" s="88" t="s">
        <v>531</v>
      </c>
      <c r="Z66" s="19">
        <f>ROUND(IF(AQ66="5",BJ66,0),2)</f>
        <v>0</v>
      </c>
      <c r="AB66" s="19">
        <f>ROUND(IF(AQ66="1",BH66,0),2)</f>
        <v>0</v>
      </c>
      <c r="AC66" s="19">
        <f>ROUND(IF(AQ66="1",BI66,0),2)</f>
        <v>0</v>
      </c>
      <c r="AD66" s="19">
        <f>ROUND(IF(AQ66="7",BH66,0),2)</f>
        <v>0</v>
      </c>
      <c r="AE66" s="19">
        <f>ROUND(IF(AQ66="7",BI66,0),2)</f>
        <v>0</v>
      </c>
      <c r="AF66" s="19">
        <f>ROUND(IF(AQ66="2",BH66,0),2)</f>
        <v>0</v>
      </c>
      <c r="AG66" s="19">
        <f>ROUND(IF(AQ66="2",BI66,0),2)</f>
        <v>0</v>
      </c>
      <c r="AH66" s="19">
        <f>ROUND(IF(AQ66="0",BJ66,0),2)</f>
        <v>0</v>
      </c>
      <c r="AI66" s="16" t="s">
        <v>434</v>
      </c>
      <c r="AJ66" s="19">
        <f>IF(AN66=0,L66,0)</f>
        <v>0</v>
      </c>
      <c r="AK66" s="19">
        <f>IF(AN66=12,L66,0)</f>
        <v>0</v>
      </c>
      <c r="AL66" s="19">
        <f>IF(AN66=21,L66,0)</f>
        <v>0</v>
      </c>
      <c r="AN66" s="19">
        <v>12</v>
      </c>
      <c r="AO66" s="19">
        <f>H66*0.251575342</f>
        <v>0</v>
      </c>
      <c r="AP66" s="19">
        <f>H66*(1-0.251575342)</f>
        <v>0</v>
      </c>
      <c r="AQ66" s="89" t="s">
        <v>532</v>
      </c>
      <c r="AV66" s="19">
        <f>ROUND(AW66+AX66,2)</f>
        <v>0</v>
      </c>
      <c r="AW66" s="19">
        <f>ROUND(G66*AO66,2)</f>
        <v>0</v>
      </c>
      <c r="AX66" s="19">
        <f>ROUND(G66*AP66,2)</f>
        <v>0</v>
      </c>
      <c r="AY66" s="89" t="s">
        <v>575</v>
      </c>
      <c r="AZ66" s="89" t="s">
        <v>576</v>
      </c>
      <c r="BA66" s="16" t="s">
        <v>577</v>
      </c>
      <c r="BC66" s="19">
        <f>AW66+AX66</f>
        <v>0</v>
      </c>
      <c r="BD66" s="19">
        <f>H66/(100-BE66)*100</f>
        <v>0</v>
      </c>
      <c r="BE66" s="19">
        <v>0</v>
      </c>
      <c r="BF66" s="19">
        <f>O66</f>
        <v>2.7599999999999999E-3</v>
      </c>
      <c r="BH66" s="19">
        <f>G66*AO66</f>
        <v>0</v>
      </c>
      <c r="BI66" s="19">
        <f>G66*AP66</f>
        <v>0</v>
      </c>
      <c r="BJ66" s="19">
        <f>G66*H66</f>
        <v>0</v>
      </c>
      <c r="BK66" s="89" t="s">
        <v>30</v>
      </c>
      <c r="BL66" s="19">
        <v>722</v>
      </c>
      <c r="BW66" s="19">
        <f>I66</f>
        <v>12</v>
      </c>
      <c r="BX66" s="4" t="s">
        <v>117</v>
      </c>
    </row>
    <row r="67" spans="1:76" x14ac:dyDescent="0.25">
      <c r="A67" s="90"/>
      <c r="C67" s="91" t="s">
        <v>547</v>
      </c>
      <c r="D67" s="180" t="s">
        <v>587</v>
      </c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2"/>
      <c r="BX67" s="92" t="s">
        <v>587</v>
      </c>
    </row>
    <row r="68" spans="1:76" x14ac:dyDescent="0.25">
      <c r="A68" s="1" t="s">
        <v>590</v>
      </c>
      <c r="B68" s="2" t="s">
        <v>434</v>
      </c>
      <c r="C68" s="2" t="s">
        <v>118</v>
      </c>
      <c r="D68" s="96" t="s">
        <v>119</v>
      </c>
      <c r="E68" s="97"/>
      <c r="F68" s="2" t="s">
        <v>29</v>
      </c>
      <c r="G68" s="19">
        <f>'Rozpočet - vybrané sloupce'!I59</f>
        <v>34</v>
      </c>
      <c r="H68" s="19">
        <f>'Rozpočet - vybrané sloupce'!J59</f>
        <v>0</v>
      </c>
      <c r="I68" s="87">
        <v>12</v>
      </c>
      <c r="J68" s="19">
        <f>ROUND(G68*AO68,2)</f>
        <v>0</v>
      </c>
      <c r="K68" s="19">
        <f>ROUND(G68*AP68,2)</f>
        <v>0</v>
      </c>
      <c r="L68" s="19">
        <f>ROUND(G68*H68,2)</f>
        <v>0</v>
      </c>
      <c r="M68" s="19">
        <f>L68*(1+BW68/100)</f>
        <v>0</v>
      </c>
      <c r="N68" s="19">
        <v>6.9999999999999994E-5</v>
      </c>
      <c r="O68" s="19">
        <f>G68*N68</f>
        <v>2.3799999999999997E-3</v>
      </c>
      <c r="P68" s="88" t="s">
        <v>531</v>
      </c>
      <c r="Z68" s="19">
        <f>ROUND(IF(AQ68="5",BJ68,0),2)</f>
        <v>0</v>
      </c>
      <c r="AB68" s="19">
        <f>ROUND(IF(AQ68="1",BH68,0),2)</f>
        <v>0</v>
      </c>
      <c r="AC68" s="19">
        <f>ROUND(IF(AQ68="1",BI68,0),2)</f>
        <v>0</v>
      </c>
      <c r="AD68" s="19">
        <f>ROUND(IF(AQ68="7",BH68,0),2)</f>
        <v>0</v>
      </c>
      <c r="AE68" s="19">
        <f>ROUND(IF(AQ68="7",BI68,0),2)</f>
        <v>0</v>
      </c>
      <c r="AF68" s="19">
        <f>ROUND(IF(AQ68="2",BH68,0),2)</f>
        <v>0</v>
      </c>
      <c r="AG68" s="19">
        <f>ROUND(IF(AQ68="2",BI68,0),2)</f>
        <v>0</v>
      </c>
      <c r="AH68" s="19">
        <f>ROUND(IF(AQ68="0",BJ68,0),2)</f>
        <v>0</v>
      </c>
      <c r="AI68" s="16" t="s">
        <v>434</v>
      </c>
      <c r="AJ68" s="19">
        <f>IF(AN68=0,L68,0)</f>
        <v>0</v>
      </c>
      <c r="AK68" s="19">
        <f>IF(AN68=12,L68,0)</f>
        <v>0</v>
      </c>
      <c r="AL68" s="19">
        <f>IF(AN68=21,L68,0)</f>
        <v>0</v>
      </c>
      <c r="AN68" s="19">
        <v>12</v>
      </c>
      <c r="AO68" s="19">
        <f>H68*0.497878788</f>
        <v>0</v>
      </c>
      <c r="AP68" s="19">
        <f>H68*(1-0.497878788)</f>
        <v>0</v>
      </c>
      <c r="AQ68" s="89" t="s">
        <v>532</v>
      </c>
      <c r="AV68" s="19">
        <f>ROUND(AW68+AX68,2)</f>
        <v>0</v>
      </c>
      <c r="AW68" s="19">
        <f>ROUND(G68*AO68,2)</f>
        <v>0</v>
      </c>
      <c r="AX68" s="19">
        <f>ROUND(G68*AP68,2)</f>
        <v>0</v>
      </c>
      <c r="AY68" s="89" t="s">
        <v>575</v>
      </c>
      <c r="AZ68" s="89" t="s">
        <v>576</v>
      </c>
      <c r="BA68" s="16" t="s">
        <v>577</v>
      </c>
      <c r="BC68" s="19">
        <f>AW68+AX68</f>
        <v>0</v>
      </c>
      <c r="BD68" s="19">
        <f>H68/(100-BE68)*100</f>
        <v>0</v>
      </c>
      <c r="BE68" s="19">
        <v>0</v>
      </c>
      <c r="BF68" s="19">
        <f>O68</f>
        <v>2.3799999999999997E-3</v>
      </c>
      <c r="BH68" s="19">
        <f>G68*AO68</f>
        <v>0</v>
      </c>
      <c r="BI68" s="19">
        <f>G68*AP68</f>
        <v>0</v>
      </c>
      <c r="BJ68" s="19">
        <f>G68*H68</f>
        <v>0</v>
      </c>
      <c r="BK68" s="89" t="s">
        <v>30</v>
      </c>
      <c r="BL68" s="19">
        <v>722</v>
      </c>
      <c r="BW68" s="19">
        <f>I68</f>
        <v>12</v>
      </c>
      <c r="BX68" s="4" t="s">
        <v>119</v>
      </c>
    </row>
    <row r="69" spans="1:76" x14ac:dyDescent="0.25">
      <c r="A69" s="90"/>
      <c r="C69" s="91" t="s">
        <v>547</v>
      </c>
      <c r="D69" s="180" t="s">
        <v>587</v>
      </c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2"/>
      <c r="BX69" s="92" t="s">
        <v>587</v>
      </c>
    </row>
    <row r="70" spans="1:76" x14ac:dyDescent="0.25">
      <c r="A70" s="1" t="s">
        <v>591</v>
      </c>
      <c r="B70" s="2" t="s">
        <v>434</v>
      </c>
      <c r="C70" s="2" t="s">
        <v>120</v>
      </c>
      <c r="D70" s="96" t="s">
        <v>121</v>
      </c>
      <c r="E70" s="97"/>
      <c r="F70" s="2" t="s">
        <v>29</v>
      </c>
      <c r="G70" s="19">
        <f>'Rozpočet - vybrané sloupce'!I60</f>
        <v>26</v>
      </c>
      <c r="H70" s="19">
        <f>'Rozpočet - vybrané sloupce'!J60</f>
        <v>0</v>
      </c>
      <c r="I70" s="87">
        <v>12</v>
      </c>
      <c r="J70" s="19">
        <f>ROUND(G70*AO70,2)</f>
        <v>0</v>
      </c>
      <c r="K70" s="19">
        <f>ROUND(G70*AP70,2)</f>
        <v>0</v>
      </c>
      <c r="L70" s="19">
        <f>ROUND(G70*H70,2)</f>
        <v>0</v>
      </c>
      <c r="M70" s="19">
        <f>L70*(1+BW70/100)</f>
        <v>0</v>
      </c>
      <c r="N70" s="19">
        <v>8.0000000000000007E-5</v>
      </c>
      <c r="O70" s="19">
        <f>G70*N70</f>
        <v>2.0800000000000003E-3</v>
      </c>
      <c r="P70" s="88" t="s">
        <v>531</v>
      </c>
      <c r="Z70" s="19">
        <f>ROUND(IF(AQ70="5",BJ70,0),2)</f>
        <v>0</v>
      </c>
      <c r="AB70" s="19">
        <f>ROUND(IF(AQ70="1",BH70,0),2)</f>
        <v>0</v>
      </c>
      <c r="AC70" s="19">
        <f>ROUND(IF(AQ70="1",BI70,0),2)</f>
        <v>0</v>
      </c>
      <c r="AD70" s="19">
        <f>ROUND(IF(AQ70="7",BH70,0),2)</f>
        <v>0</v>
      </c>
      <c r="AE70" s="19">
        <f>ROUND(IF(AQ70="7",BI70,0),2)</f>
        <v>0</v>
      </c>
      <c r="AF70" s="19">
        <f>ROUND(IF(AQ70="2",BH70,0),2)</f>
        <v>0</v>
      </c>
      <c r="AG70" s="19">
        <f>ROUND(IF(AQ70="2",BI70,0),2)</f>
        <v>0</v>
      </c>
      <c r="AH70" s="19">
        <f>ROUND(IF(AQ70="0",BJ70,0),2)</f>
        <v>0</v>
      </c>
      <c r="AI70" s="16" t="s">
        <v>434</v>
      </c>
      <c r="AJ70" s="19">
        <f>IF(AN70=0,L70,0)</f>
        <v>0</v>
      </c>
      <c r="AK70" s="19">
        <f>IF(AN70=12,L70,0)</f>
        <v>0</v>
      </c>
      <c r="AL70" s="19">
        <f>IF(AN70=21,L70,0)</f>
        <v>0</v>
      </c>
      <c r="AN70" s="19">
        <v>12</v>
      </c>
      <c r="AO70" s="19">
        <f>H70*0.502888283</f>
        <v>0</v>
      </c>
      <c r="AP70" s="19">
        <f>H70*(1-0.502888283)</f>
        <v>0</v>
      </c>
      <c r="AQ70" s="89" t="s">
        <v>532</v>
      </c>
      <c r="AV70" s="19">
        <f>ROUND(AW70+AX70,2)</f>
        <v>0</v>
      </c>
      <c r="AW70" s="19">
        <f>ROUND(G70*AO70,2)</f>
        <v>0</v>
      </c>
      <c r="AX70" s="19">
        <f>ROUND(G70*AP70,2)</f>
        <v>0</v>
      </c>
      <c r="AY70" s="89" t="s">
        <v>575</v>
      </c>
      <c r="AZ70" s="89" t="s">
        <v>576</v>
      </c>
      <c r="BA70" s="16" t="s">
        <v>577</v>
      </c>
      <c r="BC70" s="19">
        <f>AW70+AX70</f>
        <v>0</v>
      </c>
      <c r="BD70" s="19">
        <f>H70/(100-BE70)*100</f>
        <v>0</v>
      </c>
      <c r="BE70" s="19">
        <v>0</v>
      </c>
      <c r="BF70" s="19">
        <f>O70</f>
        <v>2.0800000000000003E-3</v>
      </c>
      <c r="BH70" s="19">
        <f>G70*AO70</f>
        <v>0</v>
      </c>
      <c r="BI70" s="19">
        <f>G70*AP70</f>
        <v>0</v>
      </c>
      <c r="BJ70" s="19">
        <f>G70*H70</f>
        <v>0</v>
      </c>
      <c r="BK70" s="89" t="s">
        <v>30</v>
      </c>
      <c r="BL70" s="19">
        <v>722</v>
      </c>
      <c r="BW70" s="19">
        <f>I70</f>
        <v>12</v>
      </c>
      <c r="BX70" s="4" t="s">
        <v>121</v>
      </c>
    </row>
    <row r="71" spans="1:76" x14ac:dyDescent="0.25">
      <c r="A71" s="90"/>
      <c r="C71" s="91" t="s">
        <v>547</v>
      </c>
      <c r="D71" s="180" t="s">
        <v>587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2"/>
      <c r="BX71" s="92" t="s">
        <v>587</v>
      </c>
    </row>
    <row r="72" spans="1:76" x14ac:dyDescent="0.25">
      <c r="A72" s="1" t="s">
        <v>592</v>
      </c>
      <c r="B72" s="2" t="s">
        <v>434</v>
      </c>
      <c r="C72" s="2" t="s">
        <v>122</v>
      </c>
      <c r="D72" s="96" t="s">
        <v>123</v>
      </c>
      <c r="E72" s="97"/>
      <c r="F72" s="2" t="s">
        <v>29</v>
      </c>
      <c r="G72" s="19">
        <f>'Rozpočet - vybrané sloupce'!I61</f>
        <v>35</v>
      </c>
      <c r="H72" s="19">
        <f>'Rozpočet - vybrané sloupce'!J61</f>
        <v>0</v>
      </c>
      <c r="I72" s="87">
        <v>12</v>
      </c>
      <c r="J72" s="19">
        <f>ROUND(G72*AO72,2)</f>
        <v>0</v>
      </c>
      <c r="K72" s="19">
        <f>ROUND(G72*AP72,2)</f>
        <v>0</v>
      </c>
      <c r="L72" s="19">
        <f>ROUND(G72*H72,2)</f>
        <v>0</v>
      </c>
      <c r="M72" s="19">
        <f>L72*(1+BW72/100)</f>
        <v>0</v>
      </c>
      <c r="N72" s="19">
        <v>1.2999999999999999E-4</v>
      </c>
      <c r="O72" s="19">
        <f>G72*N72</f>
        <v>4.5499999999999994E-3</v>
      </c>
      <c r="P72" s="88" t="s">
        <v>531</v>
      </c>
      <c r="Z72" s="19">
        <f>ROUND(IF(AQ72="5",BJ72,0),2)</f>
        <v>0</v>
      </c>
      <c r="AB72" s="19">
        <f>ROUND(IF(AQ72="1",BH72,0),2)</f>
        <v>0</v>
      </c>
      <c r="AC72" s="19">
        <f>ROUND(IF(AQ72="1",BI72,0),2)</f>
        <v>0</v>
      </c>
      <c r="AD72" s="19">
        <f>ROUND(IF(AQ72="7",BH72,0),2)</f>
        <v>0</v>
      </c>
      <c r="AE72" s="19">
        <f>ROUND(IF(AQ72="7",BI72,0),2)</f>
        <v>0</v>
      </c>
      <c r="AF72" s="19">
        <f>ROUND(IF(AQ72="2",BH72,0),2)</f>
        <v>0</v>
      </c>
      <c r="AG72" s="19">
        <f>ROUND(IF(AQ72="2",BI72,0),2)</f>
        <v>0</v>
      </c>
      <c r="AH72" s="19">
        <f>ROUND(IF(AQ72="0",BJ72,0),2)</f>
        <v>0</v>
      </c>
      <c r="AI72" s="16" t="s">
        <v>434</v>
      </c>
      <c r="AJ72" s="19">
        <f>IF(AN72=0,L72,0)</f>
        <v>0</v>
      </c>
      <c r="AK72" s="19">
        <f>IF(AN72=12,L72,0)</f>
        <v>0</v>
      </c>
      <c r="AL72" s="19">
        <f>IF(AN72=21,L72,0)</f>
        <v>0</v>
      </c>
      <c r="AN72" s="19">
        <v>12</v>
      </c>
      <c r="AO72" s="19">
        <f>H72*0.501939898</f>
        <v>0</v>
      </c>
      <c r="AP72" s="19">
        <f>H72*(1-0.501939898)</f>
        <v>0</v>
      </c>
      <c r="AQ72" s="89" t="s">
        <v>532</v>
      </c>
      <c r="AV72" s="19">
        <f>ROUND(AW72+AX72,2)</f>
        <v>0</v>
      </c>
      <c r="AW72" s="19">
        <f>ROUND(G72*AO72,2)</f>
        <v>0</v>
      </c>
      <c r="AX72" s="19">
        <f>ROUND(G72*AP72,2)</f>
        <v>0</v>
      </c>
      <c r="AY72" s="89" t="s">
        <v>575</v>
      </c>
      <c r="AZ72" s="89" t="s">
        <v>576</v>
      </c>
      <c r="BA72" s="16" t="s">
        <v>577</v>
      </c>
      <c r="BC72" s="19">
        <f>AW72+AX72</f>
        <v>0</v>
      </c>
      <c r="BD72" s="19">
        <f>H72/(100-BE72)*100</f>
        <v>0</v>
      </c>
      <c r="BE72" s="19">
        <v>0</v>
      </c>
      <c r="BF72" s="19">
        <f>O72</f>
        <v>4.5499999999999994E-3</v>
      </c>
      <c r="BH72" s="19">
        <f>G72*AO72</f>
        <v>0</v>
      </c>
      <c r="BI72" s="19">
        <f>G72*AP72</f>
        <v>0</v>
      </c>
      <c r="BJ72" s="19">
        <f>G72*H72</f>
        <v>0</v>
      </c>
      <c r="BK72" s="89" t="s">
        <v>30</v>
      </c>
      <c r="BL72" s="19">
        <v>722</v>
      </c>
      <c r="BW72" s="19">
        <f>I72</f>
        <v>12</v>
      </c>
      <c r="BX72" s="4" t="s">
        <v>123</v>
      </c>
    </row>
    <row r="73" spans="1:76" x14ac:dyDescent="0.25">
      <c r="A73" s="90"/>
      <c r="C73" s="91" t="s">
        <v>547</v>
      </c>
      <c r="D73" s="180" t="s">
        <v>587</v>
      </c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2"/>
      <c r="BX73" s="92" t="s">
        <v>587</v>
      </c>
    </row>
    <row r="74" spans="1:76" x14ac:dyDescent="0.25">
      <c r="A74" s="1" t="s">
        <v>593</v>
      </c>
      <c r="B74" s="2" t="s">
        <v>434</v>
      </c>
      <c r="C74" s="2" t="s">
        <v>124</v>
      </c>
      <c r="D74" s="96" t="s">
        <v>125</v>
      </c>
      <c r="E74" s="97"/>
      <c r="F74" s="2" t="s">
        <v>29</v>
      </c>
      <c r="G74" s="19">
        <f>'Rozpočet - vybrané sloupce'!I62</f>
        <v>25</v>
      </c>
      <c r="H74" s="19">
        <f>'Rozpočet - vybrané sloupce'!J62</f>
        <v>0</v>
      </c>
      <c r="I74" s="87">
        <v>12</v>
      </c>
      <c r="J74" s="19">
        <f>ROUND(G74*AO74,2)</f>
        <v>0</v>
      </c>
      <c r="K74" s="19">
        <f>ROUND(G74*AP74,2)</f>
        <v>0</v>
      </c>
      <c r="L74" s="19">
        <f>ROUND(G74*H74,2)</f>
        <v>0</v>
      </c>
      <c r="M74" s="19">
        <f>L74*(1+BW74/100)</f>
        <v>0</v>
      </c>
      <c r="N74" s="19">
        <v>1.9000000000000001E-4</v>
      </c>
      <c r="O74" s="19">
        <f>G74*N74</f>
        <v>4.7499999999999999E-3</v>
      </c>
      <c r="P74" s="88" t="s">
        <v>531</v>
      </c>
      <c r="Z74" s="19">
        <f>ROUND(IF(AQ74="5",BJ74,0),2)</f>
        <v>0</v>
      </c>
      <c r="AB74" s="19">
        <f>ROUND(IF(AQ74="1",BH74,0),2)</f>
        <v>0</v>
      </c>
      <c r="AC74" s="19">
        <f>ROUND(IF(AQ74="1",BI74,0),2)</f>
        <v>0</v>
      </c>
      <c r="AD74" s="19">
        <f>ROUND(IF(AQ74="7",BH74,0),2)</f>
        <v>0</v>
      </c>
      <c r="AE74" s="19">
        <f>ROUND(IF(AQ74="7",BI74,0),2)</f>
        <v>0</v>
      </c>
      <c r="AF74" s="19">
        <f>ROUND(IF(AQ74="2",BH74,0),2)</f>
        <v>0</v>
      </c>
      <c r="AG74" s="19">
        <f>ROUND(IF(AQ74="2",BI74,0),2)</f>
        <v>0</v>
      </c>
      <c r="AH74" s="19">
        <f>ROUND(IF(AQ74="0",BJ74,0),2)</f>
        <v>0</v>
      </c>
      <c r="AI74" s="16" t="s">
        <v>434</v>
      </c>
      <c r="AJ74" s="19">
        <f>IF(AN74=0,L74,0)</f>
        <v>0</v>
      </c>
      <c r="AK74" s="19">
        <f>IF(AN74=12,L74,0)</f>
        <v>0</v>
      </c>
      <c r="AL74" s="19">
        <f>IF(AN74=21,L74,0)</f>
        <v>0</v>
      </c>
      <c r="AN74" s="19">
        <v>12</v>
      </c>
      <c r="AO74" s="19">
        <f>H74*0.537330508</f>
        <v>0</v>
      </c>
      <c r="AP74" s="19">
        <f>H74*(1-0.537330508)</f>
        <v>0</v>
      </c>
      <c r="AQ74" s="89" t="s">
        <v>532</v>
      </c>
      <c r="AV74" s="19">
        <f>ROUND(AW74+AX74,2)</f>
        <v>0</v>
      </c>
      <c r="AW74" s="19">
        <f>ROUND(G74*AO74,2)</f>
        <v>0</v>
      </c>
      <c r="AX74" s="19">
        <f>ROUND(G74*AP74,2)</f>
        <v>0</v>
      </c>
      <c r="AY74" s="89" t="s">
        <v>575</v>
      </c>
      <c r="AZ74" s="89" t="s">
        <v>576</v>
      </c>
      <c r="BA74" s="16" t="s">
        <v>577</v>
      </c>
      <c r="BC74" s="19">
        <f>AW74+AX74</f>
        <v>0</v>
      </c>
      <c r="BD74" s="19">
        <f>H74/(100-BE74)*100</f>
        <v>0</v>
      </c>
      <c r="BE74" s="19">
        <v>0</v>
      </c>
      <c r="BF74" s="19">
        <f>O74</f>
        <v>4.7499999999999999E-3</v>
      </c>
      <c r="BH74" s="19">
        <f>G74*AO74</f>
        <v>0</v>
      </c>
      <c r="BI74" s="19">
        <f>G74*AP74</f>
        <v>0</v>
      </c>
      <c r="BJ74" s="19">
        <f>G74*H74</f>
        <v>0</v>
      </c>
      <c r="BK74" s="89" t="s">
        <v>30</v>
      </c>
      <c r="BL74" s="19">
        <v>722</v>
      </c>
      <c r="BW74" s="19">
        <f>I74</f>
        <v>12</v>
      </c>
      <c r="BX74" s="4" t="s">
        <v>125</v>
      </c>
    </row>
    <row r="75" spans="1:76" x14ac:dyDescent="0.25">
      <c r="A75" s="90"/>
      <c r="C75" s="91" t="s">
        <v>547</v>
      </c>
      <c r="D75" s="180" t="s">
        <v>587</v>
      </c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2"/>
      <c r="BX75" s="92" t="s">
        <v>587</v>
      </c>
    </row>
    <row r="76" spans="1:76" x14ac:dyDescent="0.25">
      <c r="A76" s="1" t="s">
        <v>594</v>
      </c>
      <c r="B76" s="2" t="s">
        <v>434</v>
      </c>
      <c r="C76" s="2" t="s">
        <v>126</v>
      </c>
      <c r="D76" s="96" t="s">
        <v>127</v>
      </c>
      <c r="E76" s="97"/>
      <c r="F76" s="2" t="s">
        <v>29</v>
      </c>
      <c r="G76" s="19">
        <f>'Rozpočet - vybrané sloupce'!I63</f>
        <v>4</v>
      </c>
      <c r="H76" s="19">
        <f>'Rozpočet - vybrané sloupce'!J63</f>
        <v>0</v>
      </c>
      <c r="I76" s="87">
        <v>12</v>
      </c>
      <c r="J76" s="19">
        <f t="shared" ref="J76:J95" si="26">ROUND(G76*AO76,2)</f>
        <v>0</v>
      </c>
      <c r="K76" s="19">
        <f t="shared" ref="K76:K95" si="27">ROUND(G76*AP76,2)</f>
        <v>0</v>
      </c>
      <c r="L76" s="19">
        <f t="shared" ref="L76:L95" si="28">ROUND(G76*H76,2)</f>
        <v>0</v>
      </c>
      <c r="M76" s="19">
        <f t="shared" ref="M76:M95" si="29">L76*(1+BW76/100)</f>
        <v>0</v>
      </c>
      <c r="N76" s="19">
        <v>0</v>
      </c>
      <c r="O76" s="19">
        <f t="shared" ref="O76:O95" si="30">G76*N76</f>
        <v>0</v>
      </c>
      <c r="P76" s="88" t="s">
        <v>531</v>
      </c>
      <c r="Z76" s="19">
        <f t="shared" ref="Z76:Z95" si="31">ROUND(IF(AQ76="5",BJ76,0),2)</f>
        <v>0</v>
      </c>
      <c r="AB76" s="19">
        <f t="shared" ref="AB76:AB95" si="32">ROUND(IF(AQ76="1",BH76,0),2)</f>
        <v>0</v>
      </c>
      <c r="AC76" s="19">
        <f t="shared" ref="AC76:AC95" si="33">ROUND(IF(AQ76="1",BI76,0),2)</f>
        <v>0</v>
      </c>
      <c r="AD76" s="19">
        <f t="shared" ref="AD76:AD95" si="34">ROUND(IF(AQ76="7",BH76,0),2)</f>
        <v>0</v>
      </c>
      <c r="AE76" s="19">
        <f t="shared" ref="AE76:AE95" si="35">ROUND(IF(AQ76="7",BI76,0),2)</f>
        <v>0</v>
      </c>
      <c r="AF76" s="19">
        <f t="shared" ref="AF76:AF95" si="36">ROUND(IF(AQ76="2",BH76,0),2)</f>
        <v>0</v>
      </c>
      <c r="AG76" s="19">
        <f t="shared" ref="AG76:AG95" si="37">ROUND(IF(AQ76="2",BI76,0),2)</f>
        <v>0</v>
      </c>
      <c r="AH76" s="19">
        <f t="shared" ref="AH76:AH95" si="38">ROUND(IF(AQ76="0",BJ76,0),2)</f>
        <v>0</v>
      </c>
      <c r="AI76" s="16" t="s">
        <v>434</v>
      </c>
      <c r="AJ76" s="19">
        <f t="shared" ref="AJ76:AJ95" si="39">IF(AN76=0,L76,0)</f>
        <v>0</v>
      </c>
      <c r="AK76" s="19">
        <f t="shared" ref="AK76:AK95" si="40">IF(AN76=12,L76,0)</f>
        <v>0</v>
      </c>
      <c r="AL76" s="19">
        <f t="shared" ref="AL76:AL95" si="41">IF(AN76=21,L76,0)</f>
        <v>0</v>
      </c>
      <c r="AN76" s="19">
        <v>12</v>
      </c>
      <c r="AO76" s="19">
        <f t="shared" ref="AO76:AO82" si="42">H76*1</f>
        <v>0</v>
      </c>
      <c r="AP76" s="19">
        <f t="shared" ref="AP76:AP82" si="43">H76*(1-1)</f>
        <v>0</v>
      </c>
      <c r="AQ76" s="89" t="s">
        <v>532</v>
      </c>
      <c r="AV76" s="19">
        <f t="shared" ref="AV76:AV95" si="44">ROUND(AW76+AX76,2)</f>
        <v>0</v>
      </c>
      <c r="AW76" s="19">
        <f t="shared" ref="AW76:AW95" si="45">ROUND(G76*AO76,2)</f>
        <v>0</v>
      </c>
      <c r="AX76" s="19">
        <f t="shared" ref="AX76:AX95" si="46">ROUND(G76*AP76,2)</f>
        <v>0</v>
      </c>
      <c r="AY76" s="89" t="s">
        <v>575</v>
      </c>
      <c r="AZ76" s="89" t="s">
        <v>576</v>
      </c>
      <c r="BA76" s="16" t="s">
        <v>577</v>
      </c>
      <c r="BC76" s="19">
        <f t="shared" ref="BC76:BC95" si="47">AW76+AX76</f>
        <v>0</v>
      </c>
      <c r="BD76" s="19">
        <f t="shared" ref="BD76:BD95" si="48">H76/(100-BE76)*100</f>
        <v>0</v>
      </c>
      <c r="BE76" s="19">
        <v>0</v>
      </c>
      <c r="BF76" s="19">
        <f t="shared" ref="BF76:BF95" si="49">O76</f>
        <v>0</v>
      </c>
      <c r="BH76" s="19">
        <f t="shared" ref="BH76:BH95" si="50">G76*AO76</f>
        <v>0</v>
      </c>
      <c r="BI76" s="19">
        <f t="shared" ref="BI76:BI95" si="51">G76*AP76</f>
        <v>0</v>
      </c>
      <c r="BJ76" s="19">
        <f t="shared" ref="BJ76:BJ95" si="52">G76*H76</f>
        <v>0</v>
      </c>
      <c r="BK76" s="89" t="s">
        <v>30</v>
      </c>
      <c r="BL76" s="19">
        <v>722</v>
      </c>
      <c r="BW76" s="19">
        <f t="shared" ref="BW76:BW95" si="53">I76</f>
        <v>12</v>
      </c>
      <c r="BX76" s="4" t="s">
        <v>127</v>
      </c>
    </row>
    <row r="77" spans="1:76" x14ac:dyDescent="0.25">
      <c r="A77" s="1" t="s">
        <v>595</v>
      </c>
      <c r="B77" s="2" t="s">
        <v>434</v>
      </c>
      <c r="C77" s="2" t="s">
        <v>128</v>
      </c>
      <c r="D77" s="96" t="s">
        <v>129</v>
      </c>
      <c r="E77" s="97"/>
      <c r="F77" s="2" t="s">
        <v>29</v>
      </c>
      <c r="G77" s="19">
        <f>'Rozpočet - vybrané sloupce'!I64</f>
        <v>36</v>
      </c>
      <c r="H77" s="19">
        <f>'Rozpočet - vybrané sloupce'!J64</f>
        <v>0</v>
      </c>
      <c r="I77" s="87">
        <v>12</v>
      </c>
      <c r="J77" s="19">
        <f t="shared" si="26"/>
        <v>0</v>
      </c>
      <c r="K77" s="19">
        <f t="shared" si="27"/>
        <v>0</v>
      </c>
      <c r="L77" s="19">
        <f t="shared" si="28"/>
        <v>0</v>
      </c>
      <c r="M77" s="19">
        <f t="shared" si="29"/>
        <v>0</v>
      </c>
      <c r="N77" s="19">
        <v>0</v>
      </c>
      <c r="O77" s="19">
        <f t="shared" si="30"/>
        <v>0</v>
      </c>
      <c r="P77" s="88" t="s">
        <v>531</v>
      </c>
      <c r="Z77" s="19">
        <f t="shared" si="31"/>
        <v>0</v>
      </c>
      <c r="AB77" s="19">
        <f t="shared" si="32"/>
        <v>0</v>
      </c>
      <c r="AC77" s="19">
        <f t="shared" si="33"/>
        <v>0</v>
      </c>
      <c r="AD77" s="19">
        <f t="shared" si="34"/>
        <v>0</v>
      </c>
      <c r="AE77" s="19">
        <f t="shared" si="35"/>
        <v>0</v>
      </c>
      <c r="AF77" s="19">
        <f t="shared" si="36"/>
        <v>0</v>
      </c>
      <c r="AG77" s="19">
        <f t="shared" si="37"/>
        <v>0</v>
      </c>
      <c r="AH77" s="19">
        <f t="shared" si="38"/>
        <v>0</v>
      </c>
      <c r="AI77" s="16" t="s">
        <v>434</v>
      </c>
      <c r="AJ77" s="19">
        <f t="shared" si="39"/>
        <v>0</v>
      </c>
      <c r="AK77" s="19">
        <f t="shared" si="40"/>
        <v>0</v>
      </c>
      <c r="AL77" s="19">
        <f t="shared" si="41"/>
        <v>0</v>
      </c>
      <c r="AN77" s="19">
        <v>12</v>
      </c>
      <c r="AO77" s="19">
        <f t="shared" si="42"/>
        <v>0</v>
      </c>
      <c r="AP77" s="19">
        <f t="shared" si="43"/>
        <v>0</v>
      </c>
      <c r="AQ77" s="89" t="s">
        <v>532</v>
      </c>
      <c r="AV77" s="19">
        <f t="shared" si="44"/>
        <v>0</v>
      </c>
      <c r="AW77" s="19">
        <f t="shared" si="45"/>
        <v>0</v>
      </c>
      <c r="AX77" s="19">
        <f t="shared" si="46"/>
        <v>0</v>
      </c>
      <c r="AY77" s="89" t="s">
        <v>575</v>
      </c>
      <c r="AZ77" s="89" t="s">
        <v>576</v>
      </c>
      <c r="BA77" s="16" t="s">
        <v>577</v>
      </c>
      <c r="BC77" s="19">
        <f t="shared" si="47"/>
        <v>0</v>
      </c>
      <c r="BD77" s="19">
        <f t="shared" si="48"/>
        <v>0</v>
      </c>
      <c r="BE77" s="19">
        <v>0</v>
      </c>
      <c r="BF77" s="19">
        <f t="shared" si="49"/>
        <v>0</v>
      </c>
      <c r="BH77" s="19">
        <f t="shared" si="50"/>
        <v>0</v>
      </c>
      <c r="BI77" s="19">
        <f t="shared" si="51"/>
        <v>0</v>
      </c>
      <c r="BJ77" s="19">
        <f t="shared" si="52"/>
        <v>0</v>
      </c>
      <c r="BK77" s="89" t="s">
        <v>30</v>
      </c>
      <c r="BL77" s="19">
        <v>722</v>
      </c>
      <c r="BW77" s="19">
        <f t="shared" si="53"/>
        <v>12</v>
      </c>
      <c r="BX77" s="4" t="s">
        <v>129</v>
      </c>
    </row>
    <row r="78" spans="1:76" x14ac:dyDescent="0.25">
      <c r="A78" s="1" t="s">
        <v>596</v>
      </c>
      <c r="B78" s="2" t="s">
        <v>434</v>
      </c>
      <c r="C78" s="2" t="s">
        <v>130</v>
      </c>
      <c r="D78" s="96" t="s">
        <v>131</v>
      </c>
      <c r="E78" s="97"/>
      <c r="F78" s="2" t="s">
        <v>33</v>
      </c>
      <c r="G78" s="19">
        <f>'Rozpočet - vybrané sloupce'!I65</f>
        <v>4</v>
      </c>
      <c r="H78" s="19">
        <f>'Rozpočet - vybrané sloupce'!J65</f>
        <v>0</v>
      </c>
      <c r="I78" s="87">
        <v>12</v>
      </c>
      <c r="J78" s="19">
        <f t="shared" si="26"/>
        <v>0</v>
      </c>
      <c r="K78" s="19">
        <f t="shared" si="27"/>
        <v>0</v>
      </c>
      <c r="L78" s="19">
        <f t="shared" si="28"/>
        <v>0</v>
      </c>
      <c r="M78" s="19">
        <f t="shared" si="29"/>
        <v>0</v>
      </c>
      <c r="N78" s="19">
        <v>0</v>
      </c>
      <c r="O78" s="19">
        <f t="shared" si="30"/>
        <v>0</v>
      </c>
      <c r="P78" s="88" t="s">
        <v>531</v>
      </c>
      <c r="Z78" s="19">
        <f t="shared" si="31"/>
        <v>0</v>
      </c>
      <c r="AB78" s="19">
        <f t="shared" si="32"/>
        <v>0</v>
      </c>
      <c r="AC78" s="19">
        <f t="shared" si="33"/>
        <v>0</v>
      </c>
      <c r="AD78" s="19">
        <f t="shared" si="34"/>
        <v>0</v>
      </c>
      <c r="AE78" s="19">
        <f t="shared" si="35"/>
        <v>0</v>
      </c>
      <c r="AF78" s="19">
        <f t="shared" si="36"/>
        <v>0</v>
      </c>
      <c r="AG78" s="19">
        <f t="shared" si="37"/>
        <v>0</v>
      </c>
      <c r="AH78" s="19">
        <f t="shared" si="38"/>
        <v>0</v>
      </c>
      <c r="AI78" s="16" t="s">
        <v>434</v>
      </c>
      <c r="AJ78" s="19">
        <f t="shared" si="39"/>
        <v>0</v>
      </c>
      <c r="AK78" s="19">
        <f t="shared" si="40"/>
        <v>0</v>
      </c>
      <c r="AL78" s="19">
        <f t="shared" si="41"/>
        <v>0</v>
      </c>
      <c r="AN78" s="19">
        <v>12</v>
      </c>
      <c r="AO78" s="19">
        <f t="shared" si="42"/>
        <v>0</v>
      </c>
      <c r="AP78" s="19">
        <f t="shared" si="43"/>
        <v>0</v>
      </c>
      <c r="AQ78" s="89" t="s">
        <v>532</v>
      </c>
      <c r="AV78" s="19">
        <f t="shared" si="44"/>
        <v>0</v>
      </c>
      <c r="AW78" s="19">
        <f t="shared" si="45"/>
        <v>0</v>
      </c>
      <c r="AX78" s="19">
        <f t="shared" si="46"/>
        <v>0</v>
      </c>
      <c r="AY78" s="89" t="s">
        <v>575</v>
      </c>
      <c r="AZ78" s="89" t="s">
        <v>576</v>
      </c>
      <c r="BA78" s="16" t="s">
        <v>577</v>
      </c>
      <c r="BC78" s="19">
        <f t="shared" si="47"/>
        <v>0</v>
      </c>
      <c r="BD78" s="19">
        <f t="shared" si="48"/>
        <v>0</v>
      </c>
      <c r="BE78" s="19">
        <v>0</v>
      </c>
      <c r="BF78" s="19">
        <f t="shared" si="49"/>
        <v>0</v>
      </c>
      <c r="BH78" s="19">
        <f t="shared" si="50"/>
        <v>0</v>
      </c>
      <c r="BI78" s="19">
        <f t="shared" si="51"/>
        <v>0</v>
      </c>
      <c r="BJ78" s="19">
        <f t="shared" si="52"/>
        <v>0</v>
      </c>
      <c r="BK78" s="89" t="s">
        <v>30</v>
      </c>
      <c r="BL78" s="19">
        <v>722</v>
      </c>
      <c r="BW78" s="19">
        <f t="shared" si="53"/>
        <v>12</v>
      </c>
      <c r="BX78" s="4" t="s">
        <v>131</v>
      </c>
    </row>
    <row r="79" spans="1:76" x14ac:dyDescent="0.25">
      <c r="A79" s="1" t="s">
        <v>597</v>
      </c>
      <c r="B79" s="2" t="s">
        <v>434</v>
      </c>
      <c r="C79" s="2" t="s">
        <v>132</v>
      </c>
      <c r="D79" s="96" t="s">
        <v>133</v>
      </c>
      <c r="E79" s="97"/>
      <c r="F79" s="2" t="s">
        <v>33</v>
      </c>
      <c r="G79" s="19">
        <f>'Rozpočet - vybrané sloupce'!I66</f>
        <v>31</v>
      </c>
      <c r="H79" s="19">
        <f>'Rozpočet - vybrané sloupce'!J66</f>
        <v>0</v>
      </c>
      <c r="I79" s="87">
        <v>12</v>
      </c>
      <c r="J79" s="19">
        <f t="shared" si="26"/>
        <v>0</v>
      </c>
      <c r="K79" s="19">
        <f t="shared" si="27"/>
        <v>0</v>
      </c>
      <c r="L79" s="19">
        <f t="shared" si="28"/>
        <v>0</v>
      </c>
      <c r="M79" s="19">
        <f t="shared" si="29"/>
        <v>0</v>
      </c>
      <c r="N79" s="19">
        <v>0</v>
      </c>
      <c r="O79" s="19">
        <f t="shared" si="30"/>
        <v>0</v>
      </c>
      <c r="P79" s="88" t="s">
        <v>531</v>
      </c>
      <c r="Z79" s="19">
        <f t="shared" si="31"/>
        <v>0</v>
      </c>
      <c r="AB79" s="19">
        <f t="shared" si="32"/>
        <v>0</v>
      </c>
      <c r="AC79" s="19">
        <f t="shared" si="33"/>
        <v>0</v>
      </c>
      <c r="AD79" s="19">
        <f t="shared" si="34"/>
        <v>0</v>
      </c>
      <c r="AE79" s="19">
        <f t="shared" si="35"/>
        <v>0</v>
      </c>
      <c r="AF79" s="19">
        <f t="shared" si="36"/>
        <v>0</v>
      </c>
      <c r="AG79" s="19">
        <f t="shared" si="37"/>
        <v>0</v>
      </c>
      <c r="AH79" s="19">
        <f t="shared" si="38"/>
        <v>0</v>
      </c>
      <c r="AI79" s="16" t="s">
        <v>434</v>
      </c>
      <c r="AJ79" s="19">
        <f t="shared" si="39"/>
        <v>0</v>
      </c>
      <c r="AK79" s="19">
        <f t="shared" si="40"/>
        <v>0</v>
      </c>
      <c r="AL79" s="19">
        <f t="shared" si="41"/>
        <v>0</v>
      </c>
      <c r="AN79" s="19">
        <v>12</v>
      </c>
      <c r="AO79" s="19">
        <f t="shared" si="42"/>
        <v>0</v>
      </c>
      <c r="AP79" s="19">
        <f t="shared" si="43"/>
        <v>0</v>
      </c>
      <c r="AQ79" s="89" t="s">
        <v>532</v>
      </c>
      <c r="AV79" s="19">
        <f t="shared" si="44"/>
        <v>0</v>
      </c>
      <c r="AW79" s="19">
        <f t="shared" si="45"/>
        <v>0</v>
      </c>
      <c r="AX79" s="19">
        <f t="shared" si="46"/>
        <v>0</v>
      </c>
      <c r="AY79" s="89" t="s">
        <v>575</v>
      </c>
      <c r="AZ79" s="89" t="s">
        <v>576</v>
      </c>
      <c r="BA79" s="16" t="s">
        <v>577</v>
      </c>
      <c r="BC79" s="19">
        <f t="shared" si="47"/>
        <v>0</v>
      </c>
      <c r="BD79" s="19">
        <f t="shared" si="48"/>
        <v>0</v>
      </c>
      <c r="BE79" s="19">
        <v>0</v>
      </c>
      <c r="BF79" s="19">
        <f t="shared" si="49"/>
        <v>0</v>
      </c>
      <c r="BH79" s="19">
        <f t="shared" si="50"/>
        <v>0</v>
      </c>
      <c r="BI79" s="19">
        <f t="shared" si="51"/>
        <v>0</v>
      </c>
      <c r="BJ79" s="19">
        <f t="shared" si="52"/>
        <v>0</v>
      </c>
      <c r="BK79" s="89" t="s">
        <v>30</v>
      </c>
      <c r="BL79" s="19">
        <v>722</v>
      </c>
      <c r="BW79" s="19">
        <f t="shared" si="53"/>
        <v>12</v>
      </c>
      <c r="BX79" s="4" t="s">
        <v>133</v>
      </c>
    </row>
    <row r="80" spans="1:76" x14ac:dyDescent="0.25">
      <c r="A80" s="1" t="s">
        <v>598</v>
      </c>
      <c r="B80" s="2" t="s">
        <v>434</v>
      </c>
      <c r="C80" s="2" t="s">
        <v>134</v>
      </c>
      <c r="D80" s="96" t="s">
        <v>135</v>
      </c>
      <c r="E80" s="97"/>
      <c r="F80" s="2" t="s">
        <v>33</v>
      </c>
      <c r="G80" s="19">
        <f>'Rozpočet - vybrané sloupce'!I67</f>
        <v>5</v>
      </c>
      <c r="H80" s="19">
        <f>'Rozpočet - vybrané sloupce'!J67</f>
        <v>0</v>
      </c>
      <c r="I80" s="87">
        <v>12</v>
      </c>
      <c r="J80" s="19">
        <f t="shared" si="26"/>
        <v>0</v>
      </c>
      <c r="K80" s="19">
        <f t="shared" si="27"/>
        <v>0</v>
      </c>
      <c r="L80" s="19">
        <f t="shared" si="28"/>
        <v>0</v>
      </c>
      <c r="M80" s="19">
        <f t="shared" si="29"/>
        <v>0</v>
      </c>
      <c r="N80" s="19">
        <v>0</v>
      </c>
      <c r="O80" s="19">
        <f t="shared" si="30"/>
        <v>0</v>
      </c>
      <c r="P80" s="88" t="s">
        <v>531</v>
      </c>
      <c r="Z80" s="19">
        <f t="shared" si="31"/>
        <v>0</v>
      </c>
      <c r="AB80" s="19">
        <f t="shared" si="32"/>
        <v>0</v>
      </c>
      <c r="AC80" s="19">
        <f t="shared" si="33"/>
        <v>0</v>
      </c>
      <c r="AD80" s="19">
        <f t="shared" si="34"/>
        <v>0</v>
      </c>
      <c r="AE80" s="19">
        <f t="shared" si="35"/>
        <v>0</v>
      </c>
      <c r="AF80" s="19">
        <f t="shared" si="36"/>
        <v>0</v>
      </c>
      <c r="AG80" s="19">
        <f t="shared" si="37"/>
        <v>0</v>
      </c>
      <c r="AH80" s="19">
        <f t="shared" si="38"/>
        <v>0</v>
      </c>
      <c r="AI80" s="16" t="s">
        <v>434</v>
      </c>
      <c r="AJ80" s="19">
        <f t="shared" si="39"/>
        <v>0</v>
      </c>
      <c r="AK80" s="19">
        <f t="shared" si="40"/>
        <v>0</v>
      </c>
      <c r="AL80" s="19">
        <f t="shared" si="41"/>
        <v>0</v>
      </c>
      <c r="AN80" s="19">
        <v>12</v>
      </c>
      <c r="AO80" s="19">
        <f t="shared" si="42"/>
        <v>0</v>
      </c>
      <c r="AP80" s="19">
        <f t="shared" si="43"/>
        <v>0</v>
      </c>
      <c r="AQ80" s="89" t="s">
        <v>532</v>
      </c>
      <c r="AV80" s="19">
        <f t="shared" si="44"/>
        <v>0</v>
      </c>
      <c r="AW80" s="19">
        <f t="shared" si="45"/>
        <v>0</v>
      </c>
      <c r="AX80" s="19">
        <f t="shared" si="46"/>
        <v>0</v>
      </c>
      <c r="AY80" s="89" t="s">
        <v>575</v>
      </c>
      <c r="AZ80" s="89" t="s">
        <v>576</v>
      </c>
      <c r="BA80" s="16" t="s">
        <v>577</v>
      </c>
      <c r="BC80" s="19">
        <f t="shared" si="47"/>
        <v>0</v>
      </c>
      <c r="BD80" s="19">
        <f t="shared" si="48"/>
        <v>0</v>
      </c>
      <c r="BE80" s="19">
        <v>0</v>
      </c>
      <c r="BF80" s="19">
        <f t="shared" si="49"/>
        <v>0</v>
      </c>
      <c r="BH80" s="19">
        <f t="shared" si="50"/>
        <v>0</v>
      </c>
      <c r="BI80" s="19">
        <f t="shared" si="51"/>
        <v>0</v>
      </c>
      <c r="BJ80" s="19">
        <f t="shared" si="52"/>
        <v>0</v>
      </c>
      <c r="BK80" s="89" t="s">
        <v>30</v>
      </c>
      <c r="BL80" s="19">
        <v>722</v>
      </c>
      <c r="BW80" s="19">
        <f t="shared" si="53"/>
        <v>12</v>
      </c>
      <c r="BX80" s="4" t="s">
        <v>135</v>
      </c>
    </row>
    <row r="81" spans="1:76" x14ac:dyDescent="0.25">
      <c r="A81" s="1" t="s">
        <v>599</v>
      </c>
      <c r="B81" s="2" t="s">
        <v>434</v>
      </c>
      <c r="C81" s="2" t="s">
        <v>136</v>
      </c>
      <c r="D81" s="96" t="s">
        <v>137</v>
      </c>
      <c r="E81" s="97"/>
      <c r="F81" s="2" t="s">
        <v>33</v>
      </c>
      <c r="G81" s="19">
        <f>'Rozpočet - vybrané sloupce'!I68</f>
        <v>16</v>
      </c>
      <c r="H81" s="19">
        <f>'Rozpočet - vybrané sloupce'!J68</f>
        <v>0</v>
      </c>
      <c r="I81" s="87">
        <v>12</v>
      </c>
      <c r="J81" s="19">
        <f t="shared" si="26"/>
        <v>0</v>
      </c>
      <c r="K81" s="19">
        <f t="shared" si="27"/>
        <v>0</v>
      </c>
      <c r="L81" s="19">
        <f t="shared" si="28"/>
        <v>0</v>
      </c>
      <c r="M81" s="19">
        <f t="shared" si="29"/>
        <v>0</v>
      </c>
      <c r="N81" s="19">
        <v>0</v>
      </c>
      <c r="O81" s="19">
        <f t="shared" si="30"/>
        <v>0</v>
      </c>
      <c r="P81" s="88" t="s">
        <v>531</v>
      </c>
      <c r="Z81" s="19">
        <f t="shared" si="31"/>
        <v>0</v>
      </c>
      <c r="AB81" s="19">
        <f t="shared" si="32"/>
        <v>0</v>
      </c>
      <c r="AC81" s="19">
        <f t="shared" si="33"/>
        <v>0</v>
      </c>
      <c r="AD81" s="19">
        <f t="shared" si="34"/>
        <v>0</v>
      </c>
      <c r="AE81" s="19">
        <f t="shared" si="35"/>
        <v>0</v>
      </c>
      <c r="AF81" s="19">
        <f t="shared" si="36"/>
        <v>0</v>
      </c>
      <c r="AG81" s="19">
        <f t="shared" si="37"/>
        <v>0</v>
      </c>
      <c r="AH81" s="19">
        <f t="shared" si="38"/>
        <v>0</v>
      </c>
      <c r="AI81" s="16" t="s">
        <v>434</v>
      </c>
      <c r="AJ81" s="19">
        <f t="shared" si="39"/>
        <v>0</v>
      </c>
      <c r="AK81" s="19">
        <f t="shared" si="40"/>
        <v>0</v>
      </c>
      <c r="AL81" s="19">
        <f t="shared" si="41"/>
        <v>0</v>
      </c>
      <c r="AN81" s="19">
        <v>12</v>
      </c>
      <c r="AO81" s="19">
        <f t="shared" si="42"/>
        <v>0</v>
      </c>
      <c r="AP81" s="19">
        <f t="shared" si="43"/>
        <v>0</v>
      </c>
      <c r="AQ81" s="89" t="s">
        <v>532</v>
      </c>
      <c r="AV81" s="19">
        <f t="shared" si="44"/>
        <v>0</v>
      </c>
      <c r="AW81" s="19">
        <f t="shared" si="45"/>
        <v>0</v>
      </c>
      <c r="AX81" s="19">
        <f t="shared" si="46"/>
        <v>0</v>
      </c>
      <c r="AY81" s="89" t="s">
        <v>575</v>
      </c>
      <c r="AZ81" s="89" t="s">
        <v>576</v>
      </c>
      <c r="BA81" s="16" t="s">
        <v>577</v>
      </c>
      <c r="BC81" s="19">
        <f t="shared" si="47"/>
        <v>0</v>
      </c>
      <c r="BD81" s="19">
        <f t="shared" si="48"/>
        <v>0</v>
      </c>
      <c r="BE81" s="19">
        <v>0</v>
      </c>
      <c r="BF81" s="19">
        <f t="shared" si="49"/>
        <v>0</v>
      </c>
      <c r="BH81" s="19">
        <f t="shared" si="50"/>
        <v>0</v>
      </c>
      <c r="BI81" s="19">
        <f t="shared" si="51"/>
        <v>0</v>
      </c>
      <c r="BJ81" s="19">
        <f t="shared" si="52"/>
        <v>0</v>
      </c>
      <c r="BK81" s="89" t="s">
        <v>30</v>
      </c>
      <c r="BL81" s="19">
        <v>722</v>
      </c>
      <c r="BW81" s="19">
        <f t="shared" si="53"/>
        <v>12</v>
      </c>
      <c r="BX81" s="4" t="s">
        <v>137</v>
      </c>
    </row>
    <row r="82" spans="1:76" x14ac:dyDescent="0.25">
      <c r="A82" s="1" t="s">
        <v>600</v>
      </c>
      <c r="B82" s="2" t="s">
        <v>434</v>
      </c>
      <c r="C82" s="2" t="s">
        <v>138</v>
      </c>
      <c r="D82" s="96" t="s">
        <v>139</v>
      </c>
      <c r="E82" s="97"/>
      <c r="F82" s="2" t="s">
        <v>33</v>
      </c>
      <c r="G82" s="19">
        <f>'Rozpočet - vybrané sloupce'!I69</f>
        <v>8</v>
      </c>
      <c r="H82" s="19">
        <f>'Rozpočet - vybrané sloupce'!J69</f>
        <v>0</v>
      </c>
      <c r="I82" s="87">
        <v>12</v>
      </c>
      <c r="J82" s="19">
        <f t="shared" si="26"/>
        <v>0</v>
      </c>
      <c r="K82" s="19">
        <f t="shared" si="27"/>
        <v>0</v>
      </c>
      <c r="L82" s="19">
        <f t="shared" si="28"/>
        <v>0</v>
      </c>
      <c r="M82" s="19">
        <f t="shared" si="29"/>
        <v>0</v>
      </c>
      <c r="N82" s="19">
        <v>0</v>
      </c>
      <c r="O82" s="19">
        <f t="shared" si="30"/>
        <v>0</v>
      </c>
      <c r="P82" s="88" t="s">
        <v>531</v>
      </c>
      <c r="Z82" s="19">
        <f t="shared" si="31"/>
        <v>0</v>
      </c>
      <c r="AB82" s="19">
        <f t="shared" si="32"/>
        <v>0</v>
      </c>
      <c r="AC82" s="19">
        <f t="shared" si="33"/>
        <v>0</v>
      </c>
      <c r="AD82" s="19">
        <f t="shared" si="34"/>
        <v>0</v>
      </c>
      <c r="AE82" s="19">
        <f t="shared" si="35"/>
        <v>0</v>
      </c>
      <c r="AF82" s="19">
        <f t="shared" si="36"/>
        <v>0</v>
      </c>
      <c r="AG82" s="19">
        <f t="shared" si="37"/>
        <v>0</v>
      </c>
      <c r="AH82" s="19">
        <f t="shared" si="38"/>
        <v>0</v>
      </c>
      <c r="AI82" s="16" t="s">
        <v>434</v>
      </c>
      <c r="AJ82" s="19">
        <f t="shared" si="39"/>
        <v>0</v>
      </c>
      <c r="AK82" s="19">
        <f t="shared" si="40"/>
        <v>0</v>
      </c>
      <c r="AL82" s="19">
        <f t="shared" si="41"/>
        <v>0</v>
      </c>
      <c r="AN82" s="19">
        <v>12</v>
      </c>
      <c r="AO82" s="19">
        <f t="shared" si="42"/>
        <v>0</v>
      </c>
      <c r="AP82" s="19">
        <f t="shared" si="43"/>
        <v>0</v>
      </c>
      <c r="AQ82" s="89" t="s">
        <v>532</v>
      </c>
      <c r="AV82" s="19">
        <f t="shared" si="44"/>
        <v>0</v>
      </c>
      <c r="AW82" s="19">
        <f t="shared" si="45"/>
        <v>0</v>
      </c>
      <c r="AX82" s="19">
        <f t="shared" si="46"/>
        <v>0</v>
      </c>
      <c r="AY82" s="89" t="s">
        <v>575</v>
      </c>
      <c r="AZ82" s="89" t="s">
        <v>576</v>
      </c>
      <c r="BA82" s="16" t="s">
        <v>577</v>
      </c>
      <c r="BC82" s="19">
        <f t="shared" si="47"/>
        <v>0</v>
      </c>
      <c r="BD82" s="19">
        <f t="shared" si="48"/>
        <v>0</v>
      </c>
      <c r="BE82" s="19">
        <v>0</v>
      </c>
      <c r="BF82" s="19">
        <f t="shared" si="49"/>
        <v>0</v>
      </c>
      <c r="BH82" s="19">
        <f t="shared" si="50"/>
        <v>0</v>
      </c>
      <c r="BI82" s="19">
        <f t="shared" si="51"/>
        <v>0</v>
      </c>
      <c r="BJ82" s="19">
        <f t="shared" si="52"/>
        <v>0</v>
      </c>
      <c r="BK82" s="89" t="s">
        <v>30</v>
      </c>
      <c r="BL82" s="19">
        <v>722</v>
      </c>
      <c r="BW82" s="19">
        <f t="shared" si="53"/>
        <v>12</v>
      </c>
      <c r="BX82" s="4" t="s">
        <v>139</v>
      </c>
    </row>
    <row r="83" spans="1:76" x14ac:dyDescent="0.25">
      <c r="A83" s="1" t="s">
        <v>601</v>
      </c>
      <c r="B83" s="2" t="s">
        <v>434</v>
      </c>
      <c r="C83" s="2" t="s">
        <v>140</v>
      </c>
      <c r="D83" s="96" t="s">
        <v>141</v>
      </c>
      <c r="E83" s="97"/>
      <c r="F83" s="2" t="s">
        <v>33</v>
      </c>
      <c r="G83" s="19">
        <f>'Rozpočet - vybrané sloupce'!I70</f>
        <v>6</v>
      </c>
      <c r="H83" s="19">
        <f>'Rozpočet - vybrané sloupce'!J70</f>
        <v>0</v>
      </c>
      <c r="I83" s="87">
        <v>12</v>
      </c>
      <c r="J83" s="19">
        <f t="shared" si="26"/>
        <v>0</v>
      </c>
      <c r="K83" s="19">
        <f t="shared" si="27"/>
        <v>0</v>
      </c>
      <c r="L83" s="19">
        <f t="shared" si="28"/>
        <v>0</v>
      </c>
      <c r="M83" s="19">
        <f t="shared" si="29"/>
        <v>0</v>
      </c>
      <c r="N83" s="19">
        <v>2.4000000000000001E-4</v>
      </c>
      <c r="O83" s="19">
        <f t="shared" si="30"/>
        <v>1.4400000000000001E-3</v>
      </c>
      <c r="P83" s="88" t="s">
        <v>531</v>
      </c>
      <c r="Z83" s="19">
        <f t="shared" si="31"/>
        <v>0</v>
      </c>
      <c r="AB83" s="19">
        <f t="shared" si="32"/>
        <v>0</v>
      </c>
      <c r="AC83" s="19">
        <f t="shared" si="33"/>
        <v>0</v>
      </c>
      <c r="AD83" s="19">
        <f t="shared" si="34"/>
        <v>0</v>
      </c>
      <c r="AE83" s="19">
        <f t="shared" si="35"/>
        <v>0</v>
      </c>
      <c r="AF83" s="19">
        <f t="shared" si="36"/>
        <v>0</v>
      </c>
      <c r="AG83" s="19">
        <f t="shared" si="37"/>
        <v>0</v>
      </c>
      <c r="AH83" s="19">
        <f t="shared" si="38"/>
        <v>0</v>
      </c>
      <c r="AI83" s="16" t="s">
        <v>434</v>
      </c>
      <c r="AJ83" s="19">
        <f t="shared" si="39"/>
        <v>0</v>
      </c>
      <c r="AK83" s="19">
        <f t="shared" si="40"/>
        <v>0</v>
      </c>
      <c r="AL83" s="19">
        <f t="shared" si="41"/>
        <v>0</v>
      </c>
      <c r="AN83" s="19">
        <v>12</v>
      </c>
      <c r="AO83" s="19">
        <f>H83*0.708110831</f>
        <v>0</v>
      </c>
      <c r="AP83" s="19">
        <f>H83*(1-0.708110831)</f>
        <v>0</v>
      </c>
      <c r="AQ83" s="89" t="s">
        <v>532</v>
      </c>
      <c r="AV83" s="19">
        <f t="shared" si="44"/>
        <v>0</v>
      </c>
      <c r="AW83" s="19">
        <f t="shared" si="45"/>
        <v>0</v>
      </c>
      <c r="AX83" s="19">
        <f t="shared" si="46"/>
        <v>0</v>
      </c>
      <c r="AY83" s="89" t="s">
        <v>575</v>
      </c>
      <c r="AZ83" s="89" t="s">
        <v>576</v>
      </c>
      <c r="BA83" s="16" t="s">
        <v>577</v>
      </c>
      <c r="BC83" s="19">
        <f t="shared" si="47"/>
        <v>0</v>
      </c>
      <c r="BD83" s="19">
        <f t="shared" si="48"/>
        <v>0</v>
      </c>
      <c r="BE83" s="19">
        <v>0</v>
      </c>
      <c r="BF83" s="19">
        <f t="shared" si="49"/>
        <v>1.4400000000000001E-3</v>
      </c>
      <c r="BH83" s="19">
        <f t="shared" si="50"/>
        <v>0</v>
      </c>
      <c r="BI83" s="19">
        <f t="shared" si="51"/>
        <v>0</v>
      </c>
      <c r="BJ83" s="19">
        <f t="shared" si="52"/>
        <v>0</v>
      </c>
      <c r="BK83" s="89" t="s">
        <v>30</v>
      </c>
      <c r="BL83" s="19">
        <v>722</v>
      </c>
      <c r="BW83" s="19">
        <f t="shared" si="53"/>
        <v>12</v>
      </c>
      <c r="BX83" s="4" t="s">
        <v>141</v>
      </c>
    </row>
    <row r="84" spans="1:76" x14ac:dyDescent="0.25">
      <c r="A84" s="1" t="s">
        <v>602</v>
      </c>
      <c r="B84" s="2" t="s">
        <v>434</v>
      </c>
      <c r="C84" s="2" t="s">
        <v>142</v>
      </c>
      <c r="D84" s="96" t="s">
        <v>143</v>
      </c>
      <c r="E84" s="97"/>
      <c r="F84" s="2" t="s">
        <v>33</v>
      </c>
      <c r="G84" s="19">
        <f>'Rozpočet - vybrané sloupce'!I71</f>
        <v>2</v>
      </c>
      <c r="H84" s="19">
        <f>'Rozpočet - vybrané sloupce'!J71</f>
        <v>0</v>
      </c>
      <c r="I84" s="87">
        <v>12</v>
      </c>
      <c r="J84" s="19">
        <f t="shared" si="26"/>
        <v>0</v>
      </c>
      <c r="K84" s="19">
        <f t="shared" si="27"/>
        <v>0</v>
      </c>
      <c r="L84" s="19">
        <f t="shared" si="28"/>
        <v>0</v>
      </c>
      <c r="M84" s="19">
        <f t="shared" si="29"/>
        <v>0</v>
      </c>
      <c r="N84" s="19">
        <v>6.0999999999999997E-4</v>
      </c>
      <c r="O84" s="19">
        <f t="shared" si="30"/>
        <v>1.2199999999999999E-3</v>
      </c>
      <c r="P84" s="88" t="s">
        <v>531</v>
      </c>
      <c r="Z84" s="19">
        <f t="shared" si="31"/>
        <v>0</v>
      </c>
      <c r="AB84" s="19">
        <f t="shared" si="32"/>
        <v>0</v>
      </c>
      <c r="AC84" s="19">
        <f t="shared" si="33"/>
        <v>0</v>
      </c>
      <c r="AD84" s="19">
        <f t="shared" si="34"/>
        <v>0</v>
      </c>
      <c r="AE84" s="19">
        <f t="shared" si="35"/>
        <v>0</v>
      </c>
      <c r="AF84" s="19">
        <f t="shared" si="36"/>
        <v>0</v>
      </c>
      <c r="AG84" s="19">
        <f t="shared" si="37"/>
        <v>0</v>
      </c>
      <c r="AH84" s="19">
        <f t="shared" si="38"/>
        <v>0</v>
      </c>
      <c r="AI84" s="16" t="s">
        <v>434</v>
      </c>
      <c r="AJ84" s="19">
        <f t="shared" si="39"/>
        <v>0</v>
      </c>
      <c r="AK84" s="19">
        <f t="shared" si="40"/>
        <v>0</v>
      </c>
      <c r="AL84" s="19">
        <f t="shared" si="41"/>
        <v>0</v>
      </c>
      <c r="AN84" s="19">
        <v>12</v>
      </c>
      <c r="AO84" s="19">
        <f>H84*0.801987578</f>
        <v>0</v>
      </c>
      <c r="AP84" s="19">
        <f>H84*(1-0.801987578)</f>
        <v>0</v>
      </c>
      <c r="AQ84" s="89" t="s">
        <v>532</v>
      </c>
      <c r="AV84" s="19">
        <f t="shared" si="44"/>
        <v>0</v>
      </c>
      <c r="AW84" s="19">
        <f t="shared" si="45"/>
        <v>0</v>
      </c>
      <c r="AX84" s="19">
        <f t="shared" si="46"/>
        <v>0</v>
      </c>
      <c r="AY84" s="89" t="s">
        <v>575</v>
      </c>
      <c r="AZ84" s="89" t="s">
        <v>576</v>
      </c>
      <c r="BA84" s="16" t="s">
        <v>577</v>
      </c>
      <c r="BC84" s="19">
        <f t="shared" si="47"/>
        <v>0</v>
      </c>
      <c r="BD84" s="19">
        <f t="shared" si="48"/>
        <v>0</v>
      </c>
      <c r="BE84" s="19">
        <v>0</v>
      </c>
      <c r="BF84" s="19">
        <f t="shared" si="49"/>
        <v>1.2199999999999999E-3</v>
      </c>
      <c r="BH84" s="19">
        <f t="shared" si="50"/>
        <v>0</v>
      </c>
      <c r="BI84" s="19">
        <f t="shared" si="51"/>
        <v>0</v>
      </c>
      <c r="BJ84" s="19">
        <f t="shared" si="52"/>
        <v>0</v>
      </c>
      <c r="BK84" s="89" t="s">
        <v>30</v>
      </c>
      <c r="BL84" s="19">
        <v>722</v>
      </c>
      <c r="BW84" s="19">
        <f t="shared" si="53"/>
        <v>12</v>
      </c>
      <c r="BX84" s="4" t="s">
        <v>143</v>
      </c>
    </row>
    <row r="85" spans="1:76" x14ac:dyDescent="0.25">
      <c r="A85" s="1" t="s">
        <v>603</v>
      </c>
      <c r="B85" s="2" t="s">
        <v>434</v>
      </c>
      <c r="C85" s="2" t="s">
        <v>144</v>
      </c>
      <c r="D85" s="96" t="s">
        <v>145</v>
      </c>
      <c r="E85" s="97"/>
      <c r="F85" s="2" t="s">
        <v>33</v>
      </c>
      <c r="G85" s="19">
        <f>'Rozpočet - vybrané sloupce'!I72</f>
        <v>8</v>
      </c>
      <c r="H85" s="19">
        <f>'Rozpočet - vybrané sloupce'!J72</f>
        <v>0</v>
      </c>
      <c r="I85" s="87">
        <v>12</v>
      </c>
      <c r="J85" s="19">
        <f t="shared" si="26"/>
        <v>0</v>
      </c>
      <c r="K85" s="19">
        <f t="shared" si="27"/>
        <v>0</v>
      </c>
      <c r="L85" s="19">
        <f t="shared" si="28"/>
        <v>0</v>
      </c>
      <c r="M85" s="19">
        <f t="shared" si="29"/>
        <v>0</v>
      </c>
      <c r="N85" s="19">
        <v>8.8999999999999995E-4</v>
      </c>
      <c r="O85" s="19">
        <f t="shared" si="30"/>
        <v>7.1199999999999996E-3</v>
      </c>
      <c r="P85" s="88" t="s">
        <v>531</v>
      </c>
      <c r="Z85" s="19">
        <f t="shared" si="31"/>
        <v>0</v>
      </c>
      <c r="AB85" s="19">
        <f t="shared" si="32"/>
        <v>0</v>
      </c>
      <c r="AC85" s="19">
        <f t="shared" si="33"/>
        <v>0</v>
      </c>
      <c r="AD85" s="19">
        <f t="shared" si="34"/>
        <v>0</v>
      </c>
      <c r="AE85" s="19">
        <f t="shared" si="35"/>
        <v>0</v>
      </c>
      <c r="AF85" s="19">
        <f t="shared" si="36"/>
        <v>0</v>
      </c>
      <c r="AG85" s="19">
        <f t="shared" si="37"/>
        <v>0</v>
      </c>
      <c r="AH85" s="19">
        <f t="shared" si="38"/>
        <v>0</v>
      </c>
      <c r="AI85" s="16" t="s">
        <v>434</v>
      </c>
      <c r="AJ85" s="19">
        <f t="shared" si="39"/>
        <v>0</v>
      </c>
      <c r="AK85" s="19">
        <f t="shared" si="40"/>
        <v>0</v>
      </c>
      <c r="AL85" s="19">
        <f t="shared" si="41"/>
        <v>0</v>
      </c>
      <c r="AN85" s="19">
        <v>12</v>
      </c>
      <c r="AO85" s="19">
        <f>H85*0.830269542</f>
        <v>0</v>
      </c>
      <c r="AP85" s="19">
        <f>H85*(1-0.830269542)</f>
        <v>0</v>
      </c>
      <c r="AQ85" s="89" t="s">
        <v>532</v>
      </c>
      <c r="AV85" s="19">
        <f t="shared" si="44"/>
        <v>0</v>
      </c>
      <c r="AW85" s="19">
        <f t="shared" si="45"/>
        <v>0</v>
      </c>
      <c r="AX85" s="19">
        <f t="shared" si="46"/>
        <v>0</v>
      </c>
      <c r="AY85" s="89" t="s">
        <v>575</v>
      </c>
      <c r="AZ85" s="89" t="s">
        <v>576</v>
      </c>
      <c r="BA85" s="16" t="s">
        <v>577</v>
      </c>
      <c r="BC85" s="19">
        <f t="shared" si="47"/>
        <v>0</v>
      </c>
      <c r="BD85" s="19">
        <f t="shared" si="48"/>
        <v>0</v>
      </c>
      <c r="BE85" s="19">
        <v>0</v>
      </c>
      <c r="BF85" s="19">
        <f t="shared" si="49"/>
        <v>7.1199999999999996E-3</v>
      </c>
      <c r="BH85" s="19">
        <f t="shared" si="50"/>
        <v>0</v>
      </c>
      <c r="BI85" s="19">
        <f t="shared" si="51"/>
        <v>0</v>
      </c>
      <c r="BJ85" s="19">
        <f t="shared" si="52"/>
        <v>0</v>
      </c>
      <c r="BK85" s="89" t="s">
        <v>30</v>
      </c>
      <c r="BL85" s="19">
        <v>722</v>
      </c>
      <c r="BW85" s="19">
        <f t="shared" si="53"/>
        <v>12</v>
      </c>
      <c r="BX85" s="4" t="s">
        <v>145</v>
      </c>
    </row>
    <row r="86" spans="1:76" x14ac:dyDescent="0.25">
      <c r="A86" s="1" t="s">
        <v>604</v>
      </c>
      <c r="B86" s="2" t="s">
        <v>434</v>
      </c>
      <c r="C86" s="2" t="s">
        <v>146</v>
      </c>
      <c r="D86" s="96" t="s">
        <v>147</v>
      </c>
      <c r="E86" s="97"/>
      <c r="F86" s="2" t="s">
        <v>33</v>
      </c>
      <c r="G86" s="19">
        <f>'Rozpočet - vybrané sloupce'!I73</f>
        <v>2</v>
      </c>
      <c r="H86" s="19">
        <f>'Rozpočet - vybrané sloupce'!J73</f>
        <v>0</v>
      </c>
      <c r="I86" s="87">
        <v>12</v>
      </c>
      <c r="J86" s="19">
        <f t="shared" si="26"/>
        <v>0</v>
      </c>
      <c r="K86" s="19">
        <f t="shared" si="27"/>
        <v>0</v>
      </c>
      <c r="L86" s="19">
        <f t="shared" si="28"/>
        <v>0</v>
      </c>
      <c r="M86" s="19">
        <f t="shared" si="29"/>
        <v>0</v>
      </c>
      <c r="N86" s="19">
        <v>1.2999999999999999E-3</v>
      </c>
      <c r="O86" s="19">
        <f t="shared" si="30"/>
        <v>2.5999999999999999E-3</v>
      </c>
      <c r="P86" s="88" t="s">
        <v>531</v>
      </c>
      <c r="Z86" s="19">
        <f t="shared" si="31"/>
        <v>0</v>
      </c>
      <c r="AB86" s="19">
        <f t="shared" si="32"/>
        <v>0</v>
      </c>
      <c r="AC86" s="19">
        <f t="shared" si="33"/>
        <v>0</v>
      </c>
      <c r="AD86" s="19">
        <f t="shared" si="34"/>
        <v>0</v>
      </c>
      <c r="AE86" s="19">
        <f t="shared" si="35"/>
        <v>0</v>
      </c>
      <c r="AF86" s="19">
        <f t="shared" si="36"/>
        <v>0</v>
      </c>
      <c r="AG86" s="19">
        <f t="shared" si="37"/>
        <v>0</v>
      </c>
      <c r="AH86" s="19">
        <f t="shared" si="38"/>
        <v>0</v>
      </c>
      <c r="AI86" s="16" t="s">
        <v>434</v>
      </c>
      <c r="AJ86" s="19">
        <f t="shared" si="39"/>
        <v>0</v>
      </c>
      <c r="AK86" s="19">
        <f t="shared" si="40"/>
        <v>0</v>
      </c>
      <c r="AL86" s="19">
        <f t="shared" si="41"/>
        <v>0</v>
      </c>
      <c r="AN86" s="19">
        <v>12</v>
      </c>
      <c r="AO86" s="19">
        <f>H86*0.855188014</f>
        <v>0</v>
      </c>
      <c r="AP86" s="19">
        <f>H86*(1-0.855188014)</f>
        <v>0</v>
      </c>
      <c r="AQ86" s="89" t="s">
        <v>532</v>
      </c>
      <c r="AV86" s="19">
        <f t="shared" si="44"/>
        <v>0</v>
      </c>
      <c r="AW86" s="19">
        <f t="shared" si="45"/>
        <v>0</v>
      </c>
      <c r="AX86" s="19">
        <f t="shared" si="46"/>
        <v>0</v>
      </c>
      <c r="AY86" s="89" t="s">
        <v>575</v>
      </c>
      <c r="AZ86" s="89" t="s">
        <v>576</v>
      </c>
      <c r="BA86" s="16" t="s">
        <v>577</v>
      </c>
      <c r="BC86" s="19">
        <f t="shared" si="47"/>
        <v>0</v>
      </c>
      <c r="BD86" s="19">
        <f t="shared" si="48"/>
        <v>0</v>
      </c>
      <c r="BE86" s="19">
        <v>0</v>
      </c>
      <c r="BF86" s="19">
        <f t="shared" si="49"/>
        <v>2.5999999999999999E-3</v>
      </c>
      <c r="BH86" s="19">
        <f t="shared" si="50"/>
        <v>0</v>
      </c>
      <c r="BI86" s="19">
        <f t="shared" si="51"/>
        <v>0</v>
      </c>
      <c r="BJ86" s="19">
        <f t="shared" si="52"/>
        <v>0</v>
      </c>
      <c r="BK86" s="89" t="s">
        <v>30</v>
      </c>
      <c r="BL86" s="19">
        <v>722</v>
      </c>
      <c r="BW86" s="19">
        <f t="shared" si="53"/>
        <v>12</v>
      </c>
      <c r="BX86" s="4" t="s">
        <v>147</v>
      </c>
    </row>
    <row r="87" spans="1:76" x14ac:dyDescent="0.25">
      <c r="A87" s="1" t="s">
        <v>605</v>
      </c>
      <c r="B87" s="2" t="s">
        <v>434</v>
      </c>
      <c r="C87" s="2" t="s">
        <v>148</v>
      </c>
      <c r="D87" s="96" t="s">
        <v>149</v>
      </c>
      <c r="E87" s="97"/>
      <c r="F87" s="2" t="s">
        <v>33</v>
      </c>
      <c r="G87" s="19">
        <f>'Rozpočet - vybrané sloupce'!I74</f>
        <v>17</v>
      </c>
      <c r="H87" s="19">
        <f>'Rozpočet - vybrané sloupce'!J74</f>
        <v>0</v>
      </c>
      <c r="I87" s="87">
        <v>12</v>
      </c>
      <c r="J87" s="19">
        <f t="shared" si="26"/>
        <v>0</v>
      </c>
      <c r="K87" s="19">
        <f t="shared" si="27"/>
        <v>0</v>
      </c>
      <c r="L87" s="19">
        <f t="shared" si="28"/>
        <v>0</v>
      </c>
      <c r="M87" s="19">
        <f t="shared" si="29"/>
        <v>0</v>
      </c>
      <c r="N87" s="19">
        <v>4.0000000000000002E-4</v>
      </c>
      <c r="O87" s="19">
        <f t="shared" si="30"/>
        <v>6.8000000000000005E-3</v>
      </c>
      <c r="P87" s="88" t="s">
        <v>531</v>
      </c>
      <c r="Z87" s="19">
        <f t="shared" si="31"/>
        <v>0</v>
      </c>
      <c r="AB87" s="19">
        <f t="shared" si="32"/>
        <v>0</v>
      </c>
      <c r="AC87" s="19">
        <f t="shared" si="33"/>
        <v>0</v>
      </c>
      <c r="AD87" s="19">
        <f t="shared" si="34"/>
        <v>0</v>
      </c>
      <c r="AE87" s="19">
        <f t="shared" si="35"/>
        <v>0</v>
      </c>
      <c r="AF87" s="19">
        <f t="shared" si="36"/>
        <v>0</v>
      </c>
      <c r="AG87" s="19">
        <f t="shared" si="37"/>
        <v>0</v>
      </c>
      <c r="AH87" s="19">
        <f t="shared" si="38"/>
        <v>0</v>
      </c>
      <c r="AI87" s="16" t="s">
        <v>434</v>
      </c>
      <c r="AJ87" s="19">
        <f t="shared" si="39"/>
        <v>0</v>
      </c>
      <c r="AK87" s="19">
        <f t="shared" si="40"/>
        <v>0</v>
      </c>
      <c r="AL87" s="19">
        <f t="shared" si="41"/>
        <v>0</v>
      </c>
      <c r="AN87" s="19">
        <v>12</v>
      </c>
      <c r="AO87" s="19">
        <f>H87*0.773542714</f>
        <v>0</v>
      </c>
      <c r="AP87" s="19">
        <f>H87*(1-0.773542714)</f>
        <v>0</v>
      </c>
      <c r="AQ87" s="89" t="s">
        <v>532</v>
      </c>
      <c r="AV87" s="19">
        <f t="shared" si="44"/>
        <v>0</v>
      </c>
      <c r="AW87" s="19">
        <f t="shared" si="45"/>
        <v>0</v>
      </c>
      <c r="AX87" s="19">
        <f t="shared" si="46"/>
        <v>0</v>
      </c>
      <c r="AY87" s="89" t="s">
        <v>575</v>
      </c>
      <c r="AZ87" s="89" t="s">
        <v>576</v>
      </c>
      <c r="BA87" s="16" t="s">
        <v>577</v>
      </c>
      <c r="BC87" s="19">
        <f t="shared" si="47"/>
        <v>0</v>
      </c>
      <c r="BD87" s="19">
        <f t="shared" si="48"/>
        <v>0</v>
      </c>
      <c r="BE87" s="19">
        <v>0</v>
      </c>
      <c r="BF87" s="19">
        <f t="shared" si="49"/>
        <v>6.8000000000000005E-3</v>
      </c>
      <c r="BH87" s="19">
        <f t="shared" si="50"/>
        <v>0</v>
      </c>
      <c r="BI87" s="19">
        <f t="shared" si="51"/>
        <v>0</v>
      </c>
      <c r="BJ87" s="19">
        <f t="shared" si="52"/>
        <v>0</v>
      </c>
      <c r="BK87" s="89" t="s">
        <v>30</v>
      </c>
      <c r="BL87" s="19">
        <v>722</v>
      </c>
      <c r="BW87" s="19">
        <f t="shared" si="53"/>
        <v>12</v>
      </c>
      <c r="BX87" s="4" t="s">
        <v>149</v>
      </c>
    </row>
    <row r="88" spans="1:76" x14ac:dyDescent="0.25">
      <c r="A88" s="1" t="s">
        <v>606</v>
      </c>
      <c r="B88" s="2" t="s">
        <v>434</v>
      </c>
      <c r="C88" s="2" t="s">
        <v>150</v>
      </c>
      <c r="D88" s="96" t="s">
        <v>151</v>
      </c>
      <c r="E88" s="97"/>
      <c r="F88" s="2" t="s">
        <v>33</v>
      </c>
      <c r="G88" s="19">
        <f>'Rozpočet - vybrané sloupce'!I75</f>
        <v>4</v>
      </c>
      <c r="H88" s="19">
        <f>'Rozpočet - vybrané sloupce'!J75</f>
        <v>0</v>
      </c>
      <c r="I88" s="87">
        <v>12</v>
      </c>
      <c r="J88" s="19">
        <f t="shared" si="26"/>
        <v>0</v>
      </c>
      <c r="K88" s="19">
        <f t="shared" si="27"/>
        <v>0</v>
      </c>
      <c r="L88" s="19">
        <f t="shared" si="28"/>
        <v>0</v>
      </c>
      <c r="M88" s="19">
        <f t="shared" si="29"/>
        <v>0</v>
      </c>
      <c r="N88" s="19">
        <v>0</v>
      </c>
      <c r="O88" s="19">
        <f t="shared" si="30"/>
        <v>0</v>
      </c>
      <c r="P88" s="88" t="s">
        <v>531</v>
      </c>
      <c r="Z88" s="19">
        <f t="shared" si="31"/>
        <v>0</v>
      </c>
      <c r="AB88" s="19">
        <f t="shared" si="32"/>
        <v>0</v>
      </c>
      <c r="AC88" s="19">
        <f t="shared" si="33"/>
        <v>0</v>
      </c>
      <c r="AD88" s="19">
        <f t="shared" si="34"/>
        <v>0</v>
      </c>
      <c r="AE88" s="19">
        <f t="shared" si="35"/>
        <v>0</v>
      </c>
      <c r="AF88" s="19">
        <f t="shared" si="36"/>
        <v>0</v>
      </c>
      <c r="AG88" s="19">
        <f t="shared" si="37"/>
        <v>0</v>
      </c>
      <c r="AH88" s="19">
        <f t="shared" si="38"/>
        <v>0</v>
      </c>
      <c r="AI88" s="16" t="s">
        <v>434</v>
      </c>
      <c r="AJ88" s="19">
        <f t="shared" si="39"/>
        <v>0</v>
      </c>
      <c r="AK88" s="19">
        <f t="shared" si="40"/>
        <v>0</v>
      </c>
      <c r="AL88" s="19">
        <f t="shared" si="41"/>
        <v>0</v>
      </c>
      <c r="AN88" s="19">
        <v>12</v>
      </c>
      <c r="AO88" s="19">
        <f>H88*0.035684647</f>
        <v>0</v>
      </c>
      <c r="AP88" s="19">
        <f>H88*(1-0.035684647)</f>
        <v>0</v>
      </c>
      <c r="AQ88" s="89" t="s">
        <v>532</v>
      </c>
      <c r="AV88" s="19">
        <f t="shared" si="44"/>
        <v>0</v>
      </c>
      <c r="AW88" s="19">
        <f t="shared" si="45"/>
        <v>0</v>
      </c>
      <c r="AX88" s="19">
        <f t="shared" si="46"/>
        <v>0</v>
      </c>
      <c r="AY88" s="89" t="s">
        <v>575</v>
      </c>
      <c r="AZ88" s="89" t="s">
        <v>576</v>
      </c>
      <c r="BA88" s="16" t="s">
        <v>577</v>
      </c>
      <c r="BC88" s="19">
        <f t="shared" si="47"/>
        <v>0</v>
      </c>
      <c r="BD88" s="19">
        <f t="shared" si="48"/>
        <v>0</v>
      </c>
      <c r="BE88" s="19">
        <v>0</v>
      </c>
      <c r="BF88" s="19">
        <f t="shared" si="49"/>
        <v>0</v>
      </c>
      <c r="BH88" s="19">
        <f t="shared" si="50"/>
        <v>0</v>
      </c>
      <c r="BI88" s="19">
        <f t="shared" si="51"/>
        <v>0</v>
      </c>
      <c r="BJ88" s="19">
        <f t="shared" si="52"/>
        <v>0</v>
      </c>
      <c r="BK88" s="89" t="s">
        <v>30</v>
      </c>
      <c r="BL88" s="19">
        <v>722</v>
      </c>
      <c r="BW88" s="19">
        <f t="shared" si="53"/>
        <v>12</v>
      </c>
      <c r="BX88" s="4" t="s">
        <v>151</v>
      </c>
    </row>
    <row r="89" spans="1:76" x14ac:dyDescent="0.25">
      <c r="A89" s="1" t="s">
        <v>607</v>
      </c>
      <c r="B89" s="2" t="s">
        <v>434</v>
      </c>
      <c r="C89" s="2" t="s">
        <v>152</v>
      </c>
      <c r="D89" s="96" t="s">
        <v>153</v>
      </c>
      <c r="E89" s="97"/>
      <c r="F89" s="2" t="s">
        <v>33</v>
      </c>
      <c r="G89" s="19">
        <f>'Rozpočet - vybrané sloupce'!I76</f>
        <v>4</v>
      </c>
      <c r="H89" s="19">
        <f>'Rozpočet - vybrané sloupce'!J76</f>
        <v>0</v>
      </c>
      <c r="I89" s="87">
        <v>12</v>
      </c>
      <c r="J89" s="19">
        <f t="shared" si="26"/>
        <v>0</v>
      </c>
      <c r="K89" s="19">
        <f t="shared" si="27"/>
        <v>0</v>
      </c>
      <c r="L89" s="19">
        <f t="shared" si="28"/>
        <v>0</v>
      </c>
      <c r="M89" s="19">
        <f t="shared" si="29"/>
        <v>0</v>
      </c>
      <c r="N89" s="19">
        <v>0</v>
      </c>
      <c r="O89" s="19">
        <f t="shared" si="30"/>
        <v>0</v>
      </c>
      <c r="P89" s="88" t="s">
        <v>531</v>
      </c>
      <c r="Z89" s="19">
        <f t="shared" si="31"/>
        <v>0</v>
      </c>
      <c r="AB89" s="19">
        <f t="shared" si="32"/>
        <v>0</v>
      </c>
      <c r="AC89" s="19">
        <f t="shared" si="33"/>
        <v>0</v>
      </c>
      <c r="AD89" s="19">
        <f t="shared" si="34"/>
        <v>0</v>
      </c>
      <c r="AE89" s="19">
        <f t="shared" si="35"/>
        <v>0</v>
      </c>
      <c r="AF89" s="19">
        <f t="shared" si="36"/>
        <v>0</v>
      </c>
      <c r="AG89" s="19">
        <f t="shared" si="37"/>
        <v>0</v>
      </c>
      <c r="AH89" s="19">
        <f t="shared" si="38"/>
        <v>0</v>
      </c>
      <c r="AI89" s="16" t="s">
        <v>434</v>
      </c>
      <c r="AJ89" s="19">
        <f t="shared" si="39"/>
        <v>0</v>
      </c>
      <c r="AK89" s="19">
        <f t="shared" si="40"/>
        <v>0</v>
      </c>
      <c r="AL89" s="19">
        <f t="shared" si="41"/>
        <v>0</v>
      </c>
      <c r="AN89" s="19">
        <v>12</v>
      </c>
      <c r="AO89" s="19">
        <f>H89*1</f>
        <v>0</v>
      </c>
      <c r="AP89" s="19">
        <f>H89*(1-1)</f>
        <v>0</v>
      </c>
      <c r="AQ89" s="89" t="s">
        <v>532</v>
      </c>
      <c r="AV89" s="19">
        <f t="shared" si="44"/>
        <v>0</v>
      </c>
      <c r="AW89" s="19">
        <f t="shared" si="45"/>
        <v>0</v>
      </c>
      <c r="AX89" s="19">
        <f t="shared" si="46"/>
        <v>0</v>
      </c>
      <c r="AY89" s="89" t="s">
        <v>575</v>
      </c>
      <c r="AZ89" s="89" t="s">
        <v>576</v>
      </c>
      <c r="BA89" s="16" t="s">
        <v>577</v>
      </c>
      <c r="BC89" s="19">
        <f t="shared" si="47"/>
        <v>0</v>
      </c>
      <c r="BD89" s="19">
        <f t="shared" si="48"/>
        <v>0</v>
      </c>
      <c r="BE89" s="19">
        <v>0</v>
      </c>
      <c r="BF89" s="19">
        <f t="shared" si="49"/>
        <v>0</v>
      </c>
      <c r="BH89" s="19">
        <f t="shared" si="50"/>
        <v>0</v>
      </c>
      <c r="BI89" s="19">
        <f t="shared" si="51"/>
        <v>0</v>
      </c>
      <c r="BJ89" s="19">
        <f t="shared" si="52"/>
        <v>0</v>
      </c>
      <c r="BK89" s="89" t="s">
        <v>53</v>
      </c>
      <c r="BL89" s="19">
        <v>722</v>
      </c>
      <c r="BW89" s="19">
        <f t="shared" si="53"/>
        <v>12</v>
      </c>
      <c r="BX89" s="4" t="s">
        <v>153</v>
      </c>
    </row>
    <row r="90" spans="1:76" x14ac:dyDescent="0.25">
      <c r="A90" s="1" t="s">
        <v>608</v>
      </c>
      <c r="B90" s="2" t="s">
        <v>434</v>
      </c>
      <c r="C90" s="2" t="s">
        <v>154</v>
      </c>
      <c r="D90" s="96" t="s">
        <v>155</v>
      </c>
      <c r="E90" s="97"/>
      <c r="F90" s="2" t="s">
        <v>33</v>
      </c>
      <c r="G90" s="19">
        <f>'Rozpočet - vybrané sloupce'!I77</f>
        <v>1</v>
      </c>
      <c r="H90" s="19">
        <f>'Rozpočet - vybrané sloupce'!J77</f>
        <v>0</v>
      </c>
      <c r="I90" s="87">
        <v>12</v>
      </c>
      <c r="J90" s="19">
        <f t="shared" si="26"/>
        <v>0</v>
      </c>
      <c r="K90" s="19">
        <f t="shared" si="27"/>
        <v>0</v>
      </c>
      <c r="L90" s="19">
        <f t="shared" si="28"/>
        <v>0</v>
      </c>
      <c r="M90" s="19">
        <f t="shared" si="29"/>
        <v>0</v>
      </c>
      <c r="N90" s="19">
        <v>0</v>
      </c>
      <c r="O90" s="19">
        <f t="shared" si="30"/>
        <v>0</v>
      </c>
      <c r="P90" s="88" t="s">
        <v>531</v>
      </c>
      <c r="Z90" s="19">
        <f t="shared" si="31"/>
        <v>0</v>
      </c>
      <c r="AB90" s="19">
        <f t="shared" si="32"/>
        <v>0</v>
      </c>
      <c r="AC90" s="19">
        <f t="shared" si="33"/>
        <v>0</v>
      </c>
      <c r="AD90" s="19">
        <f t="shared" si="34"/>
        <v>0</v>
      </c>
      <c r="AE90" s="19">
        <f t="shared" si="35"/>
        <v>0</v>
      </c>
      <c r="AF90" s="19">
        <f t="shared" si="36"/>
        <v>0</v>
      </c>
      <c r="AG90" s="19">
        <f t="shared" si="37"/>
        <v>0</v>
      </c>
      <c r="AH90" s="19">
        <f t="shared" si="38"/>
        <v>0</v>
      </c>
      <c r="AI90" s="16" t="s">
        <v>434</v>
      </c>
      <c r="AJ90" s="19">
        <f t="shared" si="39"/>
        <v>0</v>
      </c>
      <c r="AK90" s="19">
        <f t="shared" si="40"/>
        <v>0</v>
      </c>
      <c r="AL90" s="19">
        <f t="shared" si="41"/>
        <v>0</v>
      </c>
      <c r="AN90" s="19">
        <v>12</v>
      </c>
      <c r="AO90" s="19">
        <f>H90*0.050946746</f>
        <v>0</v>
      </c>
      <c r="AP90" s="19">
        <f>H90*(1-0.050946746)</f>
        <v>0</v>
      </c>
      <c r="AQ90" s="89" t="s">
        <v>532</v>
      </c>
      <c r="AV90" s="19">
        <f t="shared" si="44"/>
        <v>0</v>
      </c>
      <c r="AW90" s="19">
        <f t="shared" si="45"/>
        <v>0</v>
      </c>
      <c r="AX90" s="19">
        <f t="shared" si="46"/>
        <v>0</v>
      </c>
      <c r="AY90" s="89" t="s">
        <v>575</v>
      </c>
      <c r="AZ90" s="89" t="s">
        <v>576</v>
      </c>
      <c r="BA90" s="16" t="s">
        <v>577</v>
      </c>
      <c r="BC90" s="19">
        <f t="shared" si="47"/>
        <v>0</v>
      </c>
      <c r="BD90" s="19">
        <f t="shared" si="48"/>
        <v>0</v>
      </c>
      <c r="BE90" s="19">
        <v>0</v>
      </c>
      <c r="BF90" s="19">
        <f t="shared" si="49"/>
        <v>0</v>
      </c>
      <c r="BH90" s="19">
        <f t="shared" si="50"/>
        <v>0</v>
      </c>
      <c r="BI90" s="19">
        <f t="shared" si="51"/>
        <v>0</v>
      </c>
      <c r="BJ90" s="19">
        <f t="shared" si="52"/>
        <v>0</v>
      </c>
      <c r="BK90" s="89" t="s">
        <v>30</v>
      </c>
      <c r="BL90" s="19">
        <v>722</v>
      </c>
      <c r="BW90" s="19">
        <f t="shared" si="53"/>
        <v>12</v>
      </c>
      <c r="BX90" s="4" t="s">
        <v>155</v>
      </c>
    </row>
    <row r="91" spans="1:76" x14ac:dyDescent="0.25">
      <c r="A91" s="1" t="s">
        <v>609</v>
      </c>
      <c r="B91" s="2" t="s">
        <v>434</v>
      </c>
      <c r="C91" s="2" t="s">
        <v>156</v>
      </c>
      <c r="D91" s="96" t="s">
        <v>157</v>
      </c>
      <c r="E91" s="97"/>
      <c r="F91" s="2" t="s">
        <v>33</v>
      </c>
      <c r="G91" s="19">
        <f>'Rozpočet - vybrané sloupce'!I78</f>
        <v>1</v>
      </c>
      <c r="H91" s="19">
        <f>'Rozpočet - vybrané sloupce'!J78</f>
        <v>0</v>
      </c>
      <c r="I91" s="87">
        <v>12</v>
      </c>
      <c r="J91" s="19">
        <f t="shared" si="26"/>
        <v>0</v>
      </c>
      <c r="K91" s="19">
        <f t="shared" si="27"/>
        <v>0</v>
      </c>
      <c r="L91" s="19">
        <f t="shared" si="28"/>
        <v>0</v>
      </c>
      <c r="M91" s="19">
        <f t="shared" si="29"/>
        <v>0</v>
      </c>
      <c r="N91" s="19">
        <v>0</v>
      </c>
      <c r="O91" s="19">
        <f t="shared" si="30"/>
        <v>0</v>
      </c>
      <c r="P91" s="88" t="s">
        <v>531</v>
      </c>
      <c r="Z91" s="19">
        <f t="shared" si="31"/>
        <v>0</v>
      </c>
      <c r="AB91" s="19">
        <f t="shared" si="32"/>
        <v>0</v>
      </c>
      <c r="AC91" s="19">
        <f t="shared" si="33"/>
        <v>0</v>
      </c>
      <c r="AD91" s="19">
        <f t="shared" si="34"/>
        <v>0</v>
      </c>
      <c r="AE91" s="19">
        <f t="shared" si="35"/>
        <v>0</v>
      </c>
      <c r="AF91" s="19">
        <f t="shared" si="36"/>
        <v>0</v>
      </c>
      <c r="AG91" s="19">
        <f t="shared" si="37"/>
        <v>0</v>
      </c>
      <c r="AH91" s="19">
        <f t="shared" si="38"/>
        <v>0</v>
      </c>
      <c r="AI91" s="16" t="s">
        <v>434</v>
      </c>
      <c r="AJ91" s="19">
        <f t="shared" si="39"/>
        <v>0</v>
      </c>
      <c r="AK91" s="19">
        <f t="shared" si="40"/>
        <v>0</v>
      </c>
      <c r="AL91" s="19">
        <f t="shared" si="41"/>
        <v>0</v>
      </c>
      <c r="AN91" s="19">
        <v>12</v>
      </c>
      <c r="AO91" s="19">
        <f>H91*1</f>
        <v>0</v>
      </c>
      <c r="AP91" s="19">
        <f>H91*(1-1)</f>
        <v>0</v>
      </c>
      <c r="AQ91" s="89" t="s">
        <v>532</v>
      </c>
      <c r="AV91" s="19">
        <f t="shared" si="44"/>
        <v>0</v>
      </c>
      <c r="AW91" s="19">
        <f t="shared" si="45"/>
        <v>0</v>
      </c>
      <c r="AX91" s="19">
        <f t="shared" si="46"/>
        <v>0</v>
      </c>
      <c r="AY91" s="89" t="s">
        <v>575</v>
      </c>
      <c r="AZ91" s="89" t="s">
        <v>576</v>
      </c>
      <c r="BA91" s="16" t="s">
        <v>577</v>
      </c>
      <c r="BC91" s="19">
        <f t="shared" si="47"/>
        <v>0</v>
      </c>
      <c r="BD91" s="19">
        <f t="shared" si="48"/>
        <v>0</v>
      </c>
      <c r="BE91" s="19">
        <v>0</v>
      </c>
      <c r="BF91" s="19">
        <f t="shared" si="49"/>
        <v>0</v>
      </c>
      <c r="BH91" s="19">
        <f t="shared" si="50"/>
        <v>0</v>
      </c>
      <c r="BI91" s="19">
        <f t="shared" si="51"/>
        <v>0</v>
      </c>
      <c r="BJ91" s="19">
        <f t="shared" si="52"/>
        <v>0</v>
      </c>
      <c r="BK91" s="89" t="s">
        <v>53</v>
      </c>
      <c r="BL91" s="19">
        <v>722</v>
      </c>
      <c r="BW91" s="19">
        <f t="shared" si="53"/>
        <v>12</v>
      </c>
      <c r="BX91" s="4" t="s">
        <v>157</v>
      </c>
    </row>
    <row r="92" spans="1:76" x14ac:dyDescent="0.25">
      <c r="A92" s="1" t="s">
        <v>610</v>
      </c>
      <c r="B92" s="2" t="s">
        <v>434</v>
      </c>
      <c r="C92" s="2" t="s">
        <v>158</v>
      </c>
      <c r="D92" s="96" t="s">
        <v>159</v>
      </c>
      <c r="E92" s="97"/>
      <c r="F92" s="2" t="s">
        <v>33</v>
      </c>
      <c r="G92" s="19">
        <f>'Rozpočet - vybrané sloupce'!I79</f>
        <v>1</v>
      </c>
      <c r="H92" s="19">
        <f>'Rozpočet - vybrané sloupce'!J79</f>
        <v>0</v>
      </c>
      <c r="I92" s="87">
        <v>12</v>
      </c>
      <c r="J92" s="19">
        <f t="shared" si="26"/>
        <v>0</v>
      </c>
      <c r="K92" s="19">
        <f t="shared" si="27"/>
        <v>0</v>
      </c>
      <c r="L92" s="19">
        <f t="shared" si="28"/>
        <v>0</v>
      </c>
      <c r="M92" s="19">
        <f t="shared" si="29"/>
        <v>0</v>
      </c>
      <c r="N92" s="19">
        <v>0</v>
      </c>
      <c r="O92" s="19">
        <f t="shared" si="30"/>
        <v>0</v>
      </c>
      <c r="P92" s="88" t="s">
        <v>531</v>
      </c>
      <c r="Z92" s="19">
        <f t="shared" si="31"/>
        <v>0</v>
      </c>
      <c r="AB92" s="19">
        <f t="shared" si="32"/>
        <v>0</v>
      </c>
      <c r="AC92" s="19">
        <f t="shared" si="33"/>
        <v>0</v>
      </c>
      <c r="AD92" s="19">
        <f t="shared" si="34"/>
        <v>0</v>
      </c>
      <c r="AE92" s="19">
        <f t="shared" si="35"/>
        <v>0</v>
      </c>
      <c r="AF92" s="19">
        <f t="shared" si="36"/>
        <v>0</v>
      </c>
      <c r="AG92" s="19">
        <f t="shared" si="37"/>
        <v>0</v>
      </c>
      <c r="AH92" s="19">
        <f t="shared" si="38"/>
        <v>0</v>
      </c>
      <c r="AI92" s="16" t="s">
        <v>434</v>
      </c>
      <c r="AJ92" s="19">
        <f t="shared" si="39"/>
        <v>0</v>
      </c>
      <c r="AK92" s="19">
        <f t="shared" si="40"/>
        <v>0</v>
      </c>
      <c r="AL92" s="19">
        <f t="shared" si="41"/>
        <v>0</v>
      </c>
      <c r="AN92" s="19">
        <v>12</v>
      </c>
      <c r="AO92" s="19">
        <f>H92*0.06</f>
        <v>0</v>
      </c>
      <c r="AP92" s="19">
        <f>H92*(1-0.06)</f>
        <v>0</v>
      </c>
      <c r="AQ92" s="89" t="s">
        <v>532</v>
      </c>
      <c r="AV92" s="19">
        <f t="shared" si="44"/>
        <v>0</v>
      </c>
      <c r="AW92" s="19">
        <f t="shared" si="45"/>
        <v>0</v>
      </c>
      <c r="AX92" s="19">
        <f t="shared" si="46"/>
        <v>0</v>
      </c>
      <c r="AY92" s="89" t="s">
        <v>575</v>
      </c>
      <c r="AZ92" s="89" t="s">
        <v>576</v>
      </c>
      <c r="BA92" s="16" t="s">
        <v>577</v>
      </c>
      <c r="BC92" s="19">
        <f t="shared" si="47"/>
        <v>0</v>
      </c>
      <c r="BD92" s="19">
        <f t="shared" si="48"/>
        <v>0</v>
      </c>
      <c r="BE92" s="19">
        <v>0</v>
      </c>
      <c r="BF92" s="19">
        <f t="shared" si="49"/>
        <v>0</v>
      </c>
      <c r="BH92" s="19">
        <f t="shared" si="50"/>
        <v>0</v>
      </c>
      <c r="BI92" s="19">
        <f t="shared" si="51"/>
        <v>0</v>
      </c>
      <c r="BJ92" s="19">
        <f t="shared" si="52"/>
        <v>0</v>
      </c>
      <c r="BK92" s="89" t="s">
        <v>30</v>
      </c>
      <c r="BL92" s="19">
        <v>722</v>
      </c>
      <c r="BW92" s="19">
        <f t="shared" si="53"/>
        <v>12</v>
      </c>
      <c r="BX92" s="4" t="s">
        <v>159</v>
      </c>
    </row>
    <row r="93" spans="1:76" x14ac:dyDescent="0.25">
      <c r="A93" s="1" t="s">
        <v>611</v>
      </c>
      <c r="B93" s="2" t="s">
        <v>434</v>
      </c>
      <c r="C93" s="2" t="s">
        <v>160</v>
      </c>
      <c r="D93" s="96" t="s">
        <v>161</v>
      </c>
      <c r="E93" s="97"/>
      <c r="F93" s="2" t="s">
        <v>33</v>
      </c>
      <c r="G93" s="19">
        <f>'Rozpočet - vybrané sloupce'!I80</f>
        <v>1</v>
      </c>
      <c r="H93" s="19">
        <f>'Rozpočet - vybrané sloupce'!J80</f>
        <v>0</v>
      </c>
      <c r="I93" s="87">
        <v>12</v>
      </c>
      <c r="J93" s="19">
        <f t="shared" si="26"/>
        <v>0</v>
      </c>
      <c r="K93" s="19">
        <f t="shared" si="27"/>
        <v>0</v>
      </c>
      <c r="L93" s="19">
        <f t="shared" si="28"/>
        <v>0</v>
      </c>
      <c r="M93" s="19">
        <f t="shared" si="29"/>
        <v>0</v>
      </c>
      <c r="N93" s="19">
        <v>0</v>
      </c>
      <c r="O93" s="19">
        <f t="shared" si="30"/>
        <v>0</v>
      </c>
      <c r="P93" s="88" t="s">
        <v>531</v>
      </c>
      <c r="Z93" s="19">
        <f t="shared" si="31"/>
        <v>0</v>
      </c>
      <c r="AB93" s="19">
        <f t="shared" si="32"/>
        <v>0</v>
      </c>
      <c r="AC93" s="19">
        <f t="shared" si="33"/>
        <v>0</v>
      </c>
      <c r="AD93" s="19">
        <f t="shared" si="34"/>
        <v>0</v>
      </c>
      <c r="AE93" s="19">
        <f t="shared" si="35"/>
        <v>0</v>
      </c>
      <c r="AF93" s="19">
        <f t="shared" si="36"/>
        <v>0</v>
      </c>
      <c r="AG93" s="19">
        <f t="shared" si="37"/>
        <v>0</v>
      </c>
      <c r="AH93" s="19">
        <f t="shared" si="38"/>
        <v>0</v>
      </c>
      <c r="AI93" s="16" t="s">
        <v>434</v>
      </c>
      <c r="AJ93" s="19">
        <f t="shared" si="39"/>
        <v>0</v>
      </c>
      <c r="AK93" s="19">
        <f t="shared" si="40"/>
        <v>0</v>
      </c>
      <c r="AL93" s="19">
        <f t="shared" si="41"/>
        <v>0</v>
      </c>
      <c r="AN93" s="19">
        <v>12</v>
      </c>
      <c r="AO93" s="19">
        <f>H93*1</f>
        <v>0</v>
      </c>
      <c r="AP93" s="19">
        <f>H93*(1-1)</f>
        <v>0</v>
      </c>
      <c r="AQ93" s="89" t="s">
        <v>532</v>
      </c>
      <c r="AV93" s="19">
        <f t="shared" si="44"/>
        <v>0</v>
      </c>
      <c r="AW93" s="19">
        <f t="shared" si="45"/>
        <v>0</v>
      </c>
      <c r="AX93" s="19">
        <f t="shared" si="46"/>
        <v>0</v>
      </c>
      <c r="AY93" s="89" t="s">
        <v>575</v>
      </c>
      <c r="AZ93" s="89" t="s">
        <v>576</v>
      </c>
      <c r="BA93" s="16" t="s">
        <v>577</v>
      </c>
      <c r="BC93" s="19">
        <f t="shared" si="47"/>
        <v>0</v>
      </c>
      <c r="BD93" s="19">
        <f t="shared" si="48"/>
        <v>0</v>
      </c>
      <c r="BE93" s="19">
        <v>0</v>
      </c>
      <c r="BF93" s="19">
        <f t="shared" si="49"/>
        <v>0</v>
      </c>
      <c r="BH93" s="19">
        <f t="shared" si="50"/>
        <v>0</v>
      </c>
      <c r="BI93" s="19">
        <f t="shared" si="51"/>
        <v>0</v>
      </c>
      <c r="BJ93" s="19">
        <f t="shared" si="52"/>
        <v>0</v>
      </c>
      <c r="BK93" s="89" t="s">
        <v>53</v>
      </c>
      <c r="BL93" s="19">
        <v>722</v>
      </c>
      <c r="BW93" s="19">
        <f t="shared" si="53"/>
        <v>12</v>
      </c>
      <c r="BX93" s="4" t="s">
        <v>161</v>
      </c>
    </row>
    <row r="94" spans="1:76" x14ac:dyDescent="0.25">
      <c r="A94" s="1" t="s">
        <v>612</v>
      </c>
      <c r="B94" s="2" t="s">
        <v>434</v>
      </c>
      <c r="C94" s="2" t="s">
        <v>162</v>
      </c>
      <c r="D94" s="96" t="s">
        <v>163</v>
      </c>
      <c r="E94" s="97"/>
      <c r="F94" s="2" t="s">
        <v>38</v>
      </c>
      <c r="G94" s="19">
        <f>'Rozpočet - vybrané sloupce'!I81</f>
        <v>5</v>
      </c>
      <c r="H94" s="19">
        <f>'Rozpočet - vybrané sloupce'!J81</f>
        <v>0</v>
      </c>
      <c r="I94" s="87">
        <v>12</v>
      </c>
      <c r="J94" s="19">
        <f t="shared" si="26"/>
        <v>0</v>
      </c>
      <c r="K94" s="19">
        <f t="shared" si="27"/>
        <v>0</v>
      </c>
      <c r="L94" s="19">
        <f t="shared" si="28"/>
        <v>0</v>
      </c>
      <c r="M94" s="19">
        <f t="shared" si="29"/>
        <v>0</v>
      </c>
      <c r="N94" s="19">
        <v>3.8999999999999999E-4</v>
      </c>
      <c r="O94" s="19">
        <f t="shared" si="30"/>
        <v>1.9499999999999999E-3</v>
      </c>
      <c r="P94" s="88" t="s">
        <v>531</v>
      </c>
      <c r="Z94" s="19">
        <f t="shared" si="31"/>
        <v>0</v>
      </c>
      <c r="AB94" s="19">
        <f t="shared" si="32"/>
        <v>0</v>
      </c>
      <c r="AC94" s="19">
        <f t="shared" si="33"/>
        <v>0</v>
      </c>
      <c r="AD94" s="19">
        <f t="shared" si="34"/>
        <v>0</v>
      </c>
      <c r="AE94" s="19">
        <f t="shared" si="35"/>
        <v>0</v>
      </c>
      <c r="AF94" s="19">
        <f t="shared" si="36"/>
        <v>0</v>
      </c>
      <c r="AG94" s="19">
        <f t="shared" si="37"/>
        <v>0</v>
      </c>
      <c r="AH94" s="19">
        <f t="shared" si="38"/>
        <v>0</v>
      </c>
      <c r="AI94" s="16" t="s">
        <v>434</v>
      </c>
      <c r="AJ94" s="19">
        <f t="shared" si="39"/>
        <v>0</v>
      </c>
      <c r="AK94" s="19">
        <f t="shared" si="40"/>
        <v>0</v>
      </c>
      <c r="AL94" s="19">
        <f t="shared" si="41"/>
        <v>0</v>
      </c>
      <c r="AN94" s="19">
        <v>12</v>
      </c>
      <c r="AO94" s="19">
        <f>H94*0.615681394</f>
        <v>0</v>
      </c>
      <c r="AP94" s="19">
        <f>H94*(1-0.615681394)</f>
        <v>0</v>
      </c>
      <c r="AQ94" s="89" t="s">
        <v>532</v>
      </c>
      <c r="AV94" s="19">
        <f t="shared" si="44"/>
        <v>0</v>
      </c>
      <c r="AW94" s="19">
        <f t="shared" si="45"/>
        <v>0</v>
      </c>
      <c r="AX94" s="19">
        <f t="shared" si="46"/>
        <v>0</v>
      </c>
      <c r="AY94" s="89" t="s">
        <v>575</v>
      </c>
      <c r="AZ94" s="89" t="s">
        <v>576</v>
      </c>
      <c r="BA94" s="16" t="s">
        <v>577</v>
      </c>
      <c r="BC94" s="19">
        <f t="shared" si="47"/>
        <v>0</v>
      </c>
      <c r="BD94" s="19">
        <f t="shared" si="48"/>
        <v>0</v>
      </c>
      <c r="BE94" s="19">
        <v>0</v>
      </c>
      <c r="BF94" s="19">
        <f t="shared" si="49"/>
        <v>1.9499999999999999E-3</v>
      </c>
      <c r="BH94" s="19">
        <f t="shared" si="50"/>
        <v>0</v>
      </c>
      <c r="BI94" s="19">
        <f t="shared" si="51"/>
        <v>0</v>
      </c>
      <c r="BJ94" s="19">
        <f t="shared" si="52"/>
        <v>0</v>
      </c>
      <c r="BK94" s="89" t="s">
        <v>30</v>
      </c>
      <c r="BL94" s="19">
        <v>722</v>
      </c>
      <c r="BW94" s="19">
        <f t="shared" si="53"/>
        <v>12</v>
      </c>
      <c r="BX94" s="4" t="s">
        <v>163</v>
      </c>
    </row>
    <row r="95" spans="1:76" x14ac:dyDescent="0.25">
      <c r="A95" s="1" t="s">
        <v>613</v>
      </c>
      <c r="B95" s="2" t="s">
        <v>434</v>
      </c>
      <c r="C95" s="2" t="s">
        <v>164</v>
      </c>
      <c r="D95" s="96" t="s">
        <v>165</v>
      </c>
      <c r="E95" s="97"/>
      <c r="F95" s="2" t="s">
        <v>33</v>
      </c>
      <c r="G95" s="19">
        <f>'Rozpočet - vybrané sloupce'!I82</f>
        <v>2</v>
      </c>
      <c r="H95" s="19">
        <f>'Rozpočet - vybrané sloupce'!J82</f>
        <v>0</v>
      </c>
      <c r="I95" s="87">
        <v>12</v>
      </c>
      <c r="J95" s="19">
        <f t="shared" si="26"/>
        <v>0</v>
      </c>
      <c r="K95" s="19">
        <f t="shared" si="27"/>
        <v>0</v>
      </c>
      <c r="L95" s="19">
        <f t="shared" si="28"/>
        <v>0</v>
      </c>
      <c r="M95" s="19">
        <f t="shared" si="29"/>
        <v>0</v>
      </c>
      <c r="N95" s="19">
        <v>1.64E-3</v>
      </c>
      <c r="O95" s="19">
        <f t="shared" si="30"/>
        <v>3.2799999999999999E-3</v>
      </c>
      <c r="P95" s="88" t="s">
        <v>531</v>
      </c>
      <c r="Z95" s="19">
        <f t="shared" si="31"/>
        <v>0</v>
      </c>
      <c r="AB95" s="19">
        <f t="shared" si="32"/>
        <v>0</v>
      </c>
      <c r="AC95" s="19">
        <f t="shared" si="33"/>
        <v>0</v>
      </c>
      <c r="AD95" s="19">
        <f t="shared" si="34"/>
        <v>0</v>
      </c>
      <c r="AE95" s="19">
        <f t="shared" si="35"/>
        <v>0</v>
      </c>
      <c r="AF95" s="19">
        <f t="shared" si="36"/>
        <v>0</v>
      </c>
      <c r="AG95" s="19">
        <f t="shared" si="37"/>
        <v>0</v>
      </c>
      <c r="AH95" s="19">
        <f t="shared" si="38"/>
        <v>0</v>
      </c>
      <c r="AI95" s="16" t="s">
        <v>434</v>
      </c>
      <c r="AJ95" s="19">
        <f t="shared" si="39"/>
        <v>0</v>
      </c>
      <c r="AK95" s="19">
        <f t="shared" si="40"/>
        <v>0</v>
      </c>
      <c r="AL95" s="19">
        <f t="shared" si="41"/>
        <v>0</v>
      </c>
      <c r="AN95" s="19">
        <v>12</v>
      </c>
      <c r="AO95" s="19">
        <f>H95*0.428983607</f>
        <v>0</v>
      </c>
      <c r="AP95" s="19">
        <f>H95*(1-0.428983607)</f>
        <v>0</v>
      </c>
      <c r="AQ95" s="89" t="s">
        <v>532</v>
      </c>
      <c r="AV95" s="19">
        <f t="shared" si="44"/>
        <v>0</v>
      </c>
      <c r="AW95" s="19">
        <f t="shared" si="45"/>
        <v>0</v>
      </c>
      <c r="AX95" s="19">
        <f t="shared" si="46"/>
        <v>0</v>
      </c>
      <c r="AY95" s="89" t="s">
        <v>575</v>
      </c>
      <c r="AZ95" s="89" t="s">
        <v>576</v>
      </c>
      <c r="BA95" s="16" t="s">
        <v>577</v>
      </c>
      <c r="BC95" s="19">
        <f t="shared" si="47"/>
        <v>0</v>
      </c>
      <c r="BD95" s="19">
        <f t="shared" si="48"/>
        <v>0</v>
      </c>
      <c r="BE95" s="19">
        <v>0</v>
      </c>
      <c r="BF95" s="19">
        <f t="shared" si="49"/>
        <v>3.2799999999999999E-3</v>
      </c>
      <c r="BH95" s="19">
        <f t="shared" si="50"/>
        <v>0</v>
      </c>
      <c r="BI95" s="19">
        <f t="shared" si="51"/>
        <v>0</v>
      </c>
      <c r="BJ95" s="19">
        <f t="shared" si="52"/>
        <v>0</v>
      </c>
      <c r="BK95" s="89" t="s">
        <v>30</v>
      </c>
      <c r="BL95" s="19">
        <v>722</v>
      </c>
      <c r="BW95" s="19">
        <f t="shared" si="53"/>
        <v>12</v>
      </c>
      <c r="BX95" s="4" t="s">
        <v>165</v>
      </c>
    </row>
    <row r="96" spans="1:76" ht="25.5" x14ac:dyDescent="0.25">
      <c r="A96" s="90"/>
      <c r="C96" s="91" t="s">
        <v>547</v>
      </c>
      <c r="D96" s="180" t="s">
        <v>614</v>
      </c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2"/>
      <c r="BX96" s="92" t="s">
        <v>614</v>
      </c>
    </row>
    <row r="97" spans="1:76" x14ac:dyDescent="0.25">
      <c r="A97" s="1" t="s">
        <v>615</v>
      </c>
      <c r="B97" s="2" t="s">
        <v>434</v>
      </c>
      <c r="C97" s="2" t="s">
        <v>166</v>
      </c>
      <c r="D97" s="96" t="s">
        <v>167</v>
      </c>
      <c r="E97" s="97"/>
      <c r="F97" s="2" t="s">
        <v>33</v>
      </c>
      <c r="G97" s="19">
        <f>'Rozpočet - vybrané sloupce'!I83</f>
        <v>1</v>
      </c>
      <c r="H97" s="19">
        <f>'Rozpočet - vybrané sloupce'!J83</f>
        <v>0</v>
      </c>
      <c r="I97" s="87">
        <v>12</v>
      </c>
      <c r="J97" s="19">
        <f>ROUND(G97*AO97,2)</f>
        <v>0</v>
      </c>
      <c r="K97" s="19">
        <f>ROUND(G97*AP97,2)</f>
        <v>0</v>
      </c>
      <c r="L97" s="19">
        <f>ROUND(G97*H97,2)</f>
        <v>0</v>
      </c>
      <c r="M97" s="19">
        <f>L97*(1+BW97/100)</f>
        <v>0</v>
      </c>
      <c r="N97" s="19">
        <v>5.0000000000000001E-4</v>
      </c>
      <c r="O97" s="19">
        <f>G97*N97</f>
        <v>5.0000000000000001E-4</v>
      </c>
      <c r="P97" s="88" t="s">
        <v>531</v>
      </c>
      <c r="Z97" s="19">
        <f>ROUND(IF(AQ97="5",BJ97,0),2)</f>
        <v>0</v>
      </c>
      <c r="AB97" s="19">
        <f>ROUND(IF(AQ97="1",BH97,0),2)</f>
        <v>0</v>
      </c>
      <c r="AC97" s="19">
        <f>ROUND(IF(AQ97="1",BI97,0),2)</f>
        <v>0</v>
      </c>
      <c r="AD97" s="19">
        <f>ROUND(IF(AQ97="7",BH97,0),2)</f>
        <v>0</v>
      </c>
      <c r="AE97" s="19">
        <f>ROUND(IF(AQ97="7",BI97,0),2)</f>
        <v>0</v>
      </c>
      <c r="AF97" s="19">
        <f>ROUND(IF(AQ97="2",BH97,0),2)</f>
        <v>0</v>
      </c>
      <c r="AG97" s="19">
        <f>ROUND(IF(AQ97="2",BI97,0),2)</f>
        <v>0</v>
      </c>
      <c r="AH97" s="19">
        <f>ROUND(IF(AQ97="0",BJ97,0),2)</f>
        <v>0</v>
      </c>
      <c r="AI97" s="16" t="s">
        <v>434</v>
      </c>
      <c r="AJ97" s="19">
        <f>IF(AN97=0,L97,0)</f>
        <v>0</v>
      </c>
      <c r="AK97" s="19">
        <f>IF(AN97=12,L97,0)</f>
        <v>0</v>
      </c>
      <c r="AL97" s="19">
        <f>IF(AN97=21,L97,0)</f>
        <v>0</v>
      </c>
      <c r="AN97" s="19">
        <v>12</v>
      </c>
      <c r="AO97" s="19">
        <f>H97*1</f>
        <v>0</v>
      </c>
      <c r="AP97" s="19">
        <f>H97*(1-1)</f>
        <v>0</v>
      </c>
      <c r="AQ97" s="89" t="s">
        <v>532</v>
      </c>
      <c r="AV97" s="19">
        <f>ROUND(AW97+AX97,2)</f>
        <v>0</v>
      </c>
      <c r="AW97" s="19">
        <f>ROUND(G97*AO97,2)</f>
        <v>0</v>
      </c>
      <c r="AX97" s="19">
        <f>ROUND(G97*AP97,2)</f>
        <v>0</v>
      </c>
      <c r="AY97" s="89" t="s">
        <v>575</v>
      </c>
      <c r="AZ97" s="89" t="s">
        <v>576</v>
      </c>
      <c r="BA97" s="16" t="s">
        <v>577</v>
      </c>
      <c r="BC97" s="19">
        <f>AW97+AX97</f>
        <v>0</v>
      </c>
      <c r="BD97" s="19">
        <f>H97/(100-BE97)*100</f>
        <v>0</v>
      </c>
      <c r="BE97" s="19">
        <v>0</v>
      </c>
      <c r="BF97" s="19">
        <f>O97</f>
        <v>5.0000000000000001E-4</v>
      </c>
      <c r="BH97" s="19">
        <f>G97*AO97</f>
        <v>0</v>
      </c>
      <c r="BI97" s="19">
        <f>G97*AP97</f>
        <v>0</v>
      </c>
      <c r="BJ97" s="19">
        <f>G97*H97</f>
        <v>0</v>
      </c>
      <c r="BK97" s="89" t="s">
        <v>53</v>
      </c>
      <c r="BL97" s="19">
        <v>722</v>
      </c>
      <c r="BW97" s="19">
        <f>I97</f>
        <v>12</v>
      </c>
      <c r="BX97" s="4" t="s">
        <v>167</v>
      </c>
    </row>
    <row r="98" spans="1:76" ht="63.75" x14ac:dyDescent="0.25">
      <c r="A98" s="90"/>
      <c r="C98" s="91" t="s">
        <v>547</v>
      </c>
      <c r="D98" s="180" t="s">
        <v>616</v>
      </c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2"/>
      <c r="BX98" s="92" t="s">
        <v>616</v>
      </c>
    </row>
    <row r="99" spans="1:76" x14ac:dyDescent="0.25">
      <c r="A99" s="1" t="s">
        <v>617</v>
      </c>
      <c r="B99" s="2" t="s">
        <v>434</v>
      </c>
      <c r="C99" s="2" t="s">
        <v>168</v>
      </c>
      <c r="D99" s="96" t="s">
        <v>169</v>
      </c>
      <c r="E99" s="97"/>
      <c r="F99" s="2" t="s">
        <v>33</v>
      </c>
      <c r="G99" s="19">
        <f>'Rozpočet - vybrané sloupce'!I84</f>
        <v>1</v>
      </c>
      <c r="H99" s="19">
        <f>'Rozpočet - vybrané sloupce'!J84</f>
        <v>0</v>
      </c>
      <c r="I99" s="87">
        <v>12</v>
      </c>
      <c r="J99" s="19">
        <f>ROUND(G99*AO99,2)</f>
        <v>0</v>
      </c>
      <c r="K99" s="19">
        <f>ROUND(G99*AP99,2)</f>
        <v>0</v>
      </c>
      <c r="L99" s="19">
        <f>ROUND(G99*H99,2)</f>
        <v>0</v>
      </c>
      <c r="M99" s="19">
        <f>L99*(1+BW99/100)</f>
        <v>0</v>
      </c>
      <c r="N99" s="19">
        <v>5.0000000000000001E-4</v>
      </c>
      <c r="O99" s="19">
        <f>G99*N99</f>
        <v>5.0000000000000001E-4</v>
      </c>
      <c r="P99" s="88" t="s">
        <v>531</v>
      </c>
      <c r="Z99" s="19">
        <f>ROUND(IF(AQ99="5",BJ99,0),2)</f>
        <v>0</v>
      </c>
      <c r="AB99" s="19">
        <f>ROUND(IF(AQ99="1",BH99,0),2)</f>
        <v>0</v>
      </c>
      <c r="AC99" s="19">
        <f>ROUND(IF(AQ99="1",BI99,0),2)</f>
        <v>0</v>
      </c>
      <c r="AD99" s="19">
        <f>ROUND(IF(AQ99="7",BH99,0),2)</f>
        <v>0</v>
      </c>
      <c r="AE99" s="19">
        <f>ROUND(IF(AQ99="7",BI99,0),2)</f>
        <v>0</v>
      </c>
      <c r="AF99" s="19">
        <f>ROUND(IF(AQ99="2",BH99,0),2)</f>
        <v>0</v>
      </c>
      <c r="AG99" s="19">
        <f>ROUND(IF(AQ99="2",BI99,0),2)</f>
        <v>0</v>
      </c>
      <c r="AH99" s="19">
        <f>ROUND(IF(AQ99="0",BJ99,0),2)</f>
        <v>0</v>
      </c>
      <c r="AI99" s="16" t="s">
        <v>434</v>
      </c>
      <c r="AJ99" s="19">
        <f>IF(AN99=0,L99,0)</f>
        <v>0</v>
      </c>
      <c r="AK99" s="19">
        <f>IF(AN99=12,L99,0)</f>
        <v>0</v>
      </c>
      <c r="AL99" s="19">
        <f>IF(AN99=21,L99,0)</f>
        <v>0</v>
      </c>
      <c r="AN99" s="19">
        <v>12</v>
      </c>
      <c r="AO99" s="19">
        <f>H99*1</f>
        <v>0</v>
      </c>
      <c r="AP99" s="19">
        <f>H99*(1-1)</f>
        <v>0</v>
      </c>
      <c r="AQ99" s="89" t="s">
        <v>532</v>
      </c>
      <c r="AV99" s="19">
        <f>ROUND(AW99+AX99,2)</f>
        <v>0</v>
      </c>
      <c r="AW99" s="19">
        <f>ROUND(G99*AO99,2)</f>
        <v>0</v>
      </c>
      <c r="AX99" s="19">
        <f>ROUND(G99*AP99,2)</f>
        <v>0</v>
      </c>
      <c r="AY99" s="89" t="s">
        <v>575</v>
      </c>
      <c r="AZ99" s="89" t="s">
        <v>576</v>
      </c>
      <c r="BA99" s="16" t="s">
        <v>577</v>
      </c>
      <c r="BC99" s="19">
        <f>AW99+AX99</f>
        <v>0</v>
      </c>
      <c r="BD99" s="19">
        <f>H99/(100-BE99)*100</f>
        <v>0</v>
      </c>
      <c r="BE99" s="19">
        <v>0</v>
      </c>
      <c r="BF99" s="19">
        <f>O99</f>
        <v>5.0000000000000001E-4</v>
      </c>
      <c r="BH99" s="19">
        <f>G99*AO99</f>
        <v>0</v>
      </c>
      <c r="BI99" s="19">
        <f>G99*AP99</f>
        <v>0</v>
      </c>
      <c r="BJ99" s="19">
        <f>G99*H99</f>
        <v>0</v>
      </c>
      <c r="BK99" s="89" t="s">
        <v>53</v>
      </c>
      <c r="BL99" s="19">
        <v>722</v>
      </c>
      <c r="BW99" s="19">
        <f>I99</f>
        <v>12</v>
      </c>
      <c r="BX99" s="4" t="s">
        <v>169</v>
      </c>
    </row>
    <row r="100" spans="1:76" ht="63.75" x14ac:dyDescent="0.25">
      <c r="A100" s="90"/>
      <c r="C100" s="91" t="s">
        <v>547</v>
      </c>
      <c r="D100" s="180" t="s">
        <v>616</v>
      </c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2"/>
      <c r="BX100" s="92" t="s">
        <v>616</v>
      </c>
    </row>
    <row r="101" spans="1:76" x14ac:dyDescent="0.25">
      <c r="A101" s="1" t="s">
        <v>618</v>
      </c>
      <c r="B101" s="2" t="s">
        <v>434</v>
      </c>
      <c r="C101" s="2" t="s">
        <v>170</v>
      </c>
      <c r="D101" s="96" t="s">
        <v>171</v>
      </c>
      <c r="E101" s="97"/>
      <c r="F101" s="2" t="s">
        <v>38</v>
      </c>
      <c r="G101" s="19">
        <f>'Rozpočet - vybrané sloupce'!I85</f>
        <v>2</v>
      </c>
      <c r="H101" s="19">
        <f>'Rozpočet - vybrané sloupce'!J85</f>
        <v>0</v>
      </c>
      <c r="I101" s="87">
        <v>12</v>
      </c>
      <c r="J101" s="19">
        <f>ROUND(G101*AO101,2)</f>
        <v>0</v>
      </c>
      <c r="K101" s="19">
        <f>ROUND(G101*AP101,2)</f>
        <v>0</v>
      </c>
      <c r="L101" s="19">
        <f>ROUND(G101*H101,2)</f>
        <v>0</v>
      </c>
      <c r="M101" s="19">
        <f>L101*(1+BW101/100)</f>
        <v>0</v>
      </c>
      <c r="N101" s="19">
        <v>8.0000000000000007E-5</v>
      </c>
      <c r="O101" s="19">
        <f>G101*N101</f>
        <v>1.6000000000000001E-4</v>
      </c>
      <c r="P101" s="88" t="s">
        <v>531</v>
      </c>
      <c r="Z101" s="19">
        <f>ROUND(IF(AQ101="5",BJ101,0),2)</f>
        <v>0</v>
      </c>
      <c r="AB101" s="19">
        <f>ROUND(IF(AQ101="1",BH101,0),2)</f>
        <v>0</v>
      </c>
      <c r="AC101" s="19">
        <f>ROUND(IF(AQ101="1",BI101,0),2)</f>
        <v>0</v>
      </c>
      <c r="AD101" s="19">
        <f>ROUND(IF(AQ101="7",BH101,0),2)</f>
        <v>0</v>
      </c>
      <c r="AE101" s="19">
        <f>ROUND(IF(AQ101="7",BI101,0),2)</f>
        <v>0</v>
      </c>
      <c r="AF101" s="19">
        <f>ROUND(IF(AQ101="2",BH101,0),2)</f>
        <v>0</v>
      </c>
      <c r="AG101" s="19">
        <f>ROUND(IF(AQ101="2",BI101,0),2)</f>
        <v>0</v>
      </c>
      <c r="AH101" s="19">
        <f>ROUND(IF(AQ101="0",BJ101,0),2)</f>
        <v>0</v>
      </c>
      <c r="AI101" s="16" t="s">
        <v>434</v>
      </c>
      <c r="AJ101" s="19">
        <f>IF(AN101=0,L101,0)</f>
        <v>0</v>
      </c>
      <c r="AK101" s="19">
        <f>IF(AN101=12,L101,0)</f>
        <v>0</v>
      </c>
      <c r="AL101" s="19">
        <f>IF(AN101=21,L101,0)</f>
        <v>0</v>
      </c>
      <c r="AN101" s="19">
        <v>12</v>
      </c>
      <c r="AO101" s="19">
        <f>H101*0.305617978</f>
        <v>0</v>
      </c>
      <c r="AP101" s="19">
        <f>H101*(1-0.305617978)</f>
        <v>0</v>
      </c>
      <c r="AQ101" s="89" t="s">
        <v>532</v>
      </c>
      <c r="AV101" s="19">
        <f>ROUND(AW101+AX101,2)</f>
        <v>0</v>
      </c>
      <c r="AW101" s="19">
        <f>ROUND(G101*AO101,2)</f>
        <v>0</v>
      </c>
      <c r="AX101" s="19">
        <f>ROUND(G101*AP101,2)</f>
        <v>0</v>
      </c>
      <c r="AY101" s="89" t="s">
        <v>575</v>
      </c>
      <c r="AZ101" s="89" t="s">
        <v>576</v>
      </c>
      <c r="BA101" s="16" t="s">
        <v>577</v>
      </c>
      <c r="BC101" s="19">
        <f>AW101+AX101</f>
        <v>0</v>
      </c>
      <c r="BD101" s="19">
        <f>H101/(100-BE101)*100</f>
        <v>0</v>
      </c>
      <c r="BE101" s="19">
        <v>0</v>
      </c>
      <c r="BF101" s="19">
        <f>O101</f>
        <v>1.6000000000000001E-4</v>
      </c>
      <c r="BH101" s="19">
        <f>G101*AO101</f>
        <v>0</v>
      </c>
      <c r="BI101" s="19">
        <f>G101*AP101</f>
        <v>0</v>
      </c>
      <c r="BJ101" s="19">
        <f>G101*H101</f>
        <v>0</v>
      </c>
      <c r="BK101" s="89" t="s">
        <v>30</v>
      </c>
      <c r="BL101" s="19">
        <v>722</v>
      </c>
      <c r="BW101" s="19">
        <f>I101</f>
        <v>12</v>
      </c>
      <c r="BX101" s="4" t="s">
        <v>171</v>
      </c>
    </row>
    <row r="102" spans="1:76" x14ac:dyDescent="0.25">
      <c r="A102" s="1" t="s">
        <v>619</v>
      </c>
      <c r="B102" s="2" t="s">
        <v>434</v>
      </c>
      <c r="C102" s="2" t="s">
        <v>172</v>
      </c>
      <c r="D102" s="96" t="s">
        <v>173</v>
      </c>
      <c r="E102" s="97"/>
      <c r="F102" s="2" t="s">
        <v>33</v>
      </c>
      <c r="G102" s="19">
        <f>'Rozpočet - vybrané sloupce'!I86</f>
        <v>2</v>
      </c>
      <c r="H102" s="19">
        <f>'Rozpočet - vybrané sloupce'!J86</f>
        <v>0</v>
      </c>
      <c r="I102" s="87">
        <v>12</v>
      </c>
      <c r="J102" s="19">
        <f>ROUND(G102*AO102,2)</f>
        <v>0</v>
      </c>
      <c r="K102" s="19">
        <f>ROUND(G102*AP102,2)</f>
        <v>0</v>
      </c>
      <c r="L102" s="19">
        <f>ROUND(G102*H102,2)</f>
        <v>0</v>
      </c>
      <c r="M102" s="19">
        <f>L102*(1+BW102/100)</f>
        <v>0</v>
      </c>
      <c r="N102" s="19">
        <v>3.5E-4</v>
      </c>
      <c r="O102" s="19">
        <f>G102*N102</f>
        <v>6.9999999999999999E-4</v>
      </c>
      <c r="P102" s="88" t="s">
        <v>531</v>
      </c>
      <c r="Z102" s="19">
        <f>ROUND(IF(AQ102="5",BJ102,0),2)</f>
        <v>0</v>
      </c>
      <c r="AB102" s="19">
        <f>ROUND(IF(AQ102="1",BH102,0),2)</f>
        <v>0</v>
      </c>
      <c r="AC102" s="19">
        <f>ROUND(IF(AQ102="1",BI102,0),2)</f>
        <v>0</v>
      </c>
      <c r="AD102" s="19">
        <f>ROUND(IF(AQ102="7",BH102,0),2)</f>
        <v>0</v>
      </c>
      <c r="AE102" s="19">
        <f>ROUND(IF(AQ102="7",BI102,0),2)</f>
        <v>0</v>
      </c>
      <c r="AF102" s="19">
        <f>ROUND(IF(AQ102="2",BH102,0),2)</f>
        <v>0</v>
      </c>
      <c r="AG102" s="19">
        <f>ROUND(IF(AQ102="2",BI102,0),2)</f>
        <v>0</v>
      </c>
      <c r="AH102" s="19">
        <f>ROUND(IF(AQ102="0",BJ102,0),2)</f>
        <v>0</v>
      </c>
      <c r="AI102" s="16" t="s">
        <v>434</v>
      </c>
      <c r="AJ102" s="19">
        <f>IF(AN102=0,L102,0)</f>
        <v>0</v>
      </c>
      <c r="AK102" s="19">
        <f>IF(AN102=12,L102,0)</f>
        <v>0</v>
      </c>
      <c r="AL102" s="19">
        <f>IF(AN102=21,L102,0)</f>
        <v>0</v>
      </c>
      <c r="AN102" s="19">
        <v>12</v>
      </c>
      <c r="AO102" s="19">
        <f>H102*1</f>
        <v>0</v>
      </c>
      <c r="AP102" s="19">
        <f>H102*(1-1)</f>
        <v>0</v>
      </c>
      <c r="AQ102" s="89" t="s">
        <v>532</v>
      </c>
      <c r="AV102" s="19">
        <f>ROUND(AW102+AX102,2)</f>
        <v>0</v>
      </c>
      <c r="AW102" s="19">
        <f>ROUND(G102*AO102,2)</f>
        <v>0</v>
      </c>
      <c r="AX102" s="19">
        <f>ROUND(G102*AP102,2)</f>
        <v>0</v>
      </c>
      <c r="AY102" s="89" t="s">
        <v>575</v>
      </c>
      <c r="AZ102" s="89" t="s">
        <v>576</v>
      </c>
      <c r="BA102" s="16" t="s">
        <v>577</v>
      </c>
      <c r="BC102" s="19">
        <f>AW102+AX102</f>
        <v>0</v>
      </c>
      <c r="BD102" s="19">
        <f>H102/(100-BE102)*100</f>
        <v>0</v>
      </c>
      <c r="BE102" s="19">
        <v>0</v>
      </c>
      <c r="BF102" s="19">
        <f>O102</f>
        <v>6.9999999999999999E-4</v>
      </c>
      <c r="BH102" s="19">
        <f>G102*AO102</f>
        <v>0</v>
      </c>
      <c r="BI102" s="19">
        <f>G102*AP102</f>
        <v>0</v>
      </c>
      <c r="BJ102" s="19">
        <f>G102*H102</f>
        <v>0</v>
      </c>
      <c r="BK102" s="89" t="s">
        <v>53</v>
      </c>
      <c r="BL102" s="19">
        <v>722</v>
      </c>
      <c r="BW102" s="19">
        <f>I102</f>
        <v>12</v>
      </c>
      <c r="BX102" s="4" t="s">
        <v>173</v>
      </c>
    </row>
    <row r="103" spans="1:76" ht="25.5" x14ac:dyDescent="0.25">
      <c r="A103" s="90"/>
      <c r="C103" s="91" t="s">
        <v>547</v>
      </c>
      <c r="D103" s="180" t="s">
        <v>620</v>
      </c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2"/>
      <c r="BX103" s="92" t="s">
        <v>620</v>
      </c>
    </row>
    <row r="104" spans="1:76" x14ac:dyDescent="0.25">
      <c r="A104" s="1" t="s">
        <v>621</v>
      </c>
      <c r="B104" s="2" t="s">
        <v>434</v>
      </c>
      <c r="C104" s="2" t="s">
        <v>174</v>
      </c>
      <c r="D104" s="96" t="s">
        <v>175</v>
      </c>
      <c r="E104" s="97"/>
      <c r="F104" s="2" t="s">
        <v>29</v>
      </c>
      <c r="G104" s="19">
        <f>'Rozpočet - vybrané sloupce'!I87</f>
        <v>65</v>
      </c>
      <c r="H104" s="19">
        <f>'Rozpočet - vybrané sloupce'!J87</f>
        <v>0</v>
      </c>
      <c r="I104" s="87">
        <v>12</v>
      </c>
      <c r="J104" s="19">
        <f>ROUND(G104*AO104,2)</f>
        <v>0</v>
      </c>
      <c r="K104" s="19">
        <f>ROUND(G104*AP104,2)</f>
        <v>0</v>
      </c>
      <c r="L104" s="19">
        <f>ROUND(G104*H104,2)</f>
        <v>0</v>
      </c>
      <c r="M104" s="19">
        <f>L104*(1+BW104/100)</f>
        <v>0</v>
      </c>
      <c r="N104" s="19">
        <v>0</v>
      </c>
      <c r="O104" s="19">
        <f>G104*N104</f>
        <v>0</v>
      </c>
      <c r="P104" s="88" t="s">
        <v>531</v>
      </c>
      <c r="Z104" s="19">
        <f>ROUND(IF(AQ104="5",BJ104,0),2)</f>
        <v>0</v>
      </c>
      <c r="AB104" s="19">
        <f>ROUND(IF(AQ104="1",BH104,0),2)</f>
        <v>0</v>
      </c>
      <c r="AC104" s="19">
        <f>ROUND(IF(AQ104="1",BI104,0),2)</f>
        <v>0</v>
      </c>
      <c r="AD104" s="19">
        <f>ROUND(IF(AQ104="7",BH104,0),2)</f>
        <v>0</v>
      </c>
      <c r="AE104" s="19">
        <f>ROUND(IF(AQ104="7",BI104,0),2)</f>
        <v>0</v>
      </c>
      <c r="AF104" s="19">
        <f>ROUND(IF(AQ104="2",BH104,0),2)</f>
        <v>0</v>
      </c>
      <c r="AG104" s="19">
        <f>ROUND(IF(AQ104="2",BI104,0),2)</f>
        <v>0</v>
      </c>
      <c r="AH104" s="19">
        <f>ROUND(IF(AQ104="0",BJ104,0),2)</f>
        <v>0</v>
      </c>
      <c r="AI104" s="16" t="s">
        <v>434</v>
      </c>
      <c r="AJ104" s="19">
        <f>IF(AN104=0,L104,0)</f>
        <v>0</v>
      </c>
      <c r="AK104" s="19">
        <f>IF(AN104=12,L104,0)</f>
        <v>0</v>
      </c>
      <c r="AL104" s="19">
        <f>IF(AN104=21,L104,0)</f>
        <v>0</v>
      </c>
      <c r="AN104" s="19">
        <v>12</v>
      </c>
      <c r="AO104" s="19">
        <f>H104*0.013521545</f>
        <v>0</v>
      </c>
      <c r="AP104" s="19">
        <f>H104*(1-0.013521545)</f>
        <v>0</v>
      </c>
      <c r="AQ104" s="89" t="s">
        <v>532</v>
      </c>
      <c r="AV104" s="19">
        <f>ROUND(AW104+AX104,2)</f>
        <v>0</v>
      </c>
      <c r="AW104" s="19">
        <f>ROUND(G104*AO104,2)</f>
        <v>0</v>
      </c>
      <c r="AX104" s="19">
        <f>ROUND(G104*AP104,2)</f>
        <v>0</v>
      </c>
      <c r="AY104" s="89" t="s">
        <v>575</v>
      </c>
      <c r="AZ104" s="89" t="s">
        <v>576</v>
      </c>
      <c r="BA104" s="16" t="s">
        <v>577</v>
      </c>
      <c r="BC104" s="19">
        <f>AW104+AX104</f>
        <v>0</v>
      </c>
      <c r="BD104" s="19">
        <f>H104/(100-BE104)*100</f>
        <v>0</v>
      </c>
      <c r="BE104" s="19">
        <v>0</v>
      </c>
      <c r="BF104" s="19">
        <f>O104</f>
        <v>0</v>
      </c>
      <c r="BH104" s="19">
        <f>G104*AO104</f>
        <v>0</v>
      </c>
      <c r="BI104" s="19">
        <f>G104*AP104</f>
        <v>0</v>
      </c>
      <c r="BJ104" s="19">
        <f>G104*H104</f>
        <v>0</v>
      </c>
      <c r="BK104" s="89" t="s">
        <v>30</v>
      </c>
      <c r="BL104" s="19">
        <v>722</v>
      </c>
      <c r="BW104" s="19">
        <f>I104</f>
        <v>12</v>
      </c>
      <c r="BX104" s="4" t="s">
        <v>175</v>
      </c>
    </row>
    <row r="105" spans="1:76" x14ac:dyDescent="0.25">
      <c r="A105" s="1" t="s">
        <v>622</v>
      </c>
      <c r="B105" s="2" t="s">
        <v>434</v>
      </c>
      <c r="C105" s="2" t="s">
        <v>176</v>
      </c>
      <c r="D105" s="96" t="s">
        <v>177</v>
      </c>
      <c r="E105" s="97"/>
      <c r="F105" s="2" t="s">
        <v>29</v>
      </c>
      <c r="G105" s="19">
        <f>'Rozpočet - vybrané sloupce'!I88</f>
        <v>70</v>
      </c>
      <c r="H105" s="19">
        <f>'Rozpočet - vybrané sloupce'!J88</f>
        <v>0</v>
      </c>
      <c r="I105" s="87">
        <v>12</v>
      </c>
      <c r="J105" s="19">
        <f>ROUND(G105*AO105,2)</f>
        <v>0</v>
      </c>
      <c r="K105" s="19">
        <f>ROUND(G105*AP105,2)</f>
        <v>0</v>
      </c>
      <c r="L105" s="19">
        <f>ROUND(G105*H105,2)</f>
        <v>0</v>
      </c>
      <c r="M105" s="19">
        <f>L105*(1+BW105/100)</f>
        <v>0</v>
      </c>
      <c r="N105" s="19">
        <v>0</v>
      </c>
      <c r="O105" s="19">
        <f>G105*N105</f>
        <v>0</v>
      </c>
      <c r="P105" s="88" t="s">
        <v>531</v>
      </c>
      <c r="Z105" s="19">
        <f>ROUND(IF(AQ105="5",BJ105,0),2)</f>
        <v>0</v>
      </c>
      <c r="AB105" s="19">
        <f>ROUND(IF(AQ105="1",BH105,0),2)</f>
        <v>0</v>
      </c>
      <c r="AC105" s="19">
        <f>ROUND(IF(AQ105="1",BI105,0),2)</f>
        <v>0</v>
      </c>
      <c r="AD105" s="19">
        <f>ROUND(IF(AQ105="7",BH105,0),2)</f>
        <v>0</v>
      </c>
      <c r="AE105" s="19">
        <f>ROUND(IF(AQ105="7",BI105,0),2)</f>
        <v>0</v>
      </c>
      <c r="AF105" s="19">
        <f>ROUND(IF(AQ105="2",BH105,0),2)</f>
        <v>0</v>
      </c>
      <c r="AG105" s="19">
        <f>ROUND(IF(AQ105="2",BI105,0),2)</f>
        <v>0</v>
      </c>
      <c r="AH105" s="19">
        <f>ROUND(IF(AQ105="0",BJ105,0),2)</f>
        <v>0</v>
      </c>
      <c r="AI105" s="16" t="s">
        <v>434</v>
      </c>
      <c r="AJ105" s="19">
        <f>IF(AN105=0,L105,0)</f>
        <v>0</v>
      </c>
      <c r="AK105" s="19">
        <f>IF(AN105=12,L105,0)</f>
        <v>0</v>
      </c>
      <c r="AL105" s="19">
        <f>IF(AN105=21,L105,0)</f>
        <v>0</v>
      </c>
      <c r="AN105" s="19">
        <v>12</v>
      </c>
      <c r="AO105" s="19">
        <f>H105*0.015384615</f>
        <v>0</v>
      </c>
      <c r="AP105" s="19">
        <f>H105*(1-0.015384615)</f>
        <v>0</v>
      </c>
      <c r="AQ105" s="89" t="s">
        <v>532</v>
      </c>
      <c r="AV105" s="19">
        <f>ROUND(AW105+AX105,2)</f>
        <v>0</v>
      </c>
      <c r="AW105" s="19">
        <f>ROUND(G105*AO105,2)</f>
        <v>0</v>
      </c>
      <c r="AX105" s="19">
        <f>ROUND(G105*AP105,2)</f>
        <v>0</v>
      </c>
      <c r="AY105" s="89" t="s">
        <v>575</v>
      </c>
      <c r="AZ105" s="89" t="s">
        <v>576</v>
      </c>
      <c r="BA105" s="16" t="s">
        <v>577</v>
      </c>
      <c r="BC105" s="19">
        <f>AW105+AX105</f>
        <v>0</v>
      </c>
      <c r="BD105" s="19">
        <f>H105/(100-BE105)*100</f>
        <v>0</v>
      </c>
      <c r="BE105" s="19">
        <v>0</v>
      </c>
      <c r="BF105" s="19">
        <f>O105</f>
        <v>0</v>
      </c>
      <c r="BH105" s="19">
        <f>G105*AO105</f>
        <v>0</v>
      </c>
      <c r="BI105" s="19">
        <f>G105*AP105</f>
        <v>0</v>
      </c>
      <c r="BJ105" s="19">
        <f>G105*H105</f>
        <v>0</v>
      </c>
      <c r="BK105" s="89" t="s">
        <v>30</v>
      </c>
      <c r="BL105" s="19">
        <v>722</v>
      </c>
      <c r="BW105" s="19">
        <f>I105</f>
        <v>12</v>
      </c>
      <c r="BX105" s="4" t="s">
        <v>177</v>
      </c>
    </row>
    <row r="106" spans="1:76" x14ac:dyDescent="0.25">
      <c r="A106" s="1" t="s">
        <v>623</v>
      </c>
      <c r="B106" s="2" t="s">
        <v>434</v>
      </c>
      <c r="C106" s="2" t="s">
        <v>178</v>
      </c>
      <c r="D106" s="96" t="s">
        <v>179</v>
      </c>
      <c r="E106" s="97"/>
      <c r="F106" s="2" t="s">
        <v>29</v>
      </c>
      <c r="G106" s="19">
        <f>'Rozpočet - vybrané sloupce'!I89</f>
        <v>48</v>
      </c>
      <c r="H106" s="19">
        <f>'Rozpočet - vybrané sloupce'!J89</f>
        <v>0</v>
      </c>
      <c r="I106" s="87">
        <v>12</v>
      </c>
      <c r="J106" s="19">
        <f>ROUND(G106*AO106,2)</f>
        <v>0</v>
      </c>
      <c r="K106" s="19">
        <f>ROUND(G106*AP106,2)</f>
        <v>0</v>
      </c>
      <c r="L106" s="19">
        <f>ROUND(G106*H106,2)</f>
        <v>0</v>
      </c>
      <c r="M106" s="19">
        <f>L106*(1+BW106/100)</f>
        <v>0</v>
      </c>
      <c r="N106" s="19">
        <v>0</v>
      </c>
      <c r="O106" s="19">
        <f>G106*N106</f>
        <v>0</v>
      </c>
      <c r="P106" s="88" t="s">
        <v>531</v>
      </c>
      <c r="Z106" s="19">
        <f>ROUND(IF(AQ106="5",BJ106,0),2)</f>
        <v>0</v>
      </c>
      <c r="AB106" s="19">
        <f>ROUND(IF(AQ106="1",BH106,0),2)</f>
        <v>0</v>
      </c>
      <c r="AC106" s="19">
        <f>ROUND(IF(AQ106="1",BI106,0),2)</f>
        <v>0</v>
      </c>
      <c r="AD106" s="19">
        <f>ROUND(IF(AQ106="7",BH106,0),2)</f>
        <v>0</v>
      </c>
      <c r="AE106" s="19">
        <f>ROUND(IF(AQ106="7",BI106,0),2)</f>
        <v>0</v>
      </c>
      <c r="AF106" s="19">
        <f>ROUND(IF(AQ106="2",BH106,0),2)</f>
        <v>0</v>
      </c>
      <c r="AG106" s="19">
        <f>ROUND(IF(AQ106="2",BI106,0),2)</f>
        <v>0</v>
      </c>
      <c r="AH106" s="19">
        <f>ROUND(IF(AQ106="0",BJ106,0),2)</f>
        <v>0</v>
      </c>
      <c r="AI106" s="16" t="s">
        <v>434</v>
      </c>
      <c r="AJ106" s="19">
        <f>IF(AN106=0,L106,0)</f>
        <v>0</v>
      </c>
      <c r="AK106" s="19">
        <f>IF(AN106=12,L106,0)</f>
        <v>0</v>
      </c>
      <c r="AL106" s="19">
        <f>IF(AN106=21,L106,0)</f>
        <v>0</v>
      </c>
      <c r="AN106" s="19">
        <v>12</v>
      </c>
      <c r="AO106" s="19">
        <f>H106*0.017937716</f>
        <v>0</v>
      </c>
      <c r="AP106" s="19">
        <f>H106*(1-0.017937716)</f>
        <v>0</v>
      </c>
      <c r="AQ106" s="89" t="s">
        <v>532</v>
      </c>
      <c r="AV106" s="19">
        <f>ROUND(AW106+AX106,2)</f>
        <v>0</v>
      </c>
      <c r="AW106" s="19">
        <f>ROUND(G106*AO106,2)</f>
        <v>0</v>
      </c>
      <c r="AX106" s="19">
        <f>ROUND(G106*AP106,2)</f>
        <v>0</v>
      </c>
      <c r="AY106" s="89" t="s">
        <v>575</v>
      </c>
      <c r="AZ106" s="89" t="s">
        <v>576</v>
      </c>
      <c r="BA106" s="16" t="s">
        <v>577</v>
      </c>
      <c r="BC106" s="19">
        <f>AW106+AX106</f>
        <v>0</v>
      </c>
      <c r="BD106" s="19">
        <f>H106/(100-BE106)*100</f>
        <v>0</v>
      </c>
      <c r="BE106" s="19">
        <v>0</v>
      </c>
      <c r="BF106" s="19">
        <f>O106</f>
        <v>0</v>
      </c>
      <c r="BH106" s="19">
        <f>G106*AO106</f>
        <v>0</v>
      </c>
      <c r="BI106" s="19">
        <f>G106*AP106</f>
        <v>0</v>
      </c>
      <c r="BJ106" s="19">
        <f>G106*H106</f>
        <v>0</v>
      </c>
      <c r="BK106" s="89" t="s">
        <v>30</v>
      </c>
      <c r="BL106" s="19">
        <v>722</v>
      </c>
      <c r="BW106" s="19">
        <f>I106</f>
        <v>12</v>
      </c>
      <c r="BX106" s="4" t="s">
        <v>179</v>
      </c>
    </row>
    <row r="107" spans="1:76" x14ac:dyDescent="0.25">
      <c r="A107" s="1" t="s">
        <v>624</v>
      </c>
      <c r="B107" s="2" t="s">
        <v>434</v>
      </c>
      <c r="C107" s="2" t="s">
        <v>180</v>
      </c>
      <c r="D107" s="96" t="s">
        <v>181</v>
      </c>
      <c r="E107" s="97"/>
      <c r="F107" s="2" t="s">
        <v>90</v>
      </c>
      <c r="G107" s="19">
        <f>'Rozpočet - vybrané sloupce'!I90</f>
        <v>0.2</v>
      </c>
      <c r="H107" s="19">
        <f>'Rozpočet - vybrané sloupce'!J90</f>
        <v>0</v>
      </c>
      <c r="I107" s="87">
        <v>12</v>
      </c>
      <c r="J107" s="19">
        <f>ROUND(G107*AO107,2)</f>
        <v>0</v>
      </c>
      <c r="K107" s="19">
        <f>ROUND(G107*AP107,2)</f>
        <v>0</v>
      </c>
      <c r="L107" s="19">
        <f>ROUND(G107*H107,2)</f>
        <v>0</v>
      </c>
      <c r="M107" s="19">
        <f>L107*(1+BW107/100)</f>
        <v>0</v>
      </c>
      <c r="N107" s="19">
        <v>0</v>
      </c>
      <c r="O107" s="19">
        <f>G107*N107</f>
        <v>0</v>
      </c>
      <c r="P107" s="88" t="s">
        <v>531</v>
      </c>
      <c r="Z107" s="19">
        <f>ROUND(IF(AQ107="5",BJ107,0),2)</f>
        <v>0</v>
      </c>
      <c r="AB107" s="19">
        <f>ROUND(IF(AQ107="1",BH107,0),2)</f>
        <v>0</v>
      </c>
      <c r="AC107" s="19">
        <f>ROUND(IF(AQ107="1",BI107,0),2)</f>
        <v>0</v>
      </c>
      <c r="AD107" s="19">
        <f>ROUND(IF(AQ107="7",BH107,0),2)</f>
        <v>0</v>
      </c>
      <c r="AE107" s="19">
        <f>ROUND(IF(AQ107="7",BI107,0),2)</f>
        <v>0</v>
      </c>
      <c r="AF107" s="19">
        <f>ROUND(IF(AQ107="2",BH107,0),2)</f>
        <v>0</v>
      </c>
      <c r="AG107" s="19">
        <f>ROUND(IF(AQ107="2",BI107,0),2)</f>
        <v>0</v>
      </c>
      <c r="AH107" s="19">
        <f>ROUND(IF(AQ107="0",BJ107,0),2)</f>
        <v>0</v>
      </c>
      <c r="AI107" s="16" t="s">
        <v>434</v>
      </c>
      <c r="AJ107" s="19">
        <f>IF(AN107=0,L107,0)</f>
        <v>0</v>
      </c>
      <c r="AK107" s="19">
        <f>IF(AN107=12,L107,0)</f>
        <v>0</v>
      </c>
      <c r="AL107" s="19">
        <f>IF(AN107=21,L107,0)</f>
        <v>0</v>
      </c>
      <c r="AN107" s="19">
        <v>12</v>
      </c>
      <c r="AO107" s="19">
        <f>H107*0</f>
        <v>0</v>
      </c>
      <c r="AP107" s="19">
        <f>H107*(1-0)</f>
        <v>0</v>
      </c>
      <c r="AQ107" s="89" t="s">
        <v>532</v>
      </c>
      <c r="AV107" s="19">
        <f>ROUND(AW107+AX107,2)</f>
        <v>0</v>
      </c>
      <c r="AW107" s="19">
        <f>ROUND(G107*AO107,2)</f>
        <v>0</v>
      </c>
      <c r="AX107" s="19">
        <f>ROUND(G107*AP107,2)</f>
        <v>0</v>
      </c>
      <c r="AY107" s="89" t="s">
        <v>575</v>
      </c>
      <c r="AZ107" s="89" t="s">
        <v>576</v>
      </c>
      <c r="BA107" s="16" t="s">
        <v>577</v>
      </c>
      <c r="BC107" s="19">
        <f>AW107+AX107</f>
        <v>0</v>
      </c>
      <c r="BD107" s="19">
        <f>H107/(100-BE107)*100</f>
        <v>0</v>
      </c>
      <c r="BE107" s="19">
        <v>0</v>
      </c>
      <c r="BF107" s="19">
        <f>O107</f>
        <v>0</v>
      </c>
      <c r="BH107" s="19">
        <f>G107*AO107</f>
        <v>0</v>
      </c>
      <c r="BI107" s="19">
        <f>G107*AP107</f>
        <v>0</v>
      </c>
      <c r="BJ107" s="19">
        <f>G107*H107</f>
        <v>0</v>
      </c>
      <c r="BK107" s="89" t="s">
        <v>30</v>
      </c>
      <c r="BL107" s="19">
        <v>722</v>
      </c>
      <c r="BW107" s="19">
        <f>I107</f>
        <v>12</v>
      </c>
      <c r="BX107" s="4" t="s">
        <v>181</v>
      </c>
    </row>
    <row r="108" spans="1:76" x14ac:dyDescent="0.25">
      <c r="A108" s="90"/>
      <c r="C108" s="91" t="s">
        <v>547</v>
      </c>
      <c r="D108" s="180" t="s">
        <v>625</v>
      </c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2"/>
      <c r="BX108" s="92" t="s">
        <v>625</v>
      </c>
    </row>
    <row r="109" spans="1:76" x14ac:dyDescent="0.25">
      <c r="A109" s="1" t="s">
        <v>626</v>
      </c>
      <c r="B109" s="2" t="s">
        <v>434</v>
      </c>
      <c r="C109" s="2" t="s">
        <v>182</v>
      </c>
      <c r="D109" s="96" t="s">
        <v>183</v>
      </c>
      <c r="E109" s="97"/>
      <c r="F109" s="2" t="s">
        <v>41</v>
      </c>
      <c r="G109" s="19">
        <f>'Rozpočet - vybrané sloupce'!I91</f>
        <v>3088</v>
      </c>
      <c r="H109" s="19">
        <f>'Rozpočet - vybrané sloupce'!J91</f>
        <v>0</v>
      </c>
      <c r="I109" s="87">
        <v>12</v>
      </c>
      <c r="J109" s="19">
        <f>ROUND(G109*AO109,2)</f>
        <v>0</v>
      </c>
      <c r="K109" s="19">
        <f>ROUND(G109*AP109,2)</f>
        <v>0</v>
      </c>
      <c r="L109" s="19">
        <f>ROUND(G109*H109,2)</f>
        <v>0</v>
      </c>
      <c r="M109" s="19">
        <f>L109*(1+BW109/100)</f>
        <v>0</v>
      </c>
      <c r="N109" s="19">
        <v>0</v>
      </c>
      <c r="O109" s="19">
        <f>G109*N109</f>
        <v>0</v>
      </c>
      <c r="P109" s="88" t="s">
        <v>531</v>
      </c>
      <c r="Z109" s="19">
        <f>ROUND(IF(AQ109="5",BJ109,0),2)</f>
        <v>0</v>
      </c>
      <c r="AB109" s="19">
        <f>ROUND(IF(AQ109="1",BH109,0),2)</f>
        <v>0</v>
      </c>
      <c r="AC109" s="19">
        <f>ROUND(IF(AQ109="1",BI109,0),2)</f>
        <v>0</v>
      </c>
      <c r="AD109" s="19">
        <f>ROUND(IF(AQ109="7",BH109,0),2)</f>
        <v>0</v>
      </c>
      <c r="AE109" s="19">
        <f>ROUND(IF(AQ109="7",BI109,0),2)</f>
        <v>0</v>
      </c>
      <c r="AF109" s="19">
        <f>ROUND(IF(AQ109="2",BH109,0),2)</f>
        <v>0</v>
      </c>
      <c r="AG109" s="19">
        <f>ROUND(IF(AQ109="2",BI109,0),2)</f>
        <v>0</v>
      </c>
      <c r="AH109" s="19">
        <f>ROUND(IF(AQ109="0",BJ109,0),2)</f>
        <v>0</v>
      </c>
      <c r="AI109" s="16" t="s">
        <v>434</v>
      </c>
      <c r="AJ109" s="19">
        <f>IF(AN109=0,L109,0)</f>
        <v>0</v>
      </c>
      <c r="AK109" s="19">
        <f>IF(AN109=12,L109,0)</f>
        <v>0</v>
      </c>
      <c r="AL109" s="19">
        <f>IF(AN109=21,L109,0)</f>
        <v>0</v>
      </c>
      <c r="AN109" s="19">
        <v>12</v>
      </c>
      <c r="AO109" s="19">
        <f>H109*0</f>
        <v>0</v>
      </c>
      <c r="AP109" s="19">
        <f>H109*(1-0)</f>
        <v>0</v>
      </c>
      <c r="AQ109" s="89" t="s">
        <v>540</v>
      </c>
      <c r="AV109" s="19">
        <f>ROUND(AW109+AX109,2)</f>
        <v>0</v>
      </c>
      <c r="AW109" s="19">
        <f>ROUND(G109*AO109,2)</f>
        <v>0</v>
      </c>
      <c r="AX109" s="19">
        <f>ROUND(G109*AP109,2)</f>
        <v>0</v>
      </c>
      <c r="AY109" s="89" t="s">
        <v>575</v>
      </c>
      <c r="AZ109" s="89" t="s">
        <v>576</v>
      </c>
      <c r="BA109" s="16" t="s">
        <v>577</v>
      </c>
      <c r="BC109" s="19">
        <f>AW109+AX109</f>
        <v>0</v>
      </c>
      <c r="BD109" s="19">
        <f>H109/(100-BE109)*100</f>
        <v>0</v>
      </c>
      <c r="BE109" s="19">
        <v>0</v>
      </c>
      <c r="BF109" s="19">
        <f>O109</f>
        <v>0</v>
      </c>
      <c r="BH109" s="19">
        <f>G109*AO109</f>
        <v>0</v>
      </c>
      <c r="BI109" s="19">
        <f>G109*AP109</f>
        <v>0</v>
      </c>
      <c r="BJ109" s="19">
        <f>G109*H109</f>
        <v>0</v>
      </c>
      <c r="BK109" s="89" t="s">
        <v>30</v>
      </c>
      <c r="BL109" s="19">
        <v>722</v>
      </c>
      <c r="BW109" s="19">
        <f>I109</f>
        <v>12</v>
      </c>
      <c r="BX109" s="4" t="s">
        <v>183</v>
      </c>
    </row>
    <row r="110" spans="1:76" x14ac:dyDescent="0.25">
      <c r="A110" s="84" t="s">
        <v>23</v>
      </c>
      <c r="B110" s="15" t="s">
        <v>435</v>
      </c>
      <c r="C110" s="15" t="s">
        <v>23</v>
      </c>
      <c r="D110" s="152" t="s">
        <v>184</v>
      </c>
      <c r="E110" s="153"/>
      <c r="F110" s="85" t="s">
        <v>22</v>
      </c>
      <c r="G110" s="85" t="s">
        <v>22</v>
      </c>
      <c r="H110" s="85" t="s">
        <v>22</v>
      </c>
      <c r="I110" s="85" t="s">
        <v>22</v>
      </c>
      <c r="J110" s="60">
        <f>J111+J116+J152</f>
        <v>0</v>
      </c>
      <c r="K110" s="60">
        <f>K111+K116+K152</f>
        <v>0</v>
      </c>
      <c r="L110" s="60">
        <f>L111+L116+L152</f>
        <v>0</v>
      </c>
      <c r="M110" s="60">
        <f>M111+M116+M152</f>
        <v>0</v>
      </c>
      <c r="N110" s="16" t="s">
        <v>23</v>
      </c>
      <c r="O110" s="60">
        <f>O111+O116+O152</f>
        <v>0.98502000000000001</v>
      </c>
      <c r="P110" s="86" t="s">
        <v>23</v>
      </c>
    </row>
    <row r="111" spans="1:76" x14ac:dyDescent="0.25">
      <c r="A111" s="84" t="s">
        <v>23</v>
      </c>
      <c r="B111" s="15" t="s">
        <v>435</v>
      </c>
      <c r="C111" s="15" t="s">
        <v>60</v>
      </c>
      <c r="D111" s="152" t="s">
        <v>61</v>
      </c>
      <c r="E111" s="153"/>
      <c r="F111" s="85" t="s">
        <v>22</v>
      </c>
      <c r="G111" s="85" t="s">
        <v>22</v>
      </c>
      <c r="H111" s="85" t="s">
        <v>22</v>
      </c>
      <c r="I111" s="85" t="s">
        <v>22</v>
      </c>
      <c r="J111" s="60">
        <f>SUM(J112:J115)</f>
        <v>0</v>
      </c>
      <c r="K111" s="60">
        <f>SUM(K112:K115)</f>
        <v>0</v>
      </c>
      <c r="L111" s="60">
        <f>SUM(L112:L115)</f>
        <v>0</v>
      </c>
      <c r="M111" s="60">
        <f>SUM(M112:M115)</f>
        <v>0</v>
      </c>
      <c r="N111" s="16" t="s">
        <v>23</v>
      </c>
      <c r="O111" s="60">
        <f>SUM(O112:O115)</f>
        <v>0</v>
      </c>
      <c r="P111" s="86" t="s">
        <v>23</v>
      </c>
      <c r="AI111" s="16" t="s">
        <v>435</v>
      </c>
      <c r="AS111" s="60">
        <f>SUM(AJ112:AJ115)</f>
        <v>0</v>
      </c>
      <c r="AT111" s="60">
        <f>SUM(AK112:AK115)</f>
        <v>0</v>
      </c>
      <c r="AU111" s="60">
        <f>SUM(AL112:AL115)</f>
        <v>0</v>
      </c>
    </row>
    <row r="112" spans="1:76" x14ac:dyDescent="0.25">
      <c r="A112" s="1" t="s">
        <v>627</v>
      </c>
      <c r="B112" s="2" t="s">
        <v>435</v>
      </c>
      <c r="C112" s="2" t="s">
        <v>185</v>
      </c>
      <c r="D112" s="96" t="s">
        <v>186</v>
      </c>
      <c r="E112" s="97"/>
      <c r="F112" s="2" t="s">
        <v>33</v>
      </c>
      <c r="G112" s="19">
        <f>'Rozpočet - vybrané sloupce'!I94</f>
        <v>28</v>
      </c>
      <c r="H112" s="19">
        <f>'Rozpočet - vybrané sloupce'!J94</f>
        <v>0</v>
      </c>
      <c r="I112" s="87">
        <v>12</v>
      </c>
      <c r="J112" s="19">
        <f>ROUND(G112*AO112,2)</f>
        <v>0</v>
      </c>
      <c r="K112" s="19">
        <f>ROUND(G112*AP112,2)</f>
        <v>0</v>
      </c>
      <c r="L112" s="19">
        <f>ROUND(G112*H112,2)</f>
        <v>0</v>
      </c>
      <c r="M112" s="19">
        <f>L112*(1+BW112/100)</f>
        <v>0</v>
      </c>
      <c r="N112" s="19">
        <v>0</v>
      </c>
      <c r="O112" s="19">
        <f>G112*N112</f>
        <v>0</v>
      </c>
      <c r="P112" s="88" t="s">
        <v>531</v>
      </c>
      <c r="Z112" s="19">
        <f>ROUND(IF(AQ112="5",BJ112,0),2)</f>
        <v>0</v>
      </c>
      <c r="AB112" s="19">
        <f>ROUND(IF(AQ112="1",BH112,0),2)</f>
        <v>0</v>
      </c>
      <c r="AC112" s="19">
        <f>ROUND(IF(AQ112="1",BI112,0),2)</f>
        <v>0</v>
      </c>
      <c r="AD112" s="19">
        <f>ROUND(IF(AQ112="7",BH112,0),2)</f>
        <v>0</v>
      </c>
      <c r="AE112" s="19">
        <f>ROUND(IF(AQ112="7",BI112,0),2)</f>
        <v>0</v>
      </c>
      <c r="AF112" s="19">
        <f>ROUND(IF(AQ112="2",BH112,0),2)</f>
        <v>0</v>
      </c>
      <c r="AG112" s="19">
        <f>ROUND(IF(AQ112="2",BI112,0),2)</f>
        <v>0</v>
      </c>
      <c r="AH112" s="19">
        <f>ROUND(IF(AQ112="0",BJ112,0),2)</f>
        <v>0</v>
      </c>
      <c r="AI112" s="16" t="s">
        <v>435</v>
      </c>
      <c r="AJ112" s="19">
        <f>IF(AN112=0,L112,0)</f>
        <v>0</v>
      </c>
      <c r="AK112" s="19">
        <f>IF(AN112=12,L112,0)</f>
        <v>0</v>
      </c>
      <c r="AL112" s="19">
        <f>IF(AN112=21,L112,0)</f>
        <v>0</v>
      </c>
      <c r="AN112" s="19">
        <v>12</v>
      </c>
      <c r="AO112" s="19">
        <f>H112*1</f>
        <v>0</v>
      </c>
      <c r="AP112" s="19">
        <f>H112*(1-1)</f>
        <v>0</v>
      </c>
      <c r="AQ112" s="89" t="s">
        <v>532</v>
      </c>
      <c r="AV112" s="19">
        <f>ROUND(AW112+AX112,2)</f>
        <v>0</v>
      </c>
      <c r="AW112" s="19">
        <f>ROUND(G112*AO112,2)</f>
        <v>0</v>
      </c>
      <c r="AX112" s="19">
        <f>ROUND(G112*AP112,2)</f>
        <v>0</v>
      </c>
      <c r="AY112" s="89" t="s">
        <v>552</v>
      </c>
      <c r="AZ112" s="89" t="s">
        <v>628</v>
      </c>
      <c r="BA112" s="16" t="s">
        <v>629</v>
      </c>
      <c r="BC112" s="19">
        <f>AW112+AX112</f>
        <v>0</v>
      </c>
      <c r="BD112" s="19">
        <f>H112/(100-BE112)*100</f>
        <v>0</v>
      </c>
      <c r="BE112" s="19">
        <v>0</v>
      </c>
      <c r="BF112" s="19">
        <f>O112</f>
        <v>0</v>
      </c>
      <c r="BH112" s="19">
        <f>G112*AO112</f>
        <v>0</v>
      </c>
      <c r="BI112" s="19">
        <f>G112*AP112</f>
        <v>0</v>
      </c>
      <c r="BJ112" s="19">
        <f>G112*H112</f>
        <v>0</v>
      </c>
      <c r="BK112" s="89" t="s">
        <v>30</v>
      </c>
      <c r="BL112" s="19">
        <v>713</v>
      </c>
      <c r="BW112" s="19">
        <f>I112</f>
        <v>12</v>
      </c>
      <c r="BX112" s="4" t="s">
        <v>186</v>
      </c>
    </row>
    <row r="113" spans="1:76" x14ac:dyDescent="0.25">
      <c r="A113" s="1" t="s">
        <v>322</v>
      </c>
      <c r="B113" s="2" t="s">
        <v>435</v>
      </c>
      <c r="C113" s="2" t="s">
        <v>187</v>
      </c>
      <c r="D113" s="96" t="s">
        <v>188</v>
      </c>
      <c r="E113" s="97"/>
      <c r="F113" s="2" t="s">
        <v>33</v>
      </c>
      <c r="G113" s="19">
        <f>'Rozpočet - vybrané sloupce'!I95</f>
        <v>24</v>
      </c>
      <c r="H113" s="19">
        <f>'Rozpočet - vybrané sloupce'!J95</f>
        <v>0</v>
      </c>
      <c r="I113" s="87">
        <v>12</v>
      </c>
      <c r="J113" s="19">
        <f>ROUND(G113*AO113,2)</f>
        <v>0</v>
      </c>
      <c r="K113" s="19">
        <f>ROUND(G113*AP113,2)</f>
        <v>0</v>
      </c>
      <c r="L113" s="19">
        <f>ROUND(G113*H113,2)</f>
        <v>0</v>
      </c>
      <c r="M113" s="19">
        <f>L113*(1+BW113/100)</f>
        <v>0</v>
      </c>
      <c r="N113" s="19">
        <v>0</v>
      </c>
      <c r="O113" s="19">
        <f>G113*N113</f>
        <v>0</v>
      </c>
      <c r="P113" s="88" t="s">
        <v>531</v>
      </c>
      <c r="Z113" s="19">
        <f>ROUND(IF(AQ113="5",BJ113,0),2)</f>
        <v>0</v>
      </c>
      <c r="AB113" s="19">
        <f>ROUND(IF(AQ113="1",BH113,0),2)</f>
        <v>0</v>
      </c>
      <c r="AC113" s="19">
        <f>ROUND(IF(AQ113="1",BI113,0),2)</f>
        <v>0</v>
      </c>
      <c r="AD113" s="19">
        <f>ROUND(IF(AQ113="7",BH113,0),2)</f>
        <v>0</v>
      </c>
      <c r="AE113" s="19">
        <f>ROUND(IF(AQ113="7",BI113,0),2)</f>
        <v>0</v>
      </c>
      <c r="AF113" s="19">
        <f>ROUND(IF(AQ113="2",BH113,0),2)</f>
        <v>0</v>
      </c>
      <c r="AG113" s="19">
        <f>ROUND(IF(AQ113="2",BI113,0),2)</f>
        <v>0</v>
      </c>
      <c r="AH113" s="19">
        <f>ROUND(IF(AQ113="0",BJ113,0),2)</f>
        <v>0</v>
      </c>
      <c r="AI113" s="16" t="s">
        <v>435</v>
      </c>
      <c r="AJ113" s="19">
        <f>IF(AN113=0,L113,0)</f>
        <v>0</v>
      </c>
      <c r="AK113" s="19">
        <f>IF(AN113=12,L113,0)</f>
        <v>0</v>
      </c>
      <c r="AL113" s="19">
        <f>IF(AN113=21,L113,0)</f>
        <v>0</v>
      </c>
      <c r="AN113" s="19">
        <v>12</v>
      </c>
      <c r="AO113" s="19">
        <f>H113*1</f>
        <v>0</v>
      </c>
      <c r="AP113" s="19">
        <f>H113*(1-1)</f>
        <v>0</v>
      </c>
      <c r="AQ113" s="89" t="s">
        <v>532</v>
      </c>
      <c r="AV113" s="19">
        <f>ROUND(AW113+AX113,2)</f>
        <v>0</v>
      </c>
      <c r="AW113" s="19">
        <f>ROUND(G113*AO113,2)</f>
        <v>0</v>
      </c>
      <c r="AX113" s="19">
        <f>ROUND(G113*AP113,2)</f>
        <v>0</v>
      </c>
      <c r="AY113" s="89" t="s">
        <v>552</v>
      </c>
      <c r="AZ113" s="89" t="s">
        <v>628</v>
      </c>
      <c r="BA113" s="16" t="s">
        <v>629</v>
      </c>
      <c r="BC113" s="19">
        <f>AW113+AX113</f>
        <v>0</v>
      </c>
      <c r="BD113" s="19">
        <f>H113/(100-BE113)*100</f>
        <v>0</v>
      </c>
      <c r="BE113" s="19">
        <v>0</v>
      </c>
      <c r="BF113" s="19">
        <f>O113</f>
        <v>0</v>
      </c>
      <c r="BH113" s="19">
        <f>G113*AO113</f>
        <v>0</v>
      </c>
      <c r="BI113" s="19">
        <f>G113*AP113</f>
        <v>0</v>
      </c>
      <c r="BJ113" s="19">
        <f>G113*H113</f>
        <v>0</v>
      </c>
      <c r="BK113" s="89" t="s">
        <v>30</v>
      </c>
      <c r="BL113" s="19">
        <v>713</v>
      </c>
      <c r="BW113" s="19">
        <f>I113</f>
        <v>12</v>
      </c>
      <c r="BX113" s="4" t="s">
        <v>188</v>
      </c>
    </row>
    <row r="114" spans="1:76" x14ac:dyDescent="0.25">
      <c r="A114" s="1" t="s">
        <v>630</v>
      </c>
      <c r="B114" s="2" t="s">
        <v>435</v>
      </c>
      <c r="C114" s="2" t="s">
        <v>189</v>
      </c>
      <c r="D114" s="96" t="s">
        <v>190</v>
      </c>
      <c r="E114" s="97"/>
      <c r="F114" s="2" t="s">
        <v>33</v>
      </c>
      <c r="G114" s="19">
        <f>'Rozpočet - vybrané sloupce'!I96</f>
        <v>8</v>
      </c>
      <c r="H114" s="19">
        <f>'Rozpočet - vybrané sloupce'!J96</f>
        <v>0</v>
      </c>
      <c r="I114" s="87">
        <v>12</v>
      </c>
      <c r="J114" s="19">
        <f>ROUND(G114*AO114,2)</f>
        <v>0</v>
      </c>
      <c r="K114" s="19">
        <f>ROUND(G114*AP114,2)</f>
        <v>0</v>
      </c>
      <c r="L114" s="19">
        <f>ROUND(G114*H114,2)</f>
        <v>0</v>
      </c>
      <c r="M114" s="19">
        <f>L114*(1+BW114/100)</f>
        <v>0</v>
      </c>
      <c r="N114" s="19">
        <v>0</v>
      </c>
      <c r="O114" s="19">
        <f>G114*N114</f>
        <v>0</v>
      </c>
      <c r="P114" s="88" t="s">
        <v>531</v>
      </c>
      <c r="Z114" s="19">
        <f>ROUND(IF(AQ114="5",BJ114,0),2)</f>
        <v>0</v>
      </c>
      <c r="AB114" s="19">
        <f>ROUND(IF(AQ114="1",BH114,0),2)</f>
        <v>0</v>
      </c>
      <c r="AC114" s="19">
        <f>ROUND(IF(AQ114="1",BI114,0),2)</f>
        <v>0</v>
      </c>
      <c r="AD114" s="19">
        <f>ROUND(IF(AQ114="7",BH114,0),2)</f>
        <v>0</v>
      </c>
      <c r="AE114" s="19">
        <f>ROUND(IF(AQ114="7",BI114,0),2)</f>
        <v>0</v>
      </c>
      <c r="AF114" s="19">
        <f>ROUND(IF(AQ114="2",BH114,0),2)</f>
        <v>0</v>
      </c>
      <c r="AG114" s="19">
        <f>ROUND(IF(AQ114="2",BI114,0),2)</f>
        <v>0</v>
      </c>
      <c r="AH114" s="19">
        <f>ROUND(IF(AQ114="0",BJ114,0),2)</f>
        <v>0</v>
      </c>
      <c r="AI114" s="16" t="s">
        <v>435</v>
      </c>
      <c r="AJ114" s="19">
        <f>IF(AN114=0,L114,0)</f>
        <v>0</v>
      </c>
      <c r="AK114" s="19">
        <f>IF(AN114=12,L114,0)</f>
        <v>0</v>
      </c>
      <c r="AL114" s="19">
        <f>IF(AN114=21,L114,0)</f>
        <v>0</v>
      </c>
      <c r="AN114" s="19">
        <v>12</v>
      </c>
      <c r="AO114" s="19">
        <f>H114*1</f>
        <v>0</v>
      </c>
      <c r="AP114" s="19">
        <f>H114*(1-1)</f>
        <v>0</v>
      </c>
      <c r="AQ114" s="89" t="s">
        <v>532</v>
      </c>
      <c r="AV114" s="19">
        <f>ROUND(AW114+AX114,2)</f>
        <v>0</v>
      </c>
      <c r="AW114" s="19">
        <f>ROUND(G114*AO114,2)</f>
        <v>0</v>
      </c>
      <c r="AX114" s="19">
        <f>ROUND(G114*AP114,2)</f>
        <v>0</v>
      </c>
      <c r="AY114" s="89" t="s">
        <v>552</v>
      </c>
      <c r="AZ114" s="89" t="s">
        <v>628</v>
      </c>
      <c r="BA114" s="16" t="s">
        <v>629</v>
      </c>
      <c r="BC114" s="19">
        <f>AW114+AX114</f>
        <v>0</v>
      </c>
      <c r="BD114" s="19">
        <f>H114/(100-BE114)*100</f>
        <v>0</v>
      </c>
      <c r="BE114" s="19">
        <v>0</v>
      </c>
      <c r="BF114" s="19">
        <f>O114</f>
        <v>0</v>
      </c>
      <c r="BH114" s="19">
        <f>G114*AO114</f>
        <v>0</v>
      </c>
      <c r="BI114" s="19">
        <f>G114*AP114</f>
        <v>0</v>
      </c>
      <c r="BJ114" s="19">
        <f>G114*H114</f>
        <v>0</v>
      </c>
      <c r="BK114" s="89" t="s">
        <v>30</v>
      </c>
      <c r="BL114" s="19">
        <v>713</v>
      </c>
      <c r="BW114" s="19">
        <f>I114</f>
        <v>12</v>
      </c>
      <c r="BX114" s="4" t="s">
        <v>190</v>
      </c>
    </row>
    <row r="115" spans="1:76" x14ac:dyDescent="0.25">
      <c r="A115" s="1" t="s">
        <v>631</v>
      </c>
      <c r="B115" s="2" t="s">
        <v>435</v>
      </c>
      <c r="C115" s="2" t="s">
        <v>64</v>
      </c>
      <c r="D115" s="96" t="s">
        <v>65</v>
      </c>
      <c r="E115" s="97"/>
      <c r="F115" s="2" t="s">
        <v>41</v>
      </c>
      <c r="G115" s="19">
        <f>'Rozpočet - vybrané sloupce'!I97</f>
        <v>255</v>
      </c>
      <c r="H115" s="19">
        <f>'Rozpočet - vybrané sloupce'!J97</f>
        <v>0</v>
      </c>
      <c r="I115" s="87">
        <v>12</v>
      </c>
      <c r="J115" s="19">
        <f>ROUND(G115*AO115,2)</f>
        <v>0</v>
      </c>
      <c r="K115" s="19">
        <f>ROUND(G115*AP115,2)</f>
        <v>0</v>
      </c>
      <c r="L115" s="19">
        <f>ROUND(G115*H115,2)</f>
        <v>0</v>
      </c>
      <c r="M115" s="19">
        <f>L115*(1+BW115/100)</f>
        <v>0</v>
      </c>
      <c r="N115" s="19">
        <v>0</v>
      </c>
      <c r="O115" s="19">
        <f>G115*N115</f>
        <v>0</v>
      </c>
      <c r="P115" s="88" t="s">
        <v>531</v>
      </c>
      <c r="Z115" s="19">
        <f>ROUND(IF(AQ115="5",BJ115,0),2)</f>
        <v>0</v>
      </c>
      <c r="AB115" s="19">
        <f>ROUND(IF(AQ115="1",BH115,0),2)</f>
        <v>0</v>
      </c>
      <c r="AC115" s="19">
        <f>ROUND(IF(AQ115="1",BI115,0),2)</f>
        <v>0</v>
      </c>
      <c r="AD115" s="19">
        <f>ROUND(IF(AQ115="7",BH115,0),2)</f>
        <v>0</v>
      </c>
      <c r="AE115" s="19">
        <f>ROUND(IF(AQ115="7",BI115,0),2)</f>
        <v>0</v>
      </c>
      <c r="AF115" s="19">
        <f>ROUND(IF(AQ115="2",BH115,0),2)</f>
        <v>0</v>
      </c>
      <c r="AG115" s="19">
        <f>ROUND(IF(AQ115="2",BI115,0),2)</f>
        <v>0</v>
      </c>
      <c r="AH115" s="19">
        <f>ROUND(IF(AQ115="0",BJ115,0),2)</f>
        <v>0</v>
      </c>
      <c r="AI115" s="16" t="s">
        <v>435</v>
      </c>
      <c r="AJ115" s="19">
        <f>IF(AN115=0,L115,0)</f>
        <v>0</v>
      </c>
      <c r="AK115" s="19">
        <f>IF(AN115=12,L115,0)</f>
        <v>0</v>
      </c>
      <c r="AL115" s="19">
        <f>IF(AN115=21,L115,0)</f>
        <v>0</v>
      </c>
      <c r="AN115" s="19">
        <v>12</v>
      </c>
      <c r="AO115" s="19">
        <f>H115*0</f>
        <v>0</v>
      </c>
      <c r="AP115" s="19">
        <f>H115*(1-0)</f>
        <v>0</v>
      </c>
      <c r="AQ115" s="89" t="s">
        <v>540</v>
      </c>
      <c r="AV115" s="19">
        <f>ROUND(AW115+AX115,2)</f>
        <v>0</v>
      </c>
      <c r="AW115" s="19">
        <f>ROUND(G115*AO115,2)</f>
        <v>0</v>
      </c>
      <c r="AX115" s="19">
        <f>ROUND(G115*AP115,2)</f>
        <v>0</v>
      </c>
      <c r="AY115" s="89" t="s">
        <v>552</v>
      </c>
      <c r="AZ115" s="89" t="s">
        <v>628</v>
      </c>
      <c r="BA115" s="16" t="s">
        <v>629</v>
      </c>
      <c r="BC115" s="19">
        <f>AW115+AX115</f>
        <v>0</v>
      </c>
      <c r="BD115" s="19">
        <f>H115/(100-BE115)*100</f>
        <v>0</v>
      </c>
      <c r="BE115" s="19">
        <v>0</v>
      </c>
      <c r="BF115" s="19">
        <f>O115</f>
        <v>0</v>
      </c>
      <c r="BH115" s="19">
        <f>G115*AO115</f>
        <v>0</v>
      </c>
      <c r="BI115" s="19">
        <f>G115*AP115</f>
        <v>0</v>
      </c>
      <c r="BJ115" s="19">
        <f>G115*H115</f>
        <v>0</v>
      </c>
      <c r="BK115" s="89" t="s">
        <v>30</v>
      </c>
      <c r="BL115" s="19">
        <v>713</v>
      </c>
      <c r="BW115" s="19">
        <f>I115</f>
        <v>12</v>
      </c>
      <c r="BX115" s="4" t="s">
        <v>65</v>
      </c>
    </row>
    <row r="116" spans="1:76" x14ac:dyDescent="0.25">
      <c r="A116" s="84" t="s">
        <v>23</v>
      </c>
      <c r="B116" s="15" t="s">
        <v>435</v>
      </c>
      <c r="C116" s="15" t="s">
        <v>92</v>
      </c>
      <c r="D116" s="152" t="s">
        <v>93</v>
      </c>
      <c r="E116" s="153"/>
      <c r="F116" s="85" t="s">
        <v>22</v>
      </c>
      <c r="G116" s="85" t="s">
        <v>22</v>
      </c>
      <c r="H116" s="85" t="s">
        <v>22</v>
      </c>
      <c r="I116" s="85" t="s">
        <v>22</v>
      </c>
      <c r="J116" s="60">
        <f>SUM(J117:J151)</f>
        <v>0</v>
      </c>
      <c r="K116" s="60">
        <f>SUM(K117:K151)</f>
        <v>0</v>
      </c>
      <c r="L116" s="60">
        <f>SUM(L117:L151)</f>
        <v>0</v>
      </c>
      <c r="M116" s="60">
        <f>SUM(M117:M151)</f>
        <v>0</v>
      </c>
      <c r="N116" s="16" t="s">
        <v>23</v>
      </c>
      <c r="O116" s="60">
        <f>SUM(O117:O151)</f>
        <v>0.51883999999999997</v>
      </c>
      <c r="P116" s="86" t="s">
        <v>23</v>
      </c>
      <c r="AI116" s="16" t="s">
        <v>435</v>
      </c>
      <c r="AS116" s="60">
        <f>SUM(AJ117:AJ151)</f>
        <v>0</v>
      </c>
      <c r="AT116" s="60">
        <f>SUM(AK117:AK151)</f>
        <v>0</v>
      </c>
      <c r="AU116" s="60">
        <f>SUM(AL117:AL151)</f>
        <v>0</v>
      </c>
    </row>
    <row r="117" spans="1:76" x14ac:dyDescent="0.25">
      <c r="A117" s="1" t="s">
        <v>632</v>
      </c>
      <c r="B117" s="2" t="s">
        <v>435</v>
      </c>
      <c r="C117" s="2" t="s">
        <v>98</v>
      </c>
      <c r="D117" s="96" t="s">
        <v>191</v>
      </c>
      <c r="E117" s="97"/>
      <c r="F117" s="2" t="s">
        <v>29</v>
      </c>
      <c r="G117" s="19">
        <f>'Rozpočet - vybrané sloupce'!I99</f>
        <v>225</v>
      </c>
      <c r="H117" s="19">
        <f>'Rozpočet - vybrané sloupce'!J99</f>
        <v>0</v>
      </c>
      <c r="I117" s="87">
        <v>12</v>
      </c>
      <c r="J117" s="19">
        <f>ROUND(G117*AO117,2)</f>
        <v>0</v>
      </c>
      <c r="K117" s="19">
        <f>ROUND(G117*AP117,2)</f>
        <v>0</v>
      </c>
      <c r="L117" s="19">
        <f>ROUND(G117*H117,2)</f>
        <v>0</v>
      </c>
      <c r="M117" s="19">
        <f>L117*(1+BW117/100)</f>
        <v>0</v>
      </c>
      <c r="N117" s="19">
        <v>2.7999999999999998E-4</v>
      </c>
      <c r="O117" s="19">
        <f>G117*N117</f>
        <v>6.3E-2</v>
      </c>
      <c r="P117" s="88" t="s">
        <v>531</v>
      </c>
      <c r="Z117" s="19">
        <f>ROUND(IF(AQ117="5",BJ117,0),2)</f>
        <v>0</v>
      </c>
      <c r="AB117" s="19">
        <f>ROUND(IF(AQ117="1",BH117,0),2)</f>
        <v>0</v>
      </c>
      <c r="AC117" s="19">
        <f>ROUND(IF(AQ117="1",BI117,0),2)</f>
        <v>0</v>
      </c>
      <c r="AD117" s="19">
        <f>ROUND(IF(AQ117="7",BH117,0),2)</f>
        <v>0</v>
      </c>
      <c r="AE117" s="19">
        <f>ROUND(IF(AQ117="7",BI117,0),2)</f>
        <v>0</v>
      </c>
      <c r="AF117" s="19">
        <f>ROUND(IF(AQ117="2",BH117,0),2)</f>
        <v>0</v>
      </c>
      <c r="AG117" s="19">
        <f>ROUND(IF(AQ117="2",BI117,0),2)</f>
        <v>0</v>
      </c>
      <c r="AH117" s="19">
        <f>ROUND(IF(AQ117="0",BJ117,0),2)</f>
        <v>0</v>
      </c>
      <c r="AI117" s="16" t="s">
        <v>435</v>
      </c>
      <c r="AJ117" s="19">
        <f>IF(AN117=0,L117,0)</f>
        <v>0</v>
      </c>
      <c r="AK117" s="19">
        <f>IF(AN117=12,L117,0)</f>
        <v>0</v>
      </c>
      <c r="AL117" s="19">
        <f>IF(AN117=21,L117,0)</f>
        <v>0</v>
      </c>
      <c r="AN117" s="19">
        <v>12</v>
      </c>
      <c r="AO117" s="19">
        <f>H117*0</f>
        <v>0</v>
      </c>
      <c r="AP117" s="19">
        <f>H117*(1-0)</f>
        <v>0</v>
      </c>
      <c r="AQ117" s="89" t="s">
        <v>532</v>
      </c>
      <c r="AV117" s="19">
        <f>ROUND(AW117+AX117,2)</f>
        <v>0</v>
      </c>
      <c r="AW117" s="19">
        <f>ROUND(G117*AO117,2)</f>
        <v>0</v>
      </c>
      <c r="AX117" s="19">
        <f>ROUND(G117*AP117,2)</f>
        <v>0</v>
      </c>
      <c r="AY117" s="89" t="s">
        <v>575</v>
      </c>
      <c r="AZ117" s="89" t="s">
        <v>633</v>
      </c>
      <c r="BA117" s="16" t="s">
        <v>629</v>
      </c>
      <c r="BC117" s="19">
        <f>AW117+AX117</f>
        <v>0</v>
      </c>
      <c r="BD117" s="19">
        <f>H117/(100-BE117)*100</f>
        <v>0</v>
      </c>
      <c r="BE117" s="19">
        <v>0</v>
      </c>
      <c r="BF117" s="19">
        <f>O117</f>
        <v>6.3E-2</v>
      </c>
      <c r="BH117" s="19">
        <f>G117*AO117</f>
        <v>0</v>
      </c>
      <c r="BI117" s="19">
        <f>G117*AP117</f>
        <v>0</v>
      </c>
      <c r="BJ117" s="19">
        <f>G117*H117</f>
        <v>0</v>
      </c>
      <c r="BK117" s="89" t="s">
        <v>30</v>
      </c>
      <c r="BL117" s="19">
        <v>722</v>
      </c>
      <c r="BW117" s="19">
        <f>I117</f>
        <v>12</v>
      </c>
      <c r="BX117" s="4" t="s">
        <v>191</v>
      </c>
    </row>
    <row r="118" spans="1:76" x14ac:dyDescent="0.25">
      <c r="A118" s="1" t="s">
        <v>634</v>
      </c>
      <c r="B118" s="2" t="s">
        <v>435</v>
      </c>
      <c r="C118" s="2" t="s">
        <v>100</v>
      </c>
      <c r="D118" s="96" t="s">
        <v>192</v>
      </c>
      <c r="E118" s="97"/>
      <c r="F118" s="2" t="s">
        <v>29</v>
      </c>
      <c r="G118" s="19">
        <f>'Rozpočet - vybrané sloupce'!I100</f>
        <v>36</v>
      </c>
      <c r="H118" s="19">
        <f>'Rozpočet - vybrané sloupce'!J100</f>
        <v>0</v>
      </c>
      <c r="I118" s="87">
        <v>12</v>
      </c>
      <c r="J118" s="19">
        <f>ROUND(G118*AO118,2)</f>
        <v>0</v>
      </c>
      <c r="K118" s="19">
        <f>ROUND(G118*AP118,2)</f>
        <v>0</v>
      </c>
      <c r="L118" s="19">
        <f>ROUND(G118*H118,2)</f>
        <v>0</v>
      </c>
      <c r="M118" s="19">
        <f>L118*(1+BW118/100)</f>
        <v>0</v>
      </c>
      <c r="N118" s="19">
        <v>2.9E-4</v>
      </c>
      <c r="O118" s="19">
        <f>G118*N118</f>
        <v>1.044E-2</v>
      </c>
      <c r="P118" s="88" t="s">
        <v>531</v>
      </c>
      <c r="Z118" s="19">
        <f>ROUND(IF(AQ118="5",BJ118,0),2)</f>
        <v>0</v>
      </c>
      <c r="AB118" s="19">
        <f>ROUND(IF(AQ118="1",BH118,0),2)</f>
        <v>0</v>
      </c>
      <c r="AC118" s="19">
        <f>ROUND(IF(AQ118="1",BI118,0),2)</f>
        <v>0</v>
      </c>
      <c r="AD118" s="19">
        <f>ROUND(IF(AQ118="7",BH118,0),2)</f>
        <v>0</v>
      </c>
      <c r="AE118" s="19">
        <f>ROUND(IF(AQ118="7",BI118,0),2)</f>
        <v>0</v>
      </c>
      <c r="AF118" s="19">
        <f>ROUND(IF(AQ118="2",BH118,0),2)</f>
        <v>0</v>
      </c>
      <c r="AG118" s="19">
        <f>ROUND(IF(AQ118="2",BI118,0),2)</f>
        <v>0</v>
      </c>
      <c r="AH118" s="19">
        <f>ROUND(IF(AQ118="0",BJ118,0),2)</f>
        <v>0</v>
      </c>
      <c r="AI118" s="16" t="s">
        <v>435</v>
      </c>
      <c r="AJ118" s="19">
        <f>IF(AN118=0,L118,0)</f>
        <v>0</v>
      </c>
      <c r="AK118" s="19">
        <f>IF(AN118=12,L118,0)</f>
        <v>0</v>
      </c>
      <c r="AL118" s="19">
        <f>IF(AN118=21,L118,0)</f>
        <v>0</v>
      </c>
      <c r="AN118" s="19">
        <v>12</v>
      </c>
      <c r="AO118" s="19">
        <f>H118*0</f>
        <v>0</v>
      </c>
      <c r="AP118" s="19">
        <f>H118*(1-0)</f>
        <v>0</v>
      </c>
      <c r="AQ118" s="89" t="s">
        <v>532</v>
      </c>
      <c r="AV118" s="19">
        <f>ROUND(AW118+AX118,2)</f>
        <v>0</v>
      </c>
      <c r="AW118" s="19">
        <f>ROUND(G118*AO118,2)</f>
        <v>0</v>
      </c>
      <c r="AX118" s="19">
        <f>ROUND(G118*AP118,2)</f>
        <v>0</v>
      </c>
      <c r="AY118" s="89" t="s">
        <v>575</v>
      </c>
      <c r="AZ118" s="89" t="s">
        <v>633</v>
      </c>
      <c r="BA118" s="16" t="s">
        <v>629</v>
      </c>
      <c r="BC118" s="19">
        <f>AW118+AX118</f>
        <v>0</v>
      </c>
      <c r="BD118" s="19">
        <f>H118/(100-BE118)*100</f>
        <v>0</v>
      </c>
      <c r="BE118" s="19">
        <v>0</v>
      </c>
      <c r="BF118" s="19">
        <f>O118</f>
        <v>1.044E-2</v>
      </c>
      <c r="BH118" s="19">
        <f>G118*AO118</f>
        <v>0</v>
      </c>
      <c r="BI118" s="19">
        <f>G118*AP118</f>
        <v>0</v>
      </c>
      <c r="BJ118" s="19">
        <f>G118*H118</f>
        <v>0</v>
      </c>
      <c r="BK118" s="89" t="s">
        <v>30</v>
      </c>
      <c r="BL118" s="19">
        <v>722</v>
      </c>
      <c r="BW118" s="19">
        <f>I118</f>
        <v>12</v>
      </c>
      <c r="BX118" s="4" t="s">
        <v>192</v>
      </c>
    </row>
    <row r="119" spans="1:76" x14ac:dyDescent="0.25">
      <c r="A119" s="1" t="s">
        <v>635</v>
      </c>
      <c r="B119" s="2" t="s">
        <v>435</v>
      </c>
      <c r="C119" s="2" t="s">
        <v>102</v>
      </c>
      <c r="D119" s="96" t="s">
        <v>103</v>
      </c>
      <c r="E119" s="97"/>
      <c r="F119" s="2" t="s">
        <v>29</v>
      </c>
      <c r="G119" s="19">
        <f>'Rozpočet - vybrané sloupce'!I101</f>
        <v>66</v>
      </c>
      <c r="H119" s="19">
        <f>'Rozpočet - vybrané sloupce'!J101</f>
        <v>0</v>
      </c>
      <c r="I119" s="87">
        <v>12</v>
      </c>
      <c r="J119" s="19">
        <f>ROUND(G119*AO119,2)</f>
        <v>0</v>
      </c>
      <c r="K119" s="19">
        <f>ROUND(G119*AP119,2)</f>
        <v>0</v>
      </c>
      <c r="L119" s="19">
        <f>ROUND(G119*H119,2)</f>
        <v>0</v>
      </c>
      <c r="M119" s="19">
        <f>L119*(1+BW119/100)</f>
        <v>0</v>
      </c>
      <c r="N119" s="19">
        <v>4.2999999999999999E-4</v>
      </c>
      <c r="O119" s="19">
        <f>G119*N119</f>
        <v>2.8379999999999999E-2</v>
      </c>
      <c r="P119" s="88" t="s">
        <v>531</v>
      </c>
      <c r="Z119" s="19">
        <f>ROUND(IF(AQ119="5",BJ119,0),2)</f>
        <v>0</v>
      </c>
      <c r="AB119" s="19">
        <f>ROUND(IF(AQ119="1",BH119,0),2)</f>
        <v>0</v>
      </c>
      <c r="AC119" s="19">
        <f>ROUND(IF(AQ119="1",BI119,0),2)</f>
        <v>0</v>
      </c>
      <c r="AD119" s="19">
        <f>ROUND(IF(AQ119="7",BH119,0),2)</f>
        <v>0</v>
      </c>
      <c r="AE119" s="19">
        <f>ROUND(IF(AQ119="7",BI119,0),2)</f>
        <v>0</v>
      </c>
      <c r="AF119" s="19">
        <f>ROUND(IF(AQ119="2",BH119,0),2)</f>
        <v>0</v>
      </c>
      <c r="AG119" s="19">
        <f>ROUND(IF(AQ119="2",BI119,0),2)</f>
        <v>0</v>
      </c>
      <c r="AH119" s="19">
        <f>ROUND(IF(AQ119="0",BJ119,0),2)</f>
        <v>0</v>
      </c>
      <c r="AI119" s="16" t="s">
        <v>435</v>
      </c>
      <c r="AJ119" s="19">
        <f>IF(AN119=0,L119,0)</f>
        <v>0</v>
      </c>
      <c r="AK119" s="19">
        <f>IF(AN119=12,L119,0)</f>
        <v>0</v>
      </c>
      <c r="AL119" s="19">
        <f>IF(AN119=21,L119,0)</f>
        <v>0</v>
      </c>
      <c r="AN119" s="19">
        <v>12</v>
      </c>
      <c r="AO119" s="19">
        <f>H119*0.433829087</f>
        <v>0</v>
      </c>
      <c r="AP119" s="19">
        <f>H119*(1-0.433829087)</f>
        <v>0</v>
      </c>
      <c r="AQ119" s="89" t="s">
        <v>532</v>
      </c>
      <c r="AV119" s="19">
        <f>ROUND(AW119+AX119,2)</f>
        <v>0</v>
      </c>
      <c r="AW119" s="19">
        <f>ROUND(G119*AO119,2)</f>
        <v>0</v>
      </c>
      <c r="AX119" s="19">
        <f>ROUND(G119*AP119,2)</f>
        <v>0</v>
      </c>
      <c r="AY119" s="89" t="s">
        <v>575</v>
      </c>
      <c r="AZ119" s="89" t="s">
        <v>633</v>
      </c>
      <c r="BA119" s="16" t="s">
        <v>629</v>
      </c>
      <c r="BC119" s="19">
        <f>AW119+AX119</f>
        <v>0</v>
      </c>
      <c r="BD119" s="19">
        <f>H119/(100-BE119)*100</f>
        <v>0</v>
      </c>
      <c r="BE119" s="19">
        <v>0</v>
      </c>
      <c r="BF119" s="19">
        <f>O119</f>
        <v>2.8379999999999999E-2</v>
      </c>
      <c r="BH119" s="19">
        <f>G119*AO119</f>
        <v>0</v>
      </c>
      <c r="BI119" s="19">
        <f>G119*AP119</f>
        <v>0</v>
      </c>
      <c r="BJ119" s="19">
        <f>G119*H119</f>
        <v>0</v>
      </c>
      <c r="BK119" s="89" t="s">
        <v>30</v>
      </c>
      <c r="BL119" s="19">
        <v>722</v>
      </c>
      <c r="BW119" s="19">
        <f>I119</f>
        <v>12</v>
      </c>
      <c r="BX119" s="4" t="s">
        <v>103</v>
      </c>
    </row>
    <row r="120" spans="1:76" x14ac:dyDescent="0.25">
      <c r="A120" s="90"/>
      <c r="C120" s="91" t="s">
        <v>547</v>
      </c>
      <c r="D120" s="180" t="s">
        <v>582</v>
      </c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2"/>
      <c r="BX120" s="92" t="s">
        <v>582</v>
      </c>
    </row>
    <row r="121" spans="1:76" x14ac:dyDescent="0.25">
      <c r="A121" s="1" t="s">
        <v>636</v>
      </c>
      <c r="B121" s="2" t="s">
        <v>435</v>
      </c>
      <c r="C121" s="2" t="s">
        <v>104</v>
      </c>
      <c r="D121" s="96" t="s">
        <v>105</v>
      </c>
      <c r="E121" s="97"/>
      <c r="F121" s="2" t="s">
        <v>29</v>
      </c>
      <c r="G121" s="19">
        <f>'Rozpočet - vybrané sloupce'!I102</f>
        <v>87</v>
      </c>
      <c r="H121" s="19">
        <f>'Rozpočet - vybrané sloupce'!J102</f>
        <v>0</v>
      </c>
      <c r="I121" s="87">
        <v>12</v>
      </c>
      <c r="J121" s="19">
        <f t="shared" ref="J121:J127" si="54">ROUND(G121*AO121,2)</f>
        <v>0</v>
      </c>
      <c r="K121" s="19">
        <f t="shared" ref="K121:K127" si="55">ROUND(G121*AP121,2)</f>
        <v>0</v>
      </c>
      <c r="L121" s="19">
        <f t="shared" ref="L121:L127" si="56">ROUND(G121*H121,2)</f>
        <v>0</v>
      </c>
      <c r="M121" s="19">
        <f t="shared" ref="M121:M127" si="57">L121*(1+BW121/100)</f>
        <v>0</v>
      </c>
      <c r="N121" s="19">
        <v>5.2999999999999998E-4</v>
      </c>
      <c r="O121" s="19">
        <f t="shared" ref="O121:O127" si="58">G121*N121</f>
        <v>4.6109999999999998E-2</v>
      </c>
      <c r="P121" s="88" t="s">
        <v>531</v>
      </c>
      <c r="Z121" s="19">
        <f t="shared" ref="Z121:Z127" si="59">ROUND(IF(AQ121="5",BJ121,0),2)</f>
        <v>0</v>
      </c>
      <c r="AB121" s="19">
        <f t="shared" ref="AB121:AB127" si="60">ROUND(IF(AQ121="1",BH121,0),2)</f>
        <v>0</v>
      </c>
      <c r="AC121" s="19">
        <f t="shared" ref="AC121:AC127" si="61">ROUND(IF(AQ121="1",BI121,0),2)</f>
        <v>0</v>
      </c>
      <c r="AD121" s="19">
        <f t="shared" ref="AD121:AD127" si="62">ROUND(IF(AQ121="7",BH121,0),2)</f>
        <v>0</v>
      </c>
      <c r="AE121" s="19">
        <f t="shared" ref="AE121:AE127" si="63">ROUND(IF(AQ121="7",BI121,0),2)</f>
        <v>0</v>
      </c>
      <c r="AF121" s="19">
        <f t="shared" ref="AF121:AF127" si="64">ROUND(IF(AQ121="2",BH121,0),2)</f>
        <v>0</v>
      </c>
      <c r="AG121" s="19">
        <f t="shared" ref="AG121:AG127" si="65">ROUND(IF(AQ121="2",BI121,0),2)</f>
        <v>0</v>
      </c>
      <c r="AH121" s="19">
        <f t="shared" ref="AH121:AH127" si="66">ROUND(IF(AQ121="0",BJ121,0),2)</f>
        <v>0</v>
      </c>
      <c r="AI121" s="16" t="s">
        <v>435</v>
      </c>
      <c r="AJ121" s="19">
        <f t="shared" ref="AJ121:AJ127" si="67">IF(AN121=0,L121,0)</f>
        <v>0</v>
      </c>
      <c r="AK121" s="19">
        <f t="shared" ref="AK121:AK127" si="68">IF(AN121=12,L121,0)</f>
        <v>0</v>
      </c>
      <c r="AL121" s="19">
        <f t="shared" ref="AL121:AL127" si="69">IF(AN121=21,L121,0)</f>
        <v>0</v>
      </c>
      <c r="AN121" s="19">
        <v>12</v>
      </c>
      <c r="AO121" s="19">
        <f>H121*0.499111111</f>
        <v>0</v>
      </c>
      <c r="AP121" s="19">
        <f>H121*(1-0.499111111)</f>
        <v>0</v>
      </c>
      <c r="AQ121" s="89" t="s">
        <v>532</v>
      </c>
      <c r="AV121" s="19">
        <f t="shared" ref="AV121:AV127" si="70">ROUND(AW121+AX121,2)</f>
        <v>0</v>
      </c>
      <c r="AW121" s="19">
        <f t="shared" ref="AW121:AW127" si="71">ROUND(G121*AO121,2)</f>
        <v>0</v>
      </c>
      <c r="AX121" s="19">
        <f t="shared" ref="AX121:AX127" si="72">ROUND(G121*AP121,2)</f>
        <v>0</v>
      </c>
      <c r="AY121" s="89" t="s">
        <v>575</v>
      </c>
      <c r="AZ121" s="89" t="s">
        <v>633</v>
      </c>
      <c r="BA121" s="16" t="s">
        <v>629</v>
      </c>
      <c r="BC121" s="19">
        <f t="shared" ref="BC121:BC127" si="73">AW121+AX121</f>
        <v>0</v>
      </c>
      <c r="BD121" s="19">
        <f t="shared" ref="BD121:BD127" si="74">H121/(100-BE121)*100</f>
        <v>0</v>
      </c>
      <c r="BE121" s="19">
        <v>0</v>
      </c>
      <c r="BF121" s="19">
        <f t="shared" ref="BF121:BF127" si="75">O121</f>
        <v>4.6109999999999998E-2</v>
      </c>
      <c r="BH121" s="19">
        <f t="shared" ref="BH121:BH127" si="76">G121*AO121</f>
        <v>0</v>
      </c>
      <c r="BI121" s="19">
        <f t="shared" ref="BI121:BI127" si="77">G121*AP121</f>
        <v>0</v>
      </c>
      <c r="BJ121" s="19">
        <f t="shared" ref="BJ121:BJ127" si="78">G121*H121</f>
        <v>0</v>
      </c>
      <c r="BK121" s="89" t="s">
        <v>30</v>
      </c>
      <c r="BL121" s="19">
        <v>722</v>
      </c>
      <c r="BW121" s="19">
        <f t="shared" ref="BW121:BW127" si="79">I121</f>
        <v>12</v>
      </c>
      <c r="BX121" s="4" t="s">
        <v>105</v>
      </c>
    </row>
    <row r="122" spans="1:76" x14ac:dyDescent="0.25">
      <c r="A122" s="1" t="s">
        <v>637</v>
      </c>
      <c r="B122" s="2" t="s">
        <v>435</v>
      </c>
      <c r="C122" s="2" t="s">
        <v>106</v>
      </c>
      <c r="D122" s="96" t="s">
        <v>107</v>
      </c>
      <c r="E122" s="97"/>
      <c r="F122" s="2" t="s">
        <v>29</v>
      </c>
      <c r="G122" s="19">
        <f>'Rozpočet - vybrané sloupce'!I103</f>
        <v>72</v>
      </c>
      <c r="H122" s="19">
        <f>'Rozpočet - vybrané sloupce'!J103</f>
        <v>0</v>
      </c>
      <c r="I122" s="87">
        <v>12</v>
      </c>
      <c r="J122" s="19">
        <f t="shared" si="54"/>
        <v>0</v>
      </c>
      <c r="K122" s="19">
        <f t="shared" si="55"/>
        <v>0</v>
      </c>
      <c r="L122" s="19">
        <f t="shared" si="56"/>
        <v>0</v>
      </c>
      <c r="M122" s="19">
        <f t="shared" si="57"/>
        <v>0</v>
      </c>
      <c r="N122" s="19">
        <v>7.2999999999999996E-4</v>
      </c>
      <c r="O122" s="19">
        <f t="shared" si="58"/>
        <v>5.2559999999999996E-2</v>
      </c>
      <c r="P122" s="88" t="s">
        <v>531</v>
      </c>
      <c r="Z122" s="19">
        <f t="shared" si="59"/>
        <v>0</v>
      </c>
      <c r="AB122" s="19">
        <f t="shared" si="60"/>
        <v>0</v>
      </c>
      <c r="AC122" s="19">
        <f t="shared" si="61"/>
        <v>0</v>
      </c>
      <c r="AD122" s="19">
        <f t="shared" si="62"/>
        <v>0</v>
      </c>
      <c r="AE122" s="19">
        <f t="shared" si="63"/>
        <v>0</v>
      </c>
      <c r="AF122" s="19">
        <f t="shared" si="64"/>
        <v>0</v>
      </c>
      <c r="AG122" s="19">
        <f t="shared" si="65"/>
        <v>0</v>
      </c>
      <c r="AH122" s="19">
        <f t="shared" si="66"/>
        <v>0</v>
      </c>
      <c r="AI122" s="16" t="s">
        <v>435</v>
      </c>
      <c r="AJ122" s="19">
        <f t="shared" si="67"/>
        <v>0</v>
      </c>
      <c r="AK122" s="19">
        <f t="shared" si="68"/>
        <v>0</v>
      </c>
      <c r="AL122" s="19">
        <f t="shared" si="69"/>
        <v>0</v>
      </c>
      <c r="AN122" s="19">
        <v>12</v>
      </c>
      <c r="AO122" s="19">
        <f>H122*0.578547486</f>
        <v>0</v>
      </c>
      <c r="AP122" s="19">
        <f>H122*(1-0.578547486)</f>
        <v>0</v>
      </c>
      <c r="AQ122" s="89" t="s">
        <v>532</v>
      </c>
      <c r="AV122" s="19">
        <f t="shared" si="70"/>
        <v>0</v>
      </c>
      <c r="AW122" s="19">
        <f t="shared" si="71"/>
        <v>0</v>
      </c>
      <c r="AX122" s="19">
        <f t="shared" si="72"/>
        <v>0</v>
      </c>
      <c r="AY122" s="89" t="s">
        <v>575</v>
      </c>
      <c r="AZ122" s="89" t="s">
        <v>633</v>
      </c>
      <c r="BA122" s="16" t="s">
        <v>629</v>
      </c>
      <c r="BC122" s="19">
        <f t="shared" si="73"/>
        <v>0</v>
      </c>
      <c r="BD122" s="19">
        <f t="shared" si="74"/>
        <v>0</v>
      </c>
      <c r="BE122" s="19">
        <v>0</v>
      </c>
      <c r="BF122" s="19">
        <f t="shared" si="75"/>
        <v>5.2559999999999996E-2</v>
      </c>
      <c r="BH122" s="19">
        <f t="shared" si="76"/>
        <v>0</v>
      </c>
      <c r="BI122" s="19">
        <f t="shared" si="77"/>
        <v>0</v>
      </c>
      <c r="BJ122" s="19">
        <f t="shared" si="78"/>
        <v>0</v>
      </c>
      <c r="BK122" s="89" t="s">
        <v>30</v>
      </c>
      <c r="BL122" s="19">
        <v>722</v>
      </c>
      <c r="BW122" s="19">
        <f t="shared" si="79"/>
        <v>12</v>
      </c>
      <c r="BX122" s="4" t="s">
        <v>107</v>
      </c>
    </row>
    <row r="123" spans="1:76" x14ac:dyDescent="0.25">
      <c r="A123" s="1" t="s">
        <v>638</v>
      </c>
      <c r="B123" s="2" t="s">
        <v>435</v>
      </c>
      <c r="C123" s="2" t="s">
        <v>108</v>
      </c>
      <c r="D123" s="96" t="s">
        <v>109</v>
      </c>
      <c r="E123" s="97"/>
      <c r="F123" s="2" t="s">
        <v>29</v>
      </c>
      <c r="G123" s="19">
        <f>'Rozpočet - vybrané sloupce'!I104</f>
        <v>36</v>
      </c>
      <c r="H123" s="19">
        <f>'Rozpočet - vybrané sloupce'!J104</f>
        <v>0</v>
      </c>
      <c r="I123" s="87">
        <v>12</v>
      </c>
      <c r="J123" s="19">
        <f t="shared" si="54"/>
        <v>0</v>
      </c>
      <c r="K123" s="19">
        <f t="shared" si="55"/>
        <v>0</v>
      </c>
      <c r="L123" s="19">
        <f t="shared" si="56"/>
        <v>0</v>
      </c>
      <c r="M123" s="19">
        <f t="shared" si="57"/>
        <v>0</v>
      </c>
      <c r="N123" s="19">
        <v>1.0200000000000001E-3</v>
      </c>
      <c r="O123" s="19">
        <f t="shared" si="58"/>
        <v>3.6720000000000003E-2</v>
      </c>
      <c r="P123" s="88" t="s">
        <v>531</v>
      </c>
      <c r="Z123" s="19">
        <f t="shared" si="59"/>
        <v>0</v>
      </c>
      <c r="AB123" s="19">
        <f t="shared" si="60"/>
        <v>0</v>
      </c>
      <c r="AC123" s="19">
        <f t="shared" si="61"/>
        <v>0</v>
      </c>
      <c r="AD123" s="19">
        <f t="shared" si="62"/>
        <v>0</v>
      </c>
      <c r="AE123" s="19">
        <f t="shared" si="63"/>
        <v>0</v>
      </c>
      <c r="AF123" s="19">
        <f t="shared" si="64"/>
        <v>0</v>
      </c>
      <c r="AG123" s="19">
        <f t="shared" si="65"/>
        <v>0</v>
      </c>
      <c r="AH123" s="19">
        <f t="shared" si="66"/>
        <v>0</v>
      </c>
      <c r="AI123" s="16" t="s">
        <v>435</v>
      </c>
      <c r="AJ123" s="19">
        <f t="shared" si="67"/>
        <v>0</v>
      </c>
      <c r="AK123" s="19">
        <f t="shared" si="68"/>
        <v>0</v>
      </c>
      <c r="AL123" s="19">
        <f t="shared" si="69"/>
        <v>0</v>
      </c>
      <c r="AN123" s="19">
        <v>12</v>
      </c>
      <c r="AO123" s="19">
        <f>H123*0.679694377</f>
        <v>0</v>
      </c>
      <c r="AP123" s="19">
        <f>H123*(1-0.679694377)</f>
        <v>0</v>
      </c>
      <c r="AQ123" s="89" t="s">
        <v>532</v>
      </c>
      <c r="AV123" s="19">
        <f t="shared" si="70"/>
        <v>0</v>
      </c>
      <c r="AW123" s="19">
        <f t="shared" si="71"/>
        <v>0</v>
      </c>
      <c r="AX123" s="19">
        <f t="shared" si="72"/>
        <v>0</v>
      </c>
      <c r="AY123" s="89" t="s">
        <v>575</v>
      </c>
      <c r="AZ123" s="89" t="s">
        <v>633</v>
      </c>
      <c r="BA123" s="16" t="s">
        <v>629</v>
      </c>
      <c r="BC123" s="19">
        <f t="shared" si="73"/>
        <v>0</v>
      </c>
      <c r="BD123" s="19">
        <f t="shared" si="74"/>
        <v>0</v>
      </c>
      <c r="BE123" s="19">
        <v>0</v>
      </c>
      <c r="BF123" s="19">
        <f t="shared" si="75"/>
        <v>3.6720000000000003E-2</v>
      </c>
      <c r="BH123" s="19">
        <f t="shared" si="76"/>
        <v>0</v>
      </c>
      <c r="BI123" s="19">
        <f t="shared" si="77"/>
        <v>0</v>
      </c>
      <c r="BJ123" s="19">
        <f t="shared" si="78"/>
        <v>0</v>
      </c>
      <c r="BK123" s="89" t="s">
        <v>30</v>
      </c>
      <c r="BL123" s="19">
        <v>722</v>
      </c>
      <c r="BW123" s="19">
        <f t="shared" si="79"/>
        <v>12</v>
      </c>
      <c r="BX123" s="4" t="s">
        <v>109</v>
      </c>
    </row>
    <row r="124" spans="1:76" x14ac:dyDescent="0.25">
      <c r="A124" s="1" t="s">
        <v>639</v>
      </c>
      <c r="B124" s="2" t="s">
        <v>435</v>
      </c>
      <c r="C124" s="2" t="s">
        <v>193</v>
      </c>
      <c r="D124" s="96" t="s">
        <v>194</v>
      </c>
      <c r="E124" s="97"/>
      <c r="F124" s="2" t="s">
        <v>33</v>
      </c>
      <c r="G124" s="19">
        <f>'Rozpočet - vybrané sloupce'!I105</f>
        <v>8</v>
      </c>
      <c r="H124" s="19">
        <f>'Rozpočet - vybrané sloupce'!J105</f>
        <v>0</v>
      </c>
      <c r="I124" s="87">
        <v>12</v>
      </c>
      <c r="J124" s="19">
        <f t="shared" si="54"/>
        <v>0</v>
      </c>
      <c r="K124" s="19">
        <f t="shared" si="55"/>
        <v>0</v>
      </c>
      <c r="L124" s="19">
        <f t="shared" si="56"/>
        <v>0</v>
      </c>
      <c r="M124" s="19">
        <f t="shared" si="57"/>
        <v>0</v>
      </c>
      <c r="N124" s="19">
        <v>5.1999999999999995E-4</v>
      </c>
      <c r="O124" s="19">
        <f t="shared" si="58"/>
        <v>4.1599999999999996E-3</v>
      </c>
      <c r="P124" s="88" t="s">
        <v>531</v>
      </c>
      <c r="Z124" s="19">
        <f t="shared" si="59"/>
        <v>0</v>
      </c>
      <c r="AB124" s="19">
        <f t="shared" si="60"/>
        <v>0</v>
      </c>
      <c r="AC124" s="19">
        <f t="shared" si="61"/>
        <v>0</v>
      </c>
      <c r="AD124" s="19">
        <f t="shared" si="62"/>
        <v>0</v>
      </c>
      <c r="AE124" s="19">
        <f t="shared" si="63"/>
        <v>0</v>
      </c>
      <c r="AF124" s="19">
        <f t="shared" si="64"/>
        <v>0</v>
      </c>
      <c r="AG124" s="19">
        <f t="shared" si="65"/>
        <v>0</v>
      </c>
      <c r="AH124" s="19">
        <f t="shared" si="66"/>
        <v>0</v>
      </c>
      <c r="AI124" s="16" t="s">
        <v>435</v>
      </c>
      <c r="AJ124" s="19">
        <f t="shared" si="67"/>
        <v>0</v>
      </c>
      <c r="AK124" s="19">
        <f t="shared" si="68"/>
        <v>0</v>
      </c>
      <c r="AL124" s="19">
        <f t="shared" si="69"/>
        <v>0</v>
      </c>
      <c r="AN124" s="19">
        <v>12</v>
      </c>
      <c r="AO124" s="19">
        <f>H124*0.341186441</f>
        <v>0</v>
      </c>
      <c r="AP124" s="19">
        <f>H124*(1-0.341186441)</f>
        <v>0</v>
      </c>
      <c r="AQ124" s="89" t="s">
        <v>532</v>
      </c>
      <c r="AV124" s="19">
        <f t="shared" si="70"/>
        <v>0</v>
      </c>
      <c r="AW124" s="19">
        <f t="shared" si="71"/>
        <v>0</v>
      </c>
      <c r="AX124" s="19">
        <f t="shared" si="72"/>
        <v>0</v>
      </c>
      <c r="AY124" s="89" t="s">
        <v>575</v>
      </c>
      <c r="AZ124" s="89" t="s">
        <v>633</v>
      </c>
      <c r="BA124" s="16" t="s">
        <v>629</v>
      </c>
      <c r="BC124" s="19">
        <f t="shared" si="73"/>
        <v>0</v>
      </c>
      <c r="BD124" s="19">
        <f t="shared" si="74"/>
        <v>0</v>
      </c>
      <c r="BE124" s="19">
        <v>0</v>
      </c>
      <c r="BF124" s="19">
        <f t="shared" si="75"/>
        <v>4.1599999999999996E-3</v>
      </c>
      <c r="BH124" s="19">
        <f t="shared" si="76"/>
        <v>0</v>
      </c>
      <c r="BI124" s="19">
        <f t="shared" si="77"/>
        <v>0</v>
      </c>
      <c r="BJ124" s="19">
        <f t="shared" si="78"/>
        <v>0</v>
      </c>
      <c r="BK124" s="89" t="s">
        <v>30</v>
      </c>
      <c r="BL124" s="19">
        <v>722</v>
      </c>
      <c r="BW124" s="19">
        <f t="shared" si="79"/>
        <v>12</v>
      </c>
      <c r="BX124" s="4" t="s">
        <v>194</v>
      </c>
    </row>
    <row r="125" spans="1:76" x14ac:dyDescent="0.25">
      <c r="A125" s="1" t="s">
        <v>640</v>
      </c>
      <c r="B125" s="2" t="s">
        <v>435</v>
      </c>
      <c r="C125" s="2" t="s">
        <v>195</v>
      </c>
      <c r="D125" s="96" t="s">
        <v>196</v>
      </c>
      <c r="E125" s="97"/>
      <c r="F125" s="2" t="s">
        <v>33</v>
      </c>
      <c r="G125" s="19">
        <f>'Rozpočet - vybrané sloupce'!I106</f>
        <v>4</v>
      </c>
      <c r="H125" s="19">
        <f>'Rozpočet - vybrané sloupce'!J106</f>
        <v>0</v>
      </c>
      <c r="I125" s="87">
        <v>12</v>
      </c>
      <c r="J125" s="19">
        <f t="shared" si="54"/>
        <v>0</v>
      </c>
      <c r="K125" s="19">
        <f t="shared" si="55"/>
        <v>0</v>
      </c>
      <c r="L125" s="19">
        <f t="shared" si="56"/>
        <v>0</v>
      </c>
      <c r="M125" s="19">
        <f t="shared" si="57"/>
        <v>0</v>
      </c>
      <c r="N125" s="19">
        <v>7.6000000000000004E-4</v>
      </c>
      <c r="O125" s="19">
        <f t="shared" si="58"/>
        <v>3.0400000000000002E-3</v>
      </c>
      <c r="P125" s="88" t="s">
        <v>531</v>
      </c>
      <c r="Z125" s="19">
        <f t="shared" si="59"/>
        <v>0</v>
      </c>
      <c r="AB125" s="19">
        <f t="shared" si="60"/>
        <v>0</v>
      </c>
      <c r="AC125" s="19">
        <f t="shared" si="61"/>
        <v>0</v>
      </c>
      <c r="AD125" s="19">
        <f t="shared" si="62"/>
        <v>0</v>
      </c>
      <c r="AE125" s="19">
        <f t="shared" si="63"/>
        <v>0</v>
      </c>
      <c r="AF125" s="19">
        <f t="shared" si="64"/>
        <v>0</v>
      </c>
      <c r="AG125" s="19">
        <f t="shared" si="65"/>
        <v>0</v>
      </c>
      <c r="AH125" s="19">
        <f t="shared" si="66"/>
        <v>0</v>
      </c>
      <c r="AI125" s="16" t="s">
        <v>435</v>
      </c>
      <c r="AJ125" s="19">
        <f t="shared" si="67"/>
        <v>0</v>
      </c>
      <c r="AK125" s="19">
        <f t="shared" si="68"/>
        <v>0</v>
      </c>
      <c r="AL125" s="19">
        <f t="shared" si="69"/>
        <v>0</v>
      </c>
      <c r="AN125" s="19">
        <v>12</v>
      </c>
      <c r="AO125" s="19">
        <f>H125*0.398623853</f>
        <v>0</v>
      </c>
      <c r="AP125" s="19">
        <f>H125*(1-0.398623853)</f>
        <v>0</v>
      </c>
      <c r="AQ125" s="89" t="s">
        <v>532</v>
      </c>
      <c r="AV125" s="19">
        <f t="shared" si="70"/>
        <v>0</v>
      </c>
      <c r="AW125" s="19">
        <f t="shared" si="71"/>
        <v>0</v>
      </c>
      <c r="AX125" s="19">
        <f t="shared" si="72"/>
        <v>0</v>
      </c>
      <c r="AY125" s="89" t="s">
        <v>575</v>
      </c>
      <c r="AZ125" s="89" t="s">
        <v>633</v>
      </c>
      <c r="BA125" s="16" t="s">
        <v>629</v>
      </c>
      <c r="BC125" s="19">
        <f t="shared" si="73"/>
        <v>0</v>
      </c>
      <c r="BD125" s="19">
        <f t="shared" si="74"/>
        <v>0</v>
      </c>
      <c r="BE125" s="19">
        <v>0</v>
      </c>
      <c r="BF125" s="19">
        <f t="shared" si="75"/>
        <v>3.0400000000000002E-3</v>
      </c>
      <c r="BH125" s="19">
        <f t="shared" si="76"/>
        <v>0</v>
      </c>
      <c r="BI125" s="19">
        <f t="shared" si="77"/>
        <v>0</v>
      </c>
      <c r="BJ125" s="19">
        <f t="shared" si="78"/>
        <v>0</v>
      </c>
      <c r="BK125" s="89" t="s">
        <v>30</v>
      </c>
      <c r="BL125" s="19">
        <v>722</v>
      </c>
      <c r="BW125" s="19">
        <f t="shared" si="79"/>
        <v>12</v>
      </c>
      <c r="BX125" s="4" t="s">
        <v>196</v>
      </c>
    </row>
    <row r="126" spans="1:76" x14ac:dyDescent="0.25">
      <c r="A126" s="1" t="s">
        <v>641</v>
      </c>
      <c r="B126" s="2" t="s">
        <v>435</v>
      </c>
      <c r="C126" s="2" t="s">
        <v>197</v>
      </c>
      <c r="D126" s="96" t="s">
        <v>198</v>
      </c>
      <c r="E126" s="97"/>
      <c r="F126" s="2" t="s">
        <v>33</v>
      </c>
      <c r="G126" s="19">
        <f>'Rozpočet - vybrané sloupce'!I107</f>
        <v>44</v>
      </c>
      <c r="H126" s="19">
        <f>'Rozpočet - vybrané sloupce'!J107</f>
        <v>0</v>
      </c>
      <c r="I126" s="87">
        <v>12</v>
      </c>
      <c r="J126" s="19">
        <f t="shared" si="54"/>
        <v>0</v>
      </c>
      <c r="K126" s="19">
        <f t="shared" si="55"/>
        <v>0</v>
      </c>
      <c r="L126" s="19">
        <f t="shared" si="56"/>
        <v>0</v>
      </c>
      <c r="M126" s="19">
        <f t="shared" si="57"/>
        <v>0</v>
      </c>
      <c r="N126" s="19">
        <v>0</v>
      </c>
      <c r="O126" s="19">
        <f t="shared" si="58"/>
        <v>0</v>
      </c>
      <c r="P126" s="88" t="s">
        <v>531</v>
      </c>
      <c r="Z126" s="19">
        <f t="shared" si="59"/>
        <v>0</v>
      </c>
      <c r="AB126" s="19">
        <f t="shared" si="60"/>
        <v>0</v>
      </c>
      <c r="AC126" s="19">
        <f t="shared" si="61"/>
        <v>0</v>
      </c>
      <c r="AD126" s="19">
        <f t="shared" si="62"/>
        <v>0</v>
      </c>
      <c r="AE126" s="19">
        <f t="shared" si="63"/>
        <v>0</v>
      </c>
      <c r="AF126" s="19">
        <f t="shared" si="64"/>
        <v>0</v>
      </c>
      <c r="AG126" s="19">
        <f t="shared" si="65"/>
        <v>0</v>
      </c>
      <c r="AH126" s="19">
        <f t="shared" si="66"/>
        <v>0</v>
      </c>
      <c r="AI126" s="16" t="s">
        <v>435</v>
      </c>
      <c r="AJ126" s="19">
        <f t="shared" si="67"/>
        <v>0</v>
      </c>
      <c r="AK126" s="19">
        <f t="shared" si="68"/>
        <v>0</v>
      </c>
      <c r="AL126" s="19">
        <f t="shared" si="69"/>
        <v>0</v>
      </c>
      <c r="AN126" s="19">
        <v>12</v>
      </c>
      <c r="AO126" s="19">
        <f>H126*0</f>
        <v>0</v>
      </c>
      <c r="AP126" s="19">
        <f>H126*(1-0)</f>
        <v>0</v>
      </c>
      <c r="AQ126" s="89" t="s">
        <v>532</v>
      </c>
      <c r="AV126" s="19">
        <f t="shared" si="70"/>
        <v>0</v>
      </c>
      <c r="AW126" s="19">
        <f t="shared" si="71"/>
        <v>0</v>
      </c>
      <c r="AX126" s="19">
        <f t="shared" si="72"/>
        <v>0</v>
      </c>
      <c r="AY126" s="89" t="s">
        <v>575</v>
      </c>
      <c r="AZ126" s="89" t="s">
        <v>633</v>
      </c>
      <c r="BA126" s="16" t="s">
        <v>629</v>
      </c>
      <c r="BC126" s="19">
        <f t="shared" si="73"/>
        <v>0</v>
      </c>
      <c r="BD126" s="19">
        <f t="shared" si="74"/>
        <v>0</v>
      </c>
      <c r="BE126" s="19">
        <v>0</v>
      </c>
      <c r="BF126" s="19">
        <f t="shared" si="75"/>
        <v>0</v>
      </c>
      <c r="BH126" s="19">
        <f t="shared" si="76"/>
        <v>0</v>
      </c>
      <c r="BI126" s="19">
        <f t="shared" si="77"/>
        <v>0</v>
      </c>
      <c r="BJ126" s="19">
        <f t="shared" si="78"/>
        <v>0</v>
      </c>
      <c r="BK126" s="89" t="s">
        <v>30</v>
      </c>
      <c r="BL126" s="19">
        <v>722</v>
      </c>
      <c r="BW126" s="19">
        <f t="shared" si="79"/>
        <v>12</v>
      </c>
      <c r="BX126" s="4" t="s">
        <v>198</v>
      </c>
    </row>
    <row r="127" spans="1:76" x14ac:dyDescent="0.25">
      <c r="A127" s="1" t="s">
        <v>642</v>
      </c>
      <c r="B127" s="2" t="s">
        <v>435</v>
      </c>
      <c r="C127" s="2" t="s">
        <v>112</v>
      </c>
      <c r="D127" s="96" t="s">
        <v>113</v>
      </c>
      <c r="E127" s="97"/>
      <c r="F127" s="2" t="s">
        <v>29</v>
      </c>
      <c r="G127" s="19">
        <f>'Rozpočet - vybrané sloupce'!I108</f>
        <v>66</v>
      </c>
      <c r="H127" s="19">
        <f>'Rozpočet - vybrané sloupce'!J108</f>
        <v>0</v>
      </c>
      <c r="I127" s="87">
        <v>12</v>
      </c>
      <c r="J127" s="19">
        <f t="shared" si="54"/>
        <v>0</v>
      </c>
      <c r="K127" s="19">
        <f t="shared" si="55"/>
        <v>0</v>
      </c>
      <c r="L127" s="19">
        <f t="shared" si="56"/>
        <v>0</v>
      </c>
      <c r="M127" s="19">
        <f t="shared" si="57"/>
        <v>0</v>
      </c>
      <c r="N127" s="19">
        <v>3.0000000000000001E-5</v>
      </c>
      <c r="O127" s="19">
        <f t="shared" si="58"/>
        <v>1.98E-3</v>
      </c>
      <c r="P127" s="88" t="s">
        <v>531</v>
      </c>
      <c r="Z127" s="19">
        <f t="shared" si="59"/>
        <v>0</v>
      </c>
      <c r="AB127" s="19">
        <f t="shared" si="60"/>
        <v>0</v>
      </c>
      <c r="AC127" s="19">
        <f t="shared" si="61"/>
        <v>0</v>
      </c>
      <c r="AD127" s="19">
        <f t="shared" si="62"/>
        <v>0</v>
      </c>
      <c r="AE127" s="19">
        <f t="shared" si="63"/>
        <v>0</v>
      </c>
      <c r="AF127" s="19">
        <f t="shared" si="64"/>
        <v>0</v>
      </c>
      <c r="AG127" s="19">
        <f t="shared" si="65"/>
        <v>0</v>
      </c>
      <c r="AH127" s="19">
        <f t="shared" si="66"/>
        <v>0</v>
      </c>
      <c r="AI127" s="16" t="s">
        <v>435</v>
      </c>
      <c r="AJ127" s="19">
        <f t="shared" si="67"/>
        <v>0</v>
      </c>
      <c r="AK127" s="19">
        <f t="shared" si="68"/>
        <v>0</v>
      </c>
      <c r="AL127" s="19">
        <f t="shared" si="69"/>
        <v>0</v>
      </c>
      <c r="AN127" s="19">
        <v>12</v>
      </c>
      <c r="AO127" s="19">
        <f>H127*0.213649289</f>
        <v>0</v>
      </c>
      <c r="AP127" s="19">
        <f>H127*(1-0.213649289)</f>
        <v>0</v>
      </c>
      <c r="AQ127" s="89" t="s">
        <v>532</v>
      </c>
      <c r="AV127" s="19">
        <f t="shared" si="70"/>
        <v>0</v>
      </c>
      <c r="AW127" s="19">
        <f t="shared" si="71"/>
        <v>0</v>
      </c>
      <c r="AX127" s="19">
        <f t="shared" si="72"/>
        <v>0</v>
      </c>
      <c r="AY127" s="89" t="s">
        <v>575</v>
      </c>
      <c r="AZ127" s="89" t="s">
        <v>633</v>
      </c>
      <c r="BA127" s="16" t="s">
        <v>629</v>
      </c>
      <c r="BC127" s="19">
        <f t="shared" si="73"/>
        <v>0</v>
      </c>
      <c r="BD127" s="19">
        <f t="shared" si="74"/>
        <v>0</v>
      </c>
      <c r="BE127" s="19">
        <v>0</v>
      </c>
      <c r="BF127" s="19">
        <f t="shared" si="75"/>
        <v>1.98E-3</v>
      </c>
      <c r="BH127" s="19">
        <f t="shared" si="76"/>
        <v>0</v>
      </c>
      <c r="BI127" s="19">
        <f t="shared" si="77"/>
        <v>0</v>
      </c>
      <c r="BJ127" s="19">
        <f t="shared" si="78"/>
        <v>0</v>
      </c>
      <c r="BK127" s="89" t="s">
        <v>30</v>
      </c>
      <c r="BL127" s="19">
        <v>722</v>
      </c>
      <c r="BW127" s="19">
        <f t="shared" si="79"/>
        <v>12</v>
      </c>
      <c r="BX127" s="4" t="s">
        <v>113</v>
      </c>
    </row>
    <row r="128" spans="1:76" x14ac:dyDescent="0.25">
      <c r="A128" s="90"/>
      <c r="C128" s="91" t="s">
        <v>547</v>
      </c>
      <c r="D128" s="180" t="s">
        <v>587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2"/>
      <c r="BX128" s="92" t="s">
        <v>587</v>
      </c>
    </row>
    <row r="129" spans="1:76" x14ac:dyDescent="0.25">
      <c r="A129" s="1" t="s">
        <v>643</v>
      </c>
      <c r="B129" s="2" t="s">
        <v>435</v>
      </c>
      <c r="C129" s="2" t="s">
        <v>199</v>
      </c>
      <c r="D129" s="96" t="s">
        <v>200</v>
      </c>
      <c r="E129" s="97"/>
      <c r="F129" s="2" t="s">
        <v>29</v>
      </c>
      <c r="G129" s="19">
        <f>'Rozpočet - vybrané sloupce'!I109</f>
        <v>12</v>
      </c>
      <c r="H129" s="19">
        <f>'Rozpočet - vybrané sloupce'!J109</f>
        <v>0</v>
      </c>
      <c r="I129" s="87">
        <v>12</v>
      </c>
      <c r="J129" s="19">
        <f>ROUND(G129*AO129,2)</f>
        <v>0</v>
      </c>
      <c r="K129" s="19">
        <f>ROUND(G129*AP129,2)</f>
        <v>0</v>
      </c>
      <c r="L129" s="19">
        <f>ROUND(G129*H129,2)</f>
        <v>0</v>
      </c>
      <c r="M129" s="19">
        <f>L129*(1+BW129/100)</f>
        <v>0</v>
      </c>
      <c r="N129" s="19">
        <v>6.0000000000000002E-5</v>
      </c>
      <c r="O129" s="19">
        <f>G129*N129</f>
        <v>7.2000000000000005E-4</v>
      </c>
      <c r="P129" s="88" t="s">
        <v>531</v>
      </c>
      <c r="Z129" s="19">
        <f>ROUND(IF(AQ129="5",BJ129,0),2)</f>
        <v>0</v>
      </c>
      <c r="AB129" s="19">
        <f>ROUND(IF(AQ129="1",BH129,0),2)</f>
        <v>0</v>
      </c>
      <c r="AC129" s="19">
        <f>ROUND(IF(AQ129="1",BI129,0),2)</f>
        <v>0</v>
      </c>
      <c r="AD129" s="19">
        <f>ROUND(IF(AQ129="7",BH129,0),2)</f>
        <v>0</v>
      </c>
      <c r="AE129" s="19">
        <f>ROUND(IF(AQ129="7",BI129,0),2)</f>
        <v>0</v>
      </c>
      <c r="AF129" s="19">
        <f>ROUND(IF(AQ129="2",BH129,0),2)</f>
        <v>0</v>
      </c>
      <c r="AG129" s="19">
        <f>ROUND(IF(AQ129="2",BI129,0),2)</f>
        <v>0</v>
      </c>
      <c r="AH129" s="19">
        <f>ROUND(IF(AQ129="0",BJ129,0),2)</f>
        <v>0</v>
      </c>
      <c r="AI129" s="16" t="s">
        <v>435</v>
      </c>
      <c r="AJ129" s="19">
        <f>IF(AN129=0,L129,0)</f>
        <v>0</v>
      </c>
      <c r="AK129" s="19">
        <f>IF(AN129=12,L129,0)</f>
        <v>0</v>
      </c>
      <c r="AL129" s="19">
        <f>IF(AN129=21,L129,0)</f>
        <v>0</v>
      </c>
      <c r="AN129" s="19">
        <v>12</v>
      </c>
      <c r="AO129" s="19">
        <f>H129*0.225674419</f>
        <v>0</v>
      </c>
      <c r="AP129" s="19">
        <f>H129*(1-0.225674419)</f>
        <v>0</v>
      </c>
      <c r="AQ129" s="89" t="s">
        <v>532</v>
      </c>
      <c r="AV129" s="19">
        <f>ROUND(AW129+AX129,2)</f>
        <v>0</v>
      </c>
      <c r="AW129" s="19">
        <f>ROUND(G129*AO129,2)</f>
        <v>0</v>
      </c>
      <c r="AX129" s="19">
        <f>ROUND(G129*AP129,2)</f>
        <v>0</v>
      </c>
      <c r="AY129" s="89" t="s">
        <v>575</v>
      </c>
      <c r="AZ129" s="89" t="s">
        <v>633</v>
      </c>
      <c r="BA129" s="16" t="s">
        <v>629</v>
      </c>
      <c r="BC129" s="19">
        <f>AW129+AX129</f>
        <v>0</v>
      </c>
      <c r="BD129" s="19">
        <f>H129/(100-BE129)*100</f>
        <v>0</v>
      </c>
      <c r="BE129" s="19">
        <v>0</v>
      </c>
      <c r="BF129" s="19">
        <f>O129</f>
        <v>7.2000000000000005E-4</v>
      </c>
      <c r="BH129" s="19">
        <f>G129*AO129</f>
        <v>0</v>
      </c>
      <c r="BI129" s="19">
        <f>G129*AP129</f>
        <v>0</v>
      </c>
      <c r="BJ129" s="19">
        <f>G129*H129</f>
        <v>0</v>
      </c>
      <c r="BK129" s="89" t="s">
        <v>30</v>
      </c>
      <c r="BL129" s="19">
        <v>722</v>
      </c>
      <c r="BW129" s="19">
        <f>I129</f>
        <v>12</v>
      </c>
      <c r="BX129" s="4" t="s">
        <v>200</v>
      </c>
    </row>
    <row r="130" spans="1:76" x14ac:dyDescent="0.25">
      <c r="A130" s="90"/>
      <c r="C130" s="91" t="s">
        <v>547</v>
      </c>
      <c r="D130" s="180" t="s">
        <v>587</v>
      </c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2"/>
      <c r="BX130" s="92" t="s">
        <v>587</v>
      </c>
    </row>
    <row r="131" spans="1:76" x14ac:dyDescent="0.25">
      <c r="A131" s="1" t="s">
        <v>644</v>
      </c>
      <c r="B131" s="2" t="s">
        <v>435</v>
      </c>
      <c r="C131" s="2" t="s">
        <v>201</v>
      </c>
      <c r="D131" s="96" t="s">
        <v>202</v>
      </c>
      <c r="E131" s="97"/>
      <c r="F131" s="2" t="s">
        <v>29</v>
      </c>
      <c r="G131" s="19">
        <f>'Rozpočet - vybrané sloupce'!I110</f>
        <v>36</v>
      </c>
      <c r="H131" s="19">
        <f>'Rozpočet - vybrané sloupce'!J110</f>
        <v>0</v>
      </c>
      <c r="I131" s="87">
        <v>12</v>
      </c>
      <c r="J131" s="19">
        <f>ROUND(G131*AO131,2)</f>
        <v>0</v>
      </c>
      <c r="K131" s="19">
        <f>ROUND(G131*AP131,2)</f>
        <v>0</v>
      </c>
      <c r="L131" s="19">
        <f>ROUND(G131*H131,2)</f>
        <v>0</v>
      </c>
      <c r="M131" s="19">
        <f>L131*(1+BW131/100)</f>
        <v>0</v>
      </c>
      <c r="N131" s="19">
        <v>5.0000000000000002E-5</v>
      </c>
      <c r="O131" s="19">
        <f>G131*N131</f>
        <v>1.8000000000000002E-3</v>
      </c>
      <c r="P131" s="88" t="s">
        <v>531</v>
      </c>
      <c r="Z131" s="19">
        <f>ROUND(IF(AQ131="5",BJ131,0),2)</f>
        <v>0</v>
      </c>
      <c r="AB131" s="19">
        <f>ROUND(IF(AQ131="1",BH131,0),2)</f>
        <v>0</v>
      </c>
      <c r="AC131" s="19">
        <f>ROUND(IF(AQ131="1",BI131,0),2)</f>
        <v>0</v>
      </c>
      <c r="AD131" s="19">
        <f>ROUND(IF(AQ131="7",BH131,0),2)</f>
        <v>0</v>
      </c>
      <c r="AE131" s="19">
        <f>ROUND(IF(AQ131="7",BI131,0),2)</f>
        <v>0</v>
      </c>
      <c r="AF131" s="19">
        <f>ROUND(IF(AQ131="2",BH131,0),2)</f>
        <v>0</v>
      </c>
      <c r="AG131" s="19">
        <f>ROUND(IF(AQ131="2",BI131,0),2)</f>
        <v>0</v>
      </c>
      <c r="AH131" s="19">
        <f>ROUND(IF(AQ131="0",BJ131,0),2)</f>
        <v>0</v>
      </c>
      <c r="AI131" s="16" t="s">
        <v>435</v>
      </c>
      <c r="AJ131" s="19">
        <f>IF(AN131=0,L131,0)</f>
        <v>0</v>
      </c>
      <c r="AK131" s="19">
        <f>IF(AN131=12,L131,0)</f>
        <v>0</v>
      </c>
      <c r="AL131" s="19">
        <f>IF(AN131=21,L131,0)</f>
        <v>0</v>
      </c>
      <c r="AN131" s="19">
        <v>12</v>
      </c>
      <c r="AO131" s="19">
        <f>H131*0.224915254</f>
        <v>0</v>
      </c>
      <c r="AP131" s="19">
        <f>H131*(1-0.224915254)</f>
        <v>0</v>
      </c>
      <c r="AQ131" s="89" t="s">
        <v>532</v>
      </c>
      <c r="AV131" s="19">
        <f>ROUND(AW131+AX131,2)</f>
        <v>0</v>
      </c>
      <c r="AW131" s="19">
        <f>ROUND(G131*AO131,2)</f>
        <v>0</v>
      </c>
      <c r="AX131" s="19">
        <f>ROUND(G131*AP131,2)</f>
        <v>0</v>
      </c>
      <c r="AY131" s="89" t="s">
        <v>575</v>
      </c>
      <c r="AZ131" s="89" t="s">
        <v>633</v>
      </c>
      <c r="BA131" s="16" t="s">
        <v>629</v>
      </c>
      <c r="BC131" s="19">
        <f>AW131+AX131</f>
        <v>0</v>
      </c>
      <c r="BD131" s="19">
        <f>H131/(100-BE131)*100</f>
        <v>0</v>
      </c>
      <c r="BE131" s="19">
        <v>0</v>
      </c>
      <c r="BF131" s="19">
        <f>O131</f>
        <v>1.8000000000000002E-3</v>
      </c>
      <c r="BH131" s="19">
        <f>G131*AO131</f>
        <v>0</v>
      </c>
      <c r="BI131" s="19">
        <f>G131*AP131</f>
        <v>0</v>
      </c>
      <c r="BJ131" s="19">
        <f>G131*H131</f>
        <v>0</v>
      </c>
      <c r="BK131" s="89" t="s">
        <v>30</v>
      </c>
      <c r="BL131" s="19">
        <v>722</v>
      </c>
      <c r="BW131" s="19">
        <f>I131</f>
        <v>12</v>
      </c>
      <c r="BX131" s="4" t="s">
        <v>202</v>
      </c>
    </row>
    <row r="132" spans="1:76" x14ac:dyDescent="0.25">
      <c r="A132" s="90"/>
      <c r="C132" s="91" t="s">
        <v>547</v>
      </c>
      <c r="D132" s="180" t="s">
        <v>587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2"/>
      <c r="BX132" s="92" t="s">
        <v>587</v>
      </c>
    </row>
    <row r="133" spans="1:76" x14ac:dyDescent="0.25">
      <c r="A133" s="1" t="s">
        <v>645</v>
      </c>
      <c r="B133" s="2" t="s">
        <v>435</v>
      </c>
      <c r="C133" s="2" t="s">
        <v>114</v>
      </c>
      <c r="D133" s="96" t="s">
        <v>115</v>
      </c>
      <c r="E133" s="97"/>
      <c r="F133" s="2" t="s">
        <v>29</v>
      </c>
      <c r="G133" s="19">
        <f>'Rozpočet - vybrané sloupce'!I111</f>
        <v>18</v>
      </c>
      <c r="H133" s="19">
        <f>'Rozpočet - vybrané sloupce'!J111</f>
        <v>0</v>
      </c>
      <c r="I133" s="87">
        <v>12</v>
      </c>
      <c r="J133" s="19">
        <f>ROUND(G133*AO133,2)</f>
        <v>0</v>
      </c>
      <c r="K133" s="19">
        <f>ROUND(G133*AP133,2)</f>
        <v>0</v>
      </c>
      <c r="L133" s="19">
        <f>ROUND(G133*H133,2)</f>
        <v>0</v>
      </c>
      <c r="M133" s="19">
        <f>L133*(1+BW133/100)</f>
        <v>0</v>
      </c>
      <c r="N133" s="19">
        <v>9.0000000000000006E-5</v>
      </c>
      <c r="O133" s="19">
        <f>G133*N133</f>
        <v>1.6200000000000001E-3</v>
      </c>
      <c r="P133" s="88" t="s">
        <v>531</v>
      </c>
      <c r="Z133" s="19">
        <f>ROUND(IF(AQ133="5",BJ133,0),2)</f>
        <v>0</v>
      </c>
      <c r="AB133" s="19">
        <f>ROUND(IF(AQ133="1",BH133,0),2)</f>
        <v>0</v>
      </c>
      <c r="AC133" s="19">
        <f>ROUND(IF(AQ133="1",BI133,0),2)</f>
        <v>0</v>
      </c>
      <c r="AD133" s="19">
        <f>ROUND(IF(AQ133="7",BH133,0),2)</f>
        <v>0</v>
      </c>
      <c r="AE133" s="19">
        <f>ROUND(IF(AQ133="7",BI133,0),2)</f>
        <v>0</v>
      </c>
      <c r="AF133" s="19">
        <f>ROUND(IF(AQ133="2",BH133,0),2)</f>
        <v>0</v>
      </c>
      <c r="AG133" s="19">
        <f>ROUND(IF(AQ133="2",BI133,0),2)</f>
        <v>0</v>
      </c>
      <c r="AH133" s="19">
        <f>ROUND(IF(AQ133="0",BJ133,0),2)</f>
        <v>0</v>
      </c>
      <c r="AI133" s="16" t="s">
        <v>435</v>
      </c>
      <c r="AJ133" s="19">
        <f>IF(AN133=0,L133,0)</f>
        <v>0</v>
      </c>
      <c r="AK133" s="19">
        <f>IF(AN133=12,L133,0)</f>
        <v>0</v>
      </c>
      <c r="AL133" s="19">
        <f>IF(AN133=21,L133,0)</f>
        <v>0</v>
      </c>
      <c r="AN133" s="19">
        <v>12</v>
      </c>
      <c r="AO133" s="19">
        <f>H133*0.236981132</f>
        <v>0</v>
      </c>
      <c r="AP133" s="19">
        <f>H133*(1-0.236981132)</f>
        <v>0</v>
      </c>
      <c r="AQ133" s="89" t="s">
        <v>532</v>
      </c>
      <c r="AV133" s="19">
        <f>ROUND(AW133+AX133,2)</f>
        <v>0</v>
      </c>
      <c r="AW133" s="19">
        <f>ROUND(G133*AO133,2)</f>
        <v>0</v>
      </c>
      <c r="AX133" s="19">
        <f>ROUND(G133*AP133,2)</f>
        <v>0</v>
      </c>
      <c r="AY133" s="89" t="s">
        <v>575</v>
      </c>
      <c r="AZ133" s="89" t="s">
        <v>633</v>
      </c>
      <c r="BA133" s="16" t="s">
        <v>629</v>
      </c>
      <c r="BC133" s="19">
        <f>AW133+AX133</f>
        <v>0</v>
      </c>
      <c r="BD133" s="19">
        <f>H133/(100-BE133)*100</f>
        <v>0</v>
      </c>
      <c r="BE133" s="19">
        <v>0</v>
      </c>
      <c r="BF133" s="19">
        <f>O133</f>
        <v>1.6200000000000001E-3</v>
      </c>
      <c r="BH133" s="19">
        <f>G133*AO133</f>
        <v>0</v>
      </c>
      <c r="BI133" s="19">
        <f>G133*AP133</f>
        <v>0</v>
      </c>
      <c r="BJ133" s="19">
        <f>G133*H133</f>
        <v>0</v>
      </c>
      <c r="BK133" s="89" t="s">
        <v>30</v>
      </c>
      <c r="BL133" s="19">
        <v>722</v>
      </c>
      <c r="BW133" s="19">
        <f>I133</f>
        <v>12</v>
      </c>
      <c r="BX133" s="4" t="s">
        <v>115</v>
      </c>
    </row>
    <row r="134" spans="1:76" x14ac:dyDescent="0.25">
      <c r="A134" s="90"/>
      <c r="C134" s="91" t="s">
        <v>547</v>
      </c>
      <c r="D134" s="180" t="s">
        <v>587</v>
      </c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2"/>
      <c r="BX134" s="92" t="s">
        <v>587</v>
      </c>
    </row>
    <row r="135" spans="1:76" x14ac:dyDescent="0.25">
      <c r="A135" s="1" t="s">
        <v>646</v>
      </c>
      <c r="B135" s="2" t="s">
        <v>435</v>
      </c>
      <c r="C135" s="2" t="s">
        <v>118</v>
      </c>
      <c r="D135" s="96" t="s">
        <v>119</v>
      </c>
      <c r="E135" s="97"/>
      <c r="F135" s="2" t="s">
        <v>29</v>
      </c>
      <c r="G135" s="19">
        <f>'Rozpočet - vybrané sloupce'!I112</f>
        <v>75</v>
      </c>
      <c r="H135" s="19">
        <f>'Rozpočet - vybrané sloupce'!J112</f>
        <v>0</v>
      </c>
      <c r="I135" s="87">
        <v>12</v>
      </c>
      <c r="J135" s="19">
        <f>ROUND(G135*AO135,2)</f>
        <v>0</v>
      </c>
      <c r="K135" s="19">
        <f>ROUND(G135*AP135,2)</f>
        <v>0</v>
      </c>
      <c r="L135" s="19">
        <f>ROUND(G135*H135,2)</f>
        <v>0</v>
      </c>
      <c r="M135" s="19">
        <f>L135*(1+BW135/100)</f>
        <v>0</v>
      </c>
      <c r="N135" s="19">
        <v>6.9999999999999994E-5</v>
      </c>
      <c r="O135" s="19">
        <f>G135*N135</f>
        <v>5.2499999999999995E-3</v>
      </c>
      <c r="P135" s="88" t="s">
        <v>531</v>
      </c>
      <c r="Z135" s="19">
        <f>ROUND(IF(AQ135="5",BJ135,0),2)</f>
        <v>0</v>
      </c>
      <c r="AB135" s="19">
        <f>ROUND(IF(AQ135="1",BH135,0),2)</f>
        <v>0</v>
      </c>
      <c r="AC135" s="19">
        <f>ROUND(IF(AQ135="1",BI135,0),2)</f>
        <v>0</v>
      </c>
      <c r="AD135" s="19">
        <f>ROUND(IF(AQ135="7",BH135,0),2)</f>
        <v>0</v>
      </c>
      <c r="AE135" s="19">
        <f>ROUND(IF(AQ135="7",BI135,0),2)</f>
        <v>0</v>
      </c>
      <c r="AF135" s="19">
        <f>ROUND(IF(AQ135="2",BH135,0),2)</f>
        <v>0</v>
      </c>
      <c r="AG135" s="19">
        <f>ROUND(IF(AQ135="2",BI135,0),2)</f>
        <v>0</v>
      </c>
      <c r="AH135" s="19">
        <f>ROUND(IF(AQ135="0",BJ135,0),2)</f>
        <v>0</v>
      </c>
      <c r="AI135" s="16" t="s">
        <v>435</v>
      </c>
      <c r="AJ135" s="19">
        <f>IF(AN135=0,L135,0)</f>
        <v>0</v>
      </c>
      <c r="AK135" s="19">
        <f>IF(AN135=12,L135,0)</f>
        <v>0</v>
      </c>
      <c r="AL135" s="19">
        <f>IF(AN135=21,L135,0)</f>
        <v>0</v>
      </c>
      <c r="AN135" s="19">
        <v>12</v>
      </c>
      <c r="AO135" s="19">
        <f>H135*0.497878788</f>
        <v>0</v>
      </c>
      <c r="AP135" s="19">
        <f>H135*(1-0.497878788)</f>
        <v>0</v>
      </c>
      <c r="AQ135" s="89" t="s">
        <v>532</v>
      </c>
      <c r="AV135" s="19">
        <f>ROUND(AW135+AX135,2)</f>
        <v>0</v>
      </c>
      <c r="AW135" s="19">
        <f>ROUND(G135*AO135,2)</f>
        <v>0</v>
      </c>
      <c r="AX135" s="19">
        <f>ROUND(G135*AP135,2)</f>
        <v>0</v>
      </c>
      <c r="AY135" s="89" t="s">
        <v>575</v>
      </c>
      <c r="AZ135" s="89" t="s">
        <v>633</v>
      </c>
      <c r="BA135" s="16" t="s">
        <v>629</v>
      </c>
      <c r="BC135" s="19">
        <f>AW135+AX135</f>
        <v>0</v>
      </c>
      <c r="BD135" s="19">
        <f>H135/(100-BE135)*100</f>
        <v>0</v>
      </c>
      <c r="BE135" s="19">
        <v>0</v>
      </c>
      <c r="BF135" s="19">
        <f>O135</f>
        <v>5.2499999999999995E-3</v>
      </c>
      <c r="BH135" s="19">
        <f>G135*AO135</f>
        <v>0</v>
      </c>
      <c r="BI135" s="19">
        <f>G135*AP135</f>
        <v>0</v>
      </c>
      <c r="BJ135" s="19">
        <f>G135*H135</f>
        <v>0</v>
      </c>
      <c r="BK135" s="89" t="s">
        <v>30</v>
      </c>
      <c r="BL135" s="19">
        <v>722</v>
      </c>
      <c r="BW135" s="19">
        <f>I135</f>
        <v>12</v>
      </c>
      <c r="BX135" s="4" t="s">
        <v>119</v>
      </c>
    </row>
    <row r="136" spans="1:76" x14ac:dyDescent="0.25">
      <c r="A136" s="90"/>
      <c r="C136" s="91" t="s">
        <v>547</v>
      </c>
      <c r="D136" s="180" t="s">
        <v>587</v>
      </c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2"/>
      <c r="BX136" s="92" t="s">
        <v>587</v>
      </c>
    </row>
    <row r="137" spans="1:76" x14ac:dyDescent="0.25">
      <c r="A137" s="1" t="s">
        <v>647</v>
      </c>
      <c r="B137" s="2" t="s">
        <v>435</v>
      </c>
      <c r="C137" s="2" t="s">
        <v>120</v>
      </c>
      <c r="D137" s="96" t="s">
        <v>121</v>
      </c>
      <c r="E137" s="97"/>
      <c r="F137" s="2" t="s">
        <v>29</v>
      </c>
      <c r="G137" s="19">
        <f>'Rozpočet - vybrané sloupce'!I113</f>
        <v>36</v>
      </c>
      <c r="H137" s="19">
        <f>'Rozpočet - vybrané sloupce'!J113</f>
        <v>0</v>
      </c>
      <c r="I137" s="87">
        <v>12</v>
      </c>
      <c r="J137" s="19">
        <f>ROUND(G137*AO137,2)</f>
        <v>0</v>
      </c>
      <c r="K137" s="19">
        <f>ROUND(G137*AP137,2)</f>
        <v>0</v>
      </c>
      <c r="L137" s="19">
        <f>ROUND(G137*H137,2)</f>
        <v>0</v>
      </c>
      <c r="M137" s="19">
        <f>L137*(1+BW137/100)</f>
        <v>0</v>
      </c>
      <c r="N137" s="19">
        <v>8.0000000000000007E-5</v>
      </c>
      <c r="O137" s="19">
        <f>G137*N137</f>
        <v>2.8800000000000002E-3</v>
      </c>
      <c r="P137" s="88" t="s">
        <v>531</v>
      </c>
      <c r="Z137" s="19">
        <f>ROUND(IF(AQ137="5",BJ137,0),2)</f>
        <v>0</v>
      </c>
      <c r="AB137" s="19">
        <f>ROUND(IF(AQ137="1",BH137,0),2)</f>
        <v>0</v>
      </c>
      <c r="AC137" s="19">
        <f>ROUND(IF(AQ137="1",BI137,0),2)</f>
        <v>0</v>
      </c>
      <c r="AD137" s="19">
        <f>ROUND(IF(AQ137="7",BH137,0),2)</f>
        <v>0</v>
      </c>
      <c r="AE137" s="19">
        <f>ROUND(IF(AQ137="7",BI137,0),2)</f>
        <v>0</v>
      </c>
      <c r="AF137" s="19">
        <f>ROUND(IF(AQ137="2",BH137,0),2)</f>
        <v>0</v>
      </c>
      <c r="AG137" s="19">
        <f>ROUND(IF(AQ137="2",BI137,0),2)</f>
        <v>0</v>
      </c>
      <c r="AH137" s="19">
        <f>ROUND(IF(AQ137="0",BJ137,0),2)</f>
        <v>0</v>
      </c>
      <c r="AI137" s="16" t="s">
        <v>435</v>
      </c>
      <c r="AJ137" s="19">
        <f>IF(AN137=0,L137,0)</f>
        <v>0</v>
      </c>
      <c r="AK137" s="19">
        <f>IF(AN137=12,L137,0)</f>
        <v>0</v>
      </c>
      <c r="AL137" s="19">
        <f>IF(AN137=21,L137,0)</f>
        <v>0</v>
      </c>
      <c r="AN137" s="19">
        <v>12</v>
      </c>
      <c r="AO137" s="19">
        <f>H137*0.502888283</f>
        <v>0</v>
      </c>
      <c r="AP137" s="19">
        <f>H137*(1-0.502888283)</f>
        <v>0</v>
      </c>
      <c r="AQ137" s="89" t="s">
        <v>532</v>
      </c>
      <c r="AV137" s="19">
        <f>ROUND(AW137+AX137,2)</f>
        <v>0</v>
      </c>
      <c r="AW137" s="19">
        <f>ROUND(G137*AO137,2)</f>
        <v>0</v>
      </c>
      <c r="AX137" s="19">
        <f>ROUND(G137*AP137,2)</f>
        <v>0</v>
      </c>
      <c r="AY137" s="89" t="s">
        <v>575</v>
      </c>
      <c r="AZ137" s="89" t="s">
        <v>633</v>
      </c>
      <c r="BA137" s="16" t="s">
        <v>629</v>
      </c>
      <c r="BC137" s="19">
        <f>AW137+AX137</f>
        <v>0</v>
      </c>
      <c r="BD137" s="19">
        <f>H137/(100-BE137)*100</f>
        <v>0</v>
      </c>
      <c r="BE137" s="19">
        <v>0</v>
      </c>
      <c r="BF137" s="19">
        <f>O137</f>
        <v>2.8800000000000002E-3</v>
      </c>
      <c r="BH137" s="19">
        <f>G137*AO137</f>
        <v>0</v>
      </c>
      <c r="BI137" s="19">
        <f>G137*AP137</f>
        <v>0</v>
      </c>
      <c r="BJ137" s="19">
        <f>G137*H137</f>
        <v>0</v>
      </c>
      <c r="BK137" s="89" t="s">
        <v>30</v>
      </c>
      <c r="BL137" s="19">
        <v>722</v>
      </c>
      <c r="BW137" s="19">
        <f>I137</f>
        <v>12</v>
      </c>
      <c r="BX137" s="4" t="s">
        <v>121</v>
      </c>
    </row>
    <row r="138" spans="1:76" x14ac:dyDescent="0.25">
      <c r="A138" s="90"/>
      <c r="C138" s="91" t="s">
        <v>547</v>
      </c>
      <c r="D138" s="180" t="s">
        <v>587</v>
      </c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2"/>
      <c r="BX138" s="92" t="s">
        <v>587</v>
      </c>
    </row>
    <row r="139" spans="1:76" x14ac:dyDescent="0.25">
      <c r="A139" s="1" t="s">
        <v>648</v>
      </c>
      <c r="B139" s="2" t="s">
        <v>435</v>
      </c>
      <c r="C139" s="2" t="s">
        <v>122</v>
      </c>
      <c r="D139" s="96" t="s">
        <v>123</v>
      </c>
      <c r="E139" s="97"/>
      <c r="F139" s="2" t="s">
        <v>29</v>
      </c>
      <c r="G139" s="19">
        <f>'Rozpočet - vybrané sloupce'!I114</f>
        <v>18</v>
      </c>
      <c r="H139" s="19">
        <f>'Rozpočet - vybrané sloupce'!J114</f>
        <v>0</v>
      </c>
      <c r="I139" s="87">
        <v>12</v>
      </c>
      <c r="J139" s="19">
        <f>ROUND(G139*AO139,2)</f>
        <v>0</v>
      </c>
      <c r="K139" s="19">
        <f>ROUND(G139*AP139,2)</f>
        <v>0</v>
      </c>
      <c r="L139" s="19">
        <f>ROUND(G139*H139,2)</f>
        <v>0</v>
      </c>
      <c r="M139" s="19">
        <f>L139*(1+BW139/100)</f>
        <v>0</v>
      </c>
      <c r="N139" s="19">
        <v>1.2999999999999999E-4</v>
      </c>
      <c r="O139" s="19">
        <f>G139*N139</f>
        <v>2.3399999999999996E-3</v>
      </c>
      <c r="P139" s="88" t="s">
        <v>531</v>
      </c>
      <c r="Z139" s="19">
        <f>ROUND(IF(AQ139="5",BJ139,0),2)</f>
        <v>0</v>
      </c>
      <c r="AB139" s="19">
        <f>ROUND(IF(AQ139="1",BH139,0),2)</f>
        <v>0</v>
      </c>
      <c r="AC139" s="19">
        <f>ROUND(IF(AQ139="1",BI139,0),2)</f>
        <v>0</v>
      </c>
      <c r="AD139" s="19">
        <f>ROUND(IF(AQ139="7",BH139,0),2)</f>
        <v>0</v>
      </c>
      <c r="AE139" s="19">
        <f>ROUND(IF(AQ139="7",BI139,0),2)</f>
        <v>0</v>
      </c>
      <c r="AF139" s="19">
        <f>ROUND(IF(AQ139="2",BH139,0),2)</f>
        <v>0</v>
      </c>
      <c r="AG139" s="19">
        <f>ROUND(IF(AQ139="2",BI139,0),2)</f>
        <v>0</v>
      </c>
      <c r="AH139" s="19">
        <f>ROUND(IF(AQ139="0",BJ139,0),2)</f>
        <v>0</v>
      </c>
      <c r="AI139" s="16" t="s">
        <v>435</v>
      </c>
      <c r="AJ139" s="19">
        <f>IF(AN139=0,L139,0)</f>
        <v>0</v>
      </c>
      <c r="AK139" s="19">
        <f>IF(AN139=12,L139,0)</f>
        <v>0</v>
      </c>
      <c r="AL139" s="19">
        <f>IF(AN139=21,L139,0)</f>
        <v>0</v>
      </c>
      <c r="AN139" s="19">
        <v>12</v>
      </c>
      <c r="AO139" s="19">
        <f>H139*0.501975309</f>
        <v>0</v>
      </c>
      <c r="AP139" s="19">
        <f>H139*(1-0.501975309)</f>
        <v>0</v>
      </c>
      <c r="AQ139" s="89" t="s">
        <v>532</v>
      </c>
      <c r="AV139" s="19">
        <f>ROUND(AW139+AX139,2)</f>
        <v>0</v>
      </c>
      <c r="AW139" s="19">
        <f>ROUND(G139*AO139,2)</f>
        <v>0</v>
      </c>
      <c r="AX139" s="19">
        <f>ROUND(G139*AP139,2)</f>
        <v>0</v>
      </c>
      <c r="AY139" s="89" t="s">
        <v>575</v>
      </c>
      <c r="AZ139" s="89" t="s">
        <v>633</v>
      </c>
      <c r="BA139" s="16" t="s">
        <v>629</v>
      </c>
      <c r="BC139" s="19">
        <f>AW139+AX139</f>
        <v>0</v>
      </c>
      <c r="BD139" s="19">
        <f>H139/(100-BE139)*100</f>
        <v>0</v>
      </c>
      <c r="BE139" s="19">
        <v>0</v>
      </c>
      <c r="BF139" s="19">
        <f>O139</f>
        <v>2.3399999999999996E-3</v>
      </c>
      <c r="BH139" s="19">
        <f>G139*AO139</f>
        <v>0</v>
      </c>
      <c r="BI139" s="19">
        <f>G139*AP139</f>
        <v>0</v>
      </c>
      <c r="BJ139" s="19">
        <f>G139*H139</f>
        <v>0</v>
      </c>
      <c r="BK139" s="89" t="s">
        <v>30</v>
      </c>
      <c r="BL139" s="19">
        <v>722</v>
      </c>
      <c r="BW139" s="19">
        <f>I139</f>
        <v>12</v>
      </c>
      <c r="BX139" s="4" t="s">
        <v>123</v>
      </c>
    </row>
    <row r="140" spans="1:76" x14ac:dyDescent="0.25">
      <c r="A140" s="90"/>
      <c r="C140" s="91" t="s">
        <v>547</v>
      </c>
      <c r="D140" s="180" t="s">
        <v>587</v>
      </c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2"/>
      <c r="BX140" s="92" t="s">
        <v>587</v>
      </c>
    </row>
    <row r="141" spans="1:76" x14ac:dyDescent="0.25">
      <c r="A141" s="1" t="s">
        <v>649</v>
      </c>
      <c r="B141" s="2" t="s">
        <v>435</v>
      </c>
      <c r="C141" s="2" t="s">
        <v>130</v>
      </c>
      <c r="D141" s="96" t="s">
        <v>131</v>
      </c>
      <c r="E141" s="97"/>
      <c r="F141" s="2" t="s">
        <v>33</v>
      </c>
      <c r="G141" s="19">
        <f>'Rozpočet - vybrané sloupce'!I115</f>
        <v>88</v>
      </c>
      <c r="H141" s="19">
        <f>'Rozpočet - vybrané sloupce'!J115</f>
        <v>0</v>
      </c>
      <c r="I141" s="87">
        <v>12</v>
      </c>
      <c r="J141" s="19">
        <f t="shared" ref="J141:J149" si="80">ROUND(G141*AO141,2)</f>
        <v>0</v>
      </c>
      <c r="K141" s="19">
        <f t="shared" ref="K141:K149" si="81">ROUND(G141*AP141,2)</f>
        <v>0</v>
      </c>
      <c r="L141" s="19">
        <f t="shared" ref="L141:L149" si="82">ROUND(G141*H141,2)</f>
        <v>0</v>
      </c>
      <c r="M141" s="19">
        <f t="shared" ref="M141:M149" si="83">L141*(1+BW141/100)</f>
        <v>0</v>
      </c>
      <c r="N141" s="19">
        <v>0</v>
      </c>
      <c r="O141" s="19">
        <f t="shared" ref="O141:O149" si="84">G141*N141</f>
        <v>0</v>
      </c>
      <c r="P141" s="88" t="s">
        <v>531</v>
      </c>
      <c r="Z141" s="19">
        <f t="shared" ref="Z141:Z149" si="85">ROUND(IF(AQ141="5",BJ141,0),2)</f>
        <v>0</v>
      </c>
      <c r="AB141" s="19">
        <f t="shared" ref="AB141:AB149" si="86">ROUND(IF(AQ141="1",BH141,0),2)</f>
        <v>0</v>
      </c>
      <c r="AC141" s="19">
        <f t="shared" ref="AC141:AC149" si="87">ROUND(IF(AQ141="1",BI141,0),2)</f>
        <v>0</v>
      </c>
      <c r="AD141" s="19">
        <f t="shared" ref="AD141:AD149" si="88">ROUND(IF(AQ141="7",BH141,0),2)</f>
        <v>0</v>
      </c>
      <c r="AE141" s="19">
        <f t="shared" ref="AE141:AE149" si="89">ROUND(IF(AQ141="7",BI141,0),2)</f>
        <v>0</v>
      </c>
      <c r="AF141" s="19">
        <f t="shared" ref="AF141:AF149" si="90">ROUND(IF(AQ141="2",BH141,0),2)</f>
        <v>0</v>
      </c>
      <c r="AG141" s="19">
        <f t="shared" ref="AG141:AG149" si="91">ROUND(IF(AQ141="2",BI141,0),2)</f>
        <v>0</v>
      </c>
      <c r="AH141" s="19">
        <f t="shared" ref="AH141:AH149" si="92">ROUND(IF(AQ141="0",BJ141,0),2)</f>
        <v>0</v>
      </c>
      <c r="AI141" s="16" t="s">
        <v>435</v>
      </c>
      <c r="AJ141" s="19">
        <f t="shared" ref="AJ141:AJ149" si="93">IF(AN141=0,L141,0)</f>
        <v>0</v>
      </c>
      <c r="AK141" s="19">
        <f t="shared" ref="AK141:AK149" si="94">IF(AN141=12,L141,0)</f>
        <v>0</v>
      </c>
      <c r="AL141" s="19">
        <f t="shared" ref="AL141:AL149" si="95">IF(AN141=21,L141,0)</f>
        <v>0</v>
      </c>
      <c r="AN141" s="19">
        <v>12</v>
      </c>
      <c r="AO141" s="19">
        <f>H141*1</f>
        <v>0</v>
      </c>
      <c r="AP141" s="19">
        <f>H141*(1-1)</f>
        <v>0</v>
      </c>
      <c r="AQ141" s="89" t="s">
        <v>532</v>
      </c>
      <c r="AV141" s="19">
        <f t="shared" ref="AV141:AV149" si="96">ROUND(AW141+AX141,2)</f>
        <v>0</v>
      </c>
      <c r="AW141" s="19">
        <f t="shared" ref="AW141:AW149" si="97">ROUND(G141*AO141,2)</f>
        <v>0</v>
      </c>
      <c r="AX141" s="19">
        <f t="shared" ref="AX141:AX149" si="98">ROUND(G141*AP141,2)</f>
        <v>0</v>
      </c>
      <c r="AY141" s="89" t="s">
        <v>575</v>
      </c>
      <c r="AZ141" s="89" t="s">
        <v>633</v>
      </c>
      <c r="BA141" s="16" t="s">
        <v>629</v>
      </c>
      <c r="BC141" s="19">
        <f t="shared" ref="BC141:BC149" si="99">AW141+AX141</f>
        <v>0</v>
      </c>
      <c r="BD141" s="19">
        <f t="shared" ref="BD141:BD149" si="100">H141/(100-BE141)*100</f>
        <v>0</v>
      </c>
      <c r="BE141" s="19">
        <v>0</v>
      </c>
      <c r="BF141" s="19">
        <f t="shared" ref="BF141:BF149" si="101">O141</f>
        <v>0</v>
      </c>
      <c r="BH141" s="19">
        <f t="shared" ref="BH141:BH149" si="102">G141*AO141</f>
        <v>0</v>
      </c>
      <c r="BI141" s="19">
        <f t="shared" ref="BI141:BI149" si="103">G141*AP141</f>
        <v>0</v>
      </c>
      <c r="BJ141" s="19">
        <f t="shared" ref="BJ141:BJ149" si="104">G141*H141</f>
        <v>0</v>
      </c>
      <c r="BK141" s="89" t="s">
        <v>30</v>
      </c>
      <c r="BL141" s="19">
        <v>722</v>
      </c>
      <c r="BW141" s="19">
        <f t="shared" ref="BW141:BW149" si="105">I141</f>
        <v>12</v>
      </c>
      <c r="BX141" s="4" t="s">
        <v>131</v>
      </c>
    </row>
    <row r="142" spans="1:76" x14ac:dyDescent="0.25">
      <c r="A142" s="1" t="s">
        <v>650</v>
      </c>
      <c r="B142" s="2" t="s">
        <v>435</v>
      </c>
      <c r="C142" s="2" t="s">
        <v>140</v>
      </c>
      <c r="D142" s="96" t="s">
        <v>203</v>
      </c>
      <c r="E142" s="97"/>
      <c r="F142" s="2" t="s">
        <v>33</v>
      </c>
      <c r="G142" s="19">
        <f>'Rozpočet - vybrané sloupce'!I116</f>
        <v>44</v>
      </c>
      <c r="H142" s="19">
        <f>'Rozpočet - vybrané sloupce'!J116</f>
        <v>0</v>
      </c>
      <c r="I142" s="87">
        <v>12</v>
      </c>
      <c r="J142" s="19">
        <f t="shared" si="80"/>
        <v>0</v>
      </c>
      <c r="K142" s="19">
        <f t="shared" si="81"/>
        <v>0</v>
      </c>
      <c r="L142" s="19">
        <f t="shared" si="82"/>
        <v>0</v>
      </c>
      <c r="M142" s="19">
        <f t="shared" si="83"/>
        <v>0</v>
      </c>
      <c r="N142" s="19">
        <v>2.4000000000000001E-4</v>
      </c>
      <c r="O142" s="19">
        <f t="shared" si="84"/>
        <v>1.056E-2</v>
      </c>
      <c r="P142" s="88" t="s">
        <v>531</v>
      </c>
      <c r="Z142" s="19">
        <f t="shared" si="85"/>
        <v>0</v>
      </c>
      <c r="AB142" s="19">
        <f t="shared" si="86"/>
        <v>0</v>
      </c>
      <c r="AC142" s="19">
        <f t="shared" si="87"/>
        <v>0</v>
      </c>
      <c r="AD142" s="19">
        <f t="shared" si="88"/>
        <v>0</v>
      </c>
      <c r="AE142" s="19">
        <f t="shared" si="89"/>
        <v>0</v>
      </c>
      <c r="AF142" s="19">
        <f t="shared" si="90"/>
        <v>0</v>
      </c>
      <c r="AG142" s="19">
        <f t="shared" si="91"/>
        <v>0</v>
      </c>
      <c r="AH142" s="19">
        <f t="shared" si="92"/>
        <v>0</v>
      </c>
      <c r="AI142" s="16" t="s">
        <v>435</v>
      </c>
      <c r="AJ142" s="19">
        <f t="shared" si="93"/>
        <v>0</v>
      </c>
      <c r="AK142" s="19">
        <f t="shared" si="94"/>
        <v>0</v>
      </c>
      <c r="AL142" s="19">
        <f t="shared" si="95"/>
        <v>0</v>
      </c>
      <c r="AN142" s="19">
        <v>12</v>
      </c>
      <c r="AO142" s="19">
        <f>H142*0.708110831</f>
        <v>0</v>
      </c>
      <c r="AP142" s="19">
        <f>H142*(1-0.708110831)</f>
        <v>0</v>
      </c>
      <c r="AQ142" s="89" t="s">
        <v>532</v>
      </c>
      <c r="AV142" s="19">
        <f t="shared" si="96"/>
        <v>0</v>
      </c>
      <c r="AW142" s="19">
        <f t="shared" si="97"/>
        <v>0</v>
      </c>
      <c r="AX142" s="19">
        <f t="shared" si="98"/>
        <v>0</v>
      </c>
      <c r="AY142" s="89" t="s">
        <v>575</v>
      </c>
      <c r="AZ142" s="89" t="s">
        <v>633</v>
      </c>
      <c r="BA142" s="16" t="s">
        <v>629</v>
      </c>
      <c r="BC142" s="19">
        <f t="shared" si="99"/>
        <v>0</v>
      </c>
      <c r="BD142" s="19">
        <f t="shared" si="100"/>
        <v>0</v>
      </c>
      <c r="BE142" s="19">
        <v>0</v>
      </c>
      <c r="BF142" s="19">
        <f t="shared" si="101"/>
        <v>1.056E-2</v>
      </c>
      <c r="BH142" s="19">
        <f t="shared" si="102"/>
        <v>0</v>
      </c>
      <c r="BI142" s="19">
        <f t="shared" si="103"/>
        <v>0</v>
      </c>
      <c r="BJ142" s="19">
        <f t="shared" si="104"/>
        <v>0</v>
      </c>
      <c r="BK142" s="89" t="s">
        <v>30</v>
      </c>
      <c r="BL142" s="19">
        <v>722</v>
      </c>
      <c r="BW142" s="19">
        <f t="shared" si="105"/>
        <v>12</v>
      </c>
      <c r="BX142" s="4" t="s">
        <v>203</v>
      </c>
    </row>
    <row r="143" spans="1:76" x14ac:dyDescent="0.25">
      <c r="A143" s="1" t="s">
        <v>348</v>
      </c>
      <c r="B143" s="2" t="s">
        <v>435</v>
      </c>
      <c r="C143" s="2" t="s">
        <v>204</v>
      </c>
      <c r="D143" s="96" t="s">
        <v>205</v>
      </c>
      <c r="E143" s="97"/>
      <c r="F143" s="2" t="s">
        <v>33</v>
      </c>
      <c r="G143" s="19">
        <f>'Rozpočet - vybrané sloupce'!I117</f>
        <v>44</v>
      </c>
      <c r="H143" s="19">
        <f>'Rozpočet - vybrané sloupce'!J117</f>
        <v>0</v>
      </c>
      <c r="I143" s="87">
        <v>12</v>
      </c>
      <c r="J143" s="19">
        <f t="shared" si="80"/>
        <v>0</v>
      </c>
      <c r="K143" s="19">
        <f t="shared" si="81"/>
        <v>0</v>
      </c>
      <c r="L143" s="19">
        <f t="shared" si="82"/>
        <v>0</v>
      </c>
      <c r="M143" s="19">
        <f t="shared" si="83"/>
        <v>0</v>
      </c>
      <c r="N143" s="19">
        <v>1.1E-4</v>
      </c>
      <c r="O143" s="19">
        <f t="shared" si="84"/>
        <v>4.8400000000000006E-3</v>
      </c>
      <c r="P143" s="88" t="s">
        <v>531</v>
      </c>
      <c r="Z143" s="19">
        <f t="shared" si="85"/>
        <v>0</v>
      </c>
      <c r="AB143" s="19">
        <f t="shared" si="86"/>
        <v>0</v>
      </c>
      <c r="AC143" s="19">
        <f t="shared" si="87"/>
        <v>0</v>
      </c>
      <c r="AD143" s="19">
        <f t="shared" si="88"/>
        <v>0</v>
      </c>
      <c r="AE143" s="19">
        <f t="shared" si="89"/>
        <v>0</v>
      </c>
      <c r="AF143" s="19">
        <f t="shared" si="90"/>
        <v>0</v>
      </c>
      <c r="AG143" s="19">
        <f t="shared" si="91"/>
        <v>0</v>
      </c>
      <c r="AH143" s="19">
        <f t="shared" si="92"/>
        <v>0</v>
      </c>
      <c r="AI143" s="16" t="s">
        <v>435</v>
      </c>
      <c r="AJ143" s="19">
        <f t="shared" si="93"/>
        <v>0</v>
      </c>
      <c r="AK143" s="19">
        <f t="shared" si="94"/>
        <v>0</v>
      </c>
      <c r="AL143" s="19">
        <f t="shared" si="95"/>
        <v>0</v>
      </c>
      <c r="AN143" s="19">
        <v>12</v>
      </c>
      <c r="AO143" s="19">
        <f>H143*0.678111111</f>
        <v>0</v>
      </c>
      <c r="AP143" s="19">
        <f>H143*(1-0.678111111)</f>
        <v>0</v>
      </c>
      <c r="AQ143" s="89" t="s">
        <v>532</v>
      </c>
      <c r="AV143" s="19">
        <f t="shared" si="96"/>
        <v>0</v>
      </c>
      <c r="AW143" s="19">
        <f t="shared" si="97"/>
        <v>0</v>
      </c>
      <c r="AX143" s="19">
        <f t="shared" si="98"/>
        <v>0</v>
      </c>
      <c r="AY143" s="89" t="s">
        <v>575</v>
      </c>
      <c r="AZ143" s="89" t="s">
        <v>633</v>
      </c>
      <c r="BA143" s="16" t="s">
        <v>629</v>
      </c>
      <c r="BC143" s="19">
        <f t="shared" si="99"/>
        <v>0</v>
      </c>
      <c r="BD143" s="19">
        <f t="shared" si="100"/>
        <v>0</v>
      </c>
      <c r="BE143" s="19">
        <v>0</v>
      </c>
      <c r="BF143" s="19">
        <f t="shared" si="101"/>
        <v>4.8400000000000006E-3</v>
      </c>
      <c r="BH143" s="19">
        <f t="shared" si="102"/>
        <v>0</v>
      </c>
      <c r="BI143" s="19">
        <f t="shared" si="103"/>
        <v>0</v>
      </c>
      <c r="BJ143" s="19">
        <f t="shared" si="104"/>
        <v>0</v>
      </c>
      <c r="BK143" s="89" t="s">
        <v>30</v>
      </c>
      <c r="BL143" s="19">
        <v>722</v>
      </c>
      <c r="BW143" s="19">
        <f t="shared" si="105"/>
        <v>12</v>
      </c>
      <c r="BX143" s="4" t="s">
        <v>205</v>
      </c>
    </row>
    <row r="144" spans="1:76" x14ac:dyDescent="0.25">
      <c r="A144" s="1" t="s">
        <v>352</v>
      </c>
      <c r="B144" s="2" t="s">
        <v>435</v>
      </c>
      <c r="C144" s="2" t="s">
        <v>206</v>
      </c>
      <c r="D144" s="96" t="s">
        <v>207</v>
      </c>
      <c r="E144" s="97"/>
      <c r="F144" s="2" t="s">
        <v>33</v>
      </c>
      <c r="G144" s="19">
        <f>'Rozpočet - vybrané sloupce'!I118</f>
        <v>44</v>
      </c>
      <c r="H144" s="19">
        <f>'Rozpočet - vybrané sloupce'!J118</f>
        <v>0</v>
      </c>
      <c r="I144" s="87">
        <v>12</v>
      </c>
      <c r="J144" s="19">
        <f t="shared" si="80"/>
        <v>0</v>
      </c>
      <c r="K144" s="19">
        <f t="shared" si="81"/>
        <v>0</v>
      </c>
      <c r="L144" s="19">
        <f t="shared" si="82"/>
        <v>0</v>
      </c>
      <c r="M144" s="19">
        <f t="shared" si="83"/>
        <v>0</v>
      </c>
      <c r="N144" s="19">
        <v>5.4900000000000001E-3</v>
      </c>
      <c r="O144" s="19">
        <f t="shared" si="84"/>
        <v>0.24156</v>
      </c>
      <c r="P144" s="88" t="s">
        <v>531</v>
      </c>
      <c r="Z144" s="19">
        <f t="shared" si="85"/>
        <v>0</v>
      </c>
      <c r="AB144" s="19">
        <f t="shared" si="86"/>
        <v>0</v>
      </c>
      <c r="AC144" s="19">
        <f t="shared" si="87"/>
        <v>0</v>
      </c>
      <c r="AD144" s="19">
        <f t="shared" si="88"/>
        <v>0</v>
      </c>
      <c r="AE144" s="19">
        <f t="shared" si="89"/>
        <v>0</v>
      </c>
      <c r="AF144" s="19">
        <f t="shared" si="90"/>
        <v>0</v>
      </c>
      <c r="AG144" s="19">
        <f t="shared" si="91"/>
        <v>0</v>
      </c>
      <c r="AH144" s="19">
        <f t="shared" si="92"/>
        <v>0</v>
      </c>
      <c r="AI144" s="16" t="s">
        <v>435</v>
      </c>
      <c r="AJ144" s="19">
        <f t="shared" si="93"/>
        <v>0</v>
      </c>
      <c r="AK144" s="19">
        <f t="shared" si="94"/>
        <v>0</v>
      </c>
      <c r="AL144" s="19">
        <f t="shared" si="95"/>
        <v>0</v>
      </c>
      <c r="AN144" s="19">
        <v>12</v>
      </c>
      <c r="AO144" s="19">
        <f>H144*0</f>
        <v>0</v>
      </c>
      <c r="AP144" s="19">
        <f>H144*(1-0)</f>
        <v>0</v>
      </c>
      <c r="AQ144" s="89" t="s">
        <v>532</v>
      </c>
      <c r="AV144" s="19">
        <f t="shared" si="96"/>
        <v>0</v>
      </c>
      <c r="AW144" s="19">
        <f t="shared" si="97"/>
        <v>0</v>
      </c>
      <c r="AX144" s="19">
        <f t="shared" si="98"/>
        <v>0</v>
      </c>
      <c r="AY144" s="89" t="s">
        <v>575</v>
      </c>
      <c r="AZ144" s="89" t="s">
        <v>633</v>
      </c>
      <c r="BA144" s="16" t="s">
        <v>629</v>
      </c>
      <c r="BC144" s="19">
        <f t="shared" si="99"/>
        <v>0</v>
      </c>
      <c r="BD144" s="19">
        <f t="shared" si="100"/>
        <v>0</v>
      </c>
      <c r="BE144" s="19">
        <v>0</v>
      </c>
      <c r="BF144" s="19">
        <f t="shared" si="101"/>
        <v>0.24156</v>
      </c>
      <c r="BH144" s="19">
        <f t="shared" si="102"/>
        <v>0</v>
      </c>
      <c r="BI144" s="19">
        <f t="shared" si="103"/>
        <v>0</v>
      </c>
      <c r="BJ144" s="19">
        <f t="shared" si="104"/>
        <v>0</v>
      </c>
      <c r="BK144" s="89" t="s">
        <v>30</v>
      </c>
      <c r="BL144" s="19">
        <v>722</v>
      </c>
      <c r="BW144" s="19">
        <f t="shared" si="105"/>
        <v>12</v>
      </c>
      <c r="BX144" s="4" t="s">
        <v>207</v>
      </c>
    </row>
    <row r="145" spans="1:76" x14ac:dyDescent="0.25">
      <c r="A145" s="1" t="s">
        <v>356</v>
      </c>
      <c r="B145" s="2" t="s">
        <v>435</v>
      </c>
      <c r="C145" s="2" t="s">
        <v>208</v>
      </c>
      <c r="D145" s="96" t="s">
        <v>209</v>
      </c>
      <c r="E145" s="97"/>
      <c r="F145" s="2" t="s">
        <v>33</v>
      </c>
      <c r="G145" s="19">
        <f>'Rozpočet - vybrané sloupce'!I119</f>
        <v>44</v>
      </c>
      <c r="H145" s="19">
        <f>'Rozpočet - vybrané sloupce'!J119</f>
        <v>0</v>
      </c>
      <c r="I145" s="87">
        <v>12</v>
      </c>
      <c r="J145" s="19">
        <f t="shared" si="80"/>
        <v>0</v>
      </c>
      <c r="K145" s="19">
        <f t="shared" si="81"/>
        <v>0</v>
      </c>
      <c r="L145" s="19">
        <f t="shared" si="82"/>
        <v>0</v>
      </c>
      <c r="M145" s="19">
        <f t="shared" si="83"/>
        <v>0</v>
      </c>
      <c r="N145" s="19">
        <v>2.0000000000000002E-5</v>
      </c>
      <c r="O145" s="19">
        <f t="shared" si="84"/>
        <v>8.8000000000000003E-4</v>
      </c>
      <c r="P145" s="88" t="s">
        <v>531</v>
      </c>
      <c r="Z145" s="19">
        <f t="shared" si="85"/>
        <v>0</v>
      </c>
      <c r="AB145" s="19">
        <f t="shared" si="86"/>
        <v>0</v>
      </c>
      <c r="AC145" s="19">
        <f t="shared" si="87"/>
        <v>0</v>
      </c>
      <c r="AD145" s="19">
        <f t="shared" si="88"/>
        <v>0</v>
      </c>
      <c r="AE145" s="19">
        <f t="shared" si="89"/>
        <v>0</v>
      </c>
      <c r="AF145" s="19">
        <f t="shared" si="90"/>
        <v>0</v>
      </c>
      <c r="AG145" s="19">
        <f t="shared" si="91"/>
        <v>0</v>
      </c>
      <c r="AH145" s="19">
        <f t="shared" si="92"/>
        <v>0</v>
      </c>
      <c r="AI145" s="16" t="s">
        <v>435</v>
      </c>
      <c r="AJ145" s="19">
        <f t="shared" si="93"/>
        <v>0</v>
      </c>
      <c r="AK145" s="19">
        <f t="shared" si="94"/>
        <v>0</v>
      </c>
      <c r="AL145" s="19">
        <f t="shared" si="95"/>
        <v>0</v>
      </c>
      <c r="AN145" s="19">
        <v>12</v>
      </c>
      <c r="AO145" s="19">
        <f>H145*0.032072072</f>
        <v>0</v>
      </c>
      <c r="AP145" s="19">
        <f>H145*(1-0.032072072)</f>
        <v>0</v>
      </c>
      <c r="AQ145" s="89" t="s">
        <v>532</v>
      </c>
      <c r="AV145" s="19">
        <f t="shared" si="96"/>
        <v>0</v>
      </c>
      <c r="AW145" s="19">
        <f t="shared" si="97"/>
        <v>0</v>
      </c>
      <c r="AX145" s="19">
        <f t="shared" si="98"/>
        <v>0</v>
      </c>
      <c r="AY145" s="89" t="s">
        <v>575</v>
      </c>
      <c r="AZ145" s="89" t="s">
        <v>633</v>
      </c>
      <c r="BA145" s="16" t="s">
        <v>629</v>
      </c>
      <c r="BC145" s="19">
        <f t="shared" si="99"/>
        <v>0</v>
      </c>
      <c r="BD145" s="19">
        <f t="shared" si="100"/>
        <v>0</v>
      </c>
      <c r="BE145" s="19">
        <v>0</v>
      </c>
      <c r="BF145" s="19">
        <f t="shared" si="101"/>
        <v>8.8000000000000003E-4</v>
      </c>
      <c r="BH145" s="19">
        <f t="shared" si="102"/>
        <v>0</v>
      </c>
      <c r="BI145" s="19">
        <f t="shared" si="103"/>
        <v>0</v>
      </c>
      <c r="BJ145" s="19">
        <f t="shared" si="104"/>
        <v>0</v>
      </c>
      <c r="BK145" s="89" t="s">
        <v>30</v>
      </c>
      <c r="BL145" s="19">
        <v>722</v>
      </c>
      <c r="BW145" s="19">
        <f t="shared" si="105"/>
        <v>12</v>
      </c>
      <c r="BX145" s="4" t="s">
        <v>209</v>
      </c>
    </row>
    <row r="146" spans="1:76" x14ac:dyDescent="0.25">
      <c r="A146" s="1" t="s">
        <v>651</v>
      </c>
      <c r="B146" s="2" t="s">
        <v>435</v>
      </c>
      <c r="C146" s="2" t="s">
        <v>210</v>
      </c>
      <c r="D146" s="96" t="s">
        <v>211</v>
      </c>
      <c r="E146" s="97"/>
      <c r="F146" s="2" t="s">
        <v>33</v>
      </c>
      <c r="G146" s="19">
        <f>'Rozpočet - vybrané sloupce'!I120</f>
        <v>44</v>
      </c>
      <c r="H146" s="19">
        <f>'Rozpočet - vybrané sloupce'!J120</f>
        <v>0</v>
      </c>
      <c r="I146" s="87">
        <v>12</v>
      </c>
      <c r="J146" s="19">
        <f t="shared" si="80"/>
        <v>0</v>
      </c>
      <c r="K146" s="19">
        <f t="shared" si="81"/>
        <v>0</v>
      </c>
      <c r="L146" s="19">
        <f t="shared" si="82"/>
        <v>0</v>
      </c>
      <c r="M146" s="19">
        <f t="shared" si="83"/>
        <v>0</v>
      </c>
      <c r="N146" s="19">
        <v>0</v>
      </c>
      <c r="O146" s="19">
        <f t="shared" si="84"/>
        <v>0</v>
      </c>
      <c r="P146" s="88" t="s">
        <v>531</v>
      </c>
      <c r="Z146" s="19">
        <f t="shared" si="85"/>
        <v>0</v>
      </c>
      <c r="AB146" s="19">
        <f t="shared" si="86"/>
        <v>0</v>
      </c>
      <c r="AC146" s="19">
        <f t="shared" si="87"/>
        <v>0</v>
      </c>
      <c r="AD146" s="19">
        <f t="shared" si="88"/>
        <v>0</v>
      </c>
      <c r="AE146" s="19">
        <f t="shared" si="89"/>
        <v>0</v>
      </c>
      <c r="AF146" s="19">
        <f t="shared" si="90"/>
        <v>0</v>
      </c>
      <c r="AG146" s="19">
        <f t="shared" si="91"/>
        <v>0</v>
      </c>
      <c r="AH146" s="19">
        <f t="shared" si="92"/>
        <v>0</v>
      </c>
      <c r="AI146" s="16" t="s">
        <v>435</v>
      </c>
      <c r="AJ146" s="19">
        <f t="shared" si="93"/>
        <v>0</v>
      </c>
      <c r="AK146" s="19">
        <f t="shared" si="94"/>
        <v>0</v>
      </c>
      <c r="AL146" s="19">
        <f t="shared" si="95"/>
        <v>0</v>
      </c>
      <c r="AN146" s="19">
        <v>12</v>
      </c>
      <c r="AO146" s="19">
        <f>H146*0.166666667</f>
        <v>0</v>
      </c>
      <c r="AP146" s="19">
        <f>H146*(1-0.166666667)</f>
        <v>0</v>
      </c>
      <c r="AQ146" s="89" t="s">
        <v>532</v>
      </c>
      <c r="AV146" s="19">
        <f t="shared" si="96"/>
        <v>0</v>
      </c>
      <c r="AW146" s="19">
        <f t="shared" si="97"/>
        <v>0</v>
      </c>
      <c r="AX146" s="19">
        <f t="shared" si="98"/>
        <v>0</v>
      </c>
      <c r="AY146" s="89" t="s">
        <v>575</v>
      </c>
      <c r="AZ146" s="89" t="s">
        <v>633</v>
      </c>
      <c r="BA146" s="16" t="s">
        <v>629</v>
      </c>
      <c r="BC146" s="19">
        <f t="shared" si="99"/>
        <v>0</v>
      </c>
      <c r="BD146" s="19">
        <f t="shared" si="100"/>
        <v>0</v>
      </c>
      <c r="BE146" s="19">
        <v>0</v>
      </c>
      <c r="BF146" s="19">
        <f t="shared" si="101"/>
        <v>0</v>
      </c>
      <c r="BH146" s="19">
        <f t="shared" si="102"/>
        <v>0</v>
      </c>
      <c r="BI146" s="19">
        <f t="shared" si="103"/>
        <v>0</v>
      </c>
      <c r="BJ146" s="19">
        <f t="shared" si="104"/>
        <v>0</v>
      </c>
      <c r="BK146" s="89" t="s">
        <v>30</v>
      </c>
      <c r="BL146" s="19">
        <v>722</v>
      </c>
      <c r="BW146" s="19">
        <f t="shared" si="105"/>
        <v>12</v>
      </c>
      <c r="BX146" s="4" t="s">
        <v>211</v>
      </c>
    </row>
    <row r="147" spans="1:76" x14ac:dyDescent="0.25">
      <c r="A147" s="1" t="s">
        <v>652</v>
      </c>
      <c r="B147" s="2" t="s">
        <v>435</v>
      </c>
      <c r="C147" s="2" t="s">
        <v>174</v>
      </c>
      <c r="D147" s="96" t="s">
        <v>175</v>
      </c>
      <c r="E147" s="97"/>
      <c r="F147" s="2" t="s">
        <v>29</v>
      </c>
      <c r="G147" s="19">
        <f>'Rozpočet - vybrané sloupce'!I121</f>
        <v>225</v>
      </c>
      <c r="H147" s="19">
        <f>'Rozpočet - vybrané sloupce'!J121</f>
        <v>0</v>
      </c>
      <c r="I147" s="87">
        <v>12</v>
      </c>
      <c r="J147" s="19">
        <f t="shared" si="80"/>
        <v>0</v>
      </c>
      <c r="K147" s="19">
        <f t="shared" si="81"/>
        <v>0</v>
      </c>
      <c r="L147" s="19">
        <f t="shared" si="82"/>
        <v>0</v>
      </c>
      <c r="M147" s="19">
        <f t="shared" si="83"/>
        <v>0</v>
      </c>
      <c r="N147" s="19">
        <v>0</v>
      </c>
      <c r="O147" s="19">
        <f t="shared" si="84"/>
        <v>0</v>
      </c>
      <c r="P147" s="88" t="s">
        <v>531</v>
      </c>
      <c r="Z147" s="19">
        <f t="shared" si="85"/>
        <v>0</v>
      </c>
      <c r="AB147" s="19">
        <f t="shared" si="86"/>
        <v>0</v>
      </c>
      <c r="AC147" s="19">
        <f t="shared" si="87"/>
        <v>0</v>
      </c>
      <c r="AD147" s="19">
        <f t="shared" si="88"/>
        <v>0</v>
      </c>
      <c r="AE147" s="19">
        <f t="shared" si="89"/>
        <v>0</v>
      </c>
      <c r="AF147" s="19">
        <f t="shared" si="90"/>
        <v>0</v>
      </c>
      <c r="AG147" s="19">
        <f t="shared" si="91"/>
        <v>0</v>
      </c>
      <c r="AH147" s="19">
        <f t="shared" si="92"/>
        <v>0</v>
      </c>
      <c r="AI147" s="16" t="s">
        <v>435</v>
      </c>
      <c r="AJ147" s="19">
        <f t="shared" si="93"/>
        <v>0</v>
      </c>
      <c r="AK147" s="19">
        <f t="shared" si="94"/>
        <v>0</v>
      </c>
      <c r="AL147" s="19">
        <f t="shared" si="95"/>
        <v>0</v>
      </c>
      <c r="AN147" s="19">
        <v>12</v>
      </c>
      <c r="AO147" s="19">
        <f>H147*0.013525118</f>
        <v>0</v>
      </c>
      <c r="AP147" s="19">
        <f>H147*(1-0.013525118)</f>
        <v>0</v>
      </c>
      <c r="AQ147" s="89" t="s">
        <v>532</v>
      </c>
      <c r="AV147" s="19">
        <f t="shared" si="96"/>
        <v>0</v>
      </c>
      <c r="AW147" s="19">
        <f t="shared" si="97"/>
        <v>0</v>
      </c>
      <c r="AX147" s="19">
        <f t="shared" si="98"/>
        <v>0</v>
      </c>
      <c r="AY147" s="89" t="s">
        <v>575</v>
      </c>
      <c r="AZ147" s="89" t="s">
        <v>633</v>
      </c>
      <c r="BA147" s="16" t="s">
        <v>629</v>
      </c>
      <c r="BC147" s="19">
        <f t="shared" si="99"/>
        <v>0</v>
      </c>
      <c r="BD147" s="19">
        <f t="shared" si="100"/>
        <v>0</v>
      </c>
      <c r="BE147" s="19">
        <v>0</v>
      </c>
      <c r="BF147" s="19">
        <f t="shared" si="101"/>
        <v>0</v>
      </c>
      <c r="BH147" s="19">
        <f t="shared" si="102"/>
        <v>0</v>
      </c>
      <c r="BI147" s="19">
        <f t="shared" si="103"/>
        <v>0</v>
      </c>
      <c r="BJ147" s="19">
        <f t="shared" si="104"/>
        <v>0</v>
      </c>
      <c r="BK147" s="89" t="s">
        <v>30</v>
      </c>
      <c r="BL147" s="19">
        <v>722</v>
      </c>
      <c r="BW147" s="19">
        <f t="shared" si="105"/>
        <v>12</v>
      </c>
      <c r="BX147" s="4" t="s">
        <v>175</v>
      </c>
    </row>
    <row r="148" spans="1:76" x14ac:dyDescent="0.25">
      <c r="A148" s="1" t="s">
        <v>653</v>
      </c>
      <c r="B148" s="2" t="s">
        <v>435</v>
      </c>
      <c r="C148" s="2" t="s">
        <v>176</v>
      </c>
      <c r="D148" s="96" t="s">
        <v>177</v>
      </c>
      <c r="E148" s="97"/>
      <c r="F148" s="2" t="s">
        <v>29</v>
      </c>
      <c r="G148" s="19">
        <f>'Rozpočet - vybrané sloupce'!I122</f>
        <v>36</v>
      </c>
      <c r="H148" s="19">
        <f>'Rozpočet - vybrané sloupce'!J122</f>
        <v>0</v>
      </c>
      <c r="I148" s="87">
        <v>12</v>
      </c>
      <c r="J148" s="19">
        <f t="shared" si="80"/>
        <v>0</v>
      </c>
      <c r="K148" s="19">
        <f t="shared" si="81"/>
        <v>0</v>
      </c>
      <c r="L148" s="19">
        <f t="shared" si="82"/>
        <v>0</v>
      </c>
      <c r="M148" s="19">
        <f t="shared" si="83"/>
        <v>0</v>
      </c>
      <c r="N148" s="19">
        <v>0</v>
      </c>
      <c r="O148" s="19">
        <f t="shared" si="84"/>
        <v>0</v>
      </c>
      <c r="P148" s="88" t="s">
        <v>531</v>
      </c>
      <c r="Z148" s="19">
        <f t="shared" si="85"/>
        <v>0</v>
      </c>
      <c r="AB148" s="19">
        <f t="shared" si="86"/>
        <v>0</v>
      </c>
      <c r="AC148" s="19">
        <f t="shared" si="87"/>
        <v>0</v>
      </c>
      <c r="AD148" s="19">
        <f t="shared" si="88"/>
        <v>0</v>
      </c>
      <c r="AE148" s="19">
        <f t="shared" si="89"/>
        <v>0</v>
      </c>
      <c r="AF148" s="19">
        <f t="shared" si="90"/>
        <v>0</v>
      </c>
      <c r="AG148" s="19">
        <f t="shared" si="91"/>
        <v>0</v>
      </c>
      <c r="AH148" s="19">
        <f t="shared" si="92"/>
        <v>0</v>
      </c>
      <c r="AI148" s="16" t="s">
        <v>435</v>
      </c>
      <c r="AJ148" s="19">
        <f t="shared" si="93"/>
        <v>0</v>
      </c>
      <c r="AK148" s="19">
        <f t="shared" si="94"/>
        <v>0</v>
      </c>
      <c r="AL148" s="19">
        <f t="shared" si="95"/>
        <v>0</v>
      </c>
      <c r="AN148" s="19">
        <v>12</v>
      </c>
      <c r="AO148" s="19">
        <f>H148*0.015376884</f>
        <v>0</v>
      </c>
      <c r="AP148" s="19">
        <f>H148*(1-0.015376884)</f>
        <v>0</v>
      </c>
      <c r="AQ148" s="89" t="s">
        <v>532</v>
      </c>
      <c r="AV148" s="19">
        <f t="shared" si="96"/>
        <v>0</v>
      </c>
      <c r="AW148" s="19">
        <f t="shared" si="97"/>
        <v>0</v>
      </c>
      <c r="AX148" s="19">
        <f t="shared" si="98"/>
        <v>0</v>
      </c>
      <c r="AY148" s="89" t="s">
        <v>575</v>
      </c>
      <c r="AZ148" s="89" t="s">
        <v>633</v>
      </c>
      <c r="BA148" s="16" t="s">
        <v>629</v>
      </c>
      <c r="BC148" s="19">
        <f t="shared" si="99"/>
        <v>0</v>
      </c>
      <c r="BD148" s="19">
        <f t="shared" si="100"/>
        <v>0</v>
      </c>
      <c r="BE148" s="19">
        <v>0</v>
      </c>
      <c r="BF148" s="19">
        <f t="shared" si="101"/>
        <v>0</v>
      </c>
      <c r="BH148" s="19">
        <f t="shared" si="102"/>
        <v>0</v>
      </c>
      <c r="BI148" s="19">
        <f t="shared" si="103"/>
        <v>0</v>
      </c>
      <c r="BJ148" s="19">
        <f t="shared" si="104"/>
        <v>0</v>
      </c>
      <c r="BK148" s="89" t="s">
        <v>30</v>
      </c>
      <c r="BL148" s="19">
        <v>722</v>
      </c>
      <c r="BW148" s="19">
        <f t="shared" si="105"/>
        <v>12</v>
      </c>
      <c r="BX148" s="4" t="s">
        <v>177</v>
      </c>
    </row>
    <row r="149" spans="1:76" x14ac:dyDescent="0.25">
      <c r="A149" s="1" t="s">
        <v>654</v>
      </c>
      <c r="B149" s="2" t="s">
        <v>435</v>
      </c>
      <c r="C149" s="2" t="s">
        <v>212</v>
      </c>
      <c r="D149" s="96" t="s">
        <v>213</v>
      </c>
      <c r="E149" s="97"/>
      <c r="F149" s="2" t="s">
        <v>90</v>
      </c>
      <c r="G149" s="19">
        <f>'Rozpočet - vybrané sloupce'!I123</f>
        <v>0.1</v>
      </c>
      <c r="H149" s="19">
        <f>'Rozpočet - vybrané sloupce'!J123</f>
        <v>0</v>
      </c>
      <c r="I149" s="87">
        <v>12</v>
      </c>
      <c r="J149" s="19">
        <f t="shared" si="80"/>
        <v>0</v>
      </c>
      <c r="K149" s="19">
        <f t="shared" si="81"/>
        <v>0</v>
      </c>
      <c r="L149" s="19">
        <f t="shared" si="82"/>
        <v>0</v>
      </c>
      <c r="M149" s="19">
        <f t="shared" si="83"/>
        <v>0</v>
      </c>
      <c r="N149" s="19">
        <v>0</v>
      </c>
      <c r="O149" s="19">
        <f t="shared" si="84"/>
        <v>0</v>
      </c>
      <c r="P149" s="88" t="s">
        <v>531</v>
      </c>
      <c r="Z149" s="19">
        <f t="shared" si="85"/>
        <v>0</v>
      </c>
      <c r="AB149" s="19">
        <f t="shared" si="86"/>
        <v>0</v>
      </c>
      <c r="AC149" s="19">
        <f t="shared" si="87"/>
        <v>0</v>
      </c>
      <c r="AD149" s="19">
        <f t="shared" si="88"/>
        <v>0</v>
      </c>
      <c r="AE149" s="19">
        <f t="shared" si="89"/>
        <v>0</v>
      </c>
      <c r="AF149" s="19">
        <f t="shared" si="90"/>
        <v>0</v>
      </c>
      <c r="AG149" s="19">
        <f t="shared" si="91"/>
        <v>0</v>
      </c>
      <c r="AH149" s="19">
        <f t="shared" si="92"/>
        <v>0</v>
      </c>
      <c r="AI149" s="16" t="s">
        <v>435</v>
      </c>
      <c r="AJ149" s="19">
        <f t="shared" si="93"/>
        <v>0</v>
      </c>
      <c r="AK149" s="19">
        <f t="shared" si="94"/>
        <v>0</v>
      </c>
      <c r="AL149" s="19">
        <f t="shared" si="95"/>
        <v>0</v>
      </c>
      <c r="AN149" s="19">
        <v>12</v>
      </c>
      <c r="AO149" s="19">
        <f>H149*0</f>
        <v>0</v>
      </c>
      <c r="AP149" s="19">
        <f>H149*(1-0)</f>
        <v>0</v>
      </c>
      <c r="AQ149" s="89" t="s">
        <v>532</v>
      </c>
      <c r="AV149" s="19">
        <f t="shared" si="96"/>
        <v>0</v>
      </c>
      <c r="AW149" s="19">
        <f t="shared" si="97"/>
        <v>0</v>
      </c>
      <c r="AX149" s="19">
        <f t="shared" si="98"/>
        <v>0</v>
      </c>
      <c r="AY149" s="89" t="s">
        <v>575</v>
      </c>
      <c r="AZ149" s="89" t="s">
        <v>633</v>
      </c>
      <c r="BA149" s="16" t="s">
        <v>629</v>
      </c>
      <c r="BC149" s="19">
        <f t="shared" si="99"/>
        <v>0</v>
      </c>
      <c r="BD149" s="19">
        <f t="shared" si="100"/>
        <v>0</v>
      </c>
      <c r="BE149" s="19">
        <v>0</v>
      </c>
      <c r="BF149" s="19">
        <f t="shared" si="101"/>
        <v>0</v>
      </c>
      <c r="BH149" s="19">
        <f t="shared" si="102"/>
        <v>0</v>
      </c>
      <c r="BI149" s="19">
        <f t="shared" si="103"/>
        <v>0</v>
      </c>
      <c r="BJ149" s="19">
        <f t="shared" si="104"/>
        <v>0</v>
      </c>
      <c r="BK149" s="89" t="s">
        <v>30</v>
      </c>
      <c r="BL149" s="19">
        <v>722</v>
      </c>
      <c r="BW149" s="19">
        <f t="shared" si="105"/>
        <v>12</v>
      </c>
      <c r="BX149" s="4" t="s">
        <v>213</v>
      </c>
    </row>
    <row r="150" spans="1:76" x14ac:dyDescent="0.25">
      <c r="A150" s="90"/>
      <c r="C150" s="91" t="s">
        <v>547</v>
      </c>
      <c r="D150" s="180" t="s">
        <v>572</v>
      </c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2"/>
      <c r="BX150" s="92" t="s">
        <v>572</v>
      </c>
    </row>
    <row r="151" spans="1:76" x14ac:dyDescent="0.25">
      <c r="A151" s="1" t="s">
        <v>655</v>
      </c>
      <c r="B151" s="2" t="s">
        <v>435</v>
      </c>
      <c r="C151" s="2" t="s">
        <v>214</v>
      </c>
      <c r="D151" s="96" t="s">
        <v>215</v>
      </c>
      <c r="E151" s="97"/>
      <c r="F151" s="2" t="s">
        <v>41</v>
      </c>
      <c r="G151" s="19">
        <f>'Rozpočet - vybrané sloupce'!I124</f>
        <v>2513</v>
      </c>
      <c r="H151" s="19">
        <f>'Rozpočet - vybrané sloupce'!J124</f>
        <v>0</v>
      </c>
      <c r="I151" s="87">
        <v>12</v>
      </c>
      <c r="J151" s="19">
        <f>ROUND(G151*AO151,2)</f>
        <v>0</v>
      </c>
      <c r="K151" s="19">
        <f>ROUND(G151*AP151,2)</f>
        <v>0</v>
      </c>
      <c r="L151" s="19">
        <f>ROUND(G151*H151,2)</f>
        <v>0</v>
      </c>
      <c r="M151" s="19">
        <f>L151*(1+BW151/100)</f>
        <v>0</v>
      </c>
      <c r="N151" s="19">
        <v>0</v>
      </c>
      <c r="O151" s="19">
        <f>G151*N151</f>
        <v>0</v>
      </c>
      <c r="P151" s="88" t="s">
        <v>531</v>
      </c>
      <c r="Z151" s="19">
        <f>ROUND(IF(AQ151="5",BJ151,0),2)</f>
        <v>0</v>
      </c>
      <c r="AB151" s="19">
        <f>ROUND(IF(AQ151="1",BH151,0),2)</f>
        <v>0</v>
      </c>
      <c r="AC151" s="19">
        <f>ROUND(IF(AQ151="1",BI151,0),2)</f>
        <v>0</v>
      </c>
      <c r="AD151" s="19">
        <f>ROUND(IF(AQ151="7",BH151,0),2)</f>
        <v>0</v>
      </c>
      <c r="AE151" s="19">
        <f>ROUND(IF(AQ151="7",BI151,0),2)</f>
        <v>0</v>
      </c>
      <c r="AF151" s="19">
        <f>ROUND(IF(AQ151="2",BH151,0),2)</f>
        <v>0</v>
      </c>
      <c r="AG151" s="19">
        <f>ROUND(IF(AQ151="2",BI151,0),2)</f>
        <v>0</v>
      </c>
      <c r="AH151" s="19">
        <f>ROUND(IF(AQ151="0",BJ151,0),2)</f>
        <v>0</v>
      </c>
      <c r="AI151" s="16" t="s">
        <v>435</v>
      </c>
      <c r="AJ151" s="19">
        <f>IF(AN151=0,L151,0)</f>
        <v>0</v>
      </c>
      <c r="AK151" s="19">
        <f>IF(AN151=12,L151,0)</f>
        <v>0</v>
      </c>
      <c r="AL151" s="19">
        <f>IF(AN151=21,L151,0)</f>
        <v>0</v>
      </c>
      <c r="AN151" s="19">
        <v>12</v>
      </c>
      <c r="AO151" s="19">
        <f>H151*0</f>
        <v>0</v>
      </c>
      <c r="AP151" s="19">
        <f>H151*(1-0)</f>
        <v>0</v>
      </c>
      <c r="AQ151" s="89" t="s">
        <v>540</v>
      </c>
      <c r="AV151" s="19">
        <f>ROUND(AW151+AX151,2)</f>
        <v>0</v>
      </c>
      <c r="AW151" s="19">
        <f>ROUND(G151*AO151,2)</f>
        <v>0</v>
      </c>
      <c r="AX151" s="19">
        <f>ROUND(G151*AP151,2)</f>
        <v>0</v>
      </c>
      <c r="AY151" s="89" t="s">
        <v>575</v>
      </c>
      <c r="AZ151" s="89" t="s">
        <v>633</v>
      </c>
      <c r="BA151" s="16" t="s">
        <v>629</v>
      </c>
      <c r="BC151" s="19">
        <f>AW151+AX151</f>
        <v>0</v>
      </c>
      <c r="BD151" s="19">
        <f>H151/(100-BE151)*100</f>
        <v>0</v>
      </c>
      <c r="BE151" s="19">
        <v>0</v>
      </c>
      <c r="BF151" s="19">
        <f>O151</f>
        <v>0</v>
      </c>
      <c r="BH151" s="19">
        <f>G151*AO151</f>
        <v>0</v>
      </c>
      <c r="BI151" s="19">
        <f>G151*AP151</f>
        <v>0</v>
      </c>
      <c r="BJ151" s="19">
        <f>G151*H151</f>
        <v>0</v>
      </c>
      <c r="BK151" s="89" t="s">
        <v>30</v>
      </c>
      <c r="BL151" s="19">
        <v>722</v>
      </c>
      <c r="BW151" s="19">
        <f>I151</f>
        <v>12</v>
      </c>
      <c r="BX151" s="4" t="s">
        <v>215</v>
      </c>
    </row>
    <row r="152" spans="1:76" x14ac:dyDescent="0.25">
      <c r="A152" s="84" t="s">
        <v>23</v>
      </c>
      <c r="B152" s="15" t="s">
        <v>435</v>
      </c>
      <c r="C152" s="15" t="s">
        <v>216</v>
      </c>
      <c r="D152" s="152" t="s">
        <v>217</v>
      </c>
      <c r="E152" s="153"/>
      <c r="F152" s="85" t="s">
        <v>22</v>
      </c>
      <c r="G152" s="85" t="s">
        <v>22</v>
      </c>
      <c r="H152" s="85" t="s">
        <v>22</v>
      </c>
      <c r="I152" s="85" t="s">
        <v>22</v>
      </c>
      <c r="J152" s="60">
        <f>SUM(J153:J155)</f>
        <v>0</v>
      </c>
      <c r="K152" s="60">
        <f>SUM(K153:K155)</f>
        <v>0</v>
      </c>
      <c r="L152" s="60">
        <f>SUM(L153:L155)</f>
        <v>0</v>
      </c>
      <c r="M152" s="60">
        <f>SUM(M153:M155)</f>
        <v>0</v>
      </c>
      <c r="N152" s="16" t="s">
        <v>23</v>
      </c>
      <c r="O152" s="60">
        <f>SUM(O153:O155)</f>
        <v>0.46617999999999998</v>
      </c>
      <c r="P152" s="86" t="s">
        <v>23</v>
      </c>
      <c r="AI152" s="16" t="s">
        <v>435</v>
      </c>
      <c r="AS152" s="60">
        <f>SUM(AJ153:AJ155)</f>
        <v>0</v>
      </c>
      <c r="AT152" s="60">
        <f>SUM(AK153:AK155)</f>
        <v>0</v>
      </c>
      <c r="AU152" s="60">
        <f>SUM(AL153:AL155)</f>
        <v>0</v>
      </c>
    </row>
    <row r="153" spans="1:76" x14ac:dyDescent="0.25">
      <c r="A153" s="1" t="s">
        <v>656</v>
      </c>
      <c r="B153" s="2" t="s">
        <v>435</v>
      </c>
      <c r="C153" s="2" t="s">
        <v>218</v>
      </c>
      <c r="D153" s="96" t="s">
        <v>219</v>
      </c>
      <c r="E153" s="97"/>
      <c r="F153" s="2" t="s">
        <v>38</v>
      </c>
      <c r="G153" s="19">
        <f>'Rozpočet - vybrané sloupce'!I126</f>
        <v>22</v>
      </c>
      <c r="H153" s="19">
        <f>'Rozpočet - vybrané sloupce'!J126</f>
        <v>0</v>
      </c>
      <c r="I153" s="87">
        <v>12</v>
      </c>
      <c r="J153" s="19">
        <f>ROUND(G153*AO153,2)</f>
        <v>0</v>
      </c>
      <c r="K153" s="19">
        <f>ROUND(G153*AP153,2)</f>
        <v>0</v>
      </c>
      <c r="L153" s="19">
        <f>ROUND(G153*H153,2)</f>
        <v>0</v>
      </c>
      <c r="M153" s="19">
        <f>L153*(1+BW153/100)</f>
        <v>0</v>
      </c>
      <c r="N153" s="19">
        <v>1.933E-2</v>
      </c>
      <c r="O153" s="19">
        <f>G153*N153</f>
        <v>0.42525999999999997</v>
      </c>
      <c r="P153" s="88" t="s">
        <v>531</v>
      </c>
      <c r="Z153" s="19">
        <f>ROUND(IF(AQ153="5",BJ153,0),2)</f>
        <v>0</v>
      </c>
      <c r="AB153" s="19">
        <f>ROUND(IF(AQ153="1",BH153,0),2)</f>
        <v>0</v>
      </c>
      <c r="AC153" s="19">
        <f>ROUND(IF(AQ153="1",BI153,0),2)</f>
        <v>0</v>
      </c>
      <c r="AD153" s="19">
        <f>ROUND(IF(AQ153="7",BH153,0),2)</f>
        <v>0</v>
      </c>
      <c r="AE153" s="19">
        <f>ROUND(IF(AQ153="7",BI153,0),2)</f>
        <v>0</v>
      </c>
      <c r="AF153" s="19">
        <f>ROUND(IF(AQ153="2",BH153,0),2)</f>
        <v>0</v>
      </c>
      <c r="AG153" s="19">
        <f>ROUND(IF(AQ153="2",BI153,0),2)</f>
        <v>0</v>
      </c>
      <c r="AH153" s="19">
        <f>ROUND(IF(AQ153="0",BJ153,0),2)</f>
        <v>0</v>
      </c>
      <c r="AI153" s="16" t="s">
        <v>435</v>
      </c>
      <c r="AJ153" s="19">
        <f>IF(AN153=0,L153,0)</f>
        <v>0</v>
      </c>
      <c r="AK153" s="19">
        <f>IF(AN153=12,L153,0)</f>
        <v>0</v>
      </c>
      <c r="AL153" s="19">
        <f>IF(AN153=21,L153,0)</f>
        <v>0</v>
      </c>
      <c r="AN153" s="19">
        <v>12</v>
      </c>
      <c r="AO153" s="19">
        <f>H153*0</f>
        <v>0</v>
      </c>
      <c r="AP153" s="19">
        <f>H153*(1-0)</f>
        <v>0</v>
      </c>
      <c r="AQ153" s="89" t="s">
        <v>532</v>
      </c>
      <c r="AV153" s="19">
        <f>ROUND(AW153+AX153,2)</f>
        <v>0</v>
      </c>
      <c r="AW153" s="19">
        <f>ROUND(G153*AO153,2)</f>
        <v>0</v>
      </c>
      <c r="AX153" s="19">
        <f>ROUND(G153*AP153,2)</f>
        <v>0</v>
      </c>
      <c r="AY153" s="89" t="s">
        <v>657</v>
      </c>
      <c r="AZ153" s="89" t="s">
        <v>633</v>
      </c>
      <c r="BA153" s="16" t="s">
        <v>629</v>
      </c>
      <c r="BC153" s="19">
        <f>AW153+AX153</f>
        <v>0</v>
      </c>
      <c r="BD153" s="19">
        <f>H153/(100-BE153)*100</f>
        <v>0</v>
      </c>
      <c r="BE153" s="19">
        <v>0</v>
      </c>
      <c r="BF153" s="19">
        <f>O153</f>
        <v>0.42525999999999997</v>
      </c>
      <c r="BH153" s="19">
        <f>G153*AO153</f>
        <v>0</v>
      </c>
      <c r="BI153" s="19">
        <f>G153*AP153</f>
        <v>0</v>
      </c>
      <c r="BJ153" s="19">
        <f>G153*H153</f>
        <v>0</v>
      </c>
      <c r="BK153" s="89" t="s">
        <v>30</v>
      </c>
      <c r="BL153" s="19">
        <v>725</v>
      </c>
      <c r="BW153" s="19">
        <f>I153</f>
        <v>12</v>
      </c>
      <c r="BX153" s="4" t="s">
        <v>219</v>
      </c>
    </row>
    <row r="154" spans="1:76" x14ac:dyDescent="0.25">
      <c r="A154" s="1" t="s">
        <v>658</v>
      </c>
      <c r="B154" s="2" t="s">
        <v>435</v>
      </c>
      <c r="C154" s="2" t="s">
        <v>220</v>
      </c>
      <c r="D154" s="96" t="s">
        <v>221</v>
      </c>
      <c r="E154" s="97"/>
      <c r="F154" s="2" t="s">
        <v>38</v>
      </c>
      <c r="G154" s="19">
        <f>'Rozpočet - vybrané sloupce'!I127</f>
        <v>22</v>
      </c>
      <c r="H154" s="19">
        <f>'Rozpočet - vybrané sloupce'!J127</f>
        <v>0</v>
      </c>
      <c r="I154" s="87">
        <v>12</v>
      </c>
      <c r="J154" s="19">
        <f>ROUND(G154*AO154,2)</f>
        <v>0</v>
      </c>
      <c r="K154" s="19">
        <f>ROUND(G154*AP154,2)</f>
        <v>0</v>
      </c>
      <c r="L154" s="19">
        <f>ROUND(G154*H154,2)</f>
        <v>0</v>
      </c>
      <c r="M154" s="19">
        <f>L154*(1+BW154/100)</f>
        <v>0</v>
      </c>
      <c r="N154" s="19">
        <v>1.8600000000000001E-3</v>
      </c>
      <c r="O154" s="19">
        <f>G154*N154</f>
        <v>4.0920000000000005E-2</v>
      </c>
      <c r="P154" s="88" t="s">
        <v>531</v>
      </c>
      <c r="Z154" s="19">
        <f>ROUND(IF(AQ154="5",BJ154,0),2)</f>
        <v>0</v>
      </c>
      <c r="AB154" s="19">
        <f>ROUND(IF(AQ154="1",BH154,0),2)</f>
        <v>0</v>
      </c>
      <c r="AC154" s="19">
        <f>ROUND(IF(AQ154="1",BI154,0),2)</f>
        <v>0</v>
      </c>
      <c r="AD154" s="19">
        <f>ROUND(IF(AQ154="7",BH154,0),2)</f>
        <v>0</v>
      </c>
      <c r="AE154" s="19">
        <f>ROUND(IF(AQ154="7",BI154,0),2)</f>
        <v>0</v>
      </c>
      <c r="AF154" s="19">
        <f>ROUND(IF(AQ154="2",BH154,0),2)</f>
        <v>0</v>
      </c>
      <c r="AG154" s="19">
        <f>ROUND(IF(AQ154="2",BI154,0),2)</f>
        <v>0</v>
      </c>
      <c r="AH154" s="19">
        <f>ROUND(IF(AQ154="0",BJ154,0),2)</f>
        <v>0</v>
      </c>
      <c r="AI154" s="16" t="s">
        <v>435</v>
      </c>
      <c r="AJ154" s="19">
        <f>IF(AN154=0,L154,0)</f>
        <v>0</v>
      </c>
      <c r="AK154" s="19">
        <f>IF(AN154=12,L154,0)</f>
        <v>0</v>
      </c>
      <c r="AL154" s="19">
        <f>IF(AN154=21,L154,0)</f>
        <v>0</v>
      </c>
      <c r="AN154" s="19">
        <v>12</v>
      </c>
      <c r="AO154" s="19">
        <f>H154*0.419237446</f>
        <v>0</v>
      </c>
      <c r="AP154" s="19">
        <f>H154*(1-0.419237446)</f>
        <v>0</v>
      </c>
      <c r="AQ154" s="89" t="s">
        <v>532</v>
      </c>
      <c r="AV154" s="19">
        <f>ROUND(AW154+AX154,2)</f>
        <v>0</v>
      </c>
      <c r="AW154" s="19">
        <f>ROUND(G154*AO154,2)</f>
        <v>0</v>
      </c>
      <c r="AX154" s="19">
        <f>ROUND(G154*AP154,2)</f>
        <v>0</v>
      </c>
      <c r="AY154" s="89" t="s">
        <v>657</v>
      </c>
      <c r="AZ154" s="89" t="s">
        <v>633</v>
      </c>
      <c r="BA154" s="16" t="s">
        <v>629</v>
      </c>
      <c r="BC154" s="19">
        <f>AW154+AX154</f>
        <v>0</v>
      </c>
      <c r="BD154" s="19">
        <f>H154/(100-BE154)*100</f>
        <v>0</v>
      </c>
      <c r="BE154" s="19">
        <v>0</v>
      </c>
      <c r="BF154" s="19">
        <f>O154</f>
        <v>4.0920000000000005E-2</v>
      </c>
      <c r="BH154" s="19">
        <f>G154*AO154</f>
        <v>0</v>
      </c>
      <c r="BI154" s="19">
        <f>G154*AP154</f>
        <v>0</v>
      </c>
      <c r="BJ154" s="19">
        <f>G154*H154</f>
        <v>0</v>
      </c>
      <c r="BK154" s="89" t="s">
        <v>30</v>
      </c>
      <c r="BL154" s="19">
        <v>725</v>
      </c>
      <c r="BW154" s="19">
        <f>I154</f>
        <v>12</v>
      </c>
      <c r="BX154" s="4" t="s">
        <v>221</v>
      </c>
    </row>
    <row r="155" spans="1:76" x14ac:dyDescent="0.25">
      <c r="A155" s="1" t="s">
        <v>659</v>
      </c>
      <c r="B155" s="2" t="s">
        <v>435</v>
      </c>
      <c r="C155" s="2" t="s">
        <v>222</v>
      </c>
      <c r="D155" s="96" t="s">
        <v>223</v>
      </c>
      <c r="E155" s="97"/>
      <c r="F155" s="2" t="s">
        <v>41</v>
      </c>
      <c r="G155" s="19">
        <f>'Rozpočet - vybrané sloupce'!I128</f>
        <v>448</v>
      </c>
      <c r="H155" s="19">
        <f>'Rozpočet - vybrané sloupce'!J128</f>
        <v>0</v>
      </c>
      <c r="I155" s="87">
        <v>12</v>
      </c>
      <c r="J155" s="19">
        <f>ROUND(G155*AO155,2)</f>
        <v>0</v>
      </c>
      <c r="K155" s="19">
        <f>ROUND(G155*AP155,2)</f>
        <v>0</v>
      </c>
      <c r="L155" s="19">
        <f>ROUND(G155*H155,2)</f>
        <v>0</v>
      </c>
      <c r="M155" s="19">
        <f>L155*(1+BW155/100)</f>
        <v>0</v>
      </c>
      <c r="N155" s="19">
        <v>0</v>
      </c>
      <c r="O155" s="19">
        <f>G155*N155</f>
        <v>0</v>
      </c>
      <c r="P155" s="88" t="s">
        <v>531</v>
      </c>
      <c r="Z155" s="19">
        <f>ROUND(IF(AQ155="5",BJ155,0),2)</f>
        <v>0</v>
      </c>
      <c r="AB155" s="19">
        <f>ROUND(IF(AQ155="1",BH155,0),2)</f>
        <v>0</v>
      </c>
      <c r="AC155" s="19">
        <f>ROUND(IF(AQ155="1",BI155,0),2)</f>
        <v>0</v>
      </c>
      <c r="AD155" s="19">
        <f>ROUND(IF(AQ155="7",BH155,0),2)</f>
        <v>0</v>
      </c>
      <c r="AE155" s="19">
        <f>ROUND(IF(AQ155="7",BI155,0),2)</f>
        <v>0</v>
      </c>
      <c r="AF155" s="19">
        <f>ROUND(IF(AQ155="2",BH155,0),2)</f>
        <v>0</v>
      </c>
      <c r="AG155" s="19">
        <f>ROUND(IF(AQ155="2",BI155,0),2)</f>
        <v>0</v>
      </c>
      <c r="AH155" s="19">
        <f>ROUND(IF(AQ155="0",BJ155,0),2)</f>
        <v>0</v>
      </c>
      <c r="AI155" s="16" t="s">
        <v>435</v>
      </c>
      <c r="AJ155" s="19">
        <f>IF(AN155=0,L155,0)</f>
        <v>0</v>
      </c>
      <c r="AK155" s="19">
        <f>IF(AN155=12,L155,0)</f>
        <v>0</v>
      </c>
      <c r="AL155" s="19">
        <f>IF(AN155=21,L155,0)</f>
        <v>0</v>
      </c>
      <c r="AN155" s="19">
        <v>12</v>
      </c>
      <c r="AO155" s="19">
        <f>H155*0</f>
        <v>0</v>
      </c>
      <c r="AP155" s="19">
        <f>H155*(1-0)</f>
        <v>0</v>
      </c>
      <c r="AQ155" s="89" t="s">
        <v>540</v>
      </c>
      <c r="AV155" s="19">
        <f>ROUND(AW155+AX155,2)</f>
        <v>0</v>
      </c>
      <c r="AW155" s="19">
        <f>ROUND(G155*AO155,2)</f>
        <v>0</v>
      </c>
      <c r="AX155" s="19">
        <f>ROUND(G155*AP155,2)</f>
        <v>0</v>
      </c>
      <c r="AY155" s="89" t="s">
        <v>657</v>
      </c>
      <c r="AZ155" s="89" t="s">
        <v>633</v>
      </c>
      <c r="BA155" s="16" t="s">
        <v>629</v>
      </c>
      <c r="BC155" s="19">
        <f>AW155+AX155</f>
        <v>0</v>
      </c>
      <c r="BD155" s="19">
        <f>H155/(100-BE155)*100</f>
        <v>0</v>
      </c>
      <c r="BE155" s="19">
        <v>0</v>
      </c>
      <c r="BF155" s="19">
        <f>O155</f>
        <v>0</v>
      </c>
      <c r="BH155" s="19">
        <f>G155*AO155</f>
        <v>0</v>
      </c>
      <c r="BI155" s="19">
        <f>G155*AP155</f>
        <v>0</v>
      </c>
      <c r="BJ155" s="19">
        <f>G155*H155</f>
        <v>0</v>
      </c>
      <c r="BK155" s="89" t="s">
        <v>30</v>
      </c>
      <c r="BL155" s="19">
        <v>725</v>
      </c>
      <c r="BW155" s="19">
        <f>I155</f>
        <v>12</v>
      </c>
      <c r="BX155" s="4" t="s">
        <v>223</v>
      </c>
    </row>
    <row r="156" spans="1:76" x14ac:dyDescent="0.25">
      <c r="A156" s="84" t="s">
        <v>23</v>
      </c>
      <c r="B156" s="15" t="s">
        <v>436</v>
      </c>
      <c r="C156" s="15" t="s">
        <v>23</v>
      </c>
      <c r="D156" s="152" t="s">
        <v>224</v>
      </c>
      <c r="E156" s="153"/>
      <c r="F156" s="85" t="s">
        <v>22</v>
      </c>
      <c r="G156" s="85" t="s">
        <v>22</v>
      </c>
      <c r="H156" s="85" t="s">
        <v>22</v>
      </c>
      <c r="I156" s="85" t="s">
        <v>22</v>
      </c>
      <c r="J156" s="60">
        <f>J157</f>
        <v>0</v>
      </c>
      <c r="K156" s="60">
        <f>K157</f>
        <v>0</v>
      </c>
      <c r="L156" s="60">
        <f>L157</f>
        <v>0</v>
      </c>
      <c r="M156" s="60">
        <f>M157</f>
        <v>0</v>
      </c>
      <c r="N156" s="16" t="s">
        <v>23</v>
      </c>
      <c r="O156" s="60">
        <f>O157</f>
        <v>0.99043799999999993</v>
      </c>
      <c r="P156" s="86" t="s">
        <v>23</v>
      </c>
    </row>
    <row r="157" spans="1:76" x14ac:dyDescent="0.25">
      <c r="A157" s="84" t="s">
        <v>23</v>
      </c>
      <c r="B157" s="15" t="s">
        <v>436</v>
      </c>
      <c r="C157" s="15" t="s">
        <v>225</v>
      </c>
      <c r="D157" s="152" t="s">
        <v>226</v>
      </c>
      <c r="E157" s="153"/>
      <c r="F157" s="85" t="s">
        <v>22</v>
      </c>
      <c r="G157" s="85" t="s">
        <v>22</v>
      </c>
      <c r="H157" s="85" t="s">
        <v>22</v>
      </c>
      <c r="I157" s="85" t="s">
        <v>22</v>
      </c>
      <c r="J157" s="60">
        <f>SUM(J158:J186)</f>
        <v>0</v>
      </c>
      <c r="K157" s="60">
        <f>SUM(K158:K186)</f>
        <v>0</v>
      </c>
      <c r="L157" s="60">
        <f>SUM(L158:L186)</f>
        <v>0</v>
      </c>
      <c r="M157" s="60">
        <f>SUM(M158:M186)</f>
        <v>0</v>
      </c>
      <c r="N157" s="16" t="s">
        <v>23</v>
      </c>
      <c r="O157" s="60">
        <f>SUM(O158:O186)</f>
        <v>0.99043799999999993</v>
      </c>
      <c r="P157" s="86" t="s">
        <v>23</v>
      </c>
      <c r="AI157" s="16" t="s">
        <v>436</v>
      </c>
      <c r="AS157" s="60">
        <f>SUM(AJ158:AJ186)</f>
        <v>0</v>
      </c>
      <c r="AT157" s="60">
        <f>SUM(AK158:AK186)</f>
        <v>0</v>
      </c>
      <c r="AU157" s="60">
        <f>SUM(AL158:AL186)</f>
        <v>0</v>
      </c>
    </row>
    <row r="158" spans="1:76" x14ac:dyDescent="0.25">
      <c r="A158" s="1" t="s">
        <v>660</v>
      </c>
      <c r="B158" s="2" t="s">
        <v>436</v>
      </c>
      <c r="C158" s="2" t="s">
        <v>227</v>
      </c>
      <c r="D158" s="96" t="s">
        <v>228</v>
      </c>
      <c r="E158" s="97"/>
      <c r="F158" s="2" t="s">
        <v>29</v>
      </c>
      <c r="G158" s="19">
        <f>'Rozpočet - vybrané sloupce'!I131</f>
        <v>125</v>
      </c>
      <c r="H158" s="19">
        <f>'Rozpočet - vybrané sloupce'!J131</f>
        <v>0</v>
      </c>
      <c r="I158" s="87">
        <v>12</v>
      </c>
      <c r="J158" s="19">
        <f>ROUND(G158*AO158,2)</f>
        <v>0</v>
      </c>
      <c r="K158" s="19">
        <f>ROUND(G158*AP158,2)</f>
        <v>0</v>
      </c>
      <c r="L158" s="19">
        <f>ROUND(G158*H158,2)</f>
        <v>0</v>
      </c>
      <c r="M158" s="19">
        <f>L158*(1+BW158/100)</f>
        <v>0</v>
      </c>
      <c r="N158" s="19">
        <v>3.81E-3</v>
      </c>
      <c r="O158" s="19">
        <f>G158*N158</f>
        <v>0.47625000000000001</v>
      </c>
      <c r="P158" s="88" t="s">
        <v>531</v>
      </c>
      <c r="Z158" s="19">
        <f>ROUND(IF(AQ158="5",BJ158,0),2)</f>
        <v>0</v>
      </c>
      <c r="AB158" s="19">
        <f>ROUND(IF(AQ158="1",BH158,0),2)</f>
        <v>0</v>
      </c>
      <c r="AC158" s="19">
        <f>ROUND(IF(AQ158="1",BI158,0),2)</f>
        <v>0</v>
      </c>
      <c r="AD158" s="19">
        <f>ROUND(IF(AQ158="7",BH158,0),2)</f>
        <v>0</v>
      </c>
      <c r="AE158" s="19">
        <f>ROUND(IF(AQ158="7",BI158,0),2)</f>
        <v>0</v>
      </c>
      <c r="AF158" s="19">
        <f>ROUND(IF(AQ158="2",BH158,0),2)</f>
        <v>0</v>
      </c>
      <c r="AG158" s="19">
        <f>ROUND(IF(AQ158="2",BI158,0),2)</f>
        <v>0</v>
      </c>
      <c r="AH158" s="19">
        <f>ROUND(IF(AQ158="0",BJ158,0),2)</f>
        <v>0</v>
      </c>
      <c r="AI158" s="16" t="s">
        <v>436</v>
      </c>
      <c r="AJ158" s="19">
        <f>IF(AN158=0,L158,0)</f>
        <v>0</v>
      </c>
      <c r="AK158" s="19">
        <f>IF(AN158=12,L158,0)</f>
        <v>0</v>
      </c>
      <c r="AL158" s="19">
        <f>IF(AN158=21,L158,0)</f>
        <v>0</v>
      </c>
      <c r="AN158" s="19">
        <v>12</v>
      </c>
      <c r="AO158" s="19">
        <f>H158*0.866977791</f>
        <v>0</v>
      </c>
      <c r="AP158" s="19">
        <f>H158*(1-0.866977791)</f>
        <v>0</v>
      </c>
      <c r="AQ158" s="89" t="s">
        <v>532</v>
      </c>
      <c r="AV158" s="19">
        <f>ROUND(AW158+AX158,2)</f>
        <v>0</v>
      </c>
      <c r="AW158" s="19">
        <f>ROUND(G158*AO158,2)</f>
        <v>0</v>
      </c>
      <c r="AX158" s="19">
        <f>ROUND(G158*AP158,2)</f>
        <v>0</v>
      </c>
      <c r="AY158" s="89" t="s">
        <v>661</v>
      </c>
      <c r="AZ158" s="89" t="s">
        <v>662</v>
      </c>
      <c r="BA158" s="16" t="s">
        <v>663</v>
      </c>
      <c r="BC158" s="19">
        <f>AW158+AX158</f>
        <v>0</v>
      </c>
      <c r="BD158" s="19">
        <f>H158/(100-BE158)*100</f>
        <v>0</v>
      </c>
      <c r="BE158" s="19">
        <v>0</v>
      </c>
      <c r="BF158" s="19">
        <f>O158</f>
        <v>0.47625000000000001</v>
      </c>
      <c r="BH158" s="19">
        <f>G158*AO158</f>
        <v>0</v>
      </c>
      <c r="BI158" s="19">
        <f>G158*AP158</f>
        <v>0</v>
      </c>
      <c r="BJ158" s="19">
        <f>G158*H158</f>
        <v>0</v>
      </c>
      <c r="BK158" s="89" t="s">
        <v>30</v>
      </c>
      <c r="BL158" s="19">
        <v>723</v>
      </c>
      <c r="BW158" s="19">
        <f>I158</f>
        <v>12</v>
      </c>
      <c r="BX158" s="4" t="s">
        <v>228</v>
      </c>
    </row>
    <row r="159" spans="1:76" x14ac:dyDescent="0.25">
      <c r="A159" s="1" t="s">
        <v>664</v>
      </c>
      <c r="B159" s="2" t="s">
        <v>436</v>
      </c>
      <c r="C159" s="2" t="s">
        <v>229</v>
      </c>
      <c r="D159" s="96" t="s">
        <v>230</v>
      </c>
      <c r="E159" s="97"/>
      <c r="F159" s="2" t="s">
        <v>29</v>
      </c>
      <c r="G159" s="19">
        <f>'Rozpočet - vybrané sloupce'!I132</f>
        <v>104</v>
      </c>
      <c r="H159" s="19">
        <f>'Rozpočet - vybrané sloupce'!J132</f>
        <v>0</v>
      </c>
      <c r="I159" s="87">
        <v>12</v>
      </c>
      <c r="J159" s="19">
        <f>ROUND(G159*AO159,2)</f>
        <v>0</v>
      </c>
      <c r="K159" s="19">
        <f>ROUND(G159*AP159,2)</f>
        <v>0</v>
      </c>
      <c r="L159" s="19">
        <f>ROUND(G159*H159,2)</f>
        <v>0</v>
      </c>
      <c r="M159" s="19">
        <f>L159*(1+BW159/100)</f>
        <v>0</v>
      </c>
      <c r="N159" s="19">
        <v>1.2899999999999999E-3</v>
      </c>
      <c r="O159" s="19">
        <f>G159*N159</f>
        <v>0.13416</v>
      </c>
      <c r="P159" s="88" t="s">
        <v>531</v>
      </c>
      <c r="Z159" s="19">
        <f>ROUND(IF(AQ159="5",BJ159,0),2)</f>
        <v>0</v>
      </c>
      <c r="AB159" s="19">
        <f>ROUND(IF(AQ159="1",BH159,0),2)</f>
        <v>0</v>
      </c>
      <c r="AC159" s="19">
        <f>ROUND(IF(AQ159="1",BI159,0),2)</f>
        <v>0</v>
      </c>
      <c r="AD159" s="19">
        <f>ROUND(IF(AQ159="7",BH159,0),2)</f>
        <v>0</v>
      </c>
      <c r="AE159" s="19">
        <f>ROUND(IF(AQ159="7",BI159,0),2)</f>
        <v>0</v>
      </c>
      <c r="AF159" s="19">
        <f>ROUND(IF(AQ159="2",BH159,0),2)</f>
        <v>0</v>
      </c>
      <c r="AG159" s="19">
        <f>ROUND(IF(AQ159="2",BI159,0),2)</f>
        <v>0</v>
      </c>
      <c r="AH159" s="19">
        <f>ROUND(IF(AQ159="0",BJ159,0),2)</f>
        <v>0</v>
      </c>
      <c r="AI159" s="16" t="s">
        <v>436</v>
      </c>
      <c r="AJ159" s="19">
        <f>IF(AN159=0,L159,0)</f>
        <v>0</v>
      </c>
      <c r="AK159" s="19">
        <f>IF(AN159=12,L159,0)</f>
        <v>0</v>
      </c>
      <c r="AL159" s="19">
        <f>IF(AN159=21,L159,0)</f>
        <v>0</v>
      </c>
      <c r="AN159" s="19">
        <v>12</v>
      </c>
      <c r="AO159" s="19">
        <f>H159*0.795713425</f>
        <v>0</v>
      </c>
      <c r="AP159" s="19">
        <f>H159*(1-0.795713425)</f>
        <v>0</v>
      </c>
      <c r="AQ159" s="89" t="s">
        <v>532</v>
      </c>
      <c r="AV159" s="19">
        <f>ROUND(AW159+AX159,2)</f>
        <v>0</v>
      </c>
      <c r="AW159" s="19">
        <f>ROUND(G159*AO159,2)</f>
        <v>0</v>
      </c>
      <c r="AX159" s="19">
        <f>ROUND(G159*AP159,2)</f>
        <v>0</v>
      </c>
      <c r="AY159" s="89" t="s">
        <v>661</v>
      </c>
      <c r="AZ159" s="89" t="s">
        <v>662</v>
      </c>
      <c r="BA159" s="16" t="s">
        <v>663</v>
      </c>
      <c r="BC159" s="19">
        <f>AW159+AX159</f>
        <v>0</v>
      </c>
      <c r="BD159" s="19">
        <f>H159/(100-BE159)*100</f>
        <v>0</v>
      </c>
      <c r="BE159" s="19">
        <v>0</v>
      </c>
      <c r="BF159" s="19">
        <f>O159</f>
        <v>0.13416</v>
      </c>
      <c r="BH159" s="19">
        <f>G159*AO159</f>
        <v>0</v>
      </c>
      <c r="BI159" s="19">
        <f>G159*AP159</f>
        <v>0</v>
      </c>
      <c r="BJ159" s="19">
        <f>G159*H159</f>
        <v>0</v>
      </c>
      <c r="BK159" s="89" t="s">
        <v>30</v>
      </c>
      <c r="BL159" s="19">
        <v>723</v>
      </c>
      <c r="BW159" s="19">
        <f>I159</f>
        <v>12</v>
      </c>
      <c r="BX159" s="4" t="s">
        <v>230</v>
      </c>
    </row>
    <row r="160" spans="1:76" ht="25.5" x14ac:dyDescent="0.25">
      <c r="A160" s="90"/>
      <c r="C160" s="91" t="s">
        <v>547</v>
      </c>
      <c r="D160" s="180" t="s">
        <v>665</v>
      </c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2"/>
      <c r="BX160" s="92" t="s">
        <v>665</v>
      </c>
    </row>
    <row r="161" spans="1:76" x14ac:dyDescent="0.25">
      <c r="A161" s="1" t="s">
        <v>666</v>
      </c>
      <c r="B161" s="2" t="s">
        <v>436</v>
      </c>
      <c r="C161" s="2" t="s">
        <v>231</v>
      </c>
      <c r="D161" s="96" t="s">
        <v>232</v>
      </c>
      <c r="E161" s="97"/>
      <c r="F161" s="2" t="s">
        <v>29</v>
      </c>
      <c r="G161" s="19">
        <f>'Rozpočet - vybrané sloupce'!I133</f>
        <v>10.8</v>
      </c>
      <c r="H161" s="19">
        <f>'Rozpočet - vybrané sloupce'!J133</f>
        <v>0</v>
      </c>
      <c r="I161" s="87">
        <v>12</v>
      </c>
      <c r="J161" s="19">
        <f>ROUND(G161*AO161,2)</f>
        <v>0</v>
      </c>
      <c r="K161" s="19">
        <f>ROUND(G161*AP161,2)</f>
        <v>0</v>
      </c>
      <c r="L161" s="19">
        <f>ROUND(G161*H161,2)</f>
        <v>0</v>
      </c>
      <c r="M161" s="19">
        <f>L161*(1+BW161/100)</f>
        <v>0</v>
      </c>
      <c r="N161" s="19">
        <v>1.41E-3</v>
      </c>
      <c r="O161" s="19">
        <f>G161*N161</f>
        <v>1.5228000000000002E-2</v>
      </c>
      <c r="P161" s="88" t="s">
        <v>531</v>
      </c>
      <c r="Z161" s="19">
        <f>ROUND(IF(AQ161="5",BJ161,0),2)</f>
        <v>0</v>
      </c>
      <c r="AB161" s="19">
        <f>ROUND(IF(AQ161="1",BH161,0),2)</f>
        <v>0</v>
      </c>
      <c r="AC161" s="19">
        <f>ROUND(IF(AQ161="1",BI161,0),2)</f>
        <v>0</v>
      </c>
      <c r="AD161" s="19">
        <f>ROUND(IF(AQ161="7",BH161,0),2)</f>
        <v>0</v>
      </c>
      <c r="AE161" s="19">
        <f>ROUND(IF(AQ161="7",BI161,0),2)</f>
        <v>0</v>
      </c>
      <c r="AF161" s="19">
        <f>ROUND(IF(AQ161="2",BH161,0),2)</f>
        <v>0</v>
      </c>
      <c r="AG161" s="19">
        <f>ROUND(IF(AQ161="2",BI161,0),2)</f>
        <v>0</v>
      </c>
      <c r="AH161" s="19">
        <f>ROUND(IF(AQ161="0",BJ161,0),2)</f>
        <v>0</v>
      </c>
      <c r="AI161" s="16" t="s">
        <v>436</v>
      </c>
      <c r="AJ161" s="19">
        <f>IF(AN161=0,L161,0)</f>
        <v>0</v>
      </c>
      <c r="AK161" s="19">
        <f>IF(AN161=12,L161,0)</f>
        <v>0</v>
      </c>
      <c r="AL161" s="19">
        <f>IF(AN161=21,L161,0)</f>
        <v>0</v>
      </c>
      <c r="AN161" s="19">
        <v>12</v>
      </c>
      <c r="AO161" s="19">
        <f>H161*1</f>
        <v>0</v>
      </c>
      <c r="AP161" s="19">
        <f>H161*(1-1)</f>
        <v>0</v>
      </c>
      <c r="AQ161" s="89" t="s">
        <v>532</v>
      </c>
      <c r="AV161" s="19">
        <f>ROUND(AW161+AX161,2)</f>
        <v>0</v>
      </c>
      <c r="AW161" s="19">
        <f>ROUND(G161*AO161,2)</f>
        <v>0</v>
      </c>
      <c r="AX161" s="19">
        <f>ROUND(G161*AP161,2)</f>
        <v>0</v>
      </c>
      <c r="AY161" s="89" t="s">
        <v>661</v>
      </c>
      <c r="AZ161" s="89" t="s">
        <v>662</v>
      </c>
      <c r="BA161" s="16" t="s">
        <v>663</v>
      </c>
      <c r="BC161" s="19">
        <f>AW161+AX161</f>
        <v>0</v>
      </c>
      <c r="BD161" s="19">
        <f>H161/(100-BE161)*100</f>
        <v>0</v>
      </c>
      <c r="BE161" s="19">
        <v>0</v>
      </c>
      <c r="BF161" s="19">
        <f>O161</f>
        <v>1.5228000000000002E-2</v>
      </c>
      <c r="BH161" s="19">
        <f>G161*AO161</f>
        <v>0</v>
      </c>
      <c r="BI161" s="19">
        <f>G161*AP161</f>
        <v>0</v>
      </c>
      <c r="BJ161" s="19">
        <f>G161*H161</f>
        <v>0</v>
      </c>
      <c r="BK161" s="89" t="s">
        <v>53</v>
      </c>
      <c r="BL161" s="19">
        <v>723</v>
      </c>
      <c r="BW161" s="19">
        <f>I161</f>
        <v>12</v>
      </c>
      <c r="BX161" s="4" t="s">
        <v>232</v>
      </c>
    </row>
    <row r="162" spans="1:76" x14ac:dyDescent="0.25">
      <c r="A162" s="90"/>
      <c r="C162" s="91" t="s">
        <v>547</v>
      </c>
      <c r="D162" s="180" t="s">
        <v>667</v>
      </c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2"/>
      <c r="BX162" s="92" t="s">
        <v>667</v>
      </c>
    </row>
    <row r="163" spans="1:76" x14ac:dyDescent="0.25">
      <c r="A163" s="1" t="s">
        <v>668</v>
      </c>
      <c r="B163" s="2" t="s">
        <v>436</v>
      </c>
      <c r="C163" s="2" t="s">
        <v>233</v>
      </c>
      <c r="D163" s="96" t="s">
        <v>234</v>
      </c>
      <c r="E163" s="97"/>
      <c r="F163" s="2" t="s">
        <v>29</v>
      </c>
      <c r="G163" s="19">
        <f>'Rozpočet - vybrané sloupce'!I134</f>
        <v>21</v>
      </c>
      <c r="H163" s="19">
        <f>'Rozpočet - vybrané sloupce'!J134</f>
        <v>0</v>
      </c>
      <c r="I163" s="87">
        <v>12</v>
      </c>
      <c r="J163" s="19">
        <f>ROUND(G163*AO163,2)</f>
        <v>0</v>
      </c>
      <c r="K163" s="19">
        <f>ROUND(G163*AP163,2)</f>
        <v>0</v>
      </c>
      <c r="L163" s="19">
        <f>ROUND(G163*H163,2)</f>
        <v>0</v>
      </c>
      <c r="M163" s="19">
        <f>L163*(1+BW163/100)</f>
        <v>0</v>
      </c>
      <c r="N163" s="19">
        <v>1.5900000000000001E-3</v>
      </c>
      <c r="O163" s="19">
        <f>G163*N163</f>
        <v>3.3390000000000003E-2</v>
      </c>
      <c r="P163" s="88" t="s">
        <v>531</v>
      </c>
      <c r="Z163" s="19">
        <f>ROUND(IF(AQ163="5",BJ163,0),2)</f>
        <v>0</v>
      </c>
      <c r="AB163" s="19">
        <f>ROUND(IF(AQ163="1",BH163,0),2)</f>
        <v>0</v>
      </c>
      <c r="AC163" s="19">
        <f>ROUND(IF(AQ163="1",BI163,0),2)</f>
        <v>0</v>
      </c>
      <c r="AD163" s="19">
        <f>ROUND(IF(AQ163="7",BH163,0),2)</f>
        <v>0</v>
      </c>
      <c r="AE163" s="19">
        <f>ROUND(IF(AQ163="7",BI163,0),2)</f>
        <v>0</v>
      </c>
      <c r="AF163" s="19">
        <f>ROUND(IF(AQ163="2",BH163,0),2)</f>
        <v>0</v>
      </c>
      <c r="AG163" s="19">
        <f>ROUND(IF(AQ163="2",BI163,0),2)</f>
        <v>0</v>
      </c>
      <c r="AH163" s="19">
        <f>ROUND(IF(AQ163="0",BJ163,0),2)</f>
        <v>0</v>
      </c>
      <c r="AI163" s="16" t="s">
        <v>436</v>
      </c>
      <c r="AJ163" s="19">
        <f>IF(AN163=0,L163,0)</f>
        <v>0</v>
      </c>
      <c r="AK163" s="19">
        <f>IF(AN163=12,L163,0)</f>
        <v>0</v>
      </c>
      <c r="AL163" s="19">
        <f>IF(AN163=21,L163,0)</f>
        <v>0</v>
      </c>
      <c r="AN163" s="19">
        <v>12</v>
      </c>
      <c r="AO163" s="19">
        <f>H163*0.825800933</f>
        <v>0</v>
      </c>
      <c r="AP163" s="19">
        <f>H163*(1-0.825800933)</f>
        <v>0</v>
      </c>
      <c r="AQ163" s="89" t="s">
        <v>532</v>
      </c>
      <c r="AV163" s="19">
        <f>ROUND(AW163+AX163,2)</f>
        <v>0</v>
      </c>
      <c r="AW163" s="19">
        <f>ROUND(G163*AO163,2)</f>
        <v>0</v>
      </c>
      <c r="AX163" s="19">
        <f>ROUND(G163*AP163,2)</f>
        <v>0</v>
      </c>
      <c r="AY163" s="89" t="s">
        <v>661</v>
      </c>
      <c r="AZ163" s="89" t="s">
        <v>662</v>
      </c>
      <c r="BA163" s="16" t="s">
        <v>663</v>
      </c>
      <c r="BC163" s="19">
        <f>AW163+AX163</f>
        <v>0</v>
      </c>
      <c r="BD163" s="19">
        <f>H163/(100-BE163)*100</f>
        <v>0</v>
      </c>
      <c r="BE163" s="19">
        <v>0</v>
      </c>
      <c r="BF163" s="19">
        <f>O163</f>
        <v>3.3390000000000003E-2</v>
      </c>
      <c r="BH163" s="19">
        <f>G163*AO163</f>
        <v>0</v>
      </c>
      <c r="BI163" s="19">
        <f>G163*AP163</f>
        <v>0</v>
      </c>
      <c r="BJ163" s="19">
        <f>G163*H163</f>
        <v>0</v>
      </c>
      <c r="BK163" s="89" t="s">
        <v>30</v>
      </c>
      <c r="BL163" s="19">
        <v>723</v>
      </c>
      <c r="BW163" s="19">
        <f>I163</f>
        <v>12</v>
      </c>
      <c r="BX163" s="4" t="s">
        <v>234</v>
      </c>
    </row>
    <row r="164" spans="1:76" ht="25.5" x14ac:dyDescent="0.25">
      <c r="A164" s="90"/>
      <c r="C164" s="91" t="s">
        <v>547</v>
      </c>
      <c r="D164" s="180" t="s">
        <v>665</v>
      </c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2"/>
      <c r="BX164" s="92" t="s">
        <v>665</v>
      </c>
    </row>
    <row r="165" spans="1:76" x14ac:dyDescent="0.25">
      <c r="A165" s="1" t="s">
        <v>669</v>
      </c>
      <c r="B165" s="2" t="s">
        <v>436</v>
      </c>
      <c r="C165" s="2" t="s">
        <v>235</v>
      </c>
      <c r="D165" s="96" t="s">
        <v>236</v>
      </c>
      <c r="E165" s="97"/>
      <c r="F165" s="2" t="s">
        <v>29</v>
      </c>
      <c r="G165" s="19">
        <f>'Rozpočet - vybrané sloupce'!I135</f>
        <v>0.7</v>
      </c>
      <c r="H165" s="19">
        <f>'Rozpočet - vybrané sloupce'!J135</f>
        <v>0</v>
      </c>
      <c r="I165" s="87">
        <v>12</v>
      </c>
      <c r="J165" s="19">
        <f>ROUND(G165*AO165,2)</f>
        <v>0</v>
      </c>
      <c r="K165" s="19">
        <f>ROUND(G165*AP165,2)</f>
        <v>0</v>
      </c>
      <c r="L165" s="19">
        <f>ROUND(G165*H165,2)</f>
        <v>0</v>
      </c>
      <c r="M165" s="19">
        <f>L165*(1+BW165/100)</f>
        <v>0</v>
      </c>
      <c r="N165" s="19">
        <v>1.6999999999999999E-3</v>
      </c>
      <c r="O165" s="19">
        <f>G165*N165</f>
        <v>1.1899999999999999E-3</v>
      </c>
      <c r="P165" s="88" t="s">
        <v>531</v>
      </c>
      <c r="Z165" s="19">
        <f>ROUND(IF(AQ165="5",BJ165,0),2)</f>
        <v>0</v>
      </c>
      <c r="AB165" s="19">
        <f>ROUND(IF(AQ165="1",BH165,0),2)</f>
        <v>0</v>
      </c>
      <c r="AC165" s="19">
        <f>ROUND(IF(AQ165="1",BI165,0),2)</f>
        <v>0</v>
      </c>
      <c r="AD165" s="19">
        <f>ROUND(IF(AQ165="7",BH165,0),2)</f>
        <v>0</v>
      </c>
      <c r="AE165" s="19">
        <f>ROUND(IF(AQ165="7",BI165,0),2)</f>
        <v>0</v>
      </c>
      <c r="AF165" s="19">
        <f>ROUND(IF(AQ165="2",BH165,0),2)</f>
        <v>0</v>
      </c>
      <c r="AG165" s="19">
        <f>ROUND(IF(AQ165="2",BI165,0),2)</f>
        <v>0</v>
      </c>
      <c r="AH165" s="19">
        <f>ROUND(IF(AQ165="0",BJ165,0),2)</f>
        <v>0</v>
      </c>
      <c r="AI165" s="16" t="s">
        <v>436</v>
      </c>
      <c r="AJ165" s="19">
        <f>IF(AN165=0,L165,0)</f>
        <v>0</v>
      </c>
      <c r="AK165" s="19">
        <f>IF(AN165=12,L165,0)</f>
        <v>0</v>
      </c>
      <c r="AL165" s="19">
        <f>IF(AN165=21,L165,0)</f>
        <v>0</v>
      </c>
      <c r="AN165" s="19">
        <v>12</v>
      </c>
      <c r="AO165" s="19">
        <f>H165*1</f>
        <v>0</v>
      </c>
      <c r="AP165" s="19">
        <f>H165*(1-1)</f>
        <v>0</v>
      </c>
      <c r="AQ165" s="89" t="s">
        <v>532</v>
      </c>
      <c r="AV165" s="19">
        <f>ROUND(AW165+AX165,2)</f>
        <v>0</v>
      </c>
      <c r="AW165" s="19">
        <f>ROUND(G165*AO165,2)</f>
        <v>0</v>
      </c>
      <c r="AX165" s="19">
        <f>ROUND(G165*AP165,2)</f>
        <v>0</v>
      </c>
      <c r="AY165" s="89" t="s">
        <v>661</v>
      </c>
      <c r="AZ165" s="89" t="s">
        <v>662</v>
      </c>
      <c r="BA165" s="16" t="s">
        <v>663</v>
      </c>
      <c r="BC165" s="19">
        <f>AW165+AX165</f>
        <v>0</v>
      </c>
      <c r="BD165" s="19">
        <f>H165/(100-BE165)*100</f>
        <v>0</v>
      </c>
      <c r="BE165" s="19">
        <v>0</v>
      </c>
      <c r="BF165" s="19">
        <f>O165</f>
        <v>1.1899999999999999E-3</v>
      </c>
      <c r="BH165" s="19">
        <f>G165*AO165</f>
        <v>0</v>
      </c>
      <c r="BI165" s="19">
        <f>G165*AP165</f>
        <v>0</v>
      </c>
      <c r="BJ165" s="19">
        <f>G165*H165</f>
        <v>0</v>
      </c>
      <c r="BK165" s="89" t="s">
        <v>53</v>
      </c>
      <c r="BL165" s="19">
        <v>723</v>
      </c>
      <c r="BW165" s="19">
        <f>I165</f>
        <v>12</v>
      </c>
      <c r="BX165" s="4" t="s">
        <v>236</v>
      </c>
    </row>
    <row r="166" spans="1:76" x14ac:dyDescent="0.25">
      <c r="A166" s="90"/>
      <c r="C166" s="91" t="s">
        <v>547</v>
      </c>
      <c r="D166" s="180" t="s">
        <v>667</v>
      </c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2"/>
      <c r="BX166" s="92" t="s">
        <v>667</v>
      </c>
    </row>
    <row r="167" spans="1:76" x14ac:dyDescent="0.25">
      <c r="A167" s="1" t="s">
        <v>670</v>
      </c>
      <c r="B167" s="2" t="s">
        <v>436</v>
      </c>
      <c r="C167" s="2" t="s">
        <v>237</v>
      </c>
      <c r="D167" s="96" t="s">
        <v>238</v>
      </c>
      <c r="E167" s="97"/>
      <c r="F167" s="2" t="s">
        <v>33</v>
      </c>
      <c r="G167" s="19">
        <f>'Rozpočet - vybrané sloupce'!I136</f>
        <v>26</v>
      </c>
      <c r="H167" s="19">
        <f>'Rozpočet - vybrané sloupce'!J136</f>
        <v>0</v>
      </c>
      <c r="I167" s="87">
        <v>12</v>
      </c>
      <c r="J167" s="19">
        <f t="shared" ref="J167:J184" si="106">ROUND(G167*AO167,2)</f>
        <v>0</v>
      </c>
      <c r="K167" s="19">
        <f t="shared" ref="K167:K184" si="107">ROUND(G167*AP167,2)</f>
        <v>0</v>
      </c>
      <c r="L167" s="19">
        <f t="shared" ref="L167:L184" si="108">ROUND(G167*H167,2)</f>
        <v>0</v>
      </c>
      <c r="M167" s="19">
        <f t="shared" ref="M167:M184" si="109">L167*(1+BW167/100)</f>
        <v>0</v>
      </c>
      <c r="N167" s="19">
        <v>6.6E-4</v>
      </c>
      <c r="O167" s="19">
        <f t="shared" ref="O167:O184" si="110">G167*N167</f>
        <v>1.7160000000000002E-2</v>
      </c>
      <c r="P167" s="88" t="s">
        <v>531</v>
      </c>
      <c r="Z167" s="19">
        <f t="shared" ref="Z167:Z184" si="111">ROUND(IF(AQ167="5",BJ167,0),2)</f>
        <v>0</v>
      </c>
      <c r="AB167" s="19">
        <f t="shared" ref="AB167:AB184" si="112">ROUND(IF(AQ167="1",BH167,0),2)</f>
        <v>0</v>
      </c>
      <c r="AC167" s="19">
        <f t="shared" ref="AC167:AC184" si="113">ROUND(IF(AQ167="1",BI167,0),2)</f>
        <v>0</v>
      </c>
      <c r="AD167" s="19">
        <f t="shared" ref="AD167:AD184" si="114">ROUND(IF(AQ167="7",BH167,0),2)</f>
        <v>0</v>
      </c>
      <c r="AE167" s="19">
        <f t="shared" ref="AE167:AE184" si="115">ROUND(IF(AQ167="7",BI167,0),2)</f>
        <v>0</v>
      </c>
      <c r="AF167" s="19">
        <f t="shared" ref="AF167:AF184" si="116">ROUND(IF(AQ167="2",BH167,0),2)</f>
        <v>0</v>
      </c>
      <c r="AG167" s="19">
        <f t="shared" ref="AG167:AG184" si="117">ROUND(IF(AQ167="2",BI167,0),2)</f>
        <v>0</v>
      </c>
      <c r="AH167" s="19">
        <f t="shared" ref="AH167:AH184" si="118">ROUND(IF(AQ167="0",BJ167,0),2)</f>
        <v>0</v>
      </c>
      <c r="AI167" s="16" t="s">
        <v>436</v>
      </c>
      <c r="AJ167" s="19">
        <f t="shared" ref="AJ167:AJ184" si="119">IF(AN167=0,L167,0)</f>
        <v>0</v>
      </c>
      <c r="AK167" s="19">
        <f t="shared" ref="AK167:AK184" si="120">IF(AN167=12,L167,0)</f>
        <v>0</v>
      </c>
      <c r="AL167" s="19">
        <f t="shared" ref="AL167:AL184" si="121">IF(AN167=21,L167,0)</f>
        <v>0</v>
      </c>
      <c r="AN167" s="19">
        <v>12</v>
      </c>
      <c r="AO167" s="19">
        <f>H167*0.829715686</f>
        <v>0</v>
      </c>
      <c r="AP167" s="19">
        <f>H167*(1-0.829715686)</f>
        <v>0</v>
      </c>
      <c r="AQ167" s="89" t="s">
        <v>532</v>
      </c>
      <c r="AV167" s="19">
        <f t="shared" ref="AV167:AV184" si="122">ROUND(AW167+AX167,2)</f>
        <v>0</v>
      </c>
      <c r="AW167" s="19">
        <f t="shared" ref="AW167:AW184" si="123">ROUND(G167*AO167,2)</f>
        <v>0</v>
      </c>
      <c r="AX167" s="19">
        <f t="shared" ref="AX167:AX184" si="124">ROUND(G167*AP167,2)</f>
        <v>0</v>
      </c>
      <c r="AY167" s="89" t="s">
        <v>661</v>
      </c>
      <c r="AZ167" s="89" t="s">
        <v>662</v>
      </c>
      <c r="BA167" s="16" t="s">
        <v>663</v>
      </c>
      <c r="BC167" s="19">
        <f t="shared" ref="BC167:BC184" si="125">AW167+AX167</f>
        <v>0</v>
      </c>
      <c r="BD167" s="19">
        <f t="shared" ref="BD167:BD184" si="126">H167/(100-BE167)*100</f>
        <v>0</v>
      </c>
      <c r="BE167" s="19">
        <v>0</v>
      </c>
      <c r="BF167" s="19">
        <f t="shared" ref="BF167:BF184" si="127">O167</f>
        <v>1.7160000000000002E-2</v>
      </c>
      <c r="BH167" s="19">
        <f t="shared" ref="BH167:BH184" si="128">G167*AO167</f>
        <v>0</v>
      </c>
      <c r="BI167" s="19">
        <f t="shared" ref="BI167:BI184" si="129">G167*AP167</f>
        <v>0</v>
      </c>
      <c r="BJ167" s="19">
        <f t="shared" ref="BJ167:BJ184" si="130">G167*H167</f>
        <v>0</v>
      </c>
      <c r="BK167" s="89" t="s">
        <v>30</v>
      </c>
      <c r="BL167" s="19">
        <v>723</v>
      </c>
      <c r="BW167" s="19">
        <f t="shared" ref="BW167:BW184" si="131">I167</f>
        <v>12</v>
      </c>
      <c r="BX167" s="4" t="s">
        <v>238</v>
      </c>
    </row>
    <row r="168" spans="1:76" x14ac:dyDescent="0.25">
      <c r="A168" s="1" t="s">
        <v>671</v>
      </c>
      <c r="B168" s="2" t="s">
        <v>436</v>
      </c>
      <c r="C168" s="2" t="s">
        <v>239</v>
      </c>
      <c r="D168" s="96" t="s">
        <v>240</v>
      </c>
      <c r="E168" s="97"/>
      <c r="F168" s="2" t="s">
        <v>29</v>
      </c>
      <c r="G168" s="19">
        <f>'Rozpočet - vybrané sloupce'!I137</f>
        <v>125</v>
      </c>
      <c r="H168" s="19">
        <f>'Rozpočet - vybrané sloupce'!J137</f>
        <v>0</v>
      </c>
      <c r="I168" s="87">
        <v>12</v>
      </c>
      <c r="J168" s="19">
        <f t="shared" si="106"/>
        <v>0</v>
      </c>
      <c r="K168" s="19">
        <f t="shared" si="107"/>
        <v>0</v>
      </c>
      <c r="L168" s="19">
        <f t="shared" si="108"/>
        <v>0</v>
      </c>
      <c r="M168" s="19">
        <f t="shared" si="109"/>
        <v>0</v>
      </c>
      <c r="N168" s="19">
        <v>0</v>
      </c>
      <c r="O168" s="19">
        <f t="shared" si="110"/>
        <v>0</v>
      </c>
      <c r="P168" s="88" t="s">
        <v>531</v>
      </c>
      <c r="Z168" s="19">
        <f t="shared" si="111"/>
        <v>0</v>
      </c>
      <c r="AB168" s="19">
        <f t="shared" si="112"/>
        <v>0</v>
      </c>
      <c r="AC168" s="19">
        <f t="shared" si="113"/>
        <v>0</v>
      </c>
      <c r="AD168" s="19">
        <f t="shared" si="114"/>
        <v>0</v>
      </c>
      <c r="AE168" s="19">
        <f t="shared" si="115"/>
        <v>0</v>
      </c>
      <c r="AF168" s="19">
        <f t="shared" si="116"/>
        <v>0</v>
      </c>
      <c r="AG168" s="19">
        <f t="shared" si="117"/>
        <v>0</v>
      </c>
      <c r="AH168" s="19">
        <f t="shared" si="118"/>
        <v>0</v>
      </c>
      <c r="AI168" s="16" t="s">
        <v>436</v>
      </c>
      <c r="AJ168" s="19">
        <f t="shared" si="119"/>
        <v>0</v>
      </c>
      <c r="AK168" s="19">
        <f t="shared" si="120"/>
        <v>0</v>
      </c>
      <c r="AL168" s="19">
        <f t="shared" si="121"/>
        <v>0</v>
      </c>
      <c r="AN168" s="19">
        <v>12</v>
      </c>
      <c r="AO168" s="19">
        <f>H168*0</f>
        <v>0</v>
      </c>
      <c r="AP168" s="19">
        <f>H168*(1-0)</f>
        <v>0</v>
      </c>
      <c r="AQ168" s="89" t="s">
        <v>532</v>
      </c>
      <c r="AV168" s="19">
        <f t="shared" si="122"/>
        <v>0</v>
      </c>
      <c r="AW168" s="19">
        <f t="shared" si="123"/>
        <v>0</v>
      </c>
      <c r="AX168" s="19">
        <f t="shared" si="124"/>
        <v>0</v>
      </c>
      <c r="AY168" s="89" t="s">
        <v>661</v>
      </c>
      <c r="AZ168" s="89" t="s">
        <v>662</v>
      </c>
      <c r="BA168" s="16" t="s">
        <v>663</v>
      </c>
      <c r="BC168" s="19">
        <f t="shared" si="125"/>
        <v>0</v>
      </c>
      <c r="BD168" s="19">
        <f t="shared" si="126"/>
        <v>0</v>
      </c>
      <c r="BE168" s="19">
        <v>0</v>
      </c>
      <c r="BF168" s="19">
        <f t="shared" si="127"/>
        <v>0</v>
      </c>
      <c r="BH168" s="19">
        <f t="shared" si="128"/>
        <v>0</v>
      </c>
      <c r="BI168" s="19">
        <f t="shared" si="129"/>
        <v>0</v>
      </c>
      <c r="BJ168" s="19">
        <f t="shared" si="130"/>
        <v>0</v>
      </c>
      <c r="BK168" s="89" t="s">
        <v>30</v>
      </c>
      <c r="BL168" s="19">
        <v>723</v>
      </c>
      <c r="BW168" s="19">
        <f t="shared" si="131"/>
        <v>12</v>
      </c>
      <c r="BX168" s="4" t="s">
        <v>240</v>
      </c>
    </row>
    <row r="169" spans="1:76" x14ac:dyDescent="0.25">
      <c r="A169" s="1" t="s">
        <v>672</v>
      </c>
      <c r="B169" s="2" t="s">
        <v>436</v>
      </c>
      <c r="C169" s="2" t="s">
        <v>241</v>
      </c>
      <c r="D169" s="96" t="s">
        <v>242</v>
      </c>
      <c r="E169" s="97"/>
      <c r="F169" s="2" t="s">
        <v>33</v>
      </c>
      <c r="G169" s="19">
        <f>'Rozpočet - vybrané sloupce'!I138</f>
        <v>5</v>
      </c>
      <c r="H169" s="19">
        <f>'Rozpočet - vybrané sloupce'!J138</f>
        <v>0</v>
      </c>
      <c r="I169" s="87">
        <v>12</v>
      </c>
      <c r="J169" s="19">
        <f t="shared" si="106"/>
        <v>0</v>
      </c>
      <c r="K169" s="19">
        <f t="shared" si="107"/>
        <v>0</v>
      </c>
      <c r="L169" s="19">
        <f t="shared" si="108"/>
        <v>0</v>
      </c>
      <c r="M169" s="19">
        <f t="shared" si="109"/>
        <v>0</v>
      </c>
      <c r="N169" s="19">
        <v>0</v>
      </c>
      <c r="O169" s="19">
        <f t="shared" si="110"/>
        <v>0</v>
      </c>
      <c r="P169" s="88" t="s">
        <v>531</v>
      </c>
      <c r="Z169" s="19">
        <f t="shared" si="111"/>
        <v>0</v>
      </c>
      <c r="AB169" s="19">
        <f t="shared" si="112"/>
        <v>0</v>
      </c>
      <c r="AC169" s="19">
        <f t="shared" si="113"/>
        <v>0</v>
      </c>
      <c r="AD169" s="19">
        <f t="shared" si="114"/>
        <v>0</v>
      </c>
      <c r="AE169" s="19">
        <f t="shared" si="115"/>
        <v>0</v>
      </c>
      <c r="AF169" s="19">
        <f t="shared" si="116"/>
        <v>0</v>
      </c>
      <c r="AG169" s="19">
        <f t="shared" si="117"/>
        <v>0</v>
      </c>
      <c r="AH169" s="19">
        <f t="shared" si="118"/>
        <v>0</v>
      </c>
      <c r="AI169" s="16" t="s">
        <v>436</v>
      </c>
      <c r="AJ169" s="19">
        <f t="shared" si="119"/>
        <v>0</v>
      </c>
      <c r="AK169" s="19">
        <f t="shared" si="120"/>
        <v>0</v>
      </c>
      <c r="AL169" s="19">
        <f t="shared" si="121"/>
        <v>0</v>
      </c>
      <c r="AN169" s="19">
        <v>12</v>
      </c>
      <c r="AO169" s="19">
        <f>H169*0</f>
        <v>0</v>
      </c>
      <c r="AP169" s="19">
        <f>H169*(1-0)</f>
        <v>0</v>
      </c>
      <c r="AQ169" s="89" t="s">
        <v>532</v>
      </c>
      <c r="AV169" s="19">
        <f t="shared" si="122"/>
        <v>0</v>
      </c>
      <c r="AW169" s="19">
        <f t="shared" si="123"/>
        <v>0</v>
      </c>
      <c r="AX169" s="19">
        <f t="shared" si="124"/>
        <v>0</v>
      </c>
      <c r="AY169" s="89" t="s">
        <v>661</v>
      </c>
      <c r="AZ169" s="89" t="s">
        <v>662</v>
      </c>
      <c r="BA169" s="16" t="s">
        <v>663</v>
      </c>
      <c r="BC169" s="19">
        <f t="shared" si="125"/>
        <v>0</v>
      </c>
      <c r="BD169" s="19">
        <f t="shared" si="126"/>
        <v>0</v>
      </c>
      <c r="BE169" s="19">
        <v>0</v>
      </c>
      <c r="BF169" s="19">
        <f t="shared" si="127"/>
        <v>0</v>
      </c>
      <c r="BH169" s="19">
        <f t="shared" si="128"/>
        <v>0</v>
      </c>
      <c r="BI169" s="19">
        <f t="shared" si="129"/>
        <v>0</v>
      </c>
      <c r="BJ169" s="19">
        <f t="shared" si="130"/>
        <v>0</v>
      </c>
      <c r="BK169" s="89" t="s">
        <v>30</v>
      </c>
      <c r="BL169" s="19">
        <v>723</v>
      </c>
      <c r="BW169" s="19">
        <f t="shared" si="131"/>
        <v>12</v>
      </c>
      <c r="BX169" s="4" t="s">
        <v>242</v>
      </c>
    </row>
    <row r="170" spans="1:76" x14ac:dyDescent="0.25">
      <c r="A170" s="1" t="s">
        <v>673</v>
      </c>
      <c r="B170" s="2" t="s">
        <v>436</v>
      </c>
      <c r="C170" s="2" t="s">
        <v>243</v>
      </c>
      <c r="D170" s="96" t="s">
        <v>244</v>
      </c>
      <c r="E170" s="97"/>
      <c r="F170" s="2" t="s">
        <v>33</v>
      </c>
      <c r="G170" s="19">
        <f>'Rozpočet - vybrané sloupce'!I139</f>
        <v>5</v>
      </c>
      <c r="H170" s="19">
        <f>'Rozpočet - vybrané sloupce'!J139</f>
        <v>0</v>
      </c>
      <c r="I170" s="87">
        <v>12</v>
      </c>
      <c r="J170" s="19">
        <f t="shared" si="106"/>
        <v>0</v>
      </c>
      <c r="K170" s="19">
        <f t="shared" si="107"/>
        <v>0</v>
      </c>
      <c r="L170" s="19">
        <f t="shared" si="108"/>
        <v>0</v>
      </c>
      <c r="M170" s="19">
        <f t="shared" si="109"/>
        <v>0</v>
      </c>
      <c r="N170" s="19">
        <v>0</v>
      </c>
      <c r="O170" s="19">
        <f t="shared" si="110"/>
        <v>0</v>
      </c>
      <c r="P170" s="88" t="s">
        <v>531</v>
      </c>
      <c r="Z170" s="19">
        <f t="shared" si="111"/>
        <v>0</v>
      </c>
      <c r="AB170" s="19">
        <f t="shared" si="112"/>
        <v>0</v>
      </c>
      <c r="AC170" s="19">
        <f t="shared" si="113"/>
        <v>0</v>
      </c>
      <c r="AD170" s="19">
        <f t="shared" si="114"/>
        <v>0</v>
      </c>
      <c r="AE170" s="19">
        <f t="shared" si="115"/>
        <v>0</v>
      </c>
      <c r="AF170" s="19">
        <f t="shared" si="116"/>
        <v>0</v>
      </c>
      <c r="AG170" s="19">
        <f t="shared" si="117"/>
        <v>0</v>
      </c>
      <c r="AH170" s="19">
        <f t="shared" si="118"/>
        <v>0</v>
      </c>
      <c r="AI170" s="16" t="s">
        <v>436</v>
      </c>
      <c r="AJ170" s="19">
        <f t="shared" si="119"/>
        <v>0</v>
      </c>
      <c r="AK170" s="19">
        <f t="shared" si="120"/>
        <v>0</v>
      </c>
      <c r="AL170" s="19">
        <f t="shared" si="121"/>
        <v>0</v>
      </c>
      <c r="AN170" s="19">
        <v>12</v>
      </c>
      <c r="AO170" s="19">
        <f>H170*0</f>
        <v>0</v>
      </c>
      <c r="AP170" s="19">
        <f>H170*(1-0)</f>
        <v>0</v>
      </c>
      <c r="AQ170" s="89" t="s">
        <v>532</v>
      </c>
      <c r="AV170" s="19">
        <f t="shared" si="122"/>
        <v>0</v>
      </c>
      <c r="AW170" s="19">
        <f t="shared" si="123"/>
        <v>0</v>
      </c>
      <c r="AX170" s="19">
        <f t="shared" si="124"/>
        <v>0</v>
      </c>
      <c r="AY170" s="89" t="s">
        <v>661</v>
      </c>
      <c r="AZ170" s="89" t="s">
        <v>662</v>
      </c>
      <c r="BA170" s="16" t="s">
        <v>663</v>
      </c>
      <c r="BC170" s="19">
        <f t="shared" si="125"/>
        <v>0</v>
      </c>
      <c r="BD170" s="19">
        <f t="shared" si="126"/>
        <v>0</v>
      </c>
      <c r="BE170" s="19">
        <v>0</v>
      </c>
      <c r="BF170" s="19">
        <f t="shared" si="127"/>
        <v>0</v>
      </c>
      <c r="BH170" s="19">
        <f t="shared" si="128"/>
        <v>0</v>
      </c>
      <c r="BI170" s="19">
        <f t="shared" si="129"/>
        <v>0</v>
      </c>
      <c r="BJ170" s="19">
        <f t="shared" si="130"/>
        <v>0</v>
      </c>
      <c r="BK170" s="89" t="s">
        <v>30</v>
      </c>
      <c r="BL170" s="19">
        <v>723</v>
      </c>
      <c r="BW170" s="19">
        <f t="shared" si="131"/>
        <v>12</v>
      </c>
      <c r="BX170" s="4" t="s">
        <v>244</v>
      </c>
    </row>
    <row r="171" spans="1:76" x14ac:dyDescent="0.25">
      <c r="A171" s="1" t="s">
        <v>674</v>
      </c>
      <c r="B171" s="2" t="s">
        <v>436</v>
      </c>
      <c r="C171" s="2" t="s">
        <v>245</v>
      </c>
      <c r="D171" s="96" t="s">
        <v>246</v>
      </c>
      <c r="E171" s="97"/>
      <c r="F171" s="2" t="s">
        <v>38</v>
      </c>
      <c r="G171" s="19">
        <f>'Rozpočet - vybrané sloupce'!I140</f>
        <v>5</v>
      </c>
      <c r="H171" s="19">
        <f>'Rozpočet - vybrané sloupce'!J140</f>
        <v>0</v>
      </c>
      <c r="I171" s="87">
        <v>12</v>
      </c>
      <c r="J171" s="19">
        <f t="shared" si="106"/>
        <v>0</v>
      </c>
      <c r="K171" s="19">
        <f t="shared" si="107"/>
        <v>0</v>
      </c>
      <c r="L171" s="19">
        <f t="shared" si="108"/>
        <v>0</v>
      </c>
      <c r="M171" s="19">
        <f t="shared" si="109"/>
        <v>0</v>
      </c>
      <c r="N171" s="19">
        <v>0</v>
      </c>
      <c r="O171" s="19">
        <f t="shared" si="110"/>
        <v>0</v>
      </c>
      <c r="P171" s="88" t="s">
        <v>531</v>
      </c>
      <c r="Z171" s="19">
        <f t="shared" si="111"/>
        <v>0</v>
      </c>
      <c r="AB171" s="19">
        <f t="shared" si="112"/>
        <v>0</v>
      </c>
      <c r="AC171" s="19">
        <f t="shared" si="113"/>
        <v>0</v>
      </c>
      <c r="AD171" s="19">
        <f t="shared" si="114"/>
        <v>0</v>
      </c>
      <c r="AE171" s="19">
        <f t="shared" si="115"/>
        <v>0</v>
      </c>
      <c r="AF171" s="19">
        <f t="shared" si="116"/>
        <v>0</v>
      </c>
      <c r="AG171" s="19">
        <f t="shared" si="117"/>
        <v>0</v>
      </c>
      <c r="AH171" s="19">
        <f t="shared" si="118"/>
        <v>0</v>
      </c>
      <c r="AI171" s="16" t="s">
        <v>436</v>
      </c>
      <c r="AJ171" s="19">
        <f t="shared" si="119"/>
        <v>0</v>
      </c>
      <c r="AK171" s="19">
        <f t="shared" si="120"/>
        <v>0</v>
      </c>
      <c r="AL171" s="19">
        <f t="shared" si="121"/>
        <v>0</v>
      </c>
      <c r="AN171" s="19">
        <v>12</v>
      </c>
      <c r="AO171" s="19">
        <f>H171*0</f>
        <v>0</v>
      </c>
      <c r="AP171" s="19">
        <f>H171*(1-0)</f>
        <v>0</v>
      </c>
      <c r="AQ171" s="89" t="s">
        <v>532</v>
      </c>
      <c r="AV171" s="19">
        <f t="shared" si="122"/>
        <v>0</v>
      </c>
      <c r="AW171" s="19">
        <f t="shared" si="123"/>
        <v>0</v>
      </c>
      <c r="AX171" s="19">
        <f t="shared" si="124"/>
        <v>0</v>
      </c>
      <c r="AY171" s="89" t="s">
        <v>661</v>
      </c>
      <c r="AZ171" s="89" t="s">
        <v>662</v>
      </c>
      <c r="BA171" s="16" t="s">
        <v>663</v>
      </c>
      <c r="BC171" s="19">
        <f t="shared" si="125"/>
        <v>0</v>
      </c>
      <c r="BD171" s="19">
        <f t="shared" si="126"/>
        <v>0</v>
      </c>
      <c r="BE171" s="19">
        <v>0</v>
      </c>
      <c r="BF171" s="19">
        <f t="shared" si="127"/>
        <v>0</v>
      </c>
      <c r="BH171" s="19">
        <f t="shared" si="128"/>
        <v>0</v>
      </c>
      <c r="BI171" s="19">
        <f t="shared" si="129"/>
        <v>0</v>
      </c>
      <c r="BJ171" s="19">
        <f t="shared" si="130"/>
        <v>0</v>
      </c>
      <c r="BK171" s="89" t="s">
        <v>30</v>
      </c>
      <c r="BL171" s="19">
        <v>723</v>
      </c>
      <c r="BW171" s="19">
        <f t="shared" si="131"/>
        <v>12</v>
      </c>
      <c r="BX171" s="4" t="s">
        <v>246</v>
      </c>
    </row>
    <row r="172" spans="1:76" x14ac:dyDescent="0.25">
      <c r="A172" s="1" t="s">
        <v>675</v>
      </c>
      <c r="B172" s="2" t="s">
        <v>436</v>
      </c>
      <c r="C172" s="2" t="s">
        <v>247</v>
      </c>
      <c r="D172" s="96" t="s">
        <v>248</v>
      </c>
      <c r="E172" s="97"/>
      <c r="F172" s="2" t="s">
        <v>33</v>
      </c>
      <c r="G172" s="19">
        <f>'Rozpočet - vybrané sloupce'!I141</f>
        <v>4</v>
      </c>
      <c r="H172" s="19">
        <f>'Rozpočet - vybrané sloupce'!J141</f>
        <v>0</v>
      </c>
      <c r="I172" s="87">
        <v>12</v>
      </c>
      <c r="J172" s="19">
        <f t="shared" si="106"/>
        <v>0</v>
      </c>
      <c r="K172" s="19">
        <f t="shared" si="107"/>
        <v>0</v>
      </c>
      <c r="L172" s="19">
        <f t="shared" si="108"/>
        <v>0</v>
      </c>
      <c r="M172" s="19">
        <f t="shared" si="109"/>
        <v>0</v>
      </c>
      <c r="N172" s="19">
        <v>0</v>
      </c>
      <c r="O172" s="19">
        <f t="shared" si="110"/>
        <v>0</v>
      </c>
      <c r="P172" s="88" t="s">
        <v>531</v>
      </c>
      <c r="Z172" s="19">
        <f t="shared" si="111"/>
        <v>0</v>
      </c>
      <c r="AB172" s="19">
        <f t="shared" si="112"/>
        <v>0</v>
      </c>
      <c r="AC172" s="19">
        <f t="shared" si="113"/>
        <v>0</v>
      </c>
      <c r="AD172" s="19">
        <f t="shared" si="114"/>
        <v>0</v>
      </c>
      <c r="AE172" s="19">
        <f t="shared" si="115"/>
        <v>0</v>
      </c>
      <c r="AF172" s="19">
        <f t="shared" si="116"/>
        <v>0</v>
      </c>
      <c r="AG172" s="19">
        <f t="shared" si="117"/>
        <v>0</v>
      </c>
      <c r="AH172" s="19">
        <f t="shared" si="118"/>
        <v>0</v>
      </c>
      <c r="AI172" s="16" t="s">
        <v>436</v>
      </c>
      <c r="AJ172" s="19">
        <f t="shared" si="119"/>
        <v>0</v>
      </c>
      <c r="AK172" s="19">
        <f t="shared" si="120"/>
        <v>0</v>
      </c>
      <c r="AL172" s="19">
        <f t="shared" si="121"/>
        <v>0</v>
      </c>
      <c r="AN172" s="19">
        <v>12</v>
      </c>
      <c r="AO172" s="19">
        <f>H172*0.133333333</f>
        <v>0</v>
      </c>
      <c r="AP172" s="19">
        <f>H172*(1-0.133333333)</f>
        <v>0</v>
      </c>
      <c r="AQ172" s="89" t="s">
        <v>532</v>
      </c>
      <c r="AV172" s="19">
        <f t="shared" si="122"/>
        <v>0</v>
      </c>
      <c r="AW172" s="19">
        <f t="shared" si="123"/>
        <v>0</v>
      </c>
      <c r="AX172" s="19">
        <f t="shared" si="124"/>
        <v>0</v>
      </c>
      <c r="AY172" s="89" t="s">
        <v>661</v>
      </c>
      <c r="AZ172" s="89" t="s">
        <v>662</v>
      </c>
      <c r="BA172" s="16" t="s">
        <v>663</v>
      </c>
      <c r="BC172" s="19">
        <f t="shared" si="125"/>
        <v>0</v>
      </c>
      <c r="BD172" s="19">
        <f t="shared" si="126"/>
        <v>0</v>
      </c>
      <c r="BE172" s="19">
        <v>0</v>
      </c>
      <c r="BF172" s="19">
        <f t="shared" si="127"/>
        <v>0</v>
      </c>
      <c r="BH172" s="19">
        <f t="shared" si="128"/>
        <v>0</v>
      </c>
      <c r="BI172" s="19">
        <f t="shared" si="129"/>
        <v>0</v>
      </c>
      <c r="BJ172" s="19">
        <f t="shared" si="130"/>
        <v>0</v>
      </c>
      <c r="BK172" s="89" t="s">
        <v>30</v>
      </c>
      <c r="BL172" s="19">
        <v>723</v>
      </c>
      <c r="BW172" s="19">
        <f t="shared" si="131"/>
        <v>12</v>
      </c>
      <c r="BX172" s="4" t="s">
        <v>248</v>
      </c>
    </row>
    <row r="173" spans="1:76" x14ac:dyDescent="0.25">
      <c r="A173" s="1" t="s">
        <v>676</v>
      </c>
      <c r="B173" s="2" t="s">
        <v>436</v>
      </c>
      <c r="C173" s="2" t="s">
        <v>249</v>
      </c>
      <c r="D173" s="96" t="s">
        <v>250</v>
      </c>
      <c r="E173" s="97"/>
      <c r="F173" s="2" t="s">
        <v>29</v>
      </c>
      <c r="G173" s="19">
        <f>'Rozpočet - vybrané sloupce'!I142</f>
        <v>125</v>
      </c>
      <c r="H173" s="19">
        <f>'Rozpočet - vybrané sloupce'!J142</f>
        <v>0</v>
      </c>
      <c r="I173" s="87">
        <v>12</v>
      </c>
      <c r="J173" s="19">
        <f t="shared" si="106"/>
        <v>0</v>
      </c>
      <c r="K173" s="19">
        <f t="shared" si="107"/>
        <v>0</v>
      </c>
      <c r="L173" s="19">
        <f t="shared" si="108"/>
        <v>0</v>
      </c>
      <c r="M173" s="19">
        <f t="shared" si="109"/>
        <v>0</v>
      </c>
      <c r="N173" s="19">
        <v>0</v>
      </c>
      <c r="O173" s="19">
        <f t="shared" si="110"/>
        <v>0</v>
      </c>
      <c r="P173" s="88" t="s">
        <v>531</v>
      </c>
      <c r="Z173" s="19">
        <f t="shared" si="111"/>
        <v>0</v>
      </c>
      <c r="AB173" s="19">
        <f t="shared" si="112"/>
        <v>0</v>
      </c>
      <c r="AC173" s="19">
        <f t="shared" si="113"/>
        <v>0</v>
      </c>
      <c r="AD173" s="19">
        <f t="shared" si="114"/>
        <v>0</v>
      </c>
      <c r="AE173" s="19">
        <f t="shared" si="115"/>
        <v>0</v>
      </c>
      <c r="AF173" s="19">
        <f t="shared" si="116"/>
        <v>0</v>
      </c>
      <c r="AG173" s="19">
        <f t="shared" si="117"/>
        <v>0</v>
      </c>
      <c r="AH173" s="19">
        <f t="shared" si="118"/>
        <v>0</v>
      </c>
      <c r="AI173" s="16" t="s">
        <v>436</v>
      </c>
      <c r="AJ173" s="19">
        <f t="shared" si="119"/>
        <v>0</v>
      </c>
      <c r="AK173" s="19">
        <f t="shared" si="120"/>
        <v>0</v>
      </c>
      <c r="AL173" s="19">
        <f t="shared" si="121"/>
        <v>0</v>
      </c>
      <c r="AN173" s="19">
        <v>12</v>
      </c>
      <c r="AO173" s="19">
        <f>H173*0.5</f>
        <v>0</v>
      </c>
      <c r="AP173" s="19">
        <f>H173*(1-0.5)</f>
        <v>0</v>
      </c>
      <c r="AQ173" s="89" t="s">
        <v>532</v>
      </c>
      <c r="AV173" s="19">
        <f t="shared" si="122"/>
        <v>0</v>
      </c>
      <c r="AW173" s="19">
        <f t="shared" si="123"/>
        <v>0</v>
      </c>
      <c r="AX173" s="19">
        <f t="shared" si="124"/>
        <v>0</v>
      </c>
      <c r="AY173" s="89" t="s">
        <v>661</v>
      </c>
      <c r="AZ173" s="89" t="s">
        <v>662</v>
      </c>
      <c r="BA173" s="16" t="s">
        <v>663</v>
      </c>
      <c r="BC173" s="19">
        <f t="shared" si="125"/>
        <v>0</v>
      </c>
      <c r="BD173" s="19">
        <f t="shared" si="126"/>
        <v>0</v>
      </c>
      <c r="BE173" s="19">
        <v>0</v>
      </c>
      <c r="BF173" s="19">
        <f t="shared" si="127"/>
        <v>0</v>
      </c>
      <c r="BH173" s="19">
        <f t="shared" si="128"/>
        <v>0</v>
      </c>
      <c r="BI173" s="19">
        <f t="shared" si="129"/>
        <v>0</v>
      </c>
      <c r="BJ173" s="19">
        <f t="shared" si="130"/>
        <v>0</v>
      </c>
      <c r="BK173" s="89" t="s">
        <v>30</v>
      </c>
      <c r="BL173" s="19">
        <v>723</v>
      </c>
      <c r="BW173" s="19">
        <f t="shared" si="131"/>
        <v>12</v>
      </c>
      <c r="BX173" s="4" t="s">
        <v>250</v>
      </c>
    </row>
    <row r="174" spans="1:76" x14ac:dyDescent="0.25">
      <c r="A174" s="1" t="s">
        <v>677</v>
      </c>
      <c r="B174" s="2" t="s">
        <v>436</v>
      </c>
      <c r="C174" s="2" t="s">
        <v>251</v>
      </c>
      <c r="D174" s="96" t="s">
        <v>252</v>
      </c>
      <c r="E174" s="97"/>
      <c r="F174" s="2" t="s">
        <v>33</v>
      </c>
      <c r="G174" s="19">
        <f>'Rozpočet - vybrané sloupce'!I143</f>
        <v>22</v>
      </c>
      <c r="H174" s="19">
        <f>'Rozpočet - vybrané sloupce'!J143</f>
        <v>0</v>
      </c>
      <c r="I174" s="87">
        <v>12</v>
      </c>
      <c r="J174" s="19">
        <f t="shared" si="106"/>
        <v>0</v>
      </c>
      <c r="K174" s="19">
        <f t="shared" si="107"/>
        <v>0</v>
      </c>
      <c r="L174" s="19">
        <f t="shared" si="108"/>
        <v>0</v>
      </c>
      <c r="M174" s="19">
        <f t="shared" si="109"/>
        <v>0</v>
      </c>
      <c r="N174" s="19">
        <v>4.3800000000000002E-3</v>
      </c>
      <c r="O174" s="19">
        <f t="shared" si="110"/>
        <v>9.6360000000000001E-2</v>
      </c>
      <c r="P174" s="88" t="s">
        <v>531</v>
      </c>
      <c r="Z174" s="19">
        <f t="shared" si="111"/>
        <v>0</v>
      </c>
      <c r="AB174" s="19">
        <f t="shared" si="112"/>
        <v>0</v>
      </c>
      <c r="AC174" s="19">
        <f t="shared" si="113"/>
        <v>0</v>
      </c>
      <c r="AD174" s="19">
        <f t="shared" si="114"/>
        <v>0</v>
      </c>
      <c r="AE174" s="19">
        <f t="shared" si="115"/>
        <v>0</v>
      </c>
      <c r="AF174" s="19">
        <f t="shared" si="116"/>
        <v>0</v>
      </c>
      <c r="AG174" s="19">
        <f t="shared" si="117"/>
        <v>0</v>
      </c>
      <c r="AH174" s="19">
        <f t="shared" si="118"/>
        <v>0</v>
      </c>
      <c r="AI174" s="16" t="s">
        <v>436</v>
      </c>
      <c r="AJ174" s="19">
        <f t="shared" si="119"/>
        <v>0</v>
      </c>
      <c r="AK174" s="19">
        <f t="shared" si="120"/>
        <v>0</v>
      </c>
      <c r="AL174" s="19">
        <f t="shared" si="121"/>
        <v>0</v>
      </c>
      <c r="AN174" s="19">
        <v>12</v>
      </c>
      <c r="AO174" s="19">
        <f>H174*0.204110092</f>
        <v>0</v>
      </c>
      <c r="AP174" s="19">
        <f>H174*(1-0.204110092)</f>
        <v>0</v>
      </c>
      <c r="AQ174" s="89" t="s">
        <v>532</v>
      </c>
      <c r="AV174" s="19">
        <f t="shared" si="122"/>
        <v>0</v>
      </c>
      <c r="AW174" s="19">
        <f t="shared" si="123"/>
        <v>0</v>
      </c>
      <c r="AX174" s="19">
        <f t="shared" si="124"/>
        <v>0</v>
      </c>
      <c r="AY174" s="89" t="s">
        <v>661</v>
      </c>
      <c r="AZ174" s="89" t="s">
        <v>662</v>
      </c>
      <c r="BA174" s="16" t="s">
        <v>663</v>
      </c>
      <c r="BC174" s="19">
        <f t="shared" si="125"/>
        <v>0</v>
      </c>
      <c r="BD174" s="19">
        <f t="shared" si="126"/>
        <v>0</v>
      </c>
      <c r="BE174" s="19">
        <v>0</v>
      </c>
      <c r="BF174" s="19">
        <f t="shared" si="127"/>
        <v>9.6360000000000001E-2</v>
      </c>
      <c r="BH174" s="19">
        <f t="shared" si="128"/>
        <v>0</v>
      </c>
      <c r="BI174" s="19">
        <f t="shared" si="129"/>
        <v>0</v>
      </c>
      <c r="BJ174" s="19">
        <f t="shared" si="130"/>
        <v>0</v>
      </c>
      <c r="BK174" s="89" t="s">
        <v>30</v>
      </c>
      <c r="BL174" s="19">
        <v>723</v>
      </c>
      <c r="BW174" s="19">
        <f t="shared" si="131"/>
        <v>12</v>
      </c>
      <c r="BX174" s="4" t="s">
        <v>252</v>
      </c>
    </row>
    <row r="175" spans="1:76" x14ac:dyDescent="0.25">
      <c r="A175" s="1" t="s">
        <v>678</v>
      </c>
      <c r="B175" s="2" t="s">
        <v>436</v>
      </c>
      <c r="C175" s="2" t="s">
        <v>253</v>
      </c>
      <c r="D175" s="96" t="s">
        <v>254</v>
      </c>
      <c r="E175" s="97"/>
      <c r="F175" s="2" t="s">
        <v>33</v>
      </c>
      <c r="G175" s="19">
        <f>'Rozpočet - vybrané sloupce'!I144</f>
        <v>22</v>
      </c>
      <c r="H175" s="19">
        <f>'Rozpočet - vybrané sloupce'!J144</f>
        <v>0</v>
      </c>
      <c r="I175" s="87">
        <v>12</v>
      </c>
      <c r="J175" s="19">
        <f t="shared" si="106"/>
        <v>0</v>
      </c>
      <c r="K175" s="19">
        <f t="shared" si="107"/>
        <v>0</v>
      </c>
      <c r="L175" s="19">
        <f t="shared" si="108"/>
        <v>0</v>
      </c>
      <c r="M175" s="19">
        <f t="shared" si="109"/>
        <v>0</v>
      </c>
      <c r="N175" s="19">
        <v>8.8999999999999995E-4</v>
      </c>
      <c r="O175" s="19">
        <f t="shared" si="110"/>
        <v>1.958E-2</v>
      </c>
      <c r="P175" s="88" t="s">
        <v>531</v>
      </c>
      <c r="Z175" s="19">
        <f t="shared" si="111"/>
        <v>0</v>
      </c>
      <c r="AB175" s="19">
        <f t="shared" si="112"/>
        <v>0</v>
      </c>
      <c r="AC175" s="19">
        <f t="shared" si="113"/>
        <v>0</v>
      </c>
      <c r="AD175" s="19">
        <f t="shared" si="114"/>
        <v>0</v>
      </c>
      <c r="AE175" s="19">
        <f t="shared" si="115"/>
        <v>0</v>
      </c>
      <c r="AF175" s="19">
        <f t="shared" si="116"/>
        <v>0</v>
      </c>
      <c r="AG175" s="19">
        <f t="shared" si="117"/>
        <v>0</v>
      </c>
      <c r="AH175" s="19">
        <f t="shared" si="118"/>
        <v>0</v>
      </c>
      <c r="AI175" s="16" t="s">
        <v>436</v>
      </c>
      <c r="AJ175" s="19">
        <f t="shared" si="119"/>
        <v>0</v>
      </c>
      <c r="AK175" s="19">
        <f t="shared" si="120"/>
        <v>0</v>
      </c>
      <c r="AL175" s="19">
        <f t="shared" si="121"/>
        <v>0</v>
      </c>
      <c r="AN175" s="19">
        <v>12</v>
      </c>
      <c r="AO175" s="19">
        <f>H175*0</f>
        <v>0</v>
      </c>
      <c r="AP175" s="19">
        <f>H175*(1-0)</f>
        <v>0</v>
      </c>
      <c r="AQ175" s="89" t="s">
        <v>532</v>
      </c>
      <c r="AV175" s="19">
        <f t="shared" si="122"/>
        <v>0</v>
      </c>
      <c r="AW175" s="19">
        <f t="shared" si="123"/>
        <v>0</v>
      </c>
      <c r="AX175" s="19">
        <f t="shared" si="124"/>
        <v>0</v>
      </c>
      <c r="AY175" s="89" t="s">
        <v>661</v>
      </c>
      <c r="AZ175" s="89" t="s">
        <v>662</v>
      </c>
      <c r="BA175" s="16" t="s">
        <v>663</v>
      </c>
      <c r="BC175" s="19">
        <f t="shared" si="125"/>
        <v>0</v>
      </c>
      <c r="BD175" s="19">
        <f t="shared" si="126"/>
        <v>0</v>
      </c>
      <c r="BE175" s="19">
        <v>0</v>
      </c>
      <c r="BF175" s="19">
        <f t="shared" si="127"/>
        <v>1.958E-2</v>
      </c>
      <c r="BH175" s="19">
        <f t="shared" si="128"/>
        <v>0</v>
      </c>
      <c r="BI175" s="19">
        <f t="shared" si="129"/>
        <v>0</v>
      </c>
      <c r="BJ175" s="19">
        <f t="shared" si="130"/>
        <v>0</v>
      </c>
      <c r="BK175" s="89" t="s">
        <v>30</v>
      </c>
      <c r="BL175" s="19">
        <v>723</v>
      </c>
      <c r="BW175" s="19">
        <f t="shared" si="131"/>
        <v>12</v>
      </c>
      <c r="BX175" s="4" t="s">
        <v>254</v>
      </c>
    </row>
    <row r="176" spans="1:76" x14ac:dyDescent="0.25">
      <c r="A176" s="1" t="s">
        <v>679</v>
      </c>
      <c r="B176" s="2" t="s">
        <v>436</v>
      </c>
      <c r="C176" s="2" t="s">
        <v>255</v>
      </c>
      <c r="D176" s="96" t="s">
        <v>256</v>
      </c>
      <c r="E176" s="97"/>
      <c r="F176" s="2" t="s">
        <v>257</v>
      </c>
      <c r="G176" s="19">
        <f>'Rozpočet - vybrané sloupce'!I145</f>
        <v>22</v>
      </c>
      <c r="H176" s="19">
        <f>'Rozpočet - vybrané sloupce'!J145</f>
        <v>0</v>
      </c>
      <c r="I176" s="87">
        <v>12</v>
      </c>
      <c r="J176" s="19">
        <f t="shared" si="106"/>
        <v>0</v>
      </c>
      <c r="K176" s="19">
        <f t="shared" si="107"/>
        <v>0</v>
      </c>
      <c r="L176" s="19">
        <f t="shared" si="108"/>
        <v>0</v>
      </c>
      <c r="M176" s="19">
        <f t="shared" si="109"/>
        <v>0</v>
      </c>
      <c r="N176" s="19">
        <v>5.13E-3</v>
      </c>
      <c r="O176" s="19">
        <f t="shared" si="110"/>
        <v>0.11286</v>
      </c>
      <c r="P176" s="88" t="s">
        <v>531</v>
      </c>
      <c r="Z176" s="19">
        <f t="shared" si="111"/>
        <v>0</v>
      </c>
      <c r="AB176" s="19">
        <f t="shared" si="112"/>
        <v>0</v>
      </c>
      <c r="AC176" s="19">
        <f t="shared" si="113"/>
        <v>0</v>
      </c>
      <c r="AD176" s="19">
        <f t="shared" si="114"/>
        <v>0</v>
      </c>
      <c r="AE176" s="19">
        <f t="shared" si="115"/>
        <v>0</v>
      </c>
      <c r="AF176" s="19">
        <f t="shared" si="116"/>
        <v>0</v>
      </c>
      <c r="AG176" s="19">
        <f t="shared" si="117"/>
        <v>0</v>
      </c>
      <c r="AH176" s="19">
        <f t="shared" si="118"/>
        <v>0</v>
      </c>
      <c r="AI176" s="16" t="s">
        <v>436</v>
      </c>
      <c r="AJ176" s="19">
        <f t="shared" si="119"/>
        <v>0</v>
      </c>
      <c r="AK176" s="19">
        <f t="shared" si="120"/>
        <v>0</v>
      </c>
      <c r="AL176" s="19">
        <f t="shared" si="121"/>
        <v>0</v>
      </c>
      <c r="AN176" s="19">
        <v>12</v>
      </c>
      <c r="AO176" s="19">
        <f>H176*0</f>
        <v>0</v>
      </c>
      <c r="AP176" s="19">
        <f>H176*(1-0)</f>
        <v>0</v>
      </c>
      <c r="AQ176" s="89" t="s">
        <v>532</v>
      </c>
      <c r="AV176" s="19">
        <f t="shared" si="122"/>
        <v>0</v>
      </c>
      <c r="AW176" s="19">
        <f t="shared" si="123"/>
        <v>0</v>
      </c>
      <c r="AX176" s="19">
        <f t="shared" si="124"/>
        <v>0</v>
      </c>
      <c r="AY176" s="89" t="s">
        <v>661</v>
      </c>
      <c r="AZ176" s="89" t="s">
        <v>662</v>
      </c>
      <c r="BA176" s="16" t="s">
        <v>663</v>
      </c>
      <c r="BC176" s="19">
        <f t="shared" si="125"/>
        <v>0</v>
      </c>
      <c r="BD176" s="19">
        <f t="shared" si="126"/>
        <v>0</v>
      </c>
      <c r="BE176" s="19">
        <v>0</v>
      </c>
      <c r="BF176" s="19">
        <f t="shared" si="127"/>
        <v>0.11286</v>
      </c>
      <c r="BH176" s="19">
        <f t="shared" si="128"/>
        <v>0</v>
      </c>
      <c r="BI176" s="19">
        <f t="shared" si="129"/>
        <v>0</v>
      </c>
      <c r="BJ176" s="19">
        <f t="shared" si="130"/>
        <v>0</v>
      </c>
      <c r="BK176" s="89" t="s">
        <v>30</v>
      </c>
      <c r="BL176" s="19">
        <v>723</v>
      </c>
      <c r="BW176" s="19">
        <f t="shared" si="131"/>
        <v>12</v>
      </c>
      <c r="BX176" s="4" t="s">
        <v>256</v>
      </c>
    </row>
    <row r="177" spans="1:76" x14ac:dyDescent="0.25">
      <c r="A177" s="1" t="s">
        <v>680</v>
      </c>
      <c r="B177" s="2" t="s">
        <v>436</v>
      </c>
      <c r="C177" s="2" t="s">
        <v>258</v>
      </c>
      <c r="D177" s="96" t="s">
        <v>259</v>
      </c>
      <c r="E177" s="97"/>
      <c r="F177" s="2" t="s">
        <v>38</v>
      </c>
      <c r="G177" s="19">
        <f>'Rozpočet - vybrané sloupce'!I146</f>
        <v>22</v>
      </c>
      <c r="H177" s="19">
        <f>'Rozpočet - vybrané sloupce'!J146</f>
        <v>0</v>
      </c>
      <c r="I177" s="87">
        <v>12</v>
      </c>
      <c r="J177" s="19">
        <f t="shared" si="106"/>
        <v>0</v>
      </c>
      <c r="K177" s="19">
        <f t="shared" si="107"/>
        <v>0</v>
      </c>
      <c r="L177" s="19">
        <f t="shared" si="108"/>
        <v>0</v>
      </c>
      <c r="M177" s="19">
        <f t="shared" si="109"/>
        <v>0</v>
      </c>
      <c r="N177" s="19">
        <v>3.2499999999999999E-3</v>
      </c>
      <c r="O177" s="19">
        <f t="shared" si="110"/>
        <v>7.1499999999999994E-2</v>
      </c>
      <c r="P177" s="88" t="s">
        <v>531</v>
      </c>
      <c r="Z177" s="19">
        <f t="shared" si="111"/>
        <v>0</v>
      </c>
      <c r="AB177" s="19">
        <f t="shared" si="112"/>
        <v>0</v>
      </c>
      <c r="AC177" s="19">
        <f t="shared" si="113"/>
        <v>0</v>
      </c>
      <c r="AD177" s="19">
        <f t="shared" si="114"/>
        <v>0</v>
      </c>
      <c r="AE177" s="19">
        <f t="shared" si="115"/>
        <v>0</v>
      </c>
      <c r="AF177" s="19">
        <f t="shared" si="116"/>
        <v>0</v>
      </c>
      <c r="AG177" s="19">
        <f t="shared" si="117"/>
        <v>0</v>
      </c>
      <c r="AH177" s="19">
        <f t="shared" si="118"/>
        <v>0</v>
      </c>
      <c r="AI177" s="16" t="s">
        <v>436</v>
      </c>
      <c r="AJ177" s="19">
        <f t="shared" si="119"/>
        <v>0</v>
      </c>
      <c r="AK177" s="19">
        <f t="shared" si="120"/>
        <v>0</v>
      </c>
      <c r="AL177" s="19">
        <f t="shared" si="121"/>
        <v>0</v>
      </c>
      <c r="AN177" s="19">
        <v>12</v>
      </c>
      <c r="AO177" s="19">
        <f>H177*0.45027027</f>
        <v>0</v>
      </c>
      <c r="AP177" s="19">
        <f>H177*(1-0.45027027)</f>
        <v>0</v>
      </c>
      <c r="AQ177" s="89" t="s">
        <v>532</v>
      </c>
      <c r="AV177" s="19">
        <f t="shared" si="122"/>
        <v>0</v>
      </c>
      <c r="AW177" s="19">
        <f t="shared" si="123"/>
        <v>0</v>
      </c>
      <c r="AX177" s="19">
        <f t="shared" si="124"/>
        <v>0</v>
      </c>
      <c r="AY177" s="89" t="s">
        <v>661</v>
      </c>
      <c r="AZ177" s="89" t="s">
        <v>662</v>
      </c>
      <c r="BA177" s="16" t="s">
        <v>663</v>
      </c>
      <c r="BC177" s="19">
        <f t="shared" si="125"/>
        <v>0</v>
      </c>
      <c r="BD177" s="19">
        <f t="shared" si="126"/>
        <v>0</v>
      </c>
      <c r="BE177" s="19">
        <v>0</v>
      </c>
      <c r="BF177" s="19">
        <f t="shared" si="127"/>
        <v>7.1499999999999994E-2</v>
      </c>
      <c r="BH177" s="19">
        <f t="shared" si="128"/>
        <v>0</v>
      </c>
      <c r="BI177" s="19">
        <f t="shared" si="129"/>
        <v>0</v>
      </c>
      <c r="BJ177" s="19">
        <f t="shared" si="130"/>
        <v>0</v>
      </c>
      <c r="BK177" s="89" t="s">
        <v>30</v>
      </c>
      <c r="BL177" s="19">
        <v>723</v>
      </c>
      <c r="BW177" s="19">
        <f t="shared" si="131"/>
        <v>12</v>
      </c>
      <c r="BX177" s="4" t="s">
        <v>259</v>
      </c>
    </row>
    <row r="178" spans="1:76" x14ac:dyDescent="0.25">
      <c r="A178" s="1" t="s">
        <v>681</v>
      </c>
      <c r="B178" s="2" t="s">
        <v>436</v>
      </c>
      <c r="C178" s="2" t="s">
        <v>260</v>
      </c>
      <c r="D178" s="96" t="s">
        <v>261</v>
      </c>
      <c r="E178" s="97"/>
      <c r="F178" s="2" t="s">
        <v>38</v>
      </c>
      <c r="G178" s="19">
        <f>'Rozpočet - vybrané sloupce'!I147</f>
        <v>22</v>
      </c>
      <c r="H178" s="19">
        <f>'Rozpočet - vybrané sloupce'!J147</f>
        <v>0</v>
      </c>
      <c r="I178" s="87">
        <v>12</v>
      </c>
      <c r="J178" s="19">
        <f t="shared" si="106"/>
        <v>0</v>
      </c>
      <c r="K178" s="19">
        <f t="shared" si="107"/>
        <v>0</v>
      </c>
      <c r="L178" s="19">
        <f t="shared" si="108"/>
        <v>0</v>
      </c>
      <c r="M178" s="19">
        <f t="shared" si="109"/>
        <v>0</v>
      </c>
      <c r="N178" s="19">
        <v>1.8000000000000001E-4</v>
      </c>
      <c r="O178" s="19">
        <f t="shared" si="110"/>
        <v>3.96E-3</v>
      </c>
      <c r="P178" s="88" t="s">
        <v>531</v>
      </c>
      <c r="Z178" s="19">
        <f t="shared" si="111"/>
        <v>0</v>
      </c>
      <c r="AB178" s="19">
        <f t="shared" si="112"/>
        <v>0</v>
      </c>
      <c r="AC178" s="19">
        <f t="shared" si="113"/>
        <v>0</v>
      </c>
      <c r="AD178" s="19">
        <f t="shared" si="114"/>
        <v>0</v>
      </c>
      <c r="AE178" s="19">
        <f t="shared" si="115"/>
        <v>0</v>
      </c>
      <c r="AF178" s="19">
        <f t="shared" si="116"/>
        <v>0</v>
      </c>
      <c r="AG178" s="19">
        <f t="shared" si="117"/>
        <v>0</v>
      </c>
      <c r="AH178" s="19">
        <f t="shared" si="118"/>
        <v>0</v>
      </c>
      <c r="AI178" s="16" t="s">
        <v>436</v>
      </c>
      <c r="AJ178" s="19">
        <f t="shared" si="119"/>
        <v>0</v>
      </c>
      <c r="AK178" s="19">
        <f t="shared" si="120"/>
        <v>0</v>
      </c>
      <c r="AL178" s="19">
        <f t="shared" si="121"/>
        <v>0</v>
      </c>
      <c r="AN178" s="19">
        <v>12</v>
      </c>
      <c r="AO178" s="19">
        <f>H178*0.056808176</f>
        <v>0</v>
      </c>
      <c r="AP178" s="19">
        <f>H178*(1-0.056808176)</f>
        <v>0</v>
      </c>
      <c r="AQ178" s="89" t="s">
        <v>532</v>
      </c>
      <c r="AV178" s="19">
        <f t="shared" si="122"/>
        <v>0</v>
      </c>
      <c r="AW178" s="19">
        <f t="shared" si="123"/>
        <v>0</v>
      </c>
      <c r="AX178" s="19">
        <f t="shared" si="124"/>
        <v>0</v>
      </c>
      <c r="AY178" s="89" t="s">
        <v>661</v>
      </c>
      <c r="AZ178" s="89" t="s">
        <v>662</v>
      </c>
      <c r="BA178" s="16" t="s">
        <v>663</v>
      </c>
      <c r="BC178" s="19">
        <f t="shared" si="125"/>
        <v>0</v>
      </c>
      <c r="BD178" s="19">
        <f t="shared" si="126"/>
        <v>0</v>
      </c>
      <c r="BE178" s="19">
        <v>0</v>
      </c>
      <c r="BF178" s="19">
        <f t="shared" si="127"/>
        <v>3.96E-3</v>
      </c>
      <c r="BH178" s="19">
        <f t="shared" si="128"/>
        <v>0</v>
      </c>
      <c r="BI178" s="19">
        <f t="shared" si="129"/>
        <v>0</v>
      </c>
      <c r="BJ178" s="19">
        <f t="shared" si="130"/>
        <v>0</v>
      </c>
      <c r="BK178" s="89" t="s">
        <v>30</v>
      </c>
      <c r="BL178" s="19">
        <v>723</v>
      </c>
      <c r="BW178" s="19">
        <f t="shared" si="131"/>
        <v>12</v>
      </c>
      <c r="BX178" s="4" t="s">
        <v>261</v>
      </c>
    </row>
    <row r="179" spans="1:76" x14ac:dyDescent="0.25">
      <c r="A179" s="1" t="s">
        <v>682</v>
      </c>
      <c r="B179" s="2" t="s">
        <v>436</v>
      </c>
      <c r="C179" s="2" t="s">
        <v>262</v>
      </c>
      <c r="D179" s="96" t="s">
        <v>263</v>
      </c>
      <c r="E179" s="97"/>
      <c r="F179" s="2" t="s">
        <v>33</v>
      </c>
      <c r="G179" s="19">
        <f>'Rozpočet - vybrané sloupce'!I148</f>
        <v>22</v>
      </c>
      <c r="H179" s="19">
        <f>'Rozpočet - vybrané sloupce'!J148</f>
        <v>0</v>
      </c>
      <c r="I179" s="87">
        <v>12</v>
      </c>
      <c r="J179" s="19">
        <f t="shared" si="106"/>
        <v>0</v>
      </c>
      <c r="K179" s="19">
        <f t="shared" si="107"/>
        <v>0</v>
      </c>
      <c r="L179" s="19">
        <f t="shared" si="108"/>
        <v>0</v>
      </c>
      <c r="M179" s="19">
        <f t="shared" si="109"/>
        <v>0</v>
      </c>
      <c r="N179" s="19">
        <v>1.7000000000000001E-4</v>
      </c>
      <c r="O179" s="19">
        <f t="shared" si="110"/>
        <v>3.7400000000000003E-3</v>
      </c>
      <c r="P179" s="88" t="s">
        <v>531</v>
      </c>
      <c r="Z179" s="19">
        <f t="shared" si="111"/>
        <v>0</v>
      </c>
      <c r="AB179" s="19">
        <f t="shared" si="112"/>
        <v>0</v>
      </c>
      <c r="AC179" s="19">
        <f t="shared" si="113"/>
        <v>0</v>
      </c>
      <c r="AD179" s="19">
        <f t="shared" si="114"/>
        <v>0</v>
      </c>
      <c r="AE179" s="19">
        <f t="shared" si="115"/>
        <v>0</v>
      </c>
      <c r="AF179" s="19">
        <f t="shared" si="116"/>
        <v>0</v>
      </c>
      <c r="AG179" s="19">
        <f t="shared" si="117"/>
        <v>0</v>
      </c>
      <c r="AH179" s="19">
        <f t="shared" si="118"/>
        <v>0</v>
      </c>
      <c r="AI179" s="16" t="s">
        <v>436</v>
      </c>
      <c r="AJ179" s="19">
        <f t="shared" si="119"/>
        <v>0</v>
      </c>
      <c r="AK179" s="19">
        <f t="shared" si="120"/>
        <v>0</v>
      </c>
      <c r="AL179" s="19">
        <f t="shared" si="121"/>
        <v>0</v>
      </c>
      <c r="AN179" s="19">
        <v>12</v>
      </c>
      <c r="AO179" s="19">
        <f>H179*0.232695652</f>
        <v>0</v>
      </c>
      <c r="AP179" s="19">
        <f>H179*(1-0.232695652)</f>
        <v>0</v>
      </c>
      <c r="AQ179" s="89" t="s">
        <v>532</v>
      </c>
      <c r="AV179" s="19">
        <f t="shared" si="122"/>
        <v>0</v>
      </c>
      <c r="AW179" s="19">
        <f t="shared" si="123"/>
        <v>0</v>
      </c>
      <c r="AX179" s="19">
        <f t="shared" si="124"/>
        <v>0</v>
      </c>
      <c r="AY179" s="89" t="s">
        <v>661</v>
      </c>
      <c r="AZ179" s="89" t="s">
        <v>662</v>
      </c>
      <c r="BA179" s="16" t="s">
        <v>663</v>
      </c>
      <c r="BC179" s="19">
        <f t="shared" si="125"/>
        <v>0</v>
      </c>
      <c r="BD179" s="19">
        <f t="shared" si="126"/>
        <v>0</v>
      </c>
      <c r="BE179" s="19">
        <v>0</v>
      </c>
      <c r="BF179" s="19">
        <f t="shared" si="127"/>
        <v>3.7400000000000003E-3</v>
      </c>
      <c r="BH179" s="19">
        <f t="shared" si="128"/>
        <v>0</v>
      </c>
      <c r="BI179" s="19">
        <f t="shared" si="129"/>
        <v>0</v>
      </c>
      <c r="BJ179" s="19">
        <f t="shared" si="130"/>
        <v>0</v>
      </c>
      <c r="BK179" s="89" t="s">
        <v>30</v>
      </c>
      <c r="BL179" s="19">
        <v>723</v>
      </c>
      <c r="BW179" s="19">
        <f t="shared" si="131"/>
        <v>12</v>
      </c>
      <c r="BX179" s="4" t="s">
        <v>263</v>
      </c>
    </row>
    <row r="180" spans="1:76" x14ac:dyDescent="0.25">
      <c r="A180" s="1" t="s">
        <v>683</v>
      </c>
      <c r="B180" s="2" t="s">
        <v>436</v>
      </c>
      <c r="C180" s="2" t="s">
        <v>264</v>
      </c>
      <c r="D180" s="96" t="s">
        <v>265</v>
      </c>
      <c r="E180" s="97"/>
      <c r="F180" s="2" t="s">
        <v>33</v>
      </c>
      <c r="G180" s="19">
        <f>'Rozpočet - vybrané sloupce'!I149</f>
        <v>22</v>
      </c>
      <c r="H180" s="19">
        <f>'Rozpočet - vybrané sloupce'!J149</f>
        <v>0</v>
      </c>
      <c r="I180" s="87">
        <v>12</v>
      </c>
      <c r="J180" s="19">
        <f t="shared" si="106"/>
        <v>0</v>
      </c>
      <c r="K180" s="19">
        <f t="shared" si="107"/>
        <v>0</v>
      </c>
      <c r="L180" s="19">
        <f t="shared" si="108"/>
        <v>0</v>
      </c>
      <c r="M180" s="19">
        <f t="shared" si="109"/>
        <v>0</v>
      </c>
      <c r="N180" s="19">
        <v>0</v>
      </c>
      <c r="O180" s="19">
        <f t="shared" si="110"/>
        <v>0</v>
      </c>
      <c r="P180" s="88" t="s">
        <v>531</v>
      </c>
      <c r="Z180" s="19">
        <f t="shared" si="111"/>
        <v>0</v>
      </c>
      <c r="AB180" s="19">
        <f t="shared" si="112"/>
        <v>0</v>
      </c>
      <c r="AC180" s="19">
        <f t="shared" si="113"/>
        <v>0</v>
      </c>
      <c r="AD180" s="19">
        <f t="shared" si="114"/>
        <v>0</v>
      </c>
      <c r="AE180" s="19">
        <f t="shared" si="115"/>
        <v>0</v>
      </c>
      <c r="AF180" s="19">
        <f t="shared" si="116"/>
        <v>0</v>
      </c>
      <c r="AG180" s="19">
        <f t="shared" si="117"/>
        <v>0</v>
      </c>
      <c r="AH180" s="19">
        <f t="shared" si="118"/>
        <v>0</v>
      </c>
      <c r="AI180" s="16" t="s">
        <v>436</v>
      </c>
      <c r="AJ180" s="19">
        <f t="shared" si="119"/>
        <v>0</v>
      </c>
      <c r="AK180" s="19">
        <f t="shared" si="120"/>
        <v>0</v>
      </c>
      <c r="AL180" s="19">
        <f t="shared" si="121"/>
        <v>0</v>
      </c>
      <c r="AN180" s="19">
        <v>12</v>
      </c>
      <c r="AO180" s="19">
        <f>H180*0.125</f>
        <v>0</v>
      </c>
      <c r="AP180" s="19">
        <f>H180*(1-0.125)</f>
        <v>0</v>
      </c>
      <c r="AQ180" s="89" t="s">
        <v>532</v>
      </c>
      <c r="AV180" s="19">
        <f t="shared" si="122"/>
        <v>0</v>
      </c>
      <c r="AW180" s="19">
        <f t="shared" si="123"/>
        <v>0</v>
      </c>
      <c r="AX180" s="19">
        <f t="shared" si="124"/>
        <v>0</v>
      </c>
      <c r="AY180" s="89" t="s">
        <v>661</v>
      </c>
      <c r="AZ180" s="89" t="s">
        <v>662</v>
      </c>
      <c r="BA180" s="16" t="s">
        <v>663</v>
      </c>
      <c r="BC180" s="19">
        <f t="shared" si="125"/>
        <v>0</v>
      </c>
      <c r="BD180" s="19">
        <f t="shared" si="126"/>
        <v>0</v>
      </c>
      <c r="BE180" s="19">
        <v>0</v>
      </c>
      <c r="BF180" s="19">
        <f t="shared" si="127"/>
        <v>0</v>
      </c>
      <c r="BH180" s="19">
        <f t="shared" si="128"/>
        <v>0</v>
      </c>
      <c r="BI180" s="19">
        <f t="shared" si="129"/>
        <v>0</v>
      </c>
      <c r="BJ180" s="19">
        <f t="shared" si="130"/>
        <v>0</v>
      </c>
      <c r="BK180" s="89" t="s">
        <v>30</v>
      </c>
      <c r="BL180" s="19">
        <v>723</v>
      </c>
      <c r="BW180" s="19">
        <f t="shared" si="131"/>
        <v>12</v>
      </c>
      <c r="BX180" s="4" t="s">
        <v>265</v>
      </c>
    </row>
    <row r="181" spans="1:76" x14ac:dyDescent="0.25">
      <c r="A181" s="1" t="s">
        <v>684</v>
      </c>
      <c r="B181" s="2" t="s">
        <v>436</v>
      </c>
      <c r="C181" s="2" t="s">
        <v>266</v>
      </c>
      <c r="D181" s="96" t="s">
        <v>267</v>
      </c>
      <c r="E181" s="97"/>
      <c r="F181" s="2" t="s">
        <v>38</v>
      </c>
      <c r="G181" s="19">
        <f>'Rozpočet - vybrané sloupce'!I150</f>
        <v>22</v>
      </c>
      <c r="H181" s="19">
        <f>'Rozpočet - vybrané sloupce'!J150</f>
        <v>0</v>
      </c>
      <c r="I181" s="87">
        <v>12</v>
      </c>
      <c r="J181" s="19">
        <f t="shared" si="106"/>
        <v>0</v>
      </c>
      <c r="K181" s="19">
        <f t="shared" si="107"/>
        <v>0</v>
      </c>
      <c r="L181" s="19">
        <f t="shared" si="108"/>
        <v>0</v>
      </c>
      <c r="M181" s="19">
        <f t="shared" si="109"/>
        <v>0</v>
      </c>
      <c r="N181" s="19">
        <v>0</v>
      </c>
      <c r="O181" s="19">
        <f t="shared" si="110"/>
        <v>0</v>
      </c>
      <c r="P181" s="88" t="s">
        <v>531</v>
      </c>
      <c r="Z181" s="19">
        <f t="shared" si="111"/>
        <v>0</v>
      </c>
      <c r="AB181" s="19">
        <f t="shared" si="112"/>
        <v>0</v>
      </c>
      <c r="AC181" s="19">
        <f t="shared" si="113"/>
        <v>0</v>
      </c>
      <c r="AD181" s="19">
        <f t="shared" si="114"/>
        <v>0</v>
      </c>
      <c r="AE181" s="19">
        <f t="shared" si="115"/>
        <v>0</v>
      </c>
      <c r="AF181" s="19">
        <f t="shared" si="116"/>
        <v>0</v>
      </c>
      <c r="AG181" s="19">
        <f t="shared" si="117"/>
        <v>0</v>
      </c>
      <c r="AH181" s="19">
        <f t="shared" si="118"/>
        <v>0</v>
      </c>
      <c r="AI181" s="16" t="s">
        <v>436</v>
      </c>
      <c r="AJ181" s="19">
        <f t="shared" si="119"/>
        <v>0</v>
      </c>
      <c r="AK181" s="19">
        <f t="shared" si="120"/>
        <v>0</v>
      </c>
      <c r="AL181" s="19">
        <f t="shared" si="121"/>
        <v>0</v>
      </c>
      <c r="AN181" s="19">
        <v>12</v>
      </c>
      <c r="AO181" s="19">
        <f>H181*0.692307692</f>
        <v>0</v>
      </c>
      <c r="AP181" s="19">
        <f>H181*(1-0.692307692)</f>
        <v>0</v>
      </c>
      <c r="AQ181" s="89" t="s">
        <v>532</v>
      </c>
      <c r="AV181" s="19">
        <f t="shared" si="122"/>
        <v>0</v>
      </c>
      <c r="AW181" s="19">
        <f t="shared" si="123"/>
        <v>0</v>
      </c>
      <c r="AX181" s="19">
        <f t="shared" si="124"/>
        <v>0</v>
      </c>
      <c r="AY181" s="89" t="s">
        <v>661</v>
      </c>
      <c r="AZ181" s="89" t="s">
        <v>662</v>
      </c>
      <c r="BA181" s="16" t="s">
        <v>663</v>
      </c>
      <c r="BC181" s="19">
        <f t="shared" si="125"/>
        <v>0</v>
      </c>
      <c r="BD181" s="19">
        <f t="shared" si="126"/>
        <v>0</v>
      </c>
      <c r="BE181" s="19">
        <v>0</v>
      </c>
      <c r="BF181" s="19">
        <f t="shared" si="127"/>
        <v>0</v>
      </c>
      <c r="BH181" s="19">
        <f t="shared" si="128"/>
        <v>0</v>
      </c>
      <c r="BI181" s="19">
        <f t="shared" si="129"/>
        <v>0</v>
      </c>
      <c r="BJ181" s="19">
        <f t="shared" si="130"/>
        <v>0</v>
      </c>
      <c r="BK181" s="89" t="s">
        <v>30</v>
      </c>
      <c r="BL181" s="19">
        <v>723</v>
      </c>
      <c r="BW181" s="19">
        <f t="shared" si="131"/>
        <v>12</v>
      </c>
      <c r="BX181" s="4" t="s">
        <v>267</v>
      </c>
    </row>
    <row r="182" spans="1:76" x14ac:dyDescent="0.25">
      <c r="A182" s="1" t="s">
        <v>685</v>
      </c>
      <c r="B182" s="2" t="s">
        <v>436</v>
      </c>
      <c r="C182" s="2" t="s">
        <v>268</v>
      </c>
      <c r="D182" s="96" t="s">
        <v>269</v>
      </c>
      <c r="E182" s="97"/>
      <c r="F182" s="2" t="s">
        <v>38</v>
      </c>
      <c r="G182" s="19">
        <f>'Rozpočet - vybrané sloupce'!I151</f>
        <v>4</v>
      </c>
      <c r="H182" s="19">
        <f>'Rozpočet - vybrané sloupce'!J151</f>
        <v>0</v>
      </c>
      <c r="I182" s="87">
        <v>12</v>
      </c>
      <c r="J182" s="19">
        <f t="shared" si="106"/>
        <v>0</v>
      </c>
      <c r="K182" s="19">
        <f t="shared" si="107"/>
        <v>0</v>
      </c>
      <c r="L182" s="19">
        <f t="shared" si="108"/>
        <v>0</v>
      </c>
      <c r="M182" s="19">
        <f t="shared" si="109"/>
        <v>0</v>
      </c>
      <c r="N182" s="19">
        <v>0</v>
      </c>
      <c r="O182" s="19">
        <f t="shared" si="110"/>
        <v>0</v>
      </c>
      <c r="P182" s="88" t="s">
        <v>531</v>
      </c>
      <c r="Z182" s="19">
        <f t="shared" si="111"/>
        <v>0</v>
      </c>
      <c r="AB182" s="19">
        <f t="shared" si="112"/>
        <v>0</v>
      </c>
      <c r="AC182" s="19">
        <f t="shared" si="113"/>
        <v>0</v>
      </c>
      <c r="AD182" s="19">
        <f t="shared" si="114"/>
        <v>0</v>
      </c>
      <c r="AE182" s="19">
        <f t="shared" si="115"/>
        <v>0</v>
      </c>
      <c r="AF182" s="19">
        <f t="shared" si="116"/>
        <v>0</v>
      </c>
      <c r="AG182" s="19">
        <f t="shared" si="117"/>
        <v>0</v>
      </c>
      <c r="AH182" s="19">
        <f t="shared" si="118"/>
        <v>0</v>
      </c>
      <c r="AI182" s="16" t="s">
        <v>436</v>
      </c>
      <c r="AJ182" s="19">
        <f t="shared" si="119"/>
        <v>0</v>
      </c>
      <c r="AK182" s="19">
        <f t="shared" si="120"/>
        <v>0</v>
      </c>
      <c r="AL182" s="19">
        <f t="shared" si="121"/>
        <v>0</v>
      </c>
      <c r="AN182" s="19">
        <v>12</v>
      </c>
      <c r="AO182" s="19">
        <f>H182*0.391304348</f>
        <v>0</v>
      </c>
      <c r="AP182" s="19">
        <f>H182*(1-0.391304348)</f>
        <v>0</v>
      </c>
      <c r="AQ182" s="89" t="s">
        <v>532</v>
      </c>
      <c r="AV182" s="19">
        <f t="shared" si="122"/>
        <v>0</v>
      </c>
      <c r="AW182" s="19">
        <f t="shared" si="123"/>
        <v>0</v>
      </c>
      <c r="AX182" s="19">
        <f t="shared" si="124"/>
        <v>0</v>
      </c>
      <c r="AY182" s="89" t="s">
        <v>661</v>
      </c>
      <c r="AZ182" s="89" t="s">
        <v>662</v>
      </c>
      <c r="BA182" s="16" t="s">
        <v>663</v>
      </c>
      <c r="BC182" s="19">
        <f t="shared" si="125"/>
        <v>0</v>
      </c>
      <c r="BD182" s="19">
        <f t="shared" si="126"/>
        <v>0</v>
      </c>
      <c r="BE182" s="19">
        <v>0</v>
      </c>
      <c r="BF182" s="19">
        <f t="shared" si="127"/>
        <v>0</v>
      </c>
      <c r="BH182" s="19">
        <f t="shared" si="128"/>
        <v>0</v>
      </c>
      <c r="BI182" s="19">
        <f t="shared" si="129"/>
        <v>0</v>
      </c>
      <c r="BJ182" s="19">
        <f t="shared" si="130"/>
        <v>0</v>
      </c>
      <c r="BK182" s="89" t="s">
        <v>30</v>
      </c>
      <c r="BL182" s="19">
        <v>723</v>
      </c>
      <c r="BW182" s="19">
        <f t="shared" si="131"/>
        <v>12</v>
      </c>
      <c r="BX182" s="4" t="s">
        <v>269</v>
      </c>
    </row>
    <row r="183" spans="1:76" x14ac:dyDescent="0.25">
      <c r="A183" s="1" t="s">
        <v>686</v>
      </c>
      <c r="B183" s="2" t="s">
        <v>436</v>
      </c>
      <c r="C183" s="2" t="s">
        <v>270</v>
      </c>
      <c r="D183" s="96" t="s">
        <v>271</v>
      </c>
      <c r="E183" s="97"/>
      <c r="F183" s="2" t="s">
        <v>33</v>
      </c>
      <c r="G183" s="19">
        <f>'Rozpočet - vybrané sloupce'!I152</f>
        <v>22</v>
      </c>
      <c r="H183" s="19">
        <f>'Rozpočet - vybrané sloupce'!J152</f>
        <v>0</v>
      </c>
      <c r="I183" s="87">
        <v>12</v>
      </c>
      <c r="J183" s="19">
        <f t="shared" si="106"/>
        <v>0</v>
      </c>
      <c r="K183" s="19">
        <f t="shared" si="107"/>
        <v>0</v>
      </c>
      <c r="L183" s="19">
        <f t="shared" si="108"/>
        <v>0</v>
      </c>
      <c r="M183" s="19">
        <f t="shared" si="109"/>
        <v>0</v>
      </c>
      <c r="N183" s="19">
        <v>2.3000000000000001E-4</v>
      </c>
      <c r="O183" s="19">
        <f t="shared" si="110"/>
        <v>5.0600000000000003E-3</v>
      </c>
      <c r="P183" s="88" t="s">
        <v>531</v>
      </c>
      <c r="Z183" s="19">
        <f t="shared" si="111"/>
        <v>0</v>
      </c>
      <c r="AB183" s="19">
        <f t="shared" si="112"/>
        <v>0</v>
      </c>
      <c r="AC183" s="19">
        <f t="shared" si="113"/>
        <v>0</v>
      </c>
      <c r="AD183" s="19">
        <f t="shared" si="114"/>
        <v>0</v>
      </c>
      <c r="AE183" s="19">
        <f t="shared" si="115"/>
        <v>0</v>
      </c>
      <c r="AF183" s="19">
        <f t="shared" si="116"/>
        <v>0</v>
      </c>
      <c r="AG183" s="19">
        <f t="shared" si="117"/>
        <v>0</v>
      </c>
      <c r="AH183" s="19">
        <f t="shared" si="118"/>
        <v>0</v>
      </c>
      <c r="AI183" s="16" t="s">
        <v>436</v>
      </c>
      <c r="AJ183" s="19">
        <f t="shared" si="119"/>
        <v>0</v>
      </c>
      <c r="AK183" s="19">
        <f t="shared" si="120"/>
        <v>0</v>
      </c>
      <c r="AL183" s="19">
        <f t="shared" si="121"/>
        <v>0</v>
      </c>
      <c r="AN183" s="19">
        <v>12</v>
      </c>
      <c r="AO183" s="19">
        <f>H183*0.741039755</f>
        <v>0</v>
      </c>
      <c r="AP183" s="19">
        <f>H183*(1-0.741039755)</f>
        <v>0</v>
      </c>
      <c r="AQ183" s="89" t="s">
        <v>532</v>
      </c>
      <c r="AV183" s="19">
        <f t="shared" si="122"/>
        <v>0</v>
      </c>
      <c r="AW183" s="19">
        <f t="shared" si="123"/>
        <v>0</v>
      </c>
      <c r="AX183" s="19">
        <f t="shared" si="124"/>
        <v>0</v>
      </c>
      <c r="AY183" s="89" t="s">
        <v>661</v>
      </c>
      <c r="AZ183" s="89" t="s">
        <v>662</v>
      </c>
      <c r="BA183" s="16" t="s">
        <v>663</v>
      </c>
      <c r="BC183" s="19">
        <f t="shared" si="125"/>
        <v>0</v>
      </c>
      <c r="BD183" s="19">
        <f t="shared" si="126"/>
        <v>0</v>
      </c>
      <c r="BE183" s="19">
        <v>0</v>
      </c>
      <c r="BF183" s="19">
        <f t="shared" si="127"/>
        <v>5.0600000000000003E-3</v>
      </c>
      <c r="BH183" s="19">
        <f t="shared" si="128"/>
        <v>0</v>
      </c>
      <c r="BI183" s="19">
        <f t="shared" si="129"/>
        <v>0</v>
      </c>
      <c r="BJ183" s="19">
        <f t="shared" si="130"/>
        <v>0</v>
      </c>
      <c r="BK183" s="89" t="s">
        <v>30</v>
      </c>
      <c r="BL183" s="19">
        <v>723</v>
      </c>
      <c r="BW183" s="19">
        <f t="shared" si="131"/>
        <v>12</v>
      </c>
      <c r="BX183" s="4" t="s">
        <v>271</v>
      </c>
    </row>
    <row r="184" spans="1:76" x14ac:dyDescent="0.25">
      <c r="A184" s="1" t="s">
        <v>687</v>
      </c>
      <c r="B184" s="2" t="s">
        <v>436</v>
      </c>
      <c r="C184" s="2" t="s">
        <v>272</v>
      </c>
      <c r="D184" s="96" t="s">
        <v>273</v>
      </c>
      <c r="E184" s="97"/>
      <c r="F184" s="2" t="s">
        <v>90</v>
      </c>
      <c r="G184" s="19">
        <f>'Rozpočet - vybrané sloupce'!I153</f>
        <v>0.5</v>
      </c>
      <c r="H184" s="19">
        <f>'Rozpočet - vybrané sloupce'!J153</f>
        <v>0</v>
      </c>
      <c r="I184" s="87">
        <v>12</v>
      </c>
      <c r="J184" s="19">
        <f t="shared" si="106"/>
        <v>0</v>
      </c>
      <c r="K184" s="19">
        <f t="shared" si="107"/>
        <v>0</v>
      </c>
      <c r="L184" s="19">
        <f t="shared" si="108"/>
        <v>0</v>
      </c>
      <c r="M184" s="19">
        <f t="shared" si="109"/>
        <v>0</v>
      </c>
      <c r="N184" s="19">
        <v>0</v>
      </c>
      <c r="O184" s="19">
        <f t="shared" si="110"/>
        <v>0</v>
      </c>
      <c r="P184" s="88" t="s">
        <v>531</v>
      </c>
      <c r="Z184" s="19">
        <f t="shared" si="111"/>
        <v>0</v>
      </c>
      <c r="AB184" s="19">
        <f t="shared" si="112"/>
        <v>0</v>
      </c>
      <c r="AC184" s="19">
        <f t="shared" si="113"/>
        <v>0</v>
      </c>
      <c r="AD184" s="19">
        <f t="shared" si="114"/>
        <v>0</v>
      </c>
      <c r="AE184" s="19">
        <f t="shared" si="115"/>
        <v>0</v>
      </c>
      <c r="AF184" s="19">
        <f t="shared" si="116"/>
        <v>0</v>
      </c>
      <c r="AG184" s="19">
        <f t="shared" si="117"/>
        <v>0</v>
      </c>
      <c r="AH184" s="19">
        <f t="shared" si="118"/>
        <v>0</v>
      </c>
      <c r="AI184" s="16" t="s">
        <v>436</v>
      </c>
      <c r="AJ184" s="19">
        <f t="shared" si="119"/>
        <v>0</v>
      </c>
      <c r="AK184" s="19">
        <f t="shared" si="120"/>
        <v>0</v>
      </c>
      <c r="AL184" s="19">
        <f t="shared" si="121"/>
        <v>0</v>
      </c>
      <c r="AN184" s="19">
        <v>12</v>
      </c>
      <c r="AO184" s="19">
        <f>H184*0</f>
        <v>0</v>
      </c>
      <c r="AP184" s="19">
        <f>H184*(1-0)</f>
        <v>0</v>
      </c>
      <c r="AQ184" s="89" t="s">
        <v>532</v>
      </c>
      <c r="AV184" s="19">
        <f t="shared" si="122"/>
        <v>0</v>
      </c>
      <c r="AW184" s="19">
        <f t="shared" si="123"/>
        <v>0</v>
      </c>
      <c r="AX184" s="19">
        <f t="shared" si="124"/>
        <v>0</v>
      </c>
      <c r="AY184" s="89" t="s">
        <v>661</v>
      </c>
      <c r="AZ184" s="89" t="s">
        <v>662</v>
      </c>
      <c r="BA184" s="16" t="s">
        <v>663</v>
      </c>
      <c r="BC184" s="19">
        <f t="shared" si="125"/>
        <v>0</v>
      </c>
      <c r="BD184" s="19">
        <f t="shared" si="126"/>
        <v>0</v>
      </c>
      <c r="BE184" s="19">
        <v>0</v>
      </c>
      <c r="BF184" s="19">
        <f t="shared" si="127"/>
        <v>0</v>
      </c>
      <c r="BH184" s="19">
        <f t="shared" si="128"/>
        <v>0</v>
      </c>
      <c r="BI184" s="19">
        <f t="shared" si="129"/>
        <v>0</v>
      </c>
      <c r="BJ184" s="19">
        <f t="shared" si="130"/>
        <v>0</v>
      </c>
      <c r="BK184" s="89" t="s">
        <v>30</v>
      </c>
      <c r="BL184" s="19">
        <v>723</v>
      </c>
      <c r="BW184" s="19">
        <f t="shared" si="131"/>
        <v>12</v>
      </c>
      <c r="BX184" s="4" t="s">
        <v>273</v>
      </c>
    </row>
    <row r="185" spans="1:76" x14ac:dyDescent="0.25">
      <c r="A185" s="90"/>
      <c r="C185" s="91" t="s">
        <v>547</v>
      </c>
      <c r="D185" s="180" t="s">
        <v>572</v>
      </c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2"/>
      <c r="BX185" s="92" t="s">
        <v>572</v>
      </c>
    </row>
    <row r="186" spans="1:76" x14ac:dyDescent="0.25">
      <c r="A186" s="1" t="s">
        <v>688</v>
      </c>
      <c r="B186" s="2" t="s">
        <v>436</v>
      </c>
      <c r="C186" s="2" t="s">
        <v>274</v>
      </c>
      <c r="D186" s="96" t="s">
        <v>275</v>
      </c>
      <c r="E186" s="97"/>
      <c r="F186" s="2" t="s">
        <v>41</v>
      </c>
      <c r="G186" s="19">
        <f>'Rozpočet - vybrané sloupce'!I154</f>
        <v>3335</v>
      </c>
      <c r="H186" s="19">
        <f>'Rozpočet - vybrané sloupce'!J154</f>
        <v>0</v>
      </c>
      <c r="I186" s="87">
        <v>12</v>
      </c>
      <c r="J186" s="19">
        <f>ROUND(G186*AO186,2)</f>
        <v>0</v>
      </c>
      <c r="K186" s="19">
        <f>ROUND(G186*AP186,2)</f>
        <v>0</v>
      </c>
      <c r="L186" s="19">
        <f>ROUND(G186*H186,2)</f>
        <v>0</v>
      </c>
      <c r="M186" s="19">
        <f>L186*(1+BW186/100)</f>
        <v>0</v>
      </c>
      <c r="N186" s="19">
        <v>0</v>
      </c>
      <c r="O186" s="19">
        <f>G186*N186</f>
        <v>0</v>
      </c>
      <c r="P186" s="88" t="s">
        <v>531</v>
      </c>
      <c r="Z186" s="19">
        <f>ROUND(IF(AQ186="5",BJ186,0),2)</f>
        <v>0</v>
      </c>
      <c r="AB186" s="19">
        <f>ROUND(IF(AQ186="1",BH186,0),2)</f>
        <v>0</v>
      </c>
      <c r="AC186" s="19">
        <f>ROUND(IF(AQ186="1",BI186,0),2)</f>
        <v>0</v>
      </c>
      <c r="AD186" s="19">
        <f>ROUND(IF(AQ186="7",BH186,0),2)</f>
        <v>0</v>
      </c>
      <c r="AE186" s="19">
        <f>ROUND(IF(AQ186="7",BI186,0),2)</f>
        <v>0</v>
      </c>
      <c r="AF186" s="19">
        <f>ROUND(IF(AQ186="2",BH186,0),2)</f>
        <v>0</v>
      </c>
      <c r="AG186" s="19">
        <f>ROUND(IF(AQ186="2",BI186,0),2)</f>
        <v>0</v>
      </c>
      <c r="AH186" s="19">
        <f>ROUND(IF(AQ186="0",BJ186,0),2)</f>
        <v>0</v>
      </c>
      <c r="AI186" s="16" t="s">
        <v>436</v>
      </c>
      <c r="AJ186" s="19">
        <f>IF(AN186=0,L186,0)</f>
        <v>0</v>
      </c>
      <c r="AK186" s="19">
        <f>IF(AN186=12,L186,0)</f>
        <v>0</v>
      </c>
      <c r="AL186" s="19">
        <f>IF(AN186=21,L186,0)</f>
        <v>0</v>
      </c>
      <c r="AN186" s="19">
        <v>12</v>
      </c>
      <c r="AO186" s="19">
        <f>H186*0</f>
        <v>0</v>
      </c>
      <c r="AP186" s="19">
        <f>H186*(1-0)</f>
        <v>0</v>
      </c>
      <c r="AQ186" s="89" t="s">
        <v>540</v>
      </c>
      <c r="AV186" s="19">
        <f>ROUND(AW186+AX186,2)</f>
        <v>0</v>
      </c>
      <c r="AW186" s="19">
        <f>ROUND(G186*AO186,2)</f>
        <v>0</v>
      </c>
      <c r="AX186" s="19">
        <f>ROUND(G186*AP186,2)</f>
        <v>0</v>
      </c>
      <c r="AY186" s="89" t="s">
        <v>661</v>
      </c>
      <c r="AZ186" s="89" t="s">
        <v>662</v>
      </c>
      <c r="BA186" s="16" t="s">
        <v>663</v>
      </c>
      <c r="BC186" s="19">
        <f>AW186+AX186</f>
        <v>0</v>
      </c>
      <c r="BD186" s="19">
        <f>H186/(100-BE186)*100</f>
        <v>0</v>
      </c>
      <c r="BE186" s="19">
        <v>0</v>
      </c>
      <c r="BF186" s="19">
        <f>O186</f>
        <v>0</v>
      </c>
      <c r="BH186" s="19">
        <f>G186*AO186</f>
        <v>0</v>
      </c>
      <c r="BI186" s="19">
        <f>G186*AP186</f>
        <v>0</v>
      </c>
      <c r="BJ186" s="19">
        <f>G186*H186</f>
        <v>0</v>
      </c>
      <c r="BK186" s="89" t="s">
        <v>30</v>
      </c>
      <c r="BL186" s="19">
        <v>723</v>
      </c>
      <c r="BW186" s="19">
        <f>I186</f>
        <v>12</v>
      </c>
      <c r="BX186" s="4" t="s">
        <v>275</v>
      </c>
    </row>
    <row r="187" spans="1:76" x14ac:dyDescent="0.25">
      <c r="A187" s="84" t="s">
        <v>23</v>
      </c>
      <c r="B187" s="15" t="s">
        <v>437</v>
      </c>
      <c r="C187" s="15" t="s">
        <v>23</v>
      </c>
      <c r="D187" s="152" t="s">
        <v>276</v>
      </c>
      <c r="E187" s="153"/>
      <c r="F187" s="85" t="s">
        <v>22</v>
      </c>
      <c r="G187" s="85" t="s">
        <v>22</v>
      </c>
      <c r="H187" s="85" t="s">
        <v>22</v>
      </c>
      <c r="I187" s="85" t="s">
        <v>22</v>
      </c>
      <c r="J187" s="60">
        <f>J188</f>
        <v>0</v>
      </c>
      <c r="K187" s="60">
        <f>K188</f>
        <v>0</v>
      </c>
      <c r="L187" s="60">
        <f>L188</f>
        <v>0</v>
      </c>
      <c r="M187" s="60">
        <f>M188</f>
        <v>0</v>
      </c>
      <c r="N187" s="16" t="s">
        <v>23</v>
      </c>
      <c r="O187" s="60">
        <f>O188</f>
        <v>1.7505840000000004</v>
      </c>
      <c r="P187" s="86" t="s">
        <v>23</v>
      </c>
    </row>
    <row r="188" spans="1:76" x14ac:dyDescent="0.25">
      <c r="A188" s="84" t="s">
        <v>23</v>
      </c>
      <c r="B188" s="15" t="s">
        <v>437</v>
      </c>
      <c r="C188" s="15" t="s">
        <v>225</v>
      </c>
      <c r="D188" s="152" t="s">
        <v>226</v>
      </c>
      <c r="E188" s="153"/>
      <c r="F188" s="85" t="s">
        <v>22</v>
      </c>
      <c r="G188" s="85" t="s">
        <v>22</v>
      </c>
      <c r="H188" s="85" t="s">
        <v>22</v>
      </c>
      <c r="I188" s="85" t="s">
        <v>22</v>
      </c>
      <c r="J188" s="60">
        <f>SUM(J189:J204)</f>
        <v>0</v>
      </c>
      <c r="K188" s="60">
        <f>SUM(K189:K204)</f>
        <v>0</v>
      </c>
      <c r="L188" s="60">
        <f>SUM(L189:L204)</f>
        <v>0</v>
      </c>
      <c r="M188" s="60">
        <f>SUM(M189:M204)</f>
        <v>0</v>
      </c>
      <c r="N188" s="16" t="s">
        <v>23</v>
      </c>
      <c r="O188" s="60">
        <f>SUM(O189:O204)</f>
        <v>1.7505840000000004</v>
      </c>
      <c r="P188" s="86" t="s">
        <v>23</v>
      </c>
      <c r="AI188" s="16" t="s">
        <v>437</v>
      </c>
      <c r="AS188" s="60">
        <f>SUM(AJ189:AJ204)</f>
        <v>0</v>
      </c>
      <c r="AT188" s="60">
        <f>SUM(AK189:AK204)</f>
        <v>0</v>
      </c>
      <c r="AU188" s="60">
        <f>SUM(AL189:AL204)</f>
        <v>0</v>
      </c>
    </row>
    <row r="189" spans="1:76" x14ac:dyDescent="0.25">
      <c r="A189" s="1" t="s">
        <v>689</v>
      </c>
      <c r="B189" s="2" t="s">
        <v>437</v>
      </c>
      <c r="C189" s="2" t="s">
        <v>277</v>
      </c>
      <c r="D189" s="96" t="s">
        <v>278</v>
      </c>
      <c r="E189" s="97"/>
      <c r="F189" s="2" t="s">
        <v>29</v>
      </c>
      <c r="G189" s="19">
        <f>'Rozpočet - vybrané sloupce'!I157</f>
        <v>77</v>
      </c>
      <c r="H189" s="19">
        <f>'Rozpočet - vybrané sloupce'!J157</f>
        <v>0</v>
      </c>
      <c r="I189" s="87">
        <v>12</v>
      </c>
      <c r="J189" s="19">
        <f>ROUND(G189*AO189,2)</f>
        <v>0</v>
      </c>
      <c r="K189" s="19">
        <f>ROUND(G189*AP189,2)</f>
        <v>0</v>
      </c>
      <c r="L189" s="19">
        <f>ROUND(G189*H189,2)</f>
        <v>0</v>
      </c>
      <c r="M189" s="19">
        <f>L189*(1+BW189/100)</f>
        <v>0</v>
      </c>
      <c r="N189" s="19">
        <v>2.2599999999999999E-3</v>
      </c>
      <c r="O189" s="19">
        <f>G189*N189</f>
        <v>0.17401999999999998</v>
      </c>
      <c r="P189" s="88" t="s">
        <v>531</v>
      </c>
      <c r="Z189" s="19">
        <f>ROUND(IF(AQ189="5",BJ189,0),2)</f>
        <v>0</v>
      </c>
      <c r="AB189" s="19">
        <f>ROUND(IF(AQ189="1",BH189,0),2)</f>
        <v>0</v>
      </c>
      <c r="AC189" s="19">
        <f>ROUND(IF(AQ189="1",BI189,0),2)</f>
        <v>0</v>
      </c>
      <c r="AD189" s="19">
        <f>ROUND(IF(AQ189="7",BH189,0),2)</f>
        <v>0</v>
      </c>
      <c r="AE189" s="19">
        <f>ROUND(IF(AQ189="7",BI189,0),2)</f>
        <v>0</v>
      </c>
      <c r="AF189" s="19">
        <f>ROUND(IF(AQ189="2",BH189,0),2)</f>
        <v>0</v>
      </c>
      <c r="AG189" s="19">
        <f>ROUND(IF(AQ189="2",BI189,0),2)</f>
        <v>0</v>
      </c>
      <c r="AH189" s="19">
        <f>ROUND(IF(AQ189="0",BJ189,0),2)</f>
        <v>0</v>
      </c>
      <c r="AI189" s="16" t="s">
        <v>437</v>
      </c>
      <c r="AJ189" s="19">
        <f>IF(AN189=0,L189,0)</f>
        <v>0</v>
      </c>
      <c r="AK189" s="19">
        <f>IF(AN189=12,L189,0)</f>
        <v>0</v>
      </c>
      <c r="AL189" s="19">
        <f>IF(AN189=21,L189,0)</f>
        <v>0</v>
      </c>
      <c r="AN189" s="19">
        <v>12</v>
      </c>
      <c r="AO189" s="19">
        <f>H189*0.73761387</f>
        <v>0</v>
      </c>
      <c r="AP189" s="19">
        <f>H189*(1-0.73761387)</f>
        <v>0</v>
      </c>
      <c r="AQ189" s="89" t="s">
        <v>532</v>
      </c>
      <c r="AV189" s="19">
        <f>ROUND(AW189+AX189,2)</f>
        <v>0</v>
      </c>
      <c r="AW189" s="19">
        <f>ROUND(G189*AO189,2)</f>
        <v>0</v>
      </c>
      <c r="AX189" s="19">
        <f>ROUND(G189*AP189,2)</f>
        <v>0</v>
      </c>
      <c r="AY189" s="89" t="s">
        <v>661</v>
      </c>
      <c r="AZ189" s="89" t="s">
        <v>690</v>
      </c>
      <c r="BA189" s="16" t="s">
        <v>691</v>
      </c>
      <c r="BC189" s="19">
        <f>AW189+AX189</f>
        <v>0</v>
      </c>
      <c r="BD189" s="19">
        <f>H189/(100-BE189)*100</f>
        <v>0</v>
      </c>
      <c r="BE189" s="19">
        <v>0</v>
      </c>
      <c r="BF189" s="19">
        <f>O189</f>
        <v>0.17401999999999998</v>
      </c>
      <c r="BH189" s="19">
        <f>G189*AO189</f>
        <v>0</v>
      </c>
      <c r="BI189" s="19">
        <f>G189*AP189</f>
        <v>0</v>
      </c>
      <c r="BJ189" s="19">
        <f>G189*H189</f>
        <v>0</v>
      </c>
      <c r="BK189" s="89" t="s">
        <v>30</v>
      </c>
      <c r="BL189" s="19">
        <v>723</v>
      </c>
      <c r="BW189" s="19">
        <f>I189</f>
        <v>12</v>
      </c>
      <c r="BX189" s="4" t="s">
        <v>278</v>
      </c>
    </row>
    <row r="190" spans="1:76" x14ac:dyDescent="0.25">
      <c r="A190" s="1" t="s">
        <v>692</v>
      </c>
      <c r="B190" s="2" t="s">
        <v>437</v>
      </c>
      <c r="C190" s="2" t="s">
        <v>279</v>
      </c>
      <c r="D190" s="96" t="s">
        <v>280</v>
      </c>
      <c r="E190" s="97"/>
      <c r="F190" s="2" t="s">
        <v>29</v>
      </c>
      <c r="G190" s="19">
        <f>'Rozpočet - vybrané sloupce'!I158</f>
        <v>77</v>
      </c>
      <c r="H190" s="19">
        <f>'Rozpočet - vybrané sloupce'!J158</f>
        <v>0</v>
      </c>
      <c r="I190" s="87">
        <v>12</v>
      </c>
      <c r="J190" s="19">
        <f>ROUND(G190*AO190,2)</f>
        <v>0</v>
      </c>
      <c r="K190" s="19">
        <f>ROUND(G190*AP190,2)</f>
        <v>0</v>
      </c>
      <c r="L190" s="19">
        <f>ROUND(G190*H190,2)</f>
        <v>0</v>
      </c>
      <c r="M190" s="19">
        <f>L190*(1+BW190/100)</f>
        <v>0</v>
      </c>
      <c r="N190" s="19">
        <v>4.6000000000000001E-4</v>
      </c>
      <c r="O190" s="19">
        <f>G190*N190</f>
        <v>3.542E-2</v>
      </c>
      <c r="P190" s="88" t="s">
        <v>531</v>
      </c>
      <c r="Z190" s="19">
        <f>ROUND(IF(AQ190="5",BJ190,0),2)</f>
        <v>0</v>
      </c>
      <c r="AB190" s="19">
        <f>ROUND(IF(AQ190="1",BH190,0),2)</f>
        <v>0</v>
      </c>
      <c r="AC190" s="19">
        <f>ROUND(IF(AQ190="1",BI190,0),2)</f>
        <v>0</v>
      </c>
      <c r="AD190" s="19">
        <f>ROUND(IF(AQ190="7",BH190,0),2)</f>
        <v>0</v>
      </c>
      <c r="AE190" s="19">
        <f>ROUND(IF(AQ190="7",BI190,0),2)</f>
        <v>0</v>
      </c>
      <c r="AF190" s="19">
        <f>ROUND(IF(AQ190="2",BH190,0),2)</f>
        <v>0</v>
      </c>
      <c r="AG190" s="19">
        <f>ROUND(IF(AQ190="2",BI190,0),2)</f>
        <v>0</v>
      </c>
      <c r="AH190" s="19">
        <f>ROUND(IF(AQ190="0",BJ190,0),2)</f>
        <v>0</v>
      </c>
      <c r="AI190" s="16" t="s">
        <v>437</v>
      </c>
      <c r="AJ190" s="19">
        <f>IF(AN190=0,L190,0)</f>
        <v>0</v>
      </c>
      <c r="AK190" s="19">
        <f>IF(AN190=12,L190,0)</f>
        <v>0</v>
      </c>
      <c r="AL190" s="19">
        <f>IF(AN190=21,L190,0)</f>
        <v>0</v>
      </c>
      <c r="AN190" s="19">
        <v>12</v>
      </c>
      <c r="AO190" s="19">
        <f>H190*0.630404858</f>
        <v>0</v>
      </c>
      <c r="AP190" s="19">
        <f>H190*(1-0.630404858)</f>
        <v>0</v>
      </c>
      <c r="AQ190" s="89" t="s">
        <v>532</v>
      </c>
      <c r="AV190" s="19">
        <f>ROUND(AW190+AX190,2)</f>
        <v>0</v>
      </c>
      <c r="AW190" s="19">
        <f>ROUND(G190*AO190,2)</f>
        <v>0</v>
      </c>
      <c r="AX190" s="19">
        <f>ROUND(G190*AP190,2)</f>
        <v>0</v>
      </c>
      <c r="AY190" s="89" t="s">
        <v>661</v>
      </c>
      <c r="AZ190" s="89" t="s">
        <v>690</v>
      </c>
      <c r="BA190" s="16" t="s">
        <v>691</v>
      </c>
      <c r="BC190" s="19">
        <f>AW190+AX190</f>
        <v>0</v>
      </c>
      <c r="BD190" s="19">
        <f>H190/(100-BE190)*100</f>
        <v>0</v>
      </c>
      <c r="BE190" s="19">
        <v>0</v>
      </c>
      <c r="BF190" s="19">
        <f>O190</f>
        <v>3.542E-2</v>
      </c>
      <c r="BH190" s="19">
        <f>G190*AO190</f>
        <v>0</v>
      </c>
      <c r="BI190" s="19">
        <f>G190*AP190</f>
        <v>0</v>
      </c>
      <c r="BJ190" s="19">
        <f>G190*H190</f>
        <v>0</v>
      </c>
      <c r="BK190" s="89" t="s">
        <v>30</v>
      </c>
      <c r="BL190" s="19">
        <v>723</v>
      </c>
      <c r="BW190" s="19">
        <f>I190</f>
        <v>12</v>
      </c>
      <c r="BX190" s="4" t="s">
        <v>280</v>
      </c>
    </row>
    <row r="191" spans="1:76" ht="25.5" x14ac:dyDescent="0.25">
      <c r="A191" s="90"/>
      <c r="C191" s="91" t="s">
        <v>547</v>
      </c>
      <c r="D191" s="180" t="s">
        <v>665</v>
      </c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2"/>
      <c r="BX191" s="92" t="s">
        <v>665</v>
      </c>
    </row>
    <row r="192" spans="1:76" x14ac:dyDescent="0.25">
      <c r="A192" s="1" t="s">
        <v>693</v>
      </c>
      <c r="B192" s="2" t="s">
        <v>437</v>
      </c>
      <c r="C192" s="2" t="s">
        <v>281</v>
      </c>
      <c r="D192" s="96" t="s">
        <v>282</v>
      </c>
      <c r="E192" s="97"/>
      <c r="F192" s="2" t="s">
        <v>29</v>
      </c>
      <c r="G192" s="19">
        <f>'Rozpočet - vybrané sloupce'!I159</f>
        <v>3.3</v>
      </c>
      <c r="H192" s="19">
        <f>'Rozpočet - vybrané sloupce'!J159</f>
        <v>0</v>
      </c>
      <c r="I192" s="87">
        <v>12</v>
      </c>
      <c r="J192" s="19">
        <f>ROUND(G192*AO192,2)</f>
        <v>0</v>
      </c>
      <c r="K192" s="19">
        <f>ROUND(G192*AP192,2)</f>
        <v>0</v>
      </c>
      <c r="L192" s="19">
        <f>ROUND(G192*H192,2)</f>
        <v>0</v>
      </c>
      <c r="M192" s="19">
        <f>L192*(1+BW192/100)</f>
        <v>0</v>
      </c>
      <c r="N192" s="19">
        <v>4.8000000000000001E-4</v>
      </c>
      <c r="O192" s="19">
        <f>G192*N192</f>
        <v>1.5839999999999999E-3</v>
      </c>
      <c r="P192" s="88" t="s">
        <v>531</v>
      </c>
      <c r="Z192" s="19">
        <f>ROUND(IF(AQ192="5",BJ192,0),2)</f>
        <v>0</v>
      </c>
      <c r="AB192" s="19">
        <f>ROUND(IF(AQ192="1",BH192,0),2)</f>
        <v>0</v>
      </c>
      <c r="AC192" s="19">
        <f>ROUND(IF(AQ192="1",BI192,0),2)</f>
        <v>0</v>
      </c>
      <c r="AD192" s="19">
        <f>ROUND(IF(AQ192="7",BH192,0),2)</f>
        <v>0</v>
      </c>
      <c r="AE192" s="19">
        <f>ROUND(IF(AQ192="7",BI192,0),2)</f>
        <v>0</v>
      </c>
      <c r="AF192" s="19">
        <f>ROUND(IF(AQ192="2",BH192,0),2)</f>
        <v>0</v>
      </c>
      <c r="AG192" s="19">
        <f>ROUND(IF(AQ192="2",BI192,0),2)</f>
        <v>0</v>
      </c>
      <c r="AH192" s="19">
        <f>ROUND(IF(AQ192="0",BJ192,0),2)</f>
        <v>0</v>
      </c>
      <c r="AI192" s="16" t="s">
        <v>437</v>
      </c>
      <c r="AJ192" s="19">
        <f>IF(AN192=0,L192,0)</f>
        <v>0</v>
      </c>
      <c r="AK192" s="19">
        <f>IF(AN192=12,L192,0)</f>
        <v>0</v>
      </c>
      <c r="AL192" s="19">
        <f>IF(AN192=21,L192,0)</f>
        <v>0</v>
      </c>
      <c r="AN192" s="19">
        <v>12</v>
      </c>
      <c r="AO192" s="19">
        <f>H192*1</f>
        <v>0</v>
      </c>
      <c r="AP192" s="19">
        <f>H192*(1-1)</f>
        <v>0</v>
      </c>
      <c r="AQ192" s="89" t="s">
        <v>532</v>
      </c>
      <c r="AV192" s="19">
        <f>ROUND(AW192+AX192,2)</f>
        <v>0</v>
      </c>
      <c r="AW192" s="19">
        <f>ROUND(G192*AO192,2)</f>
        <v>0</v>
      </c>
      <c r="AX192" s="19">
        <f>ROUND(G192*AP192,2)</f>
        <v>0</v>
      </c>
      <c r="AY192" s="89" t="s">
        <v>661</v>
      </c>
      <c r="AZ192" s="89" t="s">
        <v>690</v>
      </c>
      <c r="BA192" s="16" t="s">
        <v>691</v>
      </c>
      <c r="BC192" s="19">
        <f>AW192+AX192</f>
        <v>0</v>
      </c>
      <c r="BD192" s="19">
        <f>H192/(100-BE192)*100</f>
        <v>0</v>
      </c>
      <c r="BE192" s="19">
        <v>0</v>
      </c>
      <c r="BF192" s="19">
        <f>O192</f>
        <v>1.5839999999999999E-3</v>
      </c>
      <c r="BH192" s="19">
        <f>G192*AO192</f>
        <v>0</v>
      </c>
      <c r="BI192" s="19">
        <f>G192*AP192</f>
        <v>0</v>
      </c>
      <c r="BJ192" s="19">
        <f>G192*H192</f>
        <v>0</v>
      </c>
      <c r="BK192" s="89" t="s">
        <v>53</v>
      </c>
      <c r="BL192" s="19">
        <v>723</v>
      </c>
      <c r="BW192" s="19">
        <f>I192</f>
        <v>12</v>
      </c>
      <c r="BX192" s="4" t="s">
        <v>282</v>
      </c>
    </row>
    <row r="193" spans="1:76" x14ac:dyDescent="0.25">
      <c r="A193" s="90"/>
      <c r="C193" s="91" t="s">
        <v>547</v>
      </c>
      <c r="D193" s="180" t="s">
        <v>694</v>
      </c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2"/>
      <c r="BX193" s="92" t="s">
        <v>694</v>
      </c>
    </row>
    <row r="194" spans="1:76" x14ac:dyDescent="0.25">
      <c r="A194" s="1" t="s">
        <v>695</v>
      </c>
      <c r="B194" s="2" t="s">
        <v>437</v>
      </c>
      <c r="C194" s="2" t="s">
        <v>283</v>
      </c>
      <c r="D194" s="96" t="s">
        <v>284</v>
      </c>
      <c r="E194" s="97"/>
      <c r="F194" s="2" t="s">
        <v>33</v>
      </c>
      <c r="G194" s="19">
        <f>'Rozpočet - vybrané sloupce'!I160</f>
        <v>22</v>
      </c>
      <c r="H194" s="19">
        <f>'Rozpočet - vybrané sloupce'!J160</f>
        <v>0</v>
      </c>
      <c r="I194" s="87">
        <v>12</v>
      </c>
      <c r="J194" s="19">
        <f t="shared" ref="J194:J202" si="132">ROUND(G194*AO194,2)</f>
        <v>0</v>
      </c>
      <c r="K194" s="19">
        <f t="shared" ref="K194:K202" si="133">ROUND(G194*AP194,2)</f>
        <v>0</v>
      </c>
      <c r="L194" s="19">
        <f t="shared" ref="L194:L202" si="134">ROUND(G194*H194,2)</f>
        <v>0</v>
      </c>
      <c r="M194" s="19">
        <f t="shared" ref="M194:M202" si="135">L194*(1+BW194/100)</f>
        <v>0</v>
      </c>
      <c r="N194" s="19">
        <v>9.3000000000000005E-4</v>
      </c>
      <c r="O194" s="19">
        <f t="shared" ref="O194:O202" si="136">G194*N194</f>
        <v>2.0460000000000002E-2</v>
      </c>
      <c r="P194" s="88" t="s">
        <v>531</v>
      </c>
      <c r="Z194" s="19">
        <f t="shared" ref="Z194:Z202" si="137">ROUND(IF(AQ194="5",BJ194,0),2)</f>
        <v>0</v>
      </c>
      <c r="AB194" s="19">
        <f t="shared" ref="AB194:AB202" si="138">ROUND(IF(AQ194="1",BH194,0),2)</f>
        <v>0</v>
      </c>
      <c r="AC194" s="19">
        <f t="shared" ref="AC194:AC202" si="139">ROUND(IF(AQ194="1",BI194,0),2)</f>
        <v>0</v>
      </c>
      <c r="AD194" s="19">
        <f t="shared" ref="AD194:AD202" si="140">ROUND(IF(AQ194="7",BH194,0),2)</f>
        <v>0</v>
      </c>
      <c r="AE194" s="19">
        <f t="shared" ref="AE194:AE202" si="141">ROUND(IF(AQ194="7",BI194,0),2)</f>
        <v>0</v>
      </c>
      <c r="AF194" s="19">
        <f t="shared" ref="AF194:AF202" si="142">ROUND(IF(AQ194="2",BH194,0),2)</f>
        <v>0</v>
      </c>
      <c r="AG194" s="19">
        <f t="shared" ref="AG194:AG202" si="143">ROUND(IF(AQ194="2",BI194,0),2)</f>
        <v>0</v>
      </c>
      <c r="AH194" s="19">
        <f t="shared" ref="AH194:AH202" si="144">ROUND(IF(AQ194="0",BJ194,0),2)</f>
        <v>0</v>
      </c>
      <c r="AI194" s="16" t="s">
        <v>437</v>
      </c>
      <c r="AJ194" s="19">
        <f t="shared" ref="AJ194:AJ202" si="145">IF(AN194=0,L194,0)</f>
        <v>0</v>
      </c>
      <c r="AK194" s="19">
        <f t="shared" ref="AK194:AK202" si="146">IF(AN194=12,L194,0)</f>
        <v>0</v>
      </c>
      <c r="AL194" s="19">
        <f t="shared" ref="AL194:AL202" si="147">IF(AN194=21,L194,0)</f>
        <v>0</v>
      </c>
      <c r="AN194" s="19">
        <v>12</v>
      </c>
      <c r="AO194" s="19">
        <f>H194*0.35132</f>
        <v>0</v>
      </c>
      <c r="AP194" s="19">
        <f>H194*(1-0.35132)</f>
        <v>0</v>
      </c>
      <c r="AQ194" s="89" t="s">
        <v>532</v>
      </c>
      <c r="AV194" s="19">
        <f t="shared" ref="AV194:AV202" si="148">ROUND(AW194+AX194,2)</f>
        <v>0</v>
      </c>
      <c r="AW194" s="19">
        <f t="shared" ref="AW194:AW202" si="149">ROUND(G194*AO194,2)</f>
        <v>0</v>
      </c>
      <c r="AX194" s="19">
        <f t="shared" ref="AX194:AX202" si="150">ROUND(G194*AP194,2)</f>
        <v>0</v>
      </c>
      <c r="AY194" s="89" t="s">
        <v>661</v>
      </c>
      <c r="AZ194" s="89" t="s">
        <v>690</v>
      </c>
      <c r="BA194" s="16" t="s">
        <v>691</v>
      </c>
      <c r="BC194" s="19">
        <f t="shared" ref="BC194:BC202" si="151">AW194+AX194</f>
        <v>0</v>
      </c>
      <c r="BD194" s="19">
        <f t="shared" ref="BD194:BD202" si="152">H194/(100-BE194)*100</f>
        <v>0</v>
      </c>
      <c r="BE194" s="19">
        <v>0</v>
      </c>
      <c r="BF194" s="19">
        <f t="shared" ref="BF194:BF202" si="153">O194</f>
        <v>2.0460000000000002E-2</v>
      </c>
      <c r="BH194" s="19">
        <f t="shared" ref="BH194:BH202" si="154">G194*AO194</f>
        <v>0</v>
      </c>
      <c r="BI194" s="19">
        <f t="shared" ref="BI194:BI202" si="155">G194*AP194</f>
        <v>0</v>
      </c>
      <c r="BJ194" s="19">
        <f t="shared" ref="BJ194:BJ202" si="156">G194*H194</f>
        <v>0</v>
      </c>
      <c r="BK194" s="89" t="s">
        <v>30</v>
      </c>
      <c r="BL194" s="19">
        <v>723</v>
      </c>
      <c r="BW194" s="19">
        <f t="shared" ref="BW194:BW202" si="157">I194</f>
        <v>12</v>
      </c>
      <c r="BX194" s="4" t="s">
        <v>284</v>
      </c>
    </row>
    <row r="195" spans="1:76" x14ac:dyDescent="0.25">
      <c r="A195" s="1" t="s">
        <v>696</v>
      </c>
      <c r="B195" s="2" t="s">
        <v>437</v>
      </c>
      <c r="C195" s="2" t="s">
        <v>241</v>
      </c>
      <c r="D195" s="96" t="s">
        <v>242</v>
      </c>
      <c r="E195" s="97"/>
      <c r="F195" s="2" t="s">
        <v>33</v>
      </c>
      <c r="G195" s="19">
        <f>'Rozpočet - vybrané sloupce'!I161</f>
        <v>22</v>
      </c>
      <c r="H195" s="19">
        <f>'Rozpočet - vybrané sloupce'!J161</f>
        <v>0</v>
      </c>
      <c r="I195" s="87">
        <v>12</v>
      </c>
      <c r="J195" s="19">
        <f t="shared" si="132"/>
        <v>0</v>
      </c>
      <c r="K195" s="19">
        <f t="shared" si="133"/>
        <v>0</v>
      </c>
      <c r="L195" s="19">
        <f t="shared" si="134"/>
        <v>0</v>
      </c>
      <c r="M195" s="19">
        <f t="shared" si="135"/>
        <v>0</v>
      </c>
      <c r="N195" s="19">
        <v>0</v>
      </c>
      <c r="O195" s="19">
        <f t="shared" si="136"/>
        <v>0</v>
      </c>
      <c r="P195" s="88" t="s">
        <v>531</v>
      </c>
      <c r="Z195" s="19">
        <f t="shared" si="137"/>
        <v>0</v>
      </c>
      <c r="AB195" s="19">
        <f t="shared" si="138"/>
        <v>0</v>
      </c>
      <c r="AC195" s="19">
        <f t="shared" si="139"/>
        <v>0</v>
      </c>
      <c r="AD195" s="19">
        <f t="shared" si="140"/>
        <v>0</v>
      </c>
      <c r="AE195" s="19">
        <f t="shared" si="141"/>
        <v>0</v>
      </c>
      <c r="AF195" s="19">
        <f t="shared" si="142"/>
        <v>0</v>
      </c>
      <c r="AG195" s="19">
        <f t="shared" si="143"/>
        <v>0</v>
      </c>
      <c r="AH195" s="19">
        <f t="shared" si="144"/>
        <v>0</v>
      </c>
      <c r="AI195" s="16" t="s">
        <v>437</v>
      </c>
      <c r="AJ195" s="19">
        <f t="shared" si="145"/>
        <v>0</v>
      </c>
      <c r="AK195" s="19">
        <f t="shared" si="146"/>
        <v>0</v>
      </c>
      <c r="AL195" s="19">
        <f t="shared" si="147"/>
        <v>0</v>
      </c>
      <c r="AN195" s="19">
        <v>12</v>
      </c>
      <c r="AO195" s="19">
        <f>H195*0</f>
        <v>0</v>
      </c>
      <c r="AP195" s="19">
        <f>H195*(1-0)</f>
        <v>0</v>
      </c>
      <c r="AQ195" s="89" t="s">
        <v>532</v>
      </c>
      <c r="AV195" s="19">
        <f t="shared" si="148"/>
        <v>0</v>
      </c>
      <c r="AW195" s="19">
        <f t="shared" si="149"/>
        <v>0</v>
      </c>
      <c r="AX195" s="19">
        <f t="shared" si="150"/>
        <v>0</v>
      </c>
      <c r="AY195" s="89" t="s">
        <v>661</v>
      </c>
      <c r="AZ195" s="89" t="s">
        <v>690</v>
      </c>
      <c r="BA195" s="16" t="s">
        <v>691</v>
      </c>
      <c r="BC195" s="19">
        <f t="shared" si="151"/>
        <v>0</v>
      </c>
      <c r="BD195" s="19">
        <f t="shared" si="152"/>
        <v>0</v>
      </c>
      <c r="BE195" s="19">
        <v>0</v>
      </c>
      <c r="BF195" s="19">
        <f t="shared" si="153"/>
        <v>0</v>
      </c>
      <c r="BH195" s="19">
        <f t="shared" si="154"/>
        <v>0</v>
      </c>
      <c r="BI195" s="19">
        <f t="shared" si="155"/>
        <v>0</v>
      </c>
      <c r="BJ195" s="19">
        <f t="shared" si="156"/>
        <v>0</v>
      </c>
      <c r="BK195" s="89" t="s">
        <v>30</v>
      </c>
      <c r="BL195" s="19">
        <v>723</v>
      </c>
      <c r="BW195" s="19">
        <f t="shared" si="157"/>
        <v>12</v>
      </c>
      <c r="BX195" s="4" t="s">
        <v>242</v>
      </c>
    </row>
    <row r="196" spans="1:76" x14ac:dyDescent="0.25">
      <c r="A196" s="1" t="s">
        <v>697</v>
      </c>
      <c r="B196" s="2" t="s">
        <v>437</v>
      </c>
      <c r="C196" s="2" t="s">
        <v>239</v>
      </c>
      <c r="D196" s="96" t="s">
        <v>240</v>
      </c>
      <c r="E196" s="97"/>
      <c r="F196" s="2" t="s">
        <v>29</v>
      </c>
      <c r="G196" s="19">
        <f>'Rozpočet - vybrané sloupce'!I162</f>
        <v>77</v>
      </c>
      <c r="H196" s="19">
        <f>'Rozpočet - vybrané sloupce'!J162</f>
        <v>0</v>
      </c>
      <c r="I196" s="87">
        <v>12</v>
      </c>
      <c r="J196" s="19">
        <f t="shared" si="132"/>
        <v>0</v>
      </c>
      <c r="K196" s="19">
        <f t="shared" si="133"/>
        <v>0</v>
      </c>
      <c r="L196" s="19">
        <f t="shared" si="134"/>
        <v>0</v>
      </c>
      <c r="M196" s="19">
        <f t="shared" si="135"/>
        <v>0</v>
      </c>
      <c r="N196" s="19">
        <v>0</v>
      </c>
      <c r="O196" s="19">
        <f t="shared" si="136"/>
        <v>0</v>
      </c>
      <c r="P196" s="88" t="s">
        <v>531</v>
      </c>
      <c r="Z196" s="19">
        <f t="shared" si="137"/>
        <v>0</v>
      </c>
      <c r="AB196" s="19">
        <f t="shared" si="138"/>
        <v>0</v>
      </c>
      <c r="AC196" s="19">
        <f t="shared" si="139"/>
        <v>0</v>
      </c>
      <c r="AD196" s="19">
        <f t="shared" si="140"/>
        <v>0</v>
      </c>
      <c r="AE196" s="19">
        <f t="shared" si="141"/>
        <v>0</v>
      </c>
      <c r="AF196" s="19">
        <f t="shared" si="142"/>
        <v>0</v>
      </c>
      <c r="AG196" s="19">
        <f t="shared" si="143"/>
        <v>0</v>
      </c>
      <c r="AH196" s="19">
        <f t="shared" si="144"/>
        <v>0</v>
      </c>
      <c r="AI196" s="16" t="s">
        <v>437</v>
      </c>
      <c r="AJ196" s="19">
        <f t="shared" si="145"/>
        <v>0</v>
      </c>
      <c r="AK196" s="19">
        <f t="shared" si="146"/>
        <v>0</v>
      </c>
      <c r="AL196" s="19">
        <f t="shared" si="147"/>
        <v>0</v>
      </c>
      <c r="AN196" s="19">
        <v>12</v>
      </c>
      <c r="AO196" s="19">
        <f>H196*0</f>
        <v>0</v>
      </c>
      <c r="AP196" s="19">
        <f>H196*(1-0)</f>
        <v>0</v>
      </c>
      <c r="AQ196" s="89" t="s">
        <v>532</v>
      </c>
      <c r="AV196" s="19">
        <f t="shared" si="148"/>
        <v>0</v>
      </c>
      <c r="AW196" s="19">
        <f t="shared" si="149"/>
        <v>0</v>
      </c>
      <c r="AX196" s="19">
        <f t="shared" si="150"/>
        <v>0</v>
      </c>
      <c r="AY196" s="89" t="s">
        <v>661</v>
      </c>
      <c r="AZ196" s="89" t="s">
        <v>690</v>
      </c>
      <c r="BA196" s="16" t="s">
        <v>691</v>
      </c>
      <c r="BC196" s="19">
        <f t="shared" si="151"/>
        <v>0</v>
      </c>
      <c r="BD196" s="19">
        <f t="shared" si="152"/>
        <v>0</v>
      </c>
      <c r="BE196" s="19">
        <v>0</v>
      </c>
      <c r="BF196" s="19">
        <f t="shared" si="153"/>
        <v>0</v>
      </c>
      <c r="BH196" s="19">
        <f t="shared" si="154"/>
        <v>0</v>
      </c>
      <c r="BI196" s="19">
        <f t="shared" si="155"/>
        <v>0</v>
      </c>
      <c r="BJ196" s="19">
        <f t="shared" si="156"/>
        <v>0</v>
      </c>
      <c r="BK196" s="89" t="s">
        <v>30</v>
      </c>
      <c r="BL196" s="19">
        <v>723</v>
      </c>
      <c r="BW196" s="19">
        <f t="shared" si="157"/>
        <v>12</v>
      </c>
      <c r="BX196" s="4" t="s">
        <v>240</v>
      </c>
    </row>
    <row r="197" spans="1:76" x14ac:dyDescent="0.25">
      <c r="A197" s="1" t="s">
        <v>698</v>
      </c>
      <c r="B197" s="2" t="s">
        <v>437</v>
      </c>
      <c r="C197" s="2" t="s">
        <v>243</v>
      </c>
      <c r="D197" s="96" t="s">
        <v>244</v>
      </c>
      <c r="E197" s="97"/>
      <c r="F197" s="2" t="s">
        <v>33</v>
      </c>
      <c r="G197" s="19">
        <f>'Rozpočet - vybrané sloupce'!I163</f>
        <v>22</v>
      </c>
      <c r="H197" s="19">
        <f>'Rozpočet - vybrané sloupce'!J163</f>
        <v>0</v>
      </c>
      <c r="I197" s="87">
        <v>12</v>
      </c>
      <c r="J197" s="19">
        <f t="shared" si="132"/>
        <v>0</v>
      </c>
      <c r="K197" s="19">
        <f t="shared" si="133"/>
        <v>0</v>
      </c>
      <c r="L197" s="19">
        <f t="shared" si="134"/>
        <v>0</v>
      </c>
      <c r="M197" s="19">
        <f t="shared" si="135"/>
        <v>0</v>
      </c>
      <c r="N197" s="19">
        <v>0</v>
      </c>
      <c r="O197" s="19">
        <f t="shared" si="136"/>
        <v>0</v>
      </c>
      <c r="P197" s="88" t="s">
        <v>531</v>
      </c>
      <c r="Z197" s="19">
        <f t="shared" si="137"/>
        <v>0</v>
      </c>
      <c r="AB197" s="19">
        <f t="shared" si="138"/>
        <v>0</v>
      </c>
      <c r="AC197" s="19">
        <f t="shared" si="139"/>
        <v>0</v>
      </c>
      <c r="AD197" s="19">
        <f t="shared" si="140"/>
        <v>0</v>
      </c>
      <c r="AE197" s="19">
        <f t="shared" si="141"/>
        <v>0</v>
      </c>
      <c r="AF197" s="19">
        <f t="shared" si="142"/>
        <v>0</v>
      </c>
      <c r="AG197" s="19">
        <f t="shared" si="143"/>
        <v>0</v>
      </c>
      <c r="AH197" s="19">
        <f t="shared" si="144"/>
        <v>0</v>
      </c>
      <c r="AI197" s="16" t="s">
        <v>437</v>
      </c>
      <c r="AJ197" s="19">
        <f t="shared" si="145"/>
        <v>0</v>
      </c>
      <c r="AK197" s="19">
        <f t="shared" si="146"/>
        <v>0</v>
      </c>
      <c r="AL197" s="19">
        <f t="shared" si="147"/>
        <v>0</v>
      </c>
      <c r="AN197" s="19">
        <v>12</v>
      </c>
      <c r="AO197" s="19">
        <f>H197*0</f>
        <v>0</v>
      </c>
      <c r="AP197" s="19">
        <f>H197*(1-0)</f>
        <v>0</v>
      </c>
      <c r="AQ197" s="89" t="s">
        <v>532</v>
      </c>
      <c r="AV197" s="19">
        <f t="shared" si="148"/>
        <v>0</v>
      </c>
      <c r="AW197" s="19">
        <f t="shared" si="149"/>
        <v>0</v>
      </c>
      <c r="AX197" s="19">
        <f t="shared" si="150"/>
        <v>0</v>
      </c>
      <c r="AY197" s="89" t="s">
        <v>661</v>
      </c>
      <c r="AZ197" s="89" t="s">
        <v>690</v>
      </c>
      <c r="BA197" s="16" t="s">
        <v>691</v>
      </c>
      <c r="BC197" s="19">
        <f t="shared" si="151"/>
        <v>0</v>
      </c>
      <c r="BD197" s="19">
        <f t="shared" si="152"/>
        <v>0</v>
      </c>
      <c r="BE197" s="19">
        <v>0</v>
      </c>
      <c r="BF197" s="19">
        <f t="shared" si="153"/>
        <v>0</v>
      </c>
      <c r="BH197" s="19">
        <f t="shared" si="154"/>
        <v>0</v>
      </c>
      <c r="BI197" s="19">
        <f t="shared" si="155"/>
        <v>0</v>
      </c>
      <c r="BJ197" s="19">
        <f t="shared" si="156"/>
        <v>0</v>
      </c>
      <c r="BK197" s="89" t="s">
        <v>30</v>
      </c>
      <c r="BL197" s="19">
        <v>723</v>
      </c>
      <c r="BW197" s="19">
        <f t="shared" si="157"/>
        <v>12</v>
      </c>
      <c r="BX197" s="4" t="s">
        <v>244</v>
      </c>
    </row>
    <row r="198" spans="1:76" x14ac:dyDescent="0.25">
      <c r="A198" s="1" t="s">
        <v>699</v>
      </c>
      <c r="B198" s="2" t="s">
        <v>437</v>
      </c>
      <c r="C198" s="2" t="s">
        <v>285</v>
      </c>
      <c r="D198" s="96" t="s">
        <v>286</v>
      </c>
      <c r="E198" s="97"/>
      <c r="F198" s="2" t="s">
        <v>38</v>
      </c>
      <c r="G198" s="19">
        <f>'Rozpočet - vybrané sloupce'!I164</f>
        <v>22</v>
      </c>
      <c r="H198" s="19">
        <f>'Rozpočet - vybrané sloupce'!J164</f>
        <v>0</v>
      </c>
      <c r="I198" s="87">
        <v>12</v>
      </c>
      <c r="J198" s="19">
        <f t="shared" si="132"/>
        <v>0</v>
      </c>
      <c r="K198" s="19">
        <f t="shared" si="133"/>
        <v>0</v>
      </c>
      <c r="L198" s="19">
        <f t="shared" si="134"/>
        <v>0</v>
      </c>
      <c r="M198" s="19">
        <f t="shared" si="135"/>
        <v>0</v>
      </c>
      <c r="N198" s="19">
        <v>6.7000000000000004E-2</v>
      </c>
      <c r="O198" s="19">
        <f t="shared" si="136"/>
        <v>1.4740000000000002</v>
      </c>
      <c r="P198" s="88" t="s">
        <v>531</v>
      </c>
      <c r="Z198" s="19">
        <f t="shared" si="137"/>
        <v>0</v>
      </c>
      <c r="AB198" s="19">
        <f t="shared" si="138"/>
        <v>0</v>
      </c>
      <c r="AC198" s="19">
        <f t="shared" si="139"/>
        <v>0</v>
      </c>
      <c r="AD198" s="19">
        <f t="shared" si="140"/>
        <v>0</v>
      </c>
      <c r="AE198" s="19">
        <f t="shared" si="141"/>
        <v>0</v>
      </c>
      <c r="AF198" s="19">
        <f t="shared" si="142"/>
        <v>0</v>
      </c>
      <c r="AG198" s="19">
        <f t="shared" si="143"/>
        <v>0</v>
      </c>
      <c r="AH198" s="19">
        <f t="shared" si="144"/>
        <v>0</v>
      </c>
      <c r="AI198" s="16" t="s">
        <v>437</v>
      </c>
      <c r="AJ198" s="19">
        <f t="shared" si="145"/>
        <v>0</v>
      </c>
      <c r="AK198" s="19">
        <f t="shared" si="146"/>
        <v>0</v>
      </c>
      <c r="AL198" s="19">
        <f t="shared" si="147"/>
        <v>0</v>
      </c>
      <c r="AN198" s="19">
        <v>12</v>
      </c>
      <c r="AO198" s="19">
        <f>H198*0</f>
        <v>0</v>
      </c>
      <c r="AP198" s="19">
        <f>H198*(1-0)</f>
        <v>0</v>
      </c>
      <c r="AQ198" s="89" t="s">
        <v>532</v>
      </c>
      <c r="AV198" s="19">
        <f t="shared" si="148"/>
        <v>0</v>
      </c>
      <c r="AW198" s="19">
        <f t="shared" si="149"/>
        <v>0</v>
      </c>
      <c r="AX198" s="19">
        <f t="shared" si="150"/>
        <v>0</v>
      </c>
      <c r="AY198" s="89" t="s">
        <v>661</v>
      </c>
      <c r="AZ198" s="89" t="s">
        <v>690</v>
      </c>
      <c r="BA198" s="16" t="s">
        <v>691</v>
      </c>
      <c r="BC198" s="19">
        <f t="shared" si="151"/>
        <v>0</v>
      </c>
      <c r="BD198" s="19">
        <f t="shared" si="152"/>
        <v>0</v>
      </c>
      <c r="BE198" s="19">
        <v>0</v>
      </c>
      <c r="BF198" s="19">
        <f t="shared" si="153"/>
        <v>1.4740000000000002</v>
      </c>
      <c r="BH198" s="19">
        <f t="shared" si="154"/>
        <v>0</v>
      </c>
      <c r="BI198" s="19">
        <f t="shared" si="155"/>
        <v>0</v>
      </c>
      <c r="BJ198" s="19">
        <f t="shared" si="156"/>
        <v>0</v>
      </c>
      <c r="BK198" s="89" t="s">
        <v>30</v>
      </c>
      <c r="BL198" s="19">
        <v>723</v>
      </c>
      <c r="BW198" s="19">
        <f t="shared" si="157"/>
        <v>12</v>
      </c>
      <c r="BX198" s="4" t="s">
        <v>286</v>
      </c>
    </row>
    <row r="199" spans="1:76" x14ac:dyDescent="0.25">
      <c r="A199" s="1" t="s">
        <v>700</v>
      </c>
      <c r="B199" s="2" t="s">
        <v>437</v>
      </c>
      <c r="C199" s="2" t="s">
        <v>287</v>
      </c>
      <c r="D199" s="96" t="s">
        <v>288</v>
      </c>
      <c r="E199" s="97"/>
      <c r="F199" s="2" t="s">
        <v>33</v>
      </c>
      <c r="G199" s="19">
        <f>'Rozpočet - vybrané sloupce'!I165</f>
        <v>22</v>
      </c>
      <c r="H199" s="19">
        <f>'Rozpočet - vybrané sloupce'!J165</f>
        <v>0</v>
      </c>
      <c r="I199" s="87">
        <v>12</v>
      </c>
      <c r="J199" s="19">
        <f t="shared" si="132"/>
        <v>0</v>
      </c>
      <c r="K199" s="19">
        <f t="shared" si="133"/>
        <v>0</v>
      </c>
      <c r="L199" s="19">
        <f t="shared" si="134"/>
        <v>0</v>
      </c>
      <c r="M199" s="19">
        <f t="shared" si="135"/>
        <v>0</v>
      </c>
      <c r="N199" s="19">
        <v>5.0000000000000002E-5</v>
      </c>
      <c r="O199" s="19">
        <f t="shared" si="136"/>
        <v>1.1000000000000001E-3</v>
      </c>
      <c r="P199" s="88" t="s">
        <v>531</v>
      </c>
      <c r="Z199" s="19">
        <f t="shared" si="137"/>
        <v>0</v>
      </c>
      <c r="AB199" s="19">
        <f t="shared" si="138"/>
        <v>0</v>
      </c>
      <c r="AC199" s="19">
        <f t="shared" si="139"/>
        <v>0</v>
      </c>
      <c r="AD199" s="19">
        <f t="shared" si="140"/>
        <v>0</v>
      </c>
      <c r="AE199" s="19">
        <f t="shared" si="141"/>
        <v>0</v>
      </c>
      <c r="AF199" s="19">
        <f t="shared" si="142"/>
        <v>0</v>
      </c>
      <c r="AG199" s="19">
        <f t="shared" si="143"/>
        <v>0</v>
      </c>
      <c r="AH199" s="19">
        <f t="shared" si="144"/>
        <v>0</v>
      </c>
      <c r="AI199" s="16" t="s">
        <v>437</v>
      </c>
      <c r="AJ199" s="19">
        <f t="shared" si="145"/>
        <v>0</v>
      </c>
      <c r="AK199" s="19">
        <f t="shared" si="146"/>
        <v>0</v>
      </c>
      <c r="AL199" s="19">
        <f t="shared" si="147"/>
        <v>0</v>
      </c>
      <c r="AN199" s="19">
        <v>12</v>
      </c>
      <c r="AO199" s="19">
        <f>H199*0.036813187</f>
        <v>0</v>
      </c>
      <c r="AP199" s="19">
        <f>H199*(1-0.036813187)</f>
        <v>0</v>
      </c>
      <c r="AQ199" s="89" t="s">
        <v>532</v>
      </c>
      <c r="AV199" s="19">
        <f t="shared" si="148"/>
        <v>0</v>
      </c>
      <c r="AW199" s="19">
        <f t="shared" si="149"/>
        <v>0</v>
      </c>
      <c r="AX199" s="19">
        <f t="shared" si="150"/>
        <v>0</v>
      </c>
      <c r="AY199" s="89" t="s">
        <v>661</v>
      </c>
      <c r="AZ199" s="89" t="s">
        <v>690</v>
      </c>
      <c r="BA199" s="16" t="s">
        <v>691</v>
      </c>
      <c r="BC199" s="19">
        <f t="shared" si="151"/>
        <v>0</v>
      </c>
      <c r="BD199" s="19">
        <f t="shared" si="152"/>
        <v>0</v>
      </c>
      <c r="BE199" s="19">
        <v>0</v>
      </c>
      <c r="BF199" s="19">
        <f t="shared" si="153"/>
        <v>1.1000000000000001E-3</v>
      </c>
      <c r="BH199" s="19">
        <f t="shared" si="154"/>
        <v>0</v>
      </c>
      <c r="BI199" s="19">
        <f t="shared" si="155"/>
        <v>0</v>
      </c>
      <c r="BJ199" s="19">
        <f t="shared" si="156"/>
        <v>0</v>
      </c>
      <c r="BK199" s="89" t="s">
        <v>30</v>
      </c>
      <c r="BL199" s="19">
        <v>723</v>
      </c>
      <c r="BW199" s="19">
        <f t="shared" si="157"/>
        <v>12</v>
      </c>
      <c r="BX199" s="4" t="s">
        <v>288</v>
      </c>
    </row>
    <row r="200" spans="1:76" x14ac:dyDescent="0.25">
      <c r="A200" s="1" t="s">
        <v>701</v>
      </c>
      <c r="B200" s="2" t="s">
        <v>437</v>
      </c>
      <c r="C200" s="2" t="s">
        <v>289</v>
      </c>
      <c r="D200" s="96" t="s">
        <v>290</v>
      </c>
      <c r="E200" s="97"/>
      <c r="F200" s="2" t="s">
        <v>38</v>
      </c>
      <c r="G200" s="19">
        <f>'Rozpočet - vybrané sloupce'!I166</f>
        <v>22</v>
      </c>
      <c r="H200" s="19">
        <f>'Rozpočet - vybrané sloupce'!J166</f>
        <v>0</v>
      </c>
      <c r="I200" s="87">
        <v>12</v>
      </c>
      <c r="J200" s="19">
        <f t="shared" si="132"/>
        <v>0</v>
      </c>
      <c r="K200" s="19">
        <f t="shared" si="133"/>
        <v>0</v>
      </c>
      <c r="L200" s="19">
        <f t="shared" si="134"/>
        <v>0</v>
      </c>
      <c r="M200" s="19">
        <f t="shared" si="135"/>
        <v>0</v>
      </c>
      <c r="N200" s="19">
        <v>2E-3</v>
      </c>
      <c r="O200" s="19">
        <f t="shared" si="136"/>
        <v>4.3999999999999997E-2</v>
      </c>
      <c r="P200" s="88" t="s">
        <v>531</v>
      </c>
      <c r="Z200" s="19">
        <f t="shared" si="137"/>
        <v>0</v>
      </c>
      <c r="AB200" s="19">
        <f t="shared" si="138"/>
        <v>0</v>
      </c>
      <c r="AC200" s="19">
        <f t="shared" si="139"/>
        <v>0</v>
      </c>
      <c r="AD200" s="19">
        <f t="shared" si="140"/>
        <v>0</v>
      </c>
      <c r="AE200" s="19">
        <f t="shared" si="141"/>
        <v>0</v>
      </c>
      <c r="AF200" s="19">
        <f t="shared" si="142"/>
        <v>0</v>
      </c>
      <c r="AG200" s="19">
        <f t="shared" si="143"/>
        <v>0</v>
      </c>
      <c r="AH200" s="19">
        <f t="shared" si="144"/>
        <v>0</v>
      </c>
      <c r="AI200" s="16" t="s">
        <v>437</v>
      </c>
      <c r="AJ200" s="19">
        <f t="shared" si="145"/>
        <v>0</v>
      </c>
      <c r="AK200" s="19">
        <f t="shared" si="146"/>
        <v>0</v>
      </c>
      <c r="AL200" s="19">
        <f t="shared" si="147"/>
        <v>0</v>
      </c>
      <c r="AN200" s="19">
        <v>12</v>
      </c>
      <c r="AO200" s="19">
        <f>H200*1</f>
        <v>0</v>
      </c>
      <c r="AP200" s="19">
        <f>H200*(1-1)</f>
        <v>0</v>
      </c>
      <c r="AQ200" s="89" t="s">
        <v>532</v>
      </c>
      <c r="AV200" s="19">
        <f t="shared" si="148"/>
        <v>0</v>
      </c>
      <c r="AW200" s="19">
        <f t="shared" si="149"/>
        <v>0</v>
      </c>
      <c r="AX200" s="19">
        <f t="shared" si="150"/>
        <v>0</v>
      </c>
      <c r="AY200" s="89" t="s">
        <v>661</v>
      </c>
      <c r="AZ200" s="89" t="s">
        <v>690</v>
      </c>
      <c r="BA200" s="16" t="s">
        <v>691</v>
      </c>
      <c r="BC200" s="19">
        <f t="shared" si="151"/>
        <v>0</v>
      </c>
      <c r="BD200" s="19">
        <f t="shared" si="152"/>
        <v>0</v>
      </c>
      <c r="BE200" s="19">
        <v>0</v>
      </c>
      <c r="BF200" s="19">
        <f t="shared" si="153"/>
        <v>4.3999999999999997E-2</v>
      </c>
      <c r="BH200" s="19">
        <f t="shared" si="154"/>
        <v>0</v>
      </c>
      <c r="BI200" s="19">
        <f t="shared" si="155"/>
        <v>0</v>
      </c>
      <c r="BJ200" s="19">
        <f t="shared" si="156"/>
        <v>0</v>
      </c>
      <c r="BK200" s="89" t="s">
        <v>53</v>
      </c>
      <c r="BL200" s="19">
        <v>723</v>
      </c>
      <c r="BW200" s="19">
        <f t="shared" si="157"/>
        <v>12</v>
      </c>
      <c r="BX200" s="4" t="s">
        <v>290</v>
      </c>
    </row>
    <row r="201" spans="1:76" x14ac:dyDescent="0.25">
      <c r="A201" s="1" t="s">
        <v>702</v>
      </c>
      <c r="B201" s="2" t="s">
        <v>437</v>
      </c>
      <c r="C201" s="2" t="s">
        <v>291</v>
      </c>
      <c r="D201" s="96" t="s">
        <v>292</v>
      </c>
      <c r="E201" s="97"/>
      <c r="F201" s="2" t="s">
        <v>38</v>
      </c>
      <c r="G201" s="19">
        <f>'Rozpočet - vybrané sloupce'!I167</f>
        <v>22</v>
      </c>
      <c r="H201" s="19">
        <f>'Rozpočet - vybrané sloupce'!J167</f>
        <v>0</v>
      </c>
      <c r="I201" s="87">
        <v>12</v>
      </c>
      <c r="J201" s="19">
        <f t="shared" si="132"/>
        <v>0</v>
      </c>
      <c r="K201" s="19">
        <f t="shared" si="133"/>
        <v>0</v>
      </c>
      <c r="L201" s="19">
        <f t="shared" si="134"/>
        <v>0</v>
      </c>
      <c r="M201" s="19">
        <f t="shared" si="135"/>
        <v>0</v>
      </c>
      <c r="N201" s="19">
        <v>0</v>
      </c>
      <c r="O201" s="19">
        <f t="shared" si="136"/>
        <v>0</v>
      </c>
      <c r="P201" s="88" t="s">
        <v>531</v>
      </c>
      <c r="Z201" s="19">
        <f t="shared" si="137"/>
        <v>0</v>
      </c>
      <c r="AB201" s="19">
        <f t="shared" si="138"/>
        <v>0</v>
      </c>
      <c r="AC201" s="19">
        <f t="shared" si="139"/>
        <v>0</v>
      </c>
      <c r="AD201" s="19">
        <f t="shared" si="140"/>
        <v>0</v>
      </c>
      <c r="AE201" s="19">
        <f t="shared" si="141"/>
        <v>0</v>
      </c>
      <c r="AF201" s="19">
        <f t="shared" si="142"/>
        <v>0</v>
      </c>
      <c r="AG201" s="19">
        <f t="shared" si="143"/>
        <v>0</v>
      </c>
      <c r="AH201" s="19">
        <f t="shared" si="144"/>
        <v>0</v>
      </c>
      <c r="AI201" s="16" t="s">
        <v>437</v>
      </c>
      <c r="AJ201" s="19">
        <f t="shared" si="145"/>
        <v>0</v>
      </c>
      <c r="AK201" s="19">
        <f t="shared" si="146"/>
        <v>0</v>
      </c>
      <c r="AL201" s="19">
        <f t="shared" si="147"/>
        <v>0</v>
      </c>
      <c r="AN201" s="19">
        <v>12</v>
      </c>
      <c r="AO201" s="19">
        <f>H201*0</f>
        <v>0</v>
      </c>
      <c r="AP201" s="19">
        <f>H201*(1-0)</f>
        <v>0</v>
      </c>
      <c r="AQ201" s="89" t="s">
        <v>532</v>
      </c>
      <c r="AV201" s="19">
        <f t="shared" si="148"/>
        <v>0</v>
      </c>
      <c r="AW201" s="19">
        <f t="shared" si="149"/>
        <v>0</v>
      </c>
      <c r="AX201" s="19">
        <f t="shared" si="150"/>
        <v>0</v>
      </c>
      <c r="AY201" s="89" t="s">
        <v>661</v>
      </c>
      <c r="AZ201" s="89" t="s">
        <v>690</v>
      </c>
      <c r="BA201" s="16" t="s">
        <v>691</v>
      </c>
      <c r="BC201" s="19">
        <f t="shared" si="151"/>
        <v>0</v>
      </c>
      <c r="BD201" s="19">
        <f t="shared" si="152"/>
        <v>0</v>
      </c>
      <c r="BE201" s="19">
        <v>0</v>
      </c>
      <c r="BF201" s="19">
        <f t="shared" si="153"/>
        <v>0</v>
      </c>
      <c r="BH201" s="19">
        <f t="shared" si="154"/>
        <v>0</v>
      </c>
      <c r="BI201" s="19">
        <f t="shared" si="155"/>
        <v>0</v>
      </c>
      <c r="BJ201" s="19">
        <f t="shared" si="156"/>
        <v>0</v>
      </c>
      <c r="BK201" s="89" t="s">
        <v>30</v>
      </c>
      <c r="BL201" s="19">
        <v>723</v>
      </c>
      <c r="BW201" s="19">
        <f t="shared" si="157"/>
        <v>12</v>
      </c>
      <c r="BX201" s="4" t="s">
        <v>292</v>
      </c>
    </row>
    <row r="202" spans="1:76" x14ac:dyDescent="0.25">
      <c r="A202" s="1" t="s">
        <v>703</v>
      </c>
      <c r="B202" s="2" t="s">
        <v>437</v>
      </c>
      <c r="C202" s="2" t="s">
        <v>272</v>
      </c>
      <c r="D202" s="96" t="s">
        <v>273</v>
      </c>
      <c r="E202" s="97"/>
      <c r="F202" s="2" t="s">
        <v>90</v>
      </c>
      <c r="G202" s="19">
        <f>'Rozpočet - vybrané sloupce'!I168</f>
        <v>0.2</v>
      </c>
      <c r="H202" s="19">
        <f>'Rozpočet - vybrané sloupce'!J168</f>
        <v>0</v>
      </c>
      <c r="I202" s="87">
        <v>12</v>
      </c>
      <c r="J202" s="19">
        <f t="shared" si="132"/>
        <v>0</v>
      </c>
      <c r="K202" s="19">
        <f t="shared" si="133"/>
        <v>0</v>
      </c>
      <c r="L202" s="19">
        <f t="shared" si="134"/>
        <v>0</v>
      </c>
      <c r="M202" s="19">
        <f t="shared" si="135"/>
        <v>0</v>
      </c>
      <c r="N202" s="19">
        <v>0</v>
      </c>
      <c r="O202" s="19">
        <f t="shared" si="136"/>
        <v>0</v>
      </c>
      <c r="P202" s="88" t="s">
        <v>531</v>
      </c>
      <c r="Z202" s="19">
        <f t="shared" si="137"/>
        <v>0</v>
      </c>
      <c r="AB202" s="19">
        <f t="shared" si="138"/>
        <v>0</v>
      </c>
      <c r="AC202" s="19">
        <f t="shared" si="139"/>
        <v>0</v>
      </c>
      <c r="AD202" s="19">
        <f t="shared" si="140"/>
        <v>0</v>
      </c>
      <c r="AE202" s="19">
        <f t="shared" si="141"/>
        <v>0</v>
      </c>
      <c r="AF202" s="19">
        <f t="shared" si="142"/>
        <v>0</v>
      </c>
      <c r="AG202" s="19">
        <f t="shared" si="143"/>
        <v>0</v>
      </c>
      <c r="AH202" s="19">
        <f t="shared" si="144"/>
        <v>0</v>
      </c>
      <c r="AI202" s="16" t="s">
        <v>437</v>
      </c>
      <c r="AJ202" s="19">
        <f t="shared" si="145"/>
        <v>0</v>
      </c>
      <c r="AK202" s="19">
        <f t="shared" si="146"/>
        <v>0</v>
      </c>
      <c r="AL202" s="19">
        <f t="shared" si="147"/>
        <v>0</v>
      </c>
      <c r="AN202" s="19">
        <v>12</v>
      </c>
      <c r="AO202" s="19">
        <f>H202*0</f>
        <v>0</v>
      </c>
      <c r="AP202" s="19">
        <f>H202*(1-0)</f>
        <v>0</v>
      </c>
      <c r="AQ202" s="89" t="s">
        <v>532</v>
      </c>
      <c r="AV202" s="19">
        <f t="shared" si="148"/>
        <v>0</v>
      </c>
      <c r="AW202" s="19">
        <f t="shared" si="149"/>
        <v>0</v>
      </c>
      <c r="AX202" s="19">
        <f t="shared" si="150"/>
        <v>0</v>
      </c>
      <c r="AY202" s="89" t="s">
        <v>661</v>
      </c>
      <c r="AZ202" s="89" t="s">
        <v>690</v>
      </c>
      <c r="BA202" s="16" t="s">
        <v>691</v>
      </c>
      <c r="BC202" s="19">
        <f t="shared" si="151"/>
        <v>0</v>
      </c>
      <c r="BD202" s="19">
        <f t="shared" si="152"/>
        <v>0</v>
      </c>
      <c r="BE202" s="19">
        <v>0</v>
      </c>
      <c r="BF202" s="19">
        <f t="shared" si="153"/>
        <v>0</v>
      </c>
      <c r="BH202" s="19">
        <f t="shared" si="154"/>
        <v>0</v>
      </c>
      <c r="BI202" s="19">
        <f t="shared" si="155"/>
        <v>0</v>
      </c>
      <c r="BJ202" s="19">
        <f t="shared" si="156"/>
        <v>0</v>
      </c>
      <c r="BK202" s="89" t="s">
        <v>30</v>
      </c>
      <c r="BL202" s="19">
        <v>723</v>
      </c>
      <c r="BW202" s="19">
        <f t="shared" si="157"/>
        <v>12</v>
      </c>
      <c r="BX202" s="4" t="s">
        <v>273</v>
      </c>
    </row>
    <row r="203" spans="1:76" x14ac:dyDescent="0.25">
      <c r="A203" s="90"/>
      <c r="C203" s="91" t="s">
        <v>547</v>
      </c>
      <c r="D203" s="180" t="s">
        <v>572</v>
      </c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2"/>
      <c r="BX203" s="92" t="s">
        <v>572</v>
      </c>
    </row>
    <row r="204" spans="1:76" x14ac:dyDescent="0.25">
      <c r="A204" s="1" t="s">
        <v>704</v>
      </c>
      <c r="B204" s="2" t="s">
        <v>437</v>
      </c>
      <c r="C204" s="2" t="s">
        <v>274</v>
      </c>
      <c r="D204" s="96" t="s">
        <v>275</v>
      </c>
      <c r="E204" s="97"/>
      <c r="F204" s="2" t="s">
        <v>41</v>
      </c>
      <c r="G204" s="19">
        <f>'Rozpočet - vybrané sloupce'!I169</f>
        <v>1220</v>
      </c>
      <c r="H204" s="19">
        <f>'Rozpočet - vybrané sloupce'!J169</f>
        <v>0</v>
      </c>
      <c r="I204" s="87">
        <v>12</v>
      </c>
      <c r="J204" s="19">
        <f>ROUND(G204*AO204,2)</f>
        <v>0</v>
      </c>
      <c r="K204" s="19">
        <f>ROUND(G204*AP204,2)</f>
        <v>0</v>
      </c>
      <c r="L204" s="19">
        <f>ROUND(G204*H204,2)</f>
        <v>0</v>
      </c>
      <c r="M204" s="19">
        <f>L204*(1+BW204/100)</f>
        <v>0</v>
      </c>
      <c r="N204" s="19">
        <v>0</v>
      </c>
      <c r="O204" s="19">
        <f>G204*N204</f>
        <v>0</v>
      </c>
      <c r="P204" s="88" t="s">
        <v>531</v>
      </c>
      <c r="Z204" s="19">
        <f>ROUND(IF(AQ204="5",BJ204,0),2)</f>
        <v>0</v>
      </c>
      <c r="AB204" s="19">
        <f>ROUND(IF(AQ204="1",BH204,0),2)</f>
        <v>0</v>
      </c>
      <c r="AC204" s="19">
        <f>ROUND(IF(AQ204="1",BI204,0),2)</f>
        <v>0</v>
      </c>
      <c r="AD204" s="19">
        <f>ROUND(IF(AQ204="7",BH204,0),2)</f>
        <v>0</v>
      </c>
      <c r="AE204" s="19">
        <f>ROUND(IF(AQ204="7",BI204,0),2)</f>
        <v>0</v>
      </c>
      <c r="AF204" s="19">
        <f>ROUND(IF(AQ204="2",BH204,0),2)</f>
        <v>0</v>
      </c>
      <c r="AG204" s="19">
        <f>ROUND(IF(AQ204="2",BI204,0),2)</f>
        <v>0</v>
      </c>
      <c r="AH204" s="19">
        <f>ROUND(IF(AQ204="0",BJ204,0),2)</f>
        <v>0</v>
      </c>
      <c r="AI204" s="16" t="s">
        <v>437</v>
      </c>
      <c r="AJ204" s="19">
        <f>IF(AN204=0,L204,0)</f>
        <v>0</v>
      </c>
      <c r="AK204" s="19">
        <f>IF(AN204=12,L204,0)</f>
        <v>0</v>
      </c>
      <c r="AL204" s="19">
        <f>IF(AN204=21,L204,0)</f>
        <v>0</v>
      </c>
      <c r="AN204" s="19">
        <v>12</v>
      </c>
      <c r="AO204" s="19">
        <f>H204*0</f>
        <v>0</v>
      </c>
      <c r="AP204" s="19">
        <f>H204*(1-0)</f>
        <v>0</v>
      </c>
      <c r="AQ204" s="89" t="s">
        <v>540</v>
      </c>
      <c r="AV204" s="19">
        <f>ROUND(AW204+AX204,2)</f>
        <v>0</v>
      </c>
      <c r="AW204" s="19">
        <f>ROUND(G204*AO204,2)</f>
        <v>0</v>
      </c>
      <c r="AX204" s="19">
        <f>ROUND(G204*AP204,2)</f>
        <v>0</v>
      </c>
      <c r="AY204" s="89" t="s">
        <v>661</v>
      </c>
      <c r="AZ204" s="89" t="s">
        <v>690</v>
      </c>
      <c r="BA204" s="16" t="s">
        <v>691</v>
      </c>
      <c r="BC204" s="19">
        <f>AW204+AX204</f>
        <v>0</v>
      </c>
      <c r="BD204" s="19">
        <f>H204/(100-BE204)*100</f>
        <v>0</v>
      </c>
      <c r="BE204" s="19">
        <v>0</v>
      </c>
      <c r="BF204" s="19">
        <f>O204</f>
        <v>0</v>
      </c>
      <c r="BH204" s="19">
        <f>G204*AO204</f>
        <v>0</v>
      </c>
      <c r="BI204" s="19">
        <f>G204*AP204</f>
        <v>0</v>
      </c>
      <c r="BJ204" s="19">
        <f>G204*H204</f>
        <v>0</v>
      </c>
      <c r="BK204" s="89" t="s">
        <v>30</v>
      </c>
      <c r="BL204" s="19">
        <v>723</v>
      </c>
      <c r="BW204" s="19">
        <f>I204</f>
        <v>12</v>
      </c>
      <c r="BX204" s="4" t="s">
        <v>275</v>
      </c>
    </row>
    <row r="205" spans="1:76" x14ac:dyDescent="0.25">
      <c r="A205" s="84" t="s">
        <v>23</v>
      </c>
      <c r="B205" s="15" t="s">
        <v>438</v>
      </c>
      <c r="C205" s="15" t="s">
        <v>23</v>
      </c>
      <c r="D205" s="152" t="s">
        <v>293</v>
      </c>
      <c r="E205" s="153"/>
      <c r="F205" s="85" t="s">
        <v>22</v>
      </c>
      <c r="G205" s="85" t="s">
        <v>22</v>
      </c>
      <c r="H205" s="85" t="s">
        <v>22</v>
      </c>
      <c r="I205" s="85" t="s">
        <v>22</v>
      </c>
      <c r="J205" s="60">
        <f>J206+J223+J228+J230+J235+J239+J241+J243+J245+J255</f>
        <v>0</v>
      </c>
      <c r="K205" s="60">
        <f>K206+K223+K228+K230+K235+K239+K241+K243+K245+K255</f>
        <v>0</v>
      </c>
      <c r="L205" s="60">
        <f>L206+L223+L228+L230+L235+L239+L241+L243+L245+L255</f>
        <v>0</v>
      </c>
      <c r="M205" s="60">
        <f>M206+M223+M228+M230+M235+M239+M241+M243+M245+M255</f>
        <v>0</v>
      </c>
      <c r="N205" s="16" t="s">
        <v>23</v>
      </c>
      <c r="O205" s="60">
        <f>O206+O223+O228+O230+O235+O239+O241+O243+O245+O255</f>
        <v>11.419726000000001</v>
      </c>
      <c r="P205" s="86" t="s">
        <v>23</v>
      </c>
    </row>
    <row r="206" spans="1:76" x14ac:dyDescent="0.25">
      <c r="A206" s="84" t="s">
        <v>23</v>
      </c>
      <c r="B206" s="15" t="s">
        <v>438</v>
      </c>
      <c r="C206" s="15" t="s">
        <v>294</v>
      </c>
      <c r="D206" s="152" t="s">
        <v>295</v>
      </c>
      <c r="E206" s="153"/>
      <c r="F206" s="85" t="s">
        <v>22</v>
      </c>
      <c r="G206" s="85" t="s">
        <v>22</v>
      </c>
      <c r="H206" s="85" t="s">
        <v>22</v>
      </c>
      <c r="I206" s="85" t="s">
        <v>22</v>
      </c>
      <c r="J206" s="60">
        <f>SUM(J207:J222)</f>
        <v>0</v>
      </c>
      <c r="K206" s="60">
        <f>SUM(K207:K222)</f>
        <v>0</v>
      </c>
      <c r="L206" s="60">
        <f>SUM(L207:L222)</f>
        <v>0</v>
      </c>
      <c r="M206" s="60">
        <f>SUM(M207:M222)</f>
        <v>0</v>
      </c>
      <c r="N206" s="16" t="s">
        <v>23</v>
      </c>
      <c r="O206" s="60">
        <f>SUM(O207:O222)</f>
        <v>2.2897950000000002</v>
      </c>
      <c r="P206" s="86" t="s">
        <v>23</v>
      </c>
      <c r="AI206" s="16" t="s">
        <v>438</v>
      </c>
      <c r="AS206" s="60">
        <f>SUM(AJ207:AJ222)</f>
        <v>0</v>
      </c>
      <c r="AT206" s="60">
        <f>SUM(AK207:AK222)</f>
        <v>0</v>
      </c>
      <c r="AU206" s="60">
        <f>SUM(AL207:AL222)</f>
        <v>0</v>
      </c>
    </row>
    <row r="207" spans="1:76" x14ac:dyDescent="0.25">
      <c r="A207" s="1" t="s">
        <v>705</v>
      </c>
      <c r="B207" s="2" t="s">
        <v>438</v>
      </c>
      <c r="C207" s="2" t="s">
        <v>296</v>
      </c>
      <c r="D207" s="96" t="s">
        <v>297</v>
      </c>
      <c r="E207" s="97"/>
      <c r="F207" s="2" t="s">
        <v>38</v>
      </c>
      <c r="G207" s="19">
        <f>'Rozpočet - vybrané sloupce'!I172</f>
        <v>22</v>
      </c>
      <c r="H207" s="19">
        <f>'Rozpočet - vybrané sloupce'!J172</f>
        <v>0</v>
      </c>
      <c r="I207" s="87">
        <v>12</v>
      </c>
      <c r="J207" s="19">
        <f>ROUND(G207*AO207,2)</f>
        <v>0</v>
      </c>
      <c r="K207" s="19">
        <f>ROUND(G207*AP207,2)</f>
        <v>0</v>
      </c>
      <c r="L207" s="19">
        <f>ROUND(G207*H207,2)</f>
        <v>0</v>
      </c>
      <c r="M207" s="19">
        <f>L207*(1+BW207/100)</f>
        <v>0</v>
      </c>
      <c r="N207" s="19">
        <v>0</v>
      </c>
      <c r="O207" s="19">
        <f>G207*N207</f>
        <v>0</v>
      </c>
      <c r="P207" s="88" t="s">
        <v>706</v>
      </c>
      <c r="Z207" s="19">
        <f>ROUND(IF(AQ207="5",BJ207,0),2)</f>
        <v>0</v>
      </c>
      <c r="AB207" s="19">
        <f>ROUND(IF(AQ207="1",BH207,0),2)</f>
        <v>0</v>
      </c>
      <c r="AC207" s="19">
        <f>ROUND(IF(AQ207="1",BI207,0),2)</f>
        <v>0</v>
      </c>
      <c r="AD207" s="19">
        <f>ROUND(IF(AQ207="7",BH207,0),2)</f>
        <v>0</v>
      </c>
      <c r="AE207" s="19">
        <f>ROUND(IF(AQ207="7",BI207,0),2)</f>
        <v>0</v>
      </c>
      <c r="AF207" s="19">
        <f>ROUND(IF(AQ207="2",BH207,0),2)</f>
        <v>0</v>
      </c>
      <c r="AG207" s="19">
        <f>ROUND(IF(AQ207="2",BI207,0),2)</f>
        <v>0</v>
      </c>
      <c r="AH207" s="19">
        <f>ROUND(IF(AQ207="0",BJ207,0),2)</f>
        <v>0</v>
      </c>
      <c r="AI207" s="16" t="s">
        <v>438</v>
      </c>
      <c r="AJ207" s="19">
        <f>IF(AN207=0,L207,0)</f>
        <v>0</v>
      </c>
      <c r="AK207" s="19">
        <f>IF(AN207=12,L207,0)</f>
        <v>0</v>
      </c>
      <c r="AL207" s="19">
        <f>IF(AN207=21,L207,0)</f>
        <v>0</v>
      </c>
      <c r="AN207" s="19">
        <v>12</v>
      </c>
      <c r="AO207" s="19">
        <f>H207*0</f>
        <v>0</v>
      </c>
      <c r="AP207" s="19">
        <f>H207*(1-0)</f>
        <v>0</v>
      </c>
      <c r="AQ207" s="89" t="s">
        <v>530</v>
      </c>
      <c r="AV207" s="19">
        <f>ROUND(AW207+AX207,2)</f>
        <v>0</v>
      </c>
      <c r="AW207" s="19">
        <f>ROUND(G207*AO207,2)</f>
        <v>0</v>
      </c>
      <c r="AX207" s="19">
        <f>ROUND(G207*AP207,2)</f>
        <v>0</v>
      </c>
      <c r="AY207" s="89" t="s">
        <v>707</v>
      </c>
      <c r="AZ207" s="89" t="s">
        <v>708</v>
      </c>
      <c r="BA207" s="16" t="s">
        <v>709</v>
      </c>
      <c r="BC207" s="19">
        <f>AW207+AX207</f>
        <v>0</v>
      </c>
      <c r="BD207" s="19">
        <f>H207/(100-BE207)*100</f>
        <v>0</v>
      </c>
      <c r="BE207" s="19">
        <v>0</v>
      </c>
      <c r="BF207" s="19">
        <f>O207</f>
        <v>0</v>
      </c>
      <c r="BH207" s="19">
        <f>G207*AO207</f>
        <v>0</v>
      </c>
      <c r="BI207" s="19">
        <f>G207*AP207</f>
        <v>0</v>
      </c>
      <c r="BJ207" s="19">
        <f>G207*H207</f>
        <v>0</v>
      </c>
      <c r="BK207" s="89" t="s">
        <v>30</v>
      </c>
      <c r="BL207" s="19">
        <v>34</v>
      </c>
      <c r="BW207" s="19">
        <f>I207</f>
        <v>12</v>
      </c>
      <c r="BX207" s="4" t="s">
        <v>297</v>
      </c>
    </row>
    <row r="208" spans="1:76" x14ac:dyDescent="0.25">
      <c r="A208" s="1" t="s">
        <v>710</v>
      </c>
      <c r="B208" s="2" t="s">
        <v>438</v>
      </c>
      <c r="C208" s="2" t="s">
        <v>298</v>
      </c>
      <c r="D208" s="96" t="s">
        <v>299</v>
      </c>
      <c r="E208" s="97"/>
      <c r="F208" s="2" t="s">
        <v>33</v>
      </c>
      <c r="G208" s="19">
        <f>'Rozpočet - vybrané sloupce'!I173</f>
        <v>22</v>
      </c>
      <c r="H208" s="19">
        <f>'Rozpočet - vybrané sloupce'!J173</f>
        <v>0</v>
      </c>
      <c r="I208" s="87">
        <v>12</v>
      </c>
      <c r="J208" s="19">
        <f>ROUND(G208*AO208,2)</f>
        <v>0</v>
      </c>
      <c r="K208" s="19">
        <f>ROUND(G208*AP208,2)</f>
        <v>0</v>
      </c>
      <c r="L208" s="19">
        <f>ROUND(G208*H208,2)</f>
        <v>0</v>
      </c>
      <c r="M208" s="19">
        <f>L208*(1+BW208/100)</f>
        <v>0</v>
      </c>
      <c r="N208" s="19">
        <v>7.0250000000000007E-2</v>
      </c>
      <c r="O208" s="19">
        <f>G208*N208</f>
        <v>1.5455000000000001</v>
      </c>
      <c r="P208" s="88" t="s">
        <v>531</v>
      </c>
      <c r="Z208" s="19">
        <f>ROUND(IF(AQ208="5",BJ208,0),2)</f>
        <v>0</v>
      </c>
      <c r="AB208" s="19">
        <f>ROUND(IF(AQ208="1",BH208,0),2)</f>
        <v>0</v>
      </c>
      <c r="AC208" s="19">
        <f>ROUND(IF(AQ208="1",BI208,0),2)</f>
        <v>0</v>
      </c>
      <c r="AD208" s="19">
        <f>ROUND(IF(AQ208="7",BH208,0),2)</f>
        <v>0</v>
      </c>
      <c r="AE208" s="19">
        <f>ROUND(IF(AQ208="7",BI208,0),2)</f>
        <v>0</v>
      </c>
      <c r="AF208" s="19">
        <f>ROUND(IF(AQ208="2",BH208,0),2)</f>
        <v>0</v>
      </c>
      <c r="AG208" s="19">
        <f>ROUND(IF(AQ208="2",BI208,0),2)</f>
        <v>0</v>
      </c>
      <c r="AH208" s="19">
        <f>ROUND(IF(AQ208="0",BJ208,0),2)</f>
        <v>0</v>
      </c>
      <c r="AI208" s="16" t="s">
        <v>438</v>
      </c>
      <c r="AJ208" s="19">
        <f>IF(AN208=0,L208,0)</f>
        <v>0</v>
      </c>
      <c r="AK208" s="19">
        <f>IF(AN208=12,L208,0)</f>
        <v>0</v>
      </c>
      <c r="AL208" s="19">
        <f>IF(AN208=21,L208,0)</f>
        <v>0</v>
      </c>
      <c r="AN208" s="19">
        <v>12</v>
      </c>
      <c r="AO208" s="19">
        <f>H208*0.497162857</f>
        <v>0</v>
      </c>
      <c r="AP208" s="19">
        <f>H208*(1-0.497162857)</f>
        <v>0</v>
      </c>
      <c r="AQ208" s="89" t="s">
        <v>530</v>
      </c>
      <c r="AV208" s="19">
        <f>ROUND(AW208+AX208,2)</f>
        <v>0</v>
      </c>
      <c r="AW208" s="19">
        <f>ROUND(G208*AO208,2)</f>
        <v>0</v>
      </c>
      <c r="AX208" s="19">
        <f>ROUND(G208*AP208,2)</f>
        <v>0</v>
      </c>
      <c r="AY208" s="89" t="s">
        <v>707</v>
      </c>
      <c r="AZ208" s="89" t="s">
        <v>708</v>
      </c>
      <c r="BA208" s="16" t="s">
        <v>709</v>
      </c>
      <c r="BC208" s="19">
        <f>AW208+AX208</f>
        <v>0</v>
      </c>
      <c r="BD208" s="19">
        <f>H208/(100-BE208)*100</f>
        <v>0</v>
      </c>
      <c r="BE208" s="19">
        <v>0</v>
      </c>
      <c r="BF208" s="19">
        <f>O208</f>
        <v>1.5455000000000001</v>
      </c>
      <c r="BH208" s="19">
        <f>G208*AO208</f>
        <v>0</v>
      </c>
      <c r="BI208" s="19">
        <f>G208*AP208</f>
        <v>0</v>
      </c>
      <c r="BJ208" s="19">
        <f>G208*H208</f>
        <v>0</v>
      </c>
      <c r="BK208" s="89" t="s">
        <v>30</v>
      </c>
      <c r="BL208" s="19">
        <v>34</v>
      </c>
      <c r="BW208" s="19">
        <f>I208</f>
        <v>12</v>
      </c>
      <c r="BX208" s="4" t="s">
        <v>299</v>
      </c>
    </row>
    <row r="209" spans="1:76" x14ac:dyDescent="0.25">
      <c r="A209" s="1" t="s">
        <v>711</v>
      </c>
      <c r="B209" s="2" t="s">
        <v>438</v>
      </c>
      <c r="C209" s="2" t="s">
        <v>300</v>
      </c>
      <c r="D209" s="96" t="s">
        <v>301</v>
      </c>
      <c r="E209" s="97"/>
      <c r="F209" s="2" t="s">
        <v>33</v>
      </c>
      <c r="G209" s="19">
        <f>'Rozpočet - vybrané sloupce'!I174</f>
        <v>22</v>
      </c>
      <c r="H209" s="19">
        <f>'Rozpočet - vybrané sloupce'!J174</f>
        <v>0</v>
      </c>
      <c r="I209" s="87">
        <v>12</v>
      </c>
      <c r="J209" s="19">
        <f>ROUND(G209*AO209,2)</f>
        <v>0</v>
      </c>
      <c r="K209" s="19">
        <f>ROUND(G209*AP209,2)</f>
        <v>0</v>
      </c>
      <c r="L209" s="19">
        <f>ROUND(G209*H209,2)</f>
        <v>0</v>
      </c>
      <c r="M209" s="19">
        <f>L209*(1+BW209/100)</f>
        <v>0</v>
      </c>
      <c r="N209" s="19">
        <v>2.4000000000000001E-4</v>
      </c>
      <c r="O209" s="19">
        <f>G209*N209</f>
        <v>5.28E-3</v>
      </c>
      <c r="P209" s="88" t="s">
        <v>531</v>
      </c>
      <c r="Z209" s="19">
        <f>ROUND(IF(AQ209="5",BJ209,0),2)</f>
        <v>0</v>
      </c>
      <c r="AB209" s="19">
        <f>ROUND(IF(AQ209="1",BH209,0),2)</f>
        <v>0</v>
      </c>
      <c r="AC209" s="19">
        <f>ROUND(IF(AQ209="1",BI209,0),2)</f>
        <v>0</v>
      </c>
      <c r="AD209" s="19">
        <f>ROUND(IF(AQ209="7",BH209,0),2)</f>
        <v>0</v>
      </c>
      <c r="AE209" s="19">
        <f>ROUND(IF(AQ209="7",BI209,0),2)</f>
        <v>0</v>
      </c>
      <c r="AF209" s="19">
        <f>ROUND(IF(AQ209="2",BH209,0),2)</f>
        <v>0</v>
      </c>
      <c r="AG209" s="19">
        <f>ROUND(IF(AQ209="2",BI209,0),2)</f>
        <v>0</v>
      </c>
      <c r="AH209" s="19">
        <f>ROUND(IF(AQ209="0",BJ209,0),2)</f>
        <v>0</v>
      </c>
      <c r="AI209" s="16" t="s">
        <v>438</v>
      </c>
      <c r="AJ209" s="19">
        <f>IF(AN209=0,L209,0)</f>
        <v>0</v>
      </c>
      <c r="AK209" s="19">
        <f>IF(AN209=12,L209,0)</f>
        <v>0</v>
      </c>
      <c r="AL209" s="19">
        <f>IF(AN209=21,L209,0)</f>
        <v>0</v>
      </c>
      <c r="AN209" s="19">
        <v>12</v>
      </c>
      <c r="AO209" s="19">
        <f>H209*0.018723926</f>
        <v>0</v>
      </c>
      <c r="AP209" s="19">
        <f>H209*(1-0.018723926)</f>
        <v>0</v>
      </c>
      <c r="AQ209" s="89" t="s">
        <v>530</v>
      </c>
      <c r="AV209" s="19">
        <f>ROUND(AW209+AX209,2)</f>
        <v>0</v>
      </c>
      <c r="AW209" s="19">
        <f>ROUND(G209*AO209,2)</f>
        <v>0</v>
      </c>
      <c r="AX209" s="19">
        <f>ROUND(G209*AP209,2)</f>
        <v>0</v>
      </c>
      <c r="AY209" s="89" t="s">
        <v>707</v>
      </c>
      <c r="AZ209" s="89" t="s">
        <v>708</v>
      </c>
      <c r="BA209" s="16" t="s">
        <v>709</v>
      </c>
      <c r="BC209" s="19">
        <f>AW209+AX209</f>
        <v>0</v>
      </c>
      <c r="BD209" s="19">
        <f>H209/(100-BE209)*100</f>
        <v>0</v>
      </c>
      <c r="BE209" s="19">
        <v>0</v>
      </c>
      <c r="BF209" s="19">
        <f>O209</f>
        <v>5.28E-3</v>
      </c>
      <c r="BH209" s="19">
        <f>G209*AO209</f>
        <v>0</v>
      </c>
      <c r="BI209" s="19">
        <f>G209*AP209</f>
        <v>0</v>
      </c>
      <c r="BJ209" s="19">
        <f>G209*H209</f>
        <v>0</v>
      </c>
      <c r="BK209" s="89" t="s">
        <v>30</v>
      </c>
      <c r="BL209" s="19">
        <v>34</v>
      </c>
      <c r="BW209" s="19">
        <f>I209</f>
        <v>12</v>
      </c>
      <c r="BX209" s="4" t="s">
        <v>301</v>
      </c>
    </row>
    <row r="210" spans="1:76" ht="25.5" x14ac:dyDescent="0.25">
      <c r="A210" s="90"/>
      <c r="C210" s="91" t="s">
        <v>547</v>
      </c>
      <c r="D210" s="180" t="s">
        <v>712</v>
      </c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2"/>
      <c r="BX210" s="92" t="s">
        <v>712</v>
      </c>
    </row>
    <row r="211" spans="1:76" x14ac:dyDescent="0.25">
      <c r="A211" s="1" t="s">
        <v>713</v>
      </c>
      <c r="B211" s="2" t="s">
        <v>438</v>
      </c>
      <c r="C211" s="2" t="s">
        <v>302</v>
      </c>
      <c r="D211" s="96" t="s">
        <v>303</v>
      </c>
      <c r="E211" s="97"/>
      <c r="F211" s="2" t="s">
        <v>33</v>
      </c>
      <c r="G211" s="19">
        <f>'Rozpočet - vybrané sloupce'!I175</f>
        <v>22</v>
      </c>
      <c r="H211" s="19">
        <f>'Rozpočet - vybrané sloupce'!J175</f>
        <v>0</v>
      </c>
      <c r="I211" s="87">
        <v>12</v>
      </c>
      <c r="J211" s="19">
        <f>ROUND(G211*AO211,2)</f>
        <v>0</v>
      </c>
      <c r="K211" s="19">
        <f>ROUND(G211*AP211,2)</f>
        <v>0</v>
      </c>
      <c r="L211" s="19">
        <f>ROUND(G211*H211,2)</f>
        <v>0</v>
      </c>
      <c r="M211" s="19">
        <f>L211*(1+BW211/100)</f>
        <v>0</v>
      </c>
      <c r="N211" s="19">
        <v>0</v>
      </c>
      <c r="O211" s="19">
        <f>G211*N211</f>
        <v>0</v>
      </c>
      <c r="P211" s="88" t="s">
        <v>531</v>
      </c>
      <c r="Z211" s="19">
        <f>ROUND(IF(AQ211="5",BJ211,0),2)</f>
        <v>0</v>
      </c>
      <c r="AB211" s="19">
        <f>ROUND(IF(AQ211="1",BH211,0),2)</f>
        <v>0</v>
      </c>
      <c r="AC211" s="19">
        <f>ROUND(IF(AQ211="1",BI211,0),2)</f>
        <v>0</v>
      </c>
      <c r="AD211" s="19">
        <f>ROUND(IF(AQ211="7",BH211,0),2)</f>
        <v>0</v>
      </c>
      <c r="AE211" s="19">
        <f>ROUND(IF(AQ211="7",BI211,0),2)</f>
        <v>0</v>
      </c>
      <c r="AF211" s="19">
        <f>ROUND(IF(AQ211="2",BH211,0),2)</f>
        <v>0</v>
      </c>
      <c r="AG211" s="19">
        <f>ROUND(IF(AQ211="2",BI211,0),2)</f>
        <v>0</v>
      </c>
      <c r="AH211" s="19">
        <f>ROUND(IF(AQ211="0",BJ211,0),2)</f>
        <v>0</v>
      </c>
      <c r="AI211" s="16" t="s">
        <v>438</v>
      </c>
      <c r="AJ211" s="19">
        <f>IF(AN211=0,L211,0)</f>
        <v>0</v>
      </c>
      <c r="AK211" s="19">
        <f>IF(AN211=12,L211,0)</f>
        <v>0</v>
      </c>
      <c r="AL211" s="19">
        <f>IF(AN211=21,L211,0)</f>
        <v>0</v>
      </c>
      <c r="AN211" s="19">
        <v>12</v>
      </c>
      <c r="AO211" s="19">
        <f>H211*1</f>
        <v>0</v>
      </c>
      <c r="AP211" s="19">
        <f>H211*(1-1)</f>
        <v>0</v>
      </c>
      <c r="AQ211" s="89" t="s">
        <v>530</v>
      </c>
      <c r="AV211" s="19">
        <f>ROUND(AW211+AX211,2)</f>
        <v>0</v>
      </c>
      <c r="AW211" s="19">
        <f>ROUND(G211*AO211,2)</f>
        <v>0</v>
      </c>
      <c r="AX211" s="19">
        <f>ROUND(G211*AP211,2)</f>
        <v>0</v>
      </c>
      <c r="AY211" s="89" t="s">
        <v>707</v>
      </c>
      <c r="AZ211" s="89" t="s">
        <v>708</v>
      </c>
      <c r="BA211" s="16" t="s">
        <v>709</v>
      </c>
      <c r="BC211" s="19">
        <f>AW211+AX211</f>
        <v>0</v>
      </c>
      <c r="BD211" s="19">
        <f>H211/(100-BE211)*100</f>
        <v>0</v>
      </c>
      <c r="BE211" s="19">
        <v>0</v>
      </c>
      <c r="BF211" s="19">
        <f>O211</f>
        <v>0</v>
      </c>
      <c r="BH211" s="19">
        <f>G211*AO211</f>
        <v>0</v>
      </c>
      <c r="BI211" s="19">
        <f>G211*AP211</f>
        <v>0</v>
      </c>
      <c r="BJ211" s="19">
        <f>G211*H211</f>
        <v>0</v>
      </c>
      <c r="BK211" s="89" t="s">
        <v>53</v>
      </c>
      <c r="BL211" s="19">
        <v>34</v>
      </c>
      <c r="BW211" s="19">
        <f>I211</f>
        <v>12</v>
      </c>
      <c r="BX211" s="4" t="s">
        <v>303</v>
      </c>
    </row>
    <row r="212" spans="1:76" x14ac:dyDescent="0.25">
      <c r="A212" s="1" t="s">
        <v>714</v>
      </c>
      <c r="B212" s="2" t="s">
        <v>438</v>
      </c>
      <c r="C212" s="2" t="s">
        <v>304</v>
      </c>
      <c r="D212" s="96" t="s">
        <v>305</v>
      </c>
      <c r="E212" s="97"/>
      <c r="F212" s="2" t="s">
        <v>306</v>
      </c>
      <c r="G212" s="19">
        <f>'Rozpočet - vybrané sloupce'!I176</f>
        <v>2.7</v>
      </c>
      <c r="H212" s="19">
        <f>'Rozpočet - vybrané sloupce'!J176</f>
        <v>0</v>
      </c>
      <c r="I212" s="87">
        <v>12</v>
      </c>
      <c r="J212" s="19">
        <f>ROUND(G212*AO212,2)</f>
        <v>0</v>
      </c>
      <c r="K212" s="19">
        <f>ROUND(G212*AP212,2)</f>
        <v>0</v>
      </c>
      <c r="L212" s="19">
        <f>ROUND(G212*H212,2)</f>
        <v>0</v>
      </c>
      <c r="M212" s="19">
        <f>L212*(1+BW212/100)</f>
        <v>0</v>
      </c>
      <c r="N212" s="19">
        <v>0.25395000000000001</v>
      </c>
      <c r="O212" s="19">
        <f>G212*N212</f>
        <v>0.68566500000000008</v>
      </c>
      <c r="P212" s="88" t="s">
        <v>531</v>
      </c>
      <c r="Z212" s="19">
        <f>ROUND(IF(AQ212="5",BJ212,0),2)</f>
        <v>0</v>
      </c>
      <c r="AB212" s="19">
        <f>ROUND(IF(AQ212="1",BH212,0),2)</f>
        <v>0</v>
      </c>
      <c r="AC212" s="19">
        <f>ROUND(IF(AQ212="1",BI212,0),2)</f>
        <v>0</v>
      </c>
      <c r="AD212" s="19">
        <f>ROUND(IF(AQ212="7",BH212,0),2)</f>
        <v>0</v>
      </c>
      <c r="AE212" s="19">
        <f>ROUND(IF(AQ212="7",BI212,0),2)</f>
        <v>0</v>
      </c>
      <c r="AF212" s="19">
        <f>ROUND(IF(AQ212="2",BH212,0),2)</f>
        <v>0</v>
      </c>
      <c r="AG212" s="19">
        <f>ROUND(IF(AQ212="2",BI212,0),2)</f>
        <v>0</v>
      </c>
      <c r="AH212" s="19">
        <f>ROUND(IF(AQ212="0",BJ212,0),2)</f>
        <v>0</v>
      </c>
      <c r="AI212" s="16" t="s">
        <v>438</v>
      </c>
      <c r="AJ212" s="19">
        <f>IF(AN212=0,L212,0)</f>
        <v>0</v>
      </c>
      <c r="AK212" s="19">
        <f>IF(AN212=12,L212,0)</f>
        <v>0</v>
      </c>
      <c r="AL212" s="19">
        <f>IF(AN212=21,L212,0)</f>
        <v>0</v>
      </c>
      <c r="AN212" s="19">
        <v>12</v>
      </c>
      <c r="AO212" s="19">
        <f>H212*0.546873778</f>
        <v>0</v>
      </c>
      <c r="AP212" s="19">
        <f>H212*(1-0.546873778)</f>
        <v>0</v>
      </c>
      <c r="AQ212" s="89" t="s">
        <v>530</v>
      </c>
      <c r="AV212" s="19">
        <f>ROUND(AW212+AX212,2)</f>
        <v>0</v>
      </c>
      <c r="AW212" s="19">
        <f>ROUND(G212*AO212,2)</f>
        <v>0</v>
      </c>
      <c r="AX212" s="19">
        <f>ROUND(G212*AP212,2)</f>
        <v>0</v>
      </c>
      <c r="AY212" s="89" t="s">
        <v>707</v>
      </c>
      <c r="AZ212" s="89" t="s">
        <v>708</v>
      </c>
      <c r="BA212" s="16" t="s">
        <v>709</v>
      </c>
      <c r="BC212" s="19">
        <f>AW212+AX212</f>
        <v>0</v>
      </c>
      <c r="BD212" s="19">
        <f>H212/(100-BE212)*100</f>
        <v>0</v>
      </c>
      <c r="BE212" s="19">
        <v>0</v>
      </c>
      <c r="BF212" s="19">
        <f>O212</f>
        <v>0.68566500000000008</v>
      </c>
      <c r="BH212" s="19">
        <f>G212*AO212</f>
        <v>0</v>
      </c>
      <c r="BI212" s="19">
        <f>G212*AP212</f>
        <v>0</v>
      </c>
      <c r="BJ212" s="19">
        <f>G212*H212</f>
        <v>0</v>
      </c>
      <c r="BK212" s="89" t="s">
        <v>30</v>
      </c>
      <c r="BL212" s="19">
        <v>34</v>
      </c>
      <c r="BW212" s="19">
        <f>I212</f>
        <v>12</v>
      </c>
      <c r="BX212" s="4" t="s">
        <v>305</v>
      </c>
    </row>
    <row r="213" spans="1:76" ht="25.5" x14ac:dyDescent="0.25">
      <c r="A213" s="90"/>
      <c r="C213" s="91" t="s">
        <v>547</v>
      </c>
      <c r="D213" s="180" t="s">
        <v>715</v>
      </c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2"/>
      <c r="BX213" s="92" t="s">
        <v>715</v>
      </c>
    </row>
    <row r="214" spans="1:76" ht="25.5" x14ac:dyDescent="0.25">
      <c r="A214" s="1" t="s">
        <v>716</v>
      </c>
      <c r="B214" s="2" t="s">
        <v>438</v>
      </c>
      <c r="C214" s="2" t="s">
        <v>307</v>
      </c>
      <c r="D214" s="96" t="s">
        <v>308</v>
      </c>
      <c r="E214" s="97"/>
      <c r="F214" s="2" t="s">
        <v>306</v>
      </c>
      <c r="G214" s="19">
        <f>'Rozpočet - vybrané sloupce'!I177</f>
        <v>1.4</v>
      </c>
      <c r="H214" s="19">
        <f>'Rozpočet - vybrané sloupce'!J177</f>
        <v>0</v>
      </c>
      <c r="I214" s="87">
        <v>12</v>
      </c>
      <c r="J214" s="19">
        <f>ROUND(G214*AO214,2)</f>
        <v>0</v>
      </c>
      <c r="K214" s="19">
        <f>ROUND(G214*AP214,2)</f>
        <v>0</v>
      </c>
      <c r="L214" s="19">
        <f>ROUND(G214*H214,2)</f>
        <v>0</v>
      </c>
      <c r="M214" s="19">
        <f>L214*(1+BW214/100)</f>
        <v>0</v>
      </c>
      <c r="N214" s="19">
        <v>3.005E-2</v>
      </c>
      <c r="O214" s="19">
        <f>G214*N214</f>
        <v>4.2069999999999996E-2</v>
      </c>
      <c r="P214" s="88" t="s">
        <v>531</v>
      </c>
      <c r="Z214" s="19">
        <f>ROUND(IF(AQ214="5",BJ214,0),2)</f>
        <v>0</v>
      </c>
      <c r="AB214" s="19">
        <f>ROUND(IF(AQ214="1",BH214,0),2)</f>
        <v>0</v>
      </c>
      <c r="AC214" s="19">
        <f>ROUND(IF(AQ214="1",BI214,0),2)</f>
        <v>0</v>
      </c>
      <c r="AD214" s="19">
        <f>ROUND(IF(AQ214="7",BH214,0),2)</f>
        <v>0</v>
      </c>
      <c r="AE214" s="19">
        <f>ROUND(IF(AQ214="7",BI214,0),2)</f>
        <v>0</v>
      </c>
      <c r="AF214" s="19">
        <f>ROUND(IF(AQ214="2",BH214,0),2)</f>
        <v>0</v>
      </c>
      <c r="AG214" s="19">
        <f>ROUND(IF(AQ214="2",BI214,0),2)</f>
        <v>0</v>
      </c>
      <c r="AH214" s="19">
        <f>ROUND(IF(AQ214="0",BJ214,0),2)</f>
        <v>0</v>
      </c>
      <c r="AI214" s="16" t="s">
        <v>438</v>
      </c>
      <c r="AJ214" s="19">
        <f>IF(AN214=0,L214,0)</f>
        <v>0</v>
      </c>
      <c r="AK214" s="19">
        <f>IF(AN214=12,L214,0)</f>
        <v>0</v>
      </c>
      <c r="AL214" s="19">
        <f>IF(AN214=21,L214,0)</f>
        <v>0</v>
      </c>
      <c r="AN214" s="19">
        <v>12</v>
      </c>
      <c r="AO214" s="19">
        <f>H214*0.641447619</f>
        <v>0</v>
      </c>
      <c r="AP214" s="19">
        <f>H214*(1-0.641447619)</f>
        <v>0</v>
      </c>
      <c r="AQ214" s="89" t="s">
        <v>530</v>
      </c>
      <c r="AV214" s="19">
        <f>ROUND(AW214+AX214,2)</f>
        <v>0</v>
      </c>
      <c r="AW214" s="19">
        <f>ROUND(G214*AO214,2)</f>
        <v>0</v>
      </c>
      <c r="AX214" s="19">
        <f>ROUND(G214*AP214,2)</f>
        <v>0</v>
      </c>
      <c r="AY214" s="89" t="s">
        <v>707</v>
      </c>
      <c r="AZ214" s="89" t="s">
        <v>708</v>
      </c>
      <c r="BA214" s="16" t="s">
        <v>709</v>
      </c>
      <c r="BC214" s="19">
        <f>AW214+AX214</f>
        <v>0</v>
      </c>
      <c r="BD214" s="19">
        <f>H214/(100-BE214)*100</f>
        <v>0</v>
      </c>
      <c r="BE214" s="19">
        <v>0</v>
      </c>
      <c r="BF214" s="19">
        <f>O214</f>
        <v>4.2069999999999996E-2</v>
      </c>
      <c r="BH214" s="19">
        <f>G214*AO214</f>
        <v>0</v>
      </c>
      <c r="BI214" s="19">
        <f>G214*AP214</f>
        <v>0</v>
      </c>
      <c r="BJ214" s="19">
        <f>G214*H214</f>
        <v>0</v>
      </c>
      <c r="BK214" s="89" t="s">
        <v>30</v>
      </c>
      <c r="BL214" s="19">
        <v>34</v>
      </c>
      <c r="BW214" s="19">
        <f>I214</f>
        <v>12</v>
      </c>
      <c r="BX214" s="4" t="s">
        <v>308</v>
      </c>
    </row>
    <row r="215" spans="1:76" ht="38.25" x14ac:dyDescent="0.25">
      <c r="A215" s="90"/>
      <c r="C215" s="91" t="s">
        <v>547</v>
      </c>
      <c r="D215" s="180" t="s">
        <v>717</v>
      </c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2"/>
      <c r="BX215" s="92" t="s">
        <v>717</v>
      </c>
    </row>
    <row r="216" spans="1:76" x14ac:dyDescent="0.25">
      <c r="A216" s="1" t="s">
        <v>718</v>
      </c>
      <c r="B216" s="2" t="s">
        <v>438</v>
      </c>
      <c r="C216" s="2" t="s">
        <v>309</v>
      </c>
      <c r="D216" s="96" t="s">
        <v>310</v>
      </c>
      <c r="E216" s="97"/>
      <c r="F216" s="2" t="s">
        <v>306</v>
      </c>
      <c r="G216" s="19">
        <f>'Rozpočet - vybrané sloupce'!I178</f>
        <v>1.4</v>
      </c>
      <c r="H216" s="19">
        <f>'Rozpočet - vybrané sloupce'!J178</f>
        <v>0</v>
      </c>
      <c r="I216" s="87">
        <v>12</v>
      </c>
      <c r="J216" s="19">
        <f>ROUND(G216*AO216,2)</f>
        <v>0</v>
      </c>
      <c r="K216" s="19">
        <f>ROUND(G216*AP216,2)</f>
        <v>0</v>
      </c>
      <c r="L216" s="19">
        <f>ROUND(G216*H216,2)</f>
        <v>0</v>
      </c>
      <c r="M216" s="19">
        <f>L216*(1+BW216/100)</f>
        <v>0</v>
      </c>
      <c r="N216" s="19">
        <v>0</v>
      </c>
      <c r="O216" s="19">
        <f>G216*N216</f>
        <v>0</v>
      </c>
      <c r="P216" s="88" t="s">
        <v>531</v>
      </c>
      <c r="Z216" s="19">
        <f>ROUND(IF(AQ216="5",BJ216,0),2)</f>
        <v>0</v>
      </c>
      <c r="AB216" s="19">
        <f>ROUND(IF(AQ216="1",BH216,0),2)</f>
        <v>0</v>
      </c>
      <c r="AC216" s="19">
        <f>ROUND(IF(AQ216="1",BI216,0),2)</f>
        <v>0</v>
      </c>
      <c r="AD216" s="19">
        <f>ROUND(IF(AQ216="7",BH216,0),2)</f>
        <v>0</v>
      </c>
      <c r="AE216" s="19">
        <f>ROUND(IF(AQ216="7",BI216,0),2)</f>
        <v>0</v>
      </c>
      <c r="AF216" s="19">
        <f>ROUND(IF(AQ216="2",BH216,0),2)</f>
        <v>0</v>
      </c>
      <c r="AG216" s="19">
        <f>ROUND(IF(AQ216="2",BI216,0),2)</f>
        <v>0</v>
      </c>
      <c r="AH216" s="19">
        <f>ROUND(IF(AQ216="0",BJ216,0),2)</f>
        <v>0</v>
      </c>
      <c r="AI216" s="16" t="s">
        <v>438</v>
      </c>
      <c r="AJ216" s="19">
        <f>IF(AN216=0,L216,0)</f>
        <v>0</v>
      </c>
      <c r="AK216" s="19">
        <f>IF(AN216=12,L216,0)</f>
        <v>0</v>
      </c>
      <c r="AL216" s="19">
        <f>IF(AN216=21,L216,0)</f>
        <v>0</v>
      </c>
      <c r="AN216" s="19">
        <v>12</v>
      </c>
      <c r="AO216" s="19">
        <f>H216*0</f>
        <v>0</v>
      </c>
      <c r="AP216" s="19">
        <f>H216*(1-0)</f>
        <v>0</v>
      </c>
      <c r="AQ216" s="89" t="s">
        <v>530</v>
      </c>
      <c r="AV216" s="19">
        <f>ROUND(AW216+AX216,2)</f>
        <v>0</v>
      </c>
      <c r="AW216" s="19">
        <f>ROUND(G216*AO216,2)</f>
        <v>0</v>
      </c>
      <c r="AX216" s="19">
        <f>ROUND(G216*AP216,2)</f>
        <v>0</v>
      </c>
      <c r="AY216" s="89" t="s">
        <v>707</v>
      </c>
      <c r="AZ216" s="89" t="s">
        <v>708</v>
      </c>
      <c r="BA216" s="16" t="s">
        <v>709</v>
      </c>
      <c r="BC216" s="19">
        <f>AW216+AX216</f>
        <v>0</v>
      </c>
      <c r="BD216" s="19">
        <f>H216/(100-BE216)*100</f>
        <v>0</v>
      </c>
      <c r="BE216" s="19">
        <v>0</v>
      </c>
      <c r="BF216" s="19">
        <f>O216</f>
        <v>0</v>
      </c>
      <c r="BH216" s="19">
        <f>G216*AO216</f>
        <v>0</v>
      </c>
      <c r="BI216" s="19">
        <f>G216*AP216</f>
        <v>0</v>
      </c>
      <c r="BJ216" s="19">
        <f>G216*H216</f>
        <v>0</v>
      </c>
      <c r="BK216" s="89" t="s">
        <v>30</v>
      </c>
      <c r="BL216" s="19">
        <v>34</v>
      </c>
      <c r="BW216" s="19">
        <f>I216</f>
        <v>12</v>
      </c>
      <c r="BX216" s="4" t="s">
        <v>310</v>
      </c>
    </row>
    <row r="217" spans="1:76" ht="38.25" x14ac:dyDescent="0.25">
      <c r="A217" s="90"/>
      <c r="C217" s="91" t="s">
        <v>547</v>
      </c>
      <c r="D217" s="180" t="s">
        <v>719</v>
      </c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2"/>
      <c r="BX217" s="92" t="s">
        <v>719</v>
      </c>
    </row>
    <row r="218" spans="1:76" x14ac:dyDescent="0.25">
      <c r="A218" s="1" t="s">
        <v>720</v>
      </c>
      <c r="B218" s="2" t="s">
        <v>438</v>
      </c>
      <c r="C218" s="2" t="s">
        <v>300</v>
      </c>
      <c r="D218" s="96" t="s">
        <v>311</v>
      </c>
      <c r="E218" s="97"/>
      <c r="F218" s="2" t="s">
        <v>33</v>
      </c>
      <c r="G218" s="19">
        <f>'Rozpočet - vybrané sloupce'!I179</f>
        <v>2</v>
      </c>
      <c r="H218" s="19">
        <f>'Rozpočet - vybrané sloupce'!J179</f>
        <v>0</v>
      </c>
      <c r="I218" s="87">
        <v>12</v>
      </c>
      <c r="J218" s="19">
        <f>ROUND(G218*AO218,2)</f>
        <v>0</v>
      </c>
      <c r="K218" s="19">
        <f>ROUND(G218*AP218,2)</f>
        <v>0</v>
      </c>
      <c r="L218" s="19">
        <f>ROUND(G218*H218,2)</f>
        <v>0</v>
      </c>
      <c r="M218" s="19">
        <f>L218*(1+BW218/100)</f>
        <v>0</v>
      </c>
      <c r="N218" s="19">
        <v>2.4000000000000001E-4</v>
      </c>
      <c r="O218" s="19">
        <f>G218*N218</f>
        <v>4.8000000000000001E-4</v>
      </c>
      <c r="P218" s="88" t="s">
        <v>531</v>
      </c>
      <c r="Z218" s="19">
        <f>ROUND(IF(AQ218="5",BJ218,0),2)</f>
        <v>0</v>
      </c>
      <c r="AB218" s="19">
        <f>ROUND(IF(AQ218="1",BH218,0),2)</f>
        <v>0</v>
      </c>
      <c r="AC218" s="19">
        <f>ROUND(IF(AQ218="1",BI218,0),2)</f>
        <v>0</v>
      </c>
      <c r="AD218" s="19">
        <f>ROUND(IF(AQ218="7",BH218,0),2)</f>
        <v>0</v>
      </c>
      <c r="AE218" s="19">
        <f>ROUND(IF(AQ218="7",BI218,0),2)</f>
        <v>0</v>
      </c>
      <c r="AF218" s="19">
        <f>ROUND(IF(AQ218="2",BH218,0),2)</f>
        <v>0</v>
      </c>
      <c r="AG218" s="19">
        <f>ROUND(IF(AQ218="2",BI218,0),2)</f>
        <v>0</v>
      </c>
      <c r="AH218" s="19">
        <f>ROUND(IF(AQ218="0",BJ218,0),2)</f>
        <v>0</v>
      </c>
      <c r="AI218" s="16" t="s">
        <v>438</v>
      </c>
      <c r="AJ218" s="19">
        <f>IF(AN218=0,L218,0)</f>
        <v>0</v>
      </c>
      <c r="AK218" s="19">
        <f>IF(AN218=12,L218,0)</f>
        <v>0</v>
      </c>
      <c r="AL218" s="19">
        <f>IF(AN218=21,L218,0)</f>
        <v>0</v>
      </c>
      <c r="AN218" s="19">
        <v>12</v>
      </c>
      <c r="AO218" s="19">
        <f>H218*0.018723926</f>
        <v>0</v>
      </c>
      <c r="AP218" s="19">
        <f>H218*(1-0.018723926)</f>
        <v>0</v>
      </c>
      <c r="AQ218" s="89" t="s">
        <v>530</v>
      </c>
      <c r="AV218" s="19">
        <f>ROUND(AW218+AX218,2)</f>
        <v>0</v>
      </c>
      <c r="AW218" s="19">
        <f>ROUND(G218*AO218,2)</f>
        <v>0</v>
      </c>
      <c r="AX218" s="19">
        <f>ROUND(G218*AP218,2)</f>
        <v>0</v>
      </c>
      <c r="AY218" s="89" t="s">
        <v>707</v>
      </c>
      <c r="AZ218" s="89" t="s">
        <v>708</v>
      </c>
      <c r="BA218" s="16" t="s">
        <v>709</v>
      </c>
      <c r="BC218" s="19">
        <f>AW218+AX218</f>
        <v>0</v>
      </c>
      <c r="BD218" s="19">
        <f>H218/(100-BE218)*100</f>
        <v>0</v>
      </c>
      <c r="BE218" s="19">
        <v>0</v>
      </c>
      <c r="BF218" s="19">
        <f>O218</f>
        <v>4.8000000000000001E-4</v>
      </c>
      <c r="BH218" s="19">
        <f>G218*AO218</f>
        <v>0</v>
      </c>
      <c r="BI218" s="19">
        <f>G218*AP218</f>
        <v>0</v>
      </c>
      <c r="BJ218" s="19">
        <f>G218*H218</f>
        <v>0</v>
      </c>
      <c r="BK218" s="89" t="s">
        <v>30</v>
      </c>
      <c r="BL218" s="19">
        <v>34</v>
      </c>
      <c r="BW218" s="19">
        <f>I218</f>
        <v>12</v>
      </c>
      <c r="BX218" s="4" t="s">
        <v>311</v>
      </c>
    </row>
    <row r="219" spans="1:76" ht="25.5" x14ac:dyDescent="0.25">
      <c r="A219" s="90"/>
      <c r="C219" s="91" t="s">
        <v>547</v>
      </c>
      <c r="D219" s="180" t="s">
        <v>712</v>
      </c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2"/>
      <c r="BX219" s="92" t="s">
        <v>712</v>
      </c>
    </row>
    <row r="220" spans="1:76" x14ac:dyDescent="0.25">
      <c r="A220" s="1" t="s">
        <v>721</v>
      </c>
      <c r="B220" s="2" t="s">
        <v>438</v>
      </c>
      <c r="C220" s="2" t="s">
        <v>312</v>
      </c>
      <c r="D220" s="96" t="s">
        <v>313</v>
      </c>
      <c r="E220" s="97"/>
      <c r="F220" s="2" t="s">
        <v>33</v>
      </c>
      <c r="G220" s="19">
        <f>'Rozpočet - vybrané sloupce'!I180</f>
        <v>2</v>
      </c>
      <c r="H220" s="19">
        <f>'Rozpočet - vybrané sloupce'!J180</f>
        <v>0</v>
      </c>
      <c r="I220" s="87">
        <v>12</v>
      </c>
      <c r="J220" s="19">
        <f>ROUND(G220*AO220,2)</f>
        <v>0</v>
      </c>
      <c r="K220" s="19">
        <f>ROUND(G220*AP220,2)</f>
        <v>0</v>
      </c>
      <c r="L220" s="19">
        <f>ROUND(G220*H220,2)</f>
        <v>0</v>
      </c>
      <c r="M220" s="19">
        <f>L220*(1+BW220/100)</f>
        <v>0</v>
      </c>
      <c r="N220" s="19">
        <v>5.4000000000000003E-3</v>
      </c>
      <c r="O220" s="19">
        <f>G220*N220</f>
        <v>1.0800000000000001E-2</v>
      </c>
      <c r="P220" s="88" t="s">
        <v>531</v>
      </c>
      <c r="Z220" s="19">
        <f>ROUND(IF(AQ220="5",BJ220,0),2)</f>
        <v>0</v>
      </c>
      <c r="AB220" s="19">
        <f>ROUND(IF(AQ220="1",BH220,0),2)</f>
        <v>0</v>
      </c>
      <c r="AC220" s="19">
        <f>ROUND(IF(AQ220="1",BI220,0),2)</f>
        <v>0</v>
      </c>
      <c r="AD220" s="19">
        <f>ROUND(IF(AQ220="7",BH220,0),2)</f>
        <v>0</v>
      </c>
      <c r="AE220" s="19">
        <f>ROUND(IF(AQ220="7",BI220,0),2)</f>
        <v>0</v>
      </c>
      <c r="AF220" s="19">
        <f>ROUND(IF(AQ220="2",BH220,0),2)</f>
        <v>0</v>
      </c>
      <c r="AG220" s="19">
        <f>ROUND(IF(AQ220="2",BI220,0),2)</f>
        <v>0</v>
      </c>
      <c r="AH220" s="19">
        <f>ROUND(IF(AQ220="0",BJ220,0),2)</f>
        <v>0</v>
      </c>
      <c r="AI220" s="16" t="s">
        <v>438</v>
      </c>
      <c r="AJ220" s="19">
        <f>IF(AN220=0,L220,0)</f>
        <v>0</v>
      </c>
      <c r="AK220" s="19">
        <f>IF(AN220=12,L220,0)</f>
        <v>0</v>
      </c>
      <c r="AL220" s="19">
        <f>IF(AN220=21,L220,0)</f>
        <v>0</v>
      </c>
      <c r="AN220" s="19">
        <v>12</v>
      </c>
      <c r="AO220" s="19">
        <f>H220*1</f>
        <v>0</v>
      </c>
      <c r="AP220" s="19">
        <f>H220*(1-1)</f>
        <v>0</v>
      </c>
      <c r="AQ220" s="89" t="s">
        <v>530</v>
      </c>
      <c r="AV220" s="19">
        <f>ROUND(AW220+AX220,2)</f>
        <v>0</v>
      </c>
      <c r="AW220" s="19">
        <f>ROUND(G220*AO220,2)</f>
        <v>0</v>
      </c>
      <c r="AX220" s="19">
        <f>ROUND(G220*AP220,2)</f>
        <v>0</v>
      </c>
      <c r="AY220" s="89" t="s">
        <v>707</v>
      </c>
      <c r="AZ220" s="89" t="s">
        <v>708</v>
      </c>
      <c r="BA220" s="16" t="s">
        <v>709</v>
      </c>
      <c r="BC220" s="19">
        <f>AW220+AX220</f>
        <v>0</v>
      </c>
      <c r="BD220" s="19">
        <f>H220/(100-BE220)*100</f>
        <v>0</v>
      </c>
      <c r="BE220" s="19">
        <v>0</v>
      </c>
      <c r="BF220" s="19">
        <f>O220</f>
        <v>1.0800000000000001E-2</v>
      </c>
      <c r="BH220" s="19">
        <f>G220*AO220</f>
        <v>0</v>
      </c>
      <c r="BI220" s="19">
        <f>G220*AP220</f>
        <v>0</v>
      </c>
      <c r="BJ220" s="19">
        <f>G220*H220</f>
        <v>0</v>
      </c>
      <c r="BK220" s="89" t="s">
        <v>53</v>
      </c>
      <c r="BL220" s="19">
        <v>34</v>
      </c>
      <c r="BW220" s="19">
        <f>I220</f>
        <v>12</v>
      </c>
      <c r="BX220" s="4" t="s">
        <v>313</v>
      </c>
    </row>
    <row r="221" spans="1:76" ht="153" x14ac:dyDescent="0.25">
      <c r="A221" s="90"/>
      <c r="C221" s="91" t="s">
        <v>547</v>
      </c>
      <c r="D221" s="180" t="s">
        <v>722</v>
      </c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2"/>
      <c r="BX221" s="92" t="s">
        <v>722</v>
      </c>
    </row>
    <row r="222" spans="1:76" x14ac:dyDescent="0.25">
      <c r="A222" s="1" t="s">
        <v>723</v>
      </c>
      <c r="B222" s="2" t="s">
        <v>438</v>
      </c>
      <c r="C222" s="2" t="s">
        <v>314</v>
      </c>
      <c r="D222" s="96" t="s">
        <v>315</v>
      </c>
      <c r="E222" s="97"/>
      <c r="F222" s="2" t="s">
        <v>90</v>
      </c>
      <c r="G222" s="19">
        <f>'Rozpočet - vybrané sloupce'!I181</f>
        <v>1.1000000000000001</v>
      </c>
      <c r="H222" s="19">
        <f>'Rozpočet - vybrané sloupce'!J181</f>
        <v>0</v>
      </c>
      <c r="I222" s="87">
        <v>12</v>
      </c>
      <c r="J222" s="19">
        <f>ROUND(G222*AO222,2)</f>
        <v>0</v>
      </c>
      <c r="K222" s="19">
        <f>ROUND(G222*AP222,2)</f>
        <v>0</v>
      </c>
      <c r="L222" s="19">
        <f>ROUND(G222*H222,2)</f>
        <v>0</v>
      </c>
      <c r="M222" s="19">
        <f>L222*(1+BW222/100)</f>
        <v>0</v>
      </c>
      <c r="N222" s="19">
        <v>0</v>
      </c>
      <c r="O222" s="19">
        <f>G222*N222</f>
        <v>0</v>
      </c>
      <c r="P222" s="88" t="s">
        <v>531</v>
      </c>
      <c r="Z222" s="19">
        <f>ROUND(IF(AQ222="5",BJ222,0),2)</f>
        <v>0</v>
      </c>
      <c r="AB222" s="19">
        <f>ROUND(IF(AQ222="1",BH222,0),2)</f>
        <v>0</v>
      </c>
      <c r="AC222" s="19">
        <f>ROUND(IF(AQ222="1",BI222,0),2)</f>
        <v>0</v>
      </c>
      <c r="AD222" s="19">
        <f>ROUND(IF(AQ222="7",BH222,0),2)</f>
        <v>0</v>
      </c>
      <c r="AE222" s="19">
        <f>ROUND(IF(AQ222="7",BI222,0),2)</f>
        <v>0</v>
      </c>
      <c r="AF222" s="19">
        <f>ROUND(IF(AQ222="2",BH222,0),2)</f>
        <v>0</v>
      </c>
      <c r="AG222" s="19">
        <f>ROUND(IF(AQ222="2",BI222,0),2)</f>
        <v>0</v>
      </c>
      <c r="AH222" s="19">
        <f>ROUND(IF(AQ222="0",BJ222,0),2)</f>
        <v>0</v>
      </c>
      <c r="AI222" s="16" t="s">
        <v>438</v>
      </c>
      <c r="AJ222" s="19">
        <f>IF(AN222=0,L222,0)</f>
        <v>0</v>
      </c>
      <c r="AK222" s="19">
        <f>IF(AN222=12,L222,0)</f>
        <v>0</v>
      </c>
      <c r="AL222" s="19">
        <f>IF(AN222=21,L222,0)</f>
        <v>0</v>
      </c>
      <c r="AN222" s="19">
        <v>12</v>
      </c>
      <c r="AO222" s="19">
        <f>H222*0</f>
        <v>0</v>
      </c>
      <c r="AP222" s="19">
        <f>H222*(1-0)</f>
        <v>0</v>
      </c>
      <c r="AQ222" s="89" t="s">
        <v>540</v>
      </c>
      <c r="AV222" s="19">
        <f>ROUND(AW222+AX222,2)</f>
        <v>0</v>
      </c>
      <c r="AW222" s="19">
        <f>ROUND(G222*AO222,2)</f>
        <v>0</v>
      </c>
      <c r="AX222" s="19">
        <f>ROUND(G222*AP222,2)</f>
        <v>0</v>
      </c>
      <c r="AY222" s="89" t="s">
        <v>707</v>
      </c>
      <c r="AZ222" s="89" t="s">
        <v>708</v>
      </c>
      <c r="BA222" s="16" t="s">
        <v>709</v>
      </c>
      <c r="BC222" s="19">
        <f>AW222+AX222</f>
        <v>0</v>
      </c>
      <c r="BD222" s="19">
        <f>H222/(100-BE222)*100</f>
        <v>0</v>
      </c>
      <c r="BE222" s="19">
        <v>0</v>
      </c>
      <c r="BF222" s="19">
        <f>O222</f>
        <v>0</v>
      </c>
      <c r="BH222" s="19">
        <f>G222*AO222</f>
        <v>0</v>
      </c>
      <c r="BI222" s="19">
        <f>G222*AP222</f>
        <v>0</v>
      </c>
      <c r="BJ222" s="19">
        <f>G222*H222</f>
        <v>0</v>
      </c>
      <c r="BK222" s="89" t="s">
        <v>30</v>
      </c>
      <c r="BL222" s="19">
        <v>34</v>
      </c>
      <c r="BW222" s="19">
        <f>I222</f>
        <v>12</v>
      </c>
      <c r="BX222" s="4" t="s">
        <v>315</v>
      </c>
    </row>
    <row r="223" spans="1:76" x14ac:dyDescent="0.25">
      <c r="A223" s="84" t="s">
        <v>23</v>
      </c>
      <c r="B223" s="15" t="s">
        <v>438</v>
      </c>
      <c r="C223" s="15" t="s">
        <v>316</v>
      </c>
      <c r="D223" s="152" t="s">
        <v>317</v>
      </c>
      <c r="E223" s="153"/>
      <c r="F223" s="85" t="s">
        <v>22</v>
      </c>
      <c r="G223" s="85" t="s">
        <v>22</v>
      </c>
      <c r="H223" s="85" t="s">
        <v>22</v>
      </c>
      <c r="I223" s="85" t="s">
        <v>22</v>
      </c>
      <c r="J223" s="60">
        <f>SUM(J224:J227)</f>
        <v>0</v>
      </c>
      <c r="K223" s="60">
        <f>SUM(K224:K227)</f>
        <v>0</v>
      </c>
      <c r="L223" s="60">
        <f>SUM(L224:L227)</f>
        <v>0</v>
      </c>
      <c r="M223" s="60">
        <f>SUM(M224:M227)</f>
        <v>0</v>
      </c>
      <c r="N223" s="16" t="s">
        <v>23</v>
      </c>
      <c r="O223" s="60">
        <f>SUM(O224:O227)</f>
        <v>1.43022</v>
      </c>
      <c r="P223" s="86" t="s">
        <v>23</v>
      </c>
      <c r="AI223" s="16" t="s">
        <v>438</v>
      </c>
      <c r="AS223" s="60">
        <f>SUM(AJ224:AJ227)</f>
        <v>0</v>
      </c>
      <c r="AT223" s="60">
        <f>SUM(AK224:AK227)</f>
        <v>0</v>
      </c>
      <c r="AU223" s="60">
        <f>SUM(AL224:AL227)</f>
        <v>0</v>
      </c>
    </row>
    <row r="224" spans="1:76" x14ac:dyDescent="0.25">
      <c r="A224" s="1" t="s">
        <v>724</v>
      </c>
      <c r="B224" s="2" t="s">
        <v>438</v>
      </c>
      <c r="C224" s="2" t="s">
        <v>318</v>
      </c>
      <c r="D224" s="96" t="s">
        <v>319</v>
      </c>
      <c r="E224" s="97"/>
      <c r="F224" s="2" t="s">
        <v>33</v>
      </c>
      <c r="G224" s="19">
        <f>'Rozpočet - vybrané sloupce'!I183</f>
        <v>22</v>
      </c>
      <c r="H224" s="19">
        <f>'Rozpočet - vybrané sloupce'!J183</f>
        <v>0</v>
      </c>
      <c r="I224" s="87">
        <v>12</v>
      </c>
      <c r="J224" s="19">
        <f>ROUND(G224*AO224,2)</f>
        <v>0</v>
      </c>
      <c r="K224" s="19">
        <f>ROUND(G224*AP224,2)</f>
        <v>0</v>
      </c>
      <c r="L224" s="19">
        <f>ROUND(G224*H224,2)</f>
        <v>0</v>
      </c>
      <c r="M224" s="19">
        <f>L224*(1+BW224/100)</f>
        <v>0</v>
      </c>
      <c r="N224" s="19">
        <v>1.298E-2</v>
      </c>
      <c r="O224" s="19">
        <f>G224*N224</f>
        <v>0.28555999999999998</v>
      </c>
      <c r="P224" s="88" t="s">
        <v>531</v>
      </c>
      <c r="Z224" s="19">
        <f>ROUND(IF(AQ224="5",BJ224,0),2)</f>
        <v>0</v>
      </c>
      <c r="AB224" s="19">
        <f>ROUND(IF(AQ224="1",BH224,0),2)</f>
        <v>0</v>
      </c>
      <c r="AC224" s="19">
        <f>ROUND(IF(AQ224="1",BI224,0),2)</f>
        <v>0</v>
      </c>
      <c r="AD224" s="19">
        <f>ROUND(IF(AQ224="7",BH224,0),2)</f>
        <v>0</v>
      </c>
      <c r="AE224" s="19">
        <f>ROUND(IF(AQ224="7",BI224,0),2)</f>
        <v>0</v>
      </c>
      <c r="AF224" s="19">
        <f>ROUND(IF(AQ224="2",BH224,0),2)</f>
        <v>0</v>
      </c>
      <c r="AG224" s="19">
        <f>ROUND(IF(AQ224="2",BI224,0),2)</f>
        <v>0</v>
      </c>
      <c r="AH224" s="19">
        <f>ROUND(IF(AQ224="0",BJ224,0),2)</f>
        <v>0</v>
      </c>
      <c r="AI224" s="16" t="s">
        <v>438</v>
      </c>
      <c r="AJ224" s="19">
        <f>IF(AN224=0,L224,0)</f>
        <v>0</v>
      </c>
      <c r="AK224" s="19">
        <f>IF(AN224=12,L224,0)</f>
        <v>0</v>
      </c>
      <c r="AL224" s="19">
        <f>IF(AN224=21,L224,0)</f>
        <v>0</v>
      </c>
      <c r="AN224" s="19">
        <v>12</v>
      </c>
      <c r="AO224" s="19">
        <f>H224*0.287563413</f>
        <v>0</v>
      </c>
      <c r="AP224" s="19">
        <f>H224*(1-0.287563413)</f>
        <v>0</v>
      </c>
      <c r="AQ224" s="89" t="s">
        <v>530</v>
      </c>
      <c r="AV224" s="19">
        <f>ROUND(AW224+AX224,2)</f>
        <v>0</v>
      </c>
      <c r="AW224" s="19">
        <f>ROUND(G224*AO224,2)</f>
        <v>0</v>
      </c>
      <c r="AX224" s="19">
        <f>ROUND(G224*AP224,2)</f>
        <v>0</v>
      </c>
      <c r="AY224" s="89" t="s">
        <v>725</v>
      </c>
      <c r="AZ224" s="89" t="s">
        <v>726</v>
      </c>
      <c r="BA224" s="16" t="s">
        <v>709</v>
      </c>
      <c r="BC224" s="19">
        <f>AW224+AX224</f>
        <v>0</v>
      </c>
      <c r="BD224" s="19">
        <f>H224/(100-BE224)*100</f>
        <v>0</v>
      </c>
      <c r="BE224" s="19">
        <v>0</v>
      </c>
      <c r="BF224" s="19">
        <f>O224</f>
        <v>0.28555999999999998</v>
      </c>
      <c r="BH224" s="19">
        <f>G224*AO224</f>
        <v>0</v>
      </c>
      <c r="BI224" s="19">
        <f>G224*AP224</f>
        <v>0</v>
      </c>
      <c r="BJ224" s="19">
        <f>G224*H224</f>
        <v>0</v>
      </c>
      <c r="BK224" s="89" t="s">
        <v>30</v>
      </c>
      <c r="BL224" s="19">
        <v>411</v>
      </c>
      <c r="BW224" s="19">
        <f>I224</f>
        <v>12</v>
      </c>
      <c r="BX224" s="4" t="s">
        <v>319</v>
      </c>
    </row>
    <row r="225" spans="1:76" x14ac:dyDescent="0.25">
      <c r="A225" s="1" t="s">
        <v>727</v>
      </c>
      <c r="B225" s="2" t="s">
        <v>438</v>
      </c>
      <c r="C225" s="2" t="s">
        <v>320</v>
      </c>
      <c r="D225" s="96" t="s">
        <v>321</v>
      </c>
      <c r="E225" s="97"/>
      <c r="F225" s="2" t="s">
        <v>33</v>
      </c>
      <c r="G225" s="19">
        <f>'Rozpočet - vybrané sloupce'!I184</f>
        <v>22</v>
      </c>
      <c r="H225" s="19">
        <f>'Rozpočet - vybrané sloupce'!J184</f>
        <v>0</v>
      </c>
      <c r="I225" s="87">
        <v>12</v>
      </c>
      <c r="J225" s="19">
        <f>ROUND(G225*AO225,2)</f>
        <v>0</v>
      </c>
      <c r="K225" s="19">
        <f>ROUND(G225*AP225,2)</f>
        <v>0</v>
      </c>
      <c r="L225" s="19">
        <f>ROUND(G225*H225,2)</f>
        <v>0</v>
      </c>
      <c r="M225" s="19">
        <f>L225*(1+BW225/100)</f>
        <v>0</v>
      </c>
      <c r="N225" s="19">
        <v>5.203E-2</v>
      </c>
      <c r="O225" s="19">
        <f>G225*N225</f>
        <v>1.14466</v>
      </c>
      <c r="P225" s="88" t="s">
        <v>531</v>
      </c>
      <c r="Z225" s="19">
        <f>ROUND(IF(AQ225="5",BJ225,0),2)</f>
        <v>0</v>
      </c>
      <c r="AB225" s="19">
        <f>ROUND(IF(AQ225="1",BH225,0),2)</f>
        <v>0</v>
      </c>
      <c r="AC225" s="19">
        <f>ROUND(IF(AQ225="1",BI225,0),2)</f>
        <v>0</v>
      </c>
      <c r="AD225" s="19">
        <f>ROUND(IF(AQ225="7",BH225,0),2)</f>
        <v>0</v>
      </c>
      <c r="AE225" s="19">
        <f>ROUND(IF(AQ225="7",BI225,0),2)</f>
        <v>0</v>
      </c>
      <c r="AF225" s="19">
        <f>ROUND(IF(AQ225="2",BH225,0),2)</f>
        <v>0</v>
      </c>
      <c r="AG225" s="19">
        <f>ROUND(IF(AQ225="2",BI225,0),2)</f>
        <v>0</v>
      </c>
      <c r="AH225" s="19">
        <f>ROUND(IF(AQ225="0",BJ225,0),2)</f>
        <v>0</v>
      </c>
      <c r="AI225" s="16" t="s">
        <v>438</v>
      </c>
      <c r="AJ225" s="19">
        <f>IF(AN225=0,L225,0)</f>
        <v>0</v>
      </c>
      <c r="AK225" s="19">
        <f>IF(AN225=12,L225,0)</f>
        <v>0</v>
      </c>
      <c r="AL225" s="19">
        <f>IF(AN225=21,L225,0)</f>
        <v>0</v>
      </c>
      <c r="AN225" s="19">
        <v>12</v>
      </c>
      <c r="AO225" s="19">
        <f>H225*0.119058824</f>
        <v>0</v>
      </c>
      <c r="AP225" s="19">
        <f>H225*(1-0.119058824)</f>
        <v>0</v>
      </c>
      <c r="AQ225" s="89" t="s">
        <v>530</v>
      </c>
      <c r="AV225" s="19">
        <f>ROUND(AW225+AX225,2)</f>
        <v>0</v>
      </c>
      <c r="AW225" s="19">
        <f>ROUND(G225*AO225,2)</f>
        <v>0</v>
      </c>
      <c r="AX225" s="19">
        <f>ROUND(G225*AP225,2)</f>
        <v>0</v>
      </c>
      <c r="AY225" s="89" t="s">
        <v>725</v>
      </c>
      <c r="AZ225" s="89" t="s">
        <v>726</v>
      </c>
      <c r="BA225" s="16" t="s">
        <v>709</v>
      </c>
      <c r="BC225" s="19">
        <f>AW225+AX225</f>
        <v>0</v>
      </c>
      <c r="BD225" s="19">
        <f>H225/(100-BE225)*100</f>
        <v>0</v>
      </c>
      <c r="BE225" s="19">
        <v>0</v>
      </c>
      <c r="BF225" s="19">
        <f>O225</f>
        <v>1.14466</v>
      </c>
      <c r="BH225" s="19">
        <f>G225*AO225</f>
        <v>0</v>
      </c>
      <c r="BI225" s="19">
        <f>G225*AP225</f>
        <v>0</v>
      </c>
      <c r="BJ225" s="19">
        <f>G225*H225</f>
        <v>0</v>
      </c>
      <c r="BK225" s="89" t="s">
        <v>30</v>
      </c>
      <c r="BL225" s="19">
        <v>411</v>
      </c>
      <c r="BW225" s="19">
        <f>I225</f>
        <v>12</v>
      </c>
      <c r="BX225" s="4" t="s">
        <v>321</v>
      </c>
    </row>
    <row r="226" spans="1:76" ht="25.5" x14ac:dyDescent="0.25">
      <c r="A226" s="90"/>
      <c r="C226" s="91" t="s">
        <v>547</v>
      </c>
      <c r="D226" s="180" t="s">
        <v>728</v>
      </c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2"/>
      <c r="BX226" s="92" t="s">
        <v>728</v>
      </c>
    </row>
    <row r="227" spans="1:76" x14ac:dyDescent="0.25">
      <c r="A227" s="1" t="s">
        <v>729</v>
      </c>
      <c r="B227" s="2" t="s">
        <v>438</v>
      </c>
      <c r="C227" s="2" t="s">
        <v>314</v>
      </c>
      <c r="D227" s="96" t="s">
        <v>315</v>
      </c>
      <c r="E227" s="97"/>
      <c r="F227" s="2" t="s">
        <v>90</v>
      </c>
      <c r="G227" s="19">
        <f>'Rozpočet - vybrané sloupce'!I185</f>
        <v>1.5</v>
      </c>
      <c r="H227" s="19">
        <f>'Rozpočet - vybrané sloupce'!J185</f>
        <v>0</v>
      </c>
      <c r="I227" s="87">
        <v>12</v>
      </c>
      <c r="J227" s="19">
        <f>ROUND(G227*AO227,2)</f>
        <v>0</v>
      </c>
      <c r="K227" s="19">
        <f>ROUND(G227*AP227,2)</f>
        <v>0</v>
      </c>
      <c r="L227" s="19">
        <f>ROUND(G227*H227,2)</f>
        <v>0</v>
      </c>
      <c r="M227" s="19">
        <f>L227*(1+BW227/100)</f>
        <v>0</v>
      </c>
      <c r="N227" s="19">
        <v>0</v>
      </c>
      <c r="O227" s="19">
        <f>G227*N227</f>
        <v>0</v>
      </c>
      <c r="P227" s="88" t="s">
        <v>531</v>
      </c>
      <c r="Z227" s="19">
        <f>ROUND(IF(AQ227="5",BJ227,0),2)</f>
        <v>0</v>
      </c>
      <c r="AB227" s="19">
        <f>ROUND(IF(AQ227="1",BH227,0),2)</f>
        <v>0</v>
      </c>
      <c r="AC227" s="19">
        <f>ROUND(IF(AQ227="1",BI227,0),2)</f>
        <v>0</v>
      </c>
      <c r="AD227" s="19">
        <f>ROUND(IF(AQ227="7",BH227,0),2)</f>
        <v>0</v>
      </c>
      <c r="AE227" s="19">
        <f>ROUND(IF(AQ227="7",BI227,0),2)</f>
        <v>0</v>
      </c>
      <c r="AF227" s="19">
        <f>ROUND(IF(AQ227="2",BH227,0),2)</f>
        <v>0</v>
      </c>
      <c r="AG227" s="19">
        <f>ROUND(IF(AQ227="2",BI227,0),2)</f>
        <v>0</v>
      </c>
      <c r="AH227" s="19">
        <f>ROUND(IF(AQ227="0",BJ227,0),2)</f>
        <v>0</v>
      </c>
      <c r="AI227" s="16" t="s">
        <v>438</v>
      </c>
      <c r="AJ227" s="19">
        <f>IF(AN227=0,L227,0)</f>
        <v>0</v>
      </c>
      <c r="AK227" s="19">
        <f>IF(AN227=12,L227,0)</f>
        <v>0</v>
      </c>
      <c r="AL227" s="19">
        <f>IF(AN227=21,L227,0)</f>
        <v>0</v>
      </c>
      <c r="AN227" s="19">
        <v>12</v>
      </c>
      <c r="AO227" s="19">
        <f>H227*0</f>
        <v>0</v>
      </c>
      <c r="AP227" s="19">
        <f>H227*(1-0)</f>
        <v>0</v>
      </c>
      <c r="AQ227" s="89" t="s">
        <v>540</v>
      </c>
      <c r="AV227" s="19">
        <f>ROUND(AW227+AX227,2)</f>
        <v>0</v>
      </c>
      <c r="AW227" s="19">
        <f>ROUND(G227*AO227,2)</f>
        <v>0</v>
      </c>
      <c r="AX227" s="19">
        <f>ROUND(G227*AP227,2)</f>
        <v>0</v>
      </c>
      <c r="AY227" s="89" t="s">
        <v>725</v>
      </c>
      <c r="AZ227" s="89" t="s">
        <v>726</v>
      </c>
      <c r="BA227" s="16" t="s">
        <v>709</v>
      </c>
      <c r="BC227" s="19">
        <f>AW227+AX227</f>
        <v>0</v>
      </c>
      <c r="BD227" s="19">
        <f>H227/(100-BE227)*100</f>
        <v>0</v>
      </c>
      <c r="BE227" s="19">
        <v>0</v>
      </c>
      <c r="BF227" s="19">
        <f>O227</f>
        <v>0</v>
      </c>
      <c r="BH227" s="19">
        <f>G227*AO227</f>
        <v>0</v>
      </c>
      <c r="BI227" s="19">
        <f>G227*AP227</f>
        <v>0</v>
      </c>
      <c r="BJ227" s="19">
        <f>G227*H227</f>
        <v>0</v>
      </c>
      <c r="BK227" s="89" t="s">
        <v>30</v>
      </c>
      <c r="BL227" s="19">
        <v>411</v>
      </c>
      <c r="BW227" s="19">
        <f>I227</f>
        <v>12</v>
      </c>
      <c r="BX227" s="4" t="s">
        <v>315</v>
      </c>
    </row>
    <row r="228" spans="1:76" x14ac:dyDescent="0.25">
      <c r="A228" s="84" t="s">
        <v>23</v>
      </c>
      <c r="B228" s="15" t="s">
        <v>438</v>
      </c>
      <c r="C228" s="15" t="s">
        <v>322</v>
      </c>
      <c r="D228" s="152" t="s">
        <v>323</v>
      </c>
      <c r="E228" s="153"/>
      <c r="F228" s="85" t="s">
        <v>22</v>
      </c>
      <c r="G228" s="85" t="s">
        <v>22</v>
      </c>
      <c r="H228" s="85" t="s">
        <v>22</v>
      </c>
      <c r="I228" s="85" t="s">
        <v>22</v>
      </c>
      <c r="J228" s="60">
        <f>SUM(J229:J229)</f>
        <v>0</v>
      </c>
      <c r="K228" s="60">
        <f>SUM(K229:K229)</f>
        <v>0</v>
      </c>
      <c r="L228" s="60">
        <f>SUM(L229:L229)</f>
        <v>0</v>
      </c>
      <c r="M228" s="60">
        <f>SUM(M229:M229)</f>
        <v>0</v>
      </c>
      <c r="N228" s="16" t="s">
        <v>23</v>
      </c>
      <c r="O228" s="60">
        <f>SUM(O229:O229)</f>
        <v>0</v>
      </c>
      <c r="P228" s="86" t="s">
        <v>23</v>
      </c>
      <c r="AI228" s="16" t="s">
        <v>438</v>
      </c>
      <c r="AS228" s="60">
        <f>SUM(AJ229:AJ229)</f>
        <v>0</v>
      </c>
      <c r="AT228" s="60">
        <f>SUM(AK229:AK229)</f>
        <v>0</v>
      </c>
      <c r="AU228" s="60">
        <f>SUM(AL229:AL229)</f>
        <v>0</v>
      </c>
    </row>
    <row r="229" spans="1:76" x14ac:dyDescent="0.25">
      <c r="A229" s="1" t="s">
        <v>730</v>
      </c>
      <c r="B229" s="2" t="s">
        <v>438</v>
      </c>
      <c r="C229" s="2" t="s">
        <v>324</v>
      </c>
      <c r="D229" s="96" t="s">
        <v>325</v>
      </c>
      <c r="E229" s="97"/>
      <c r="F229" s="2" t="s">
        <v>38</v>
      </c>
      <c r="G229" s="19">
        <f>'Rozpočet - vybrané sloupce'!I187</f>
        <v>22</v>
      </c>
      <c r="H229" s="19">
        <f>'Rozpočet - vybrané sloupce'!J187</f>
        <v>0</v>
      </c>
      <c r="I229" s="87">
        <v>12</v>
      </c>
      <c r="J229" s="19">
        <f>ROUND(G229*AO229,2)</f>
        <v>0</v>
      </c>
      <c r="K229" s="19">
        <f>ROUND(G229*AP229,2)</f>
        <v>0</v>
      </c>
      <c r="L229" s="19">
        <f>ROUND(G229*H229,2)</f>
        <v>0</v>
      </c>
      <c r="M229" s="19">
        <f>L229*(1+BW229/100)</f>
        <v>0</v>
      </c>
      <c r="N229" s="19">
        <v>0</v>
      </c>
      <c r="O229" s="19">
        <f>G229*N229</f>
        <v>0</v>
      </c>
      <c r="P229" s="88" t="s">
        <v>531</v>
      </c>
      <c r="Z229" s="19">
        <f>ROUND(IF(AQ229="5",BJ229,0),2)</f>
        <v>0</v>
      </c>
      <c r="AB229" s="19">
        <f>ROUND(IF(AQ229="1",BH229,0),2)</f>
        <v>0</v>
      </c>
      <c r="AC229" s="19">
        <f>ROUND(IF(AQ229="1",BI229,0),2)</f>
        <v>0</v>
      </c>
      <c r="AD229" s="19">
        <f>ROUND(IF(AQ229="7",BH229,0),2)</f>
        <v>0</v>
      </c>
      <c r="AE229" s="19">
        <f>ROUND(IF(AQ229="7",BI229,0),2)</f>
        <v>0</v>
      </c>
      <c r="AF229" s="19">
        <f>ROUND(IF(AQ229="2",BH229,0),2)</f>
        <v>0</v>
      </c>
      <c r="AG229" s="19">
        <f>ROUND(IF(AQ229="2",BI229,0),2)</f>
        <v>0</v>
      </c>
      <c r="AH229" s="19">
        <f>ROUND(IF(AQ229="0",BJ229,0),2)</f>
        <v>0</v>
      </c>
      <c r="AI229" s="16" t="s">
        <v>438</v>
      </c>
      <c r="AJ229" s="19">
        <f>IF(AN229=0,L229,0)</f>
        <v>0</v>
      </c>
      <c r="AK229" s="19">
        <f>IF(AN229=12,L229,0)</f>
        <v>0</v>
      </c>
      <c r="AL229" s="19">
        <f>IF(AN229=21,L229,0)</f>
        <v>0</v>
      </c>
      <c r="AN229" s="19">
        <v>12</v>
      </c>
      <c r="AO229" s="19">
        <f>H229*0.5</f>
        <v>0</v>
      </c>
      <c r="AP229" s="19">
        <f>H229*(1-0.5)</f>
        <v>0</v>
      </c>
      <c r="AQ229" s="89" t="s">
        <v>532</v>
      </c>
      <c r="AV229" s="19">
        <f>ROUND(AW229+AX229,2)</f>
        <v>0</v>
      </c>
      <c r="AW229" s="19">
        <f>ROUND(G229*AO229,2)</f>
        <v>0</v>
      </c>
      <c r="AX229" s="19">
        <f>ROUND(G229*AP229,2)</f>
        <v>0</v>
      </c>
      <c r="AY229" s="89" t="s">
        <v>731</v>
      </c>
      <c r="AZ229" s="89" t="s">
        <v>732</v>
      </c>
      <c r="BA229" s="16" t="s">
        <v>709</v>
      </c>
      <c r="BC229" s="19">
        <f>AW229+AX229</f>
        <v>0</v>
      </c>
      <c r="BD229" s="19">
        <f>H229/(100-BE229)*100</f>
        <v>0</v>
      </c>
      <c r="BE229" s="19">
        <v>0</v>
      </c>
      <c r="BF229" s="19">
        <f>O229</f>
        <v>0</v>
      </c>
      <c r="BH229" s="19">
        <f>G229*AO229</f>
        <v>0</v>
      </c>
      <c r="BI229" s="19">
        <f>G229*AP229</f>
        <v>0</v>
      </c>
      <c r="BJ229" s="19">
        <f>G229*H229</f>
        <v>0</v>
      </c>
      <c r="BK229" s="89" t="s">
        <v>30</v>
      </c>
      <c r="BL229" s="19">
        <v>74</v>
      </c>
      <c r="BW229" s="19">
        <f>I229</f>
        <v>12</v>
      </c>
      <c r="BX229" s="4" t="s">
        <v>325</v>
      </c>
    </row>
    <row r="230" spans="1:76" x14ac:dyDescent="0.25">
      <c r="A230" s="84" t="s">
        <v>23</v>
      </c>
      <c r="B230" s="15" t="s">
        <v>438</v>
      </c>
      <c r="C230" s="15" t="s">
        <v>326</v>
      </c>
      <c r="D230" s="152" t="s">
        <v>327</v>
      </c>
      <c r="E230" s="153"/>
      <c r="F230" s="85" t="s">
        <v>22</v>
      </c>
      <c r="G230" s="85" t="s">
        <v>22</v>
      </c>
      <c r="H230" s="85" t="s">
        <v>22</v>
      </c>
      <c r="I230" s="85" t="s">
        <v>22</v>
      </c>
      <c r="J230" s="60">
        <f>SUM(J231:J234)</f>
        <v>0</v>
      </c>
      <c r="K230" s="60">
        <f>SUM(K231:K234)</f>
        <v>0</v>
      </c>
      <c r="L230" s="60">
        <f>SUM(L231:L234)</f>
        <v>0</v>
      </c>
      <c r="M230" s="60">
        <f>SUM(M231:M234)</f>
        <v>0</v>
      </c>
      <c r="N230" s="16" t="s">
        <v>23</v>
      </c>
      <c r="O230" s="60">
        <f>SUM(O231:O234)</f>
        <v>1.056E-2</v>
      </c>
      <c r="P230" s="86" t="s">
        <v>23</v>
      </c>
      <c r="AI230" s="16" t="s">
        <v>438</v>
      </c>
      <c r="AS230" s="60">
        <f>SUM(AJ231:AJ234)</f>
        <v>0</v>
      </c>
      <c r="AT230" s="60">
        <f>SUM(AK231:AK234)</f>
        <v>0</v>
      </c>
      <c r="AU230" s="60">
        <f>SUM(AL231:AL234)</f>
        <v>0</v>
      </c>
    </row>
    <row r="231" spans="1:76" x14ac:dyDescent="0.25">
      <c r="A231" s="1" t="s">
        <v>733</v>
      </c>
      <c r="B231" s="2" t="s">
        <v>438</v>
      </c>
      <c r="C231" s="2" t="s">
        <v>328</v>
      </c>
      <c r="D231" s="96" t="s">
        <v>329</v>
      </c>
      <c r="E231" s="97"/>
      <c r="F231" s="2" t="s">
        <v>330</v>
      </c>
      <c r="G231" s="19">
        <f>'Rozpočet - vybrané sloupce'!I189</f>
        <v>88</v>
      </c>
      <c r="H231" s="19">
        <f>'Rozpočet - vybrané sloupce'!J189</f>
        <v>0</v>
      </c>
      <c r="I231" s="87">
        <v>12</v>
      </c>
      <c r="J231" s="19">
        <f>ROUND(G231*AO231,2)</f>
        <v>0</v>
      </c>
      <c r="K231" s="19">
        <f>ROUND(G231*AP231,2)</f>
        <v>0</v>
      </c>
      <c r="L231" s="19">
        <f>ROUND(G231*H231,2)</f>
        <v>0</v>
      </c>
      <c r="M231" s="19">
        <f>L231*(1+BW231/100)</f>
        <v>0</v>
      </c>
      <c r="N231" s="19">
        <v>1.2E-4</v>
      </c>
      <c r="O231" s="19">
        <f>G231*N231</f>
        <v>1.056E-2</v>
      </c>
      <c r="P231" s="88" t="s">
        <v>531</v>
      </c>
      <c r="Z231" s="19">
        <f>ROUND(IF(AQ231="5",BJ231,0),2)</f>
        <v>0</v>
      </c>
      <c r="AB231" s="19">
        <f>ROUND(IF(AQ231="1",BH231,0),2)</f>
        <v>0</v>
      </c>
      <c r="AC231" s="19">
        <f>ROUND(IF(AQ231="1",BI231,0),2)</f>
        <v>0</v>
      </c>
      <c r="AD231" s="19">
        <f>ROUND(IF(AQ231="7",BH231,0),2)</f>
        <v>0</v>
      </c>
      <c r="AE231" s="19">
        <f>ROUND(IF(AQ231="7",BI231,0),2)</f>
        <v>0</v>
      </c>
      <c r="AF231" s="19">
        <f>ROUND(IF(AQ231="2",BH231,0),2)</f>
        <v>0</v>
      </c>
      <c r="AG231" s="19">
        <f>ROUND(IF(AQ231="2",BI231,0),2)</f>
        <v>0</v>
      </c>
      <c r="AH231" s="19">
        <f>ROUND(IF(AQ231="0",BJ231,0),2)</f>
        <v>0</v>
      </c>
      <c r="AI231" s="16" t="s">
        <v>438</v>
      </c>
      <c r="AJ231" s="19">
        <f>IF(AN231=0,L231,0)</f>
        <v>0</v>
      </c>
      <c r="AK231" s="19">
        <f>IF(AN231=12,L231,0)</f>
        <v>0</v>
      </c>
      <c r="AL231" s="19">
        <f>IF(AN231=21,L231,0)</f>
        <v>0</v>
      </c>
      <c r="AN231" s="19">
        <v>12</v>
      </c>
      <c r="AO231" s="19">
        <f>H231*0.402175352</f>
        <v>0</v>
      </c>
      <c r="AP231" s="19">
        <f>H231*(1-0.402175352)</f>
        <v>0</v>
      </c>
      <c r="AQ231" s="89" t="s">
        <v>532</v>
      </c>
      <c r="AV231" s="19">
        <f>ROUND(AW231+AX231,2)</f>
        <v>0</v>
      </c>
      <c r="AW231" s="19">
        <f>ROUND(G231*AO231,2)</f>
        <v>0</v>
      </c>
      <c r="AX231" s="19">
        <f>ROUND(G231*AP231,2)</f>
        <v>0</v>
      </c>
      <c r="AY231" s="89" t="s">
        <v>734</v>
      </c>
      <c r="AZ231" s="89" t="s">
        <v>735</v>
      </c>
      <c r="BA231" s="16" t="s">
        <v>709</v>
      </c>
      <c r="BC231" s="19">
        <f>AW231+AX231</f>
        <v>0</v>
      </c>
      <c r="BD231" s="19">
        <f>H231/(100-BE231)*100</f>
        <v>0</v>
      </c>
      <c r="BE231" s="19">
        <v>0</v>
      </c>
      <c r="BF231" s="19">
        <f>O231</f>
        <v>1.056E-2</v>
      </c>
      <c r="BH231" s="19">
        <f>G231*AO231</f>
        <v>0</v>
      </c>
      <c r="BI231" s="19">
        <f>G231*AP231</f>
        <v>0</v>
      </c>
      <c r="BJ231" s="19">
        <f>G231*H231</f>
        <v>0</v>
      </c>
      <c r="BK231" s="89" t="s">
        <v>30</v>
      </c>
      <c r="BL231" s="19">
        <v>767</v>
      </c>
      <c r="BW231" s="19">
        <f>I231</f>
        <v>12</v>
      </c>
      <c r="BX231" s="4" t="s">
        <v>329</v>
      </c>
    </row>
    <row r="232" spans="1:76" x14ac:dyDescent="0.25">
      <c r="A232" s="1" t="s">
        <v>736</v>
      </c>
      <c r="B232" s="2" t="s">
        <v>438</v>
      </c>
      <c r="C232" s="2" t="s">
        <v>331</v>
      </c>
      <c r="D232" s="96" t="s">
        <v>332</v>
      </c>
      <c r="E232" s="97"/>
      <c r="F232" s="2" t="s">
        <v>33</v>
      </c>
      <c r="G232" s="19">
        <f>'Rozpočet - vybrané sloupce'!I190</f>
        <v>44</v>
      </c>
      <c r="H232" s="19">
        <f>'Rozpočet - vybrané sloupce'!J190</f>
        <v>0</v>
      </c>
      <c r="I232" s="87">
        <v>12</v>
      </c>
      <c r="J232" s="19">
        <f>ROUND(G232*AO232,2)</f>
        <v>0</v>
      </c>
      <c r="K232" s="19">
        <f>ROUND(G232*AP232,2)</f>
        <v>0</v>
      </c>
      <c r="L232" s="19">
        <f>ROUND(G232*H232,2)</f>
        <v>0</v>
      </c>
      <c r="M232" s="19">
        <f>L232*(1+BW232/100)</f>
        <v>0</v>
      </c>
      <c r="N232" s="19">
        <v>0</v>
      </c>
      <c r="O232" s="19">
        <f>G232*N232</f>
        <v>0</v>
      </c>
      <c r="P232" s="88" t="s">
        <v>531</v>
      </c>
      <c r="Z232" s="19">
        <f>ROUND(IF(AQ232="5",BJ232,0),2)</f>
        <v>0</v>
      </c>
      <c r="AB232" s="19">
        <f>ROUND(IF(AQ232="1",BH232,0),2)</f>
        <v>0</v>
      </c>
      <c r="AC232" s="19">
        <f>ROUND(IF(AQ232="1",BI232,0),2)</f>
        <v>0</v>
      </c>
      <c r="AD232" s="19">
        <f>ROUND(IF(AQ232="7",BH232,0),2)</f>
        <v>0</v>
      </c>
      <c r="AE232" s="19">
        <f>ROUND(IF(AQ232="7",BI232,0),2)</f>
        <v>0</v>
      </c>
      <c r="AF232" s="19">
        <f>ROUND(IF(AQ232="2",BH232,0),2)</f>
        <v>0</v>
      </c>
      <c r="AG232" s="19">
        <f>ROUND(IF(AQ232="2",BI232,0),2)</f>
        <v>0</v>
      </c>
      <c r="AH232" s="19">
        <f>ROUND(IF(AQ232="0",BJ232,0),2)</f>
        <v>0</v>
      </c>
      <c r="AI232" s="16" t="s">
        <v>438</v>
      </c>
      <c r="AJ232" s="19">
        <f>IF(AN232=0,L232,0)</f>
        <v>0</v>
      </c>
      <c r="AK232" s="19">
        <f>IF(AN232=12,L232,0)</f>
        <v>0</v>
      </c>
      <c r="AL232" s="19">
        <f>IF(AN232=21,L232,0)</f>
        <v>0</v>
      </c>
      <c r="AN232" s="19">
        <v>12</v>
      </c>
      <c r="AO232" s="19">
        <f>H232*1</f>
        <v>0</v>
      </c>
      <c r="AP232" s="19">
        <f>H232*(1-1)</f>
        <v>0</v>
      </c>
      <c r="AQ232" s="89" t="s">
        <v>532</v>
      </c>
      <c r="AV232" s="19">
        <f>ROUND(AW232+AX232,2)</f>
        <v>0</v>
      </c>
      <c r="AW232" s="19">
        <f>ROUND(G232*AO232,2)</f>
        <v>0</v>
      </c>
      <c r="AX232" s="19">
        <f>ROUND(G232*AP232,2)</f>
        <v>0</v>
      </c>
      <c r="AY232" s="89" t="s">
        <v>734</v>
      </c>
      <c r="AZ232" s="89" t="s">
        <v>735</v>
      </c>
      <c r="BA232" s="16" t="s">
        <v>709</v>
      </c>
      <c r="BC232" s="19">
        <f>AW232+AX232</f>
        <v>0</v>
      </c>
      <c r="BD232" s="19">
        <f>H232/(100-BE232)*100</f>
        <v>0</v>
      </c>
      <c r="BE232" s="19">
        <v>0</v>
      </c>
      <c r="BF232" s="19">
        <f>O232</f>
        <v>0</v>
      </c>
      <c r="BH232" s="19">
        <f>G232*AO232</f>
        <v>0</v>
      </c>
      <c r="BI232" s="19">
        <f>G232*AP232</f>
        <v>0</v>
      </c>
      <c r="BJ232" s="19">
        <f>G232*H232</f>
        <v>0</v>
      </c>
      <c r="BK232" s="89" t="s">
        <v>53</v>
      </c>
      <c r="BL232" s="19">
        <v>767</v>
      </c>
      <c r="BW232" s="19">
        <f>I232</f>
        <v>12</v>
      </c>
      <c r="BX232" s="4" t="s">
        <v>332</v>
      </c>
    </row>
    <row r="233" spans="1:76" x14ac:dyDescent="0.25">
      <c r="A233" s="1" t="s">
        <v>737</v>
      </c>
      <c r="B233" s="2" t="s">
        <v>438</v>
      </c>
      <c r="C233" s="2" t="s">
        <v>333</v>
      </c>
      <c r="D233" s="96" t="s">
        <v>334</v>
      </c>
      <c r="E233" s="97"/>
      <c r="F233" s="2" t="s">
        <v>33</v>
      </c>
      <c r="G233" s="19">
        <f>'Rozpočet - vybrané sloupce'!I191</f>
        <v>88</v>
      </c>
      <c r="H233" s="19">
        <f>'Rozpočet - vybrané sloupce'!J191</f>
        <v>0</v>
      </c>
      <c r="I233" s="87">
        <v>12</v>
      </c>
      <c r="J233" s="19">
        <f>ROUND(G233*AO233,2)</f>
        <v>0</v>
      </c>
      <c r="K233" s="19">
        <f>ROUND(G233*AP233,2)</f>
        <v>0</v>
      </c>
      <c r="L233" s="19">
        <f>ROUND(G233*H233,2)</f>
        <v>0</v>
      </c>
      <c r="M233" s="19">
        <f>L233*(1+BW233/100)</f>
        <v>0</v>
      </c>
      <c r="N233" s="19">
        <v>0</v>
      </c>
      <c r="O233" s="19">
        <f>G233*N233</f>
        <v>0</v>
      </c>
      <c r="P233" s="88" t="s">
        <v>531</v>
      </c>
      <c r="Z233" s="19">
        <f>ROUND(IF(AQ233="5",BJ233,0),2)</f>
        <v>0</v>
      </c>
      <c r="AB233" s="19">
        <f>ROUND(IF(AQ233="1",BH233,0),2)</f>
        <v>0</v>
      </c>
      <c r="AC233" s="19">
        <f>ROUND(IF(AQ233="1",BI233,0),2)</f>
        <v>0</v>
      </c>
      <c r="AD233" s="19">
        <f>ROUND(IF(AQ233="7",BH233,0),2)</f>
        <v>0</v>
      </c>
      <c r="AE233" s="19">
        <f>ROUND(IF(AQ233="7",BI233,0),2)</f>
        <v>0</v>
      </c>
      <c r="AF233" s="19">
        <f>ROUND(IF(AQ233="2",BH233,0),2)</f>
        <v>0</v>
      </c>
      <c r="AG233" s="19">
        <f>ROUND(IF(AQ233="2",BI233,0),2)</f>
        <v>0</v>
      </c>
      <c r="AH233" s="19">
        <f>ROUND(IF(AQ233="0",BJ233,0),2)</f>
        <v>0</v>
      </c>
      <c r="AI233" s="16" t="s">
        <v>438</v>
      </c>
      <c r="AJ233" s="19">
        <f>IF(AN233=0,L233,0)</f>
        <v>0</v>
      </c>
      <c r="AK233" s="19">
        <f>IF(AN233=12,L233,0)</f>
        <v>0</v>
      </c>
      <c r="AL233" s="19">
        <f>IF(AN233=21,L233,0)</f>
        <v>0</v>
      </c>
      <c r="AN233" s="19">
        <v>12</v>
      </c>
      <c r="AO233" s="19">
        <f>H233*1</f>
        <v>0</v>
      </c>
      <c r="AP233" s="19">
        <f>H233*(1-1)</f>
        <v>0</v>
      </c>
      <c r="AQ233" s="89" t="s">
        <v>532</v>
      </c>
      <c r="AV233" s="19">
        <f>ROUND(AW233+AX233,2)</f>
        <v>0</v>
      </c>
      <c r="AW233" s="19">
        <f>ROUND(G233*AO233,2)</f>
        <v>0</v>
      </c>
      <c r="AX233" s="19">
        <f>ROUND(G233*AP233,2)</f>
        <v>0</v>
      </c>
      <c r="AY233" s="89" t="s">
        <v>734</v>
      </c>
      <c r="AZ233" s="89" t="s">
        <v>735</v>
      </c>
      <c r="BA233" s="16" t="s">
        <v>709</v>
      </c>
      <c r="BC233" s="19">
        <f>AW233+AX233</f>
        <v>0</v>
      </c>
      <c r="BD233" s="19">
        <f>H233/(100-BE233)*100</f>
        <v>0</v>
      </c>
      <c r="BE233" s="19">
        <v>0</v>
      </c>
      <c r="BF233" s="19">
        <f>O233</f>
        <v>0</v>
      </c>
      <c r="BH233" s="19">
        <f>G233*AO233</f>
        <v>0</v>
      </c>
      <c r="BI233" s="19">
        <f>G233*AP233</f>
        <v>0</v>
      </c>
      <c r="BJ233" s="19">
        <f>G233*H233</f>
        <v>0</v>
      </c>
      <c r="BK233" s="89" t="s">
        <v>53</v>
      </c>
      <c r="BL233" s="19">
        <v>767</v>
      </c>
      <c r="BW233" s="19">
        <f>I233</f>
        <v>12</v>
      </c>
      <c r="BX233" s="4" t="s">
        <v>334</v>
      </c>
    </row>
    <row r="234" spans="1:76" x14ac:dyDescent="0.25">
      <c r="A234" s="1" t="s">
        <v>738</v>
      </c>
      <c r="B234" s="2" t="s">
        <v>438</v>
      </c>
      <c r="C234" s="2" t="s">
        <v>335</v>
      </c>
      <c r="D234" s="96" t="s">
        <v>336</v>
      </c>
      <c r="E234" s="97"/>
      <c r="F234" s="2" t="s">
        <v>41</v>
      </c>
      <c r="G234" s="19">
        <f>'Rozpočet - vybrané sloupce'!I192</f>
        <v>487</v>
      </c>
      <c r="H234" s="19">
        <f>'Rozpočet - vybrané sloupce'!J192</f>
        <v>0</v>
      </c>
      <c r="I234" s="87">
        <v>12</v>
      </c>
      <c r="J234" s="19">
        <f>ROUND(G234*AO234,2)</f>
        <v>0</v>
      </c>
      <c r="K234" s="19">
        <f>ROUND(G234*AP234,2)</f>
        <v>0</v>
      </c>
      <c r="L234" s="19">
        <f>ROUND(G234*H234,2)</f>
        <v>0</v>
      </c>
      <c r="M234" s="19">
        <f>L234*(1+BW234/100)</f>
        <v>0</v>
      </c>
      <c r="N234" s="19">
        <v>0</v>
      </c>
      <c r="O234" s="19">
        <f>G234*N234</f>
        <v>0</v>
      </c>
      <c r="P234" s="88" t="s">
        <v>531</v>
      </c>
      <c r="Z234" s="19">
        <f>ROUND(IF(AQ234="5",BJ234,0),2)</f>
        <v>0</v>
      </c>
      <c r="AB234" s="19">
        <f>ROUND(IF(AQ234="1",BH234,0),2)</f>
        <v>0</v>
      </c>
      <c r="AC234" s="19">
        <f>ROUND(IF(AQ234="1",BI234,0),2)</f>
        <v>0</v>
      </c>
      <c r="AD234" s="19">
        <f>ROUND(IF(AQ234="7",BH234,0),2)</f>
        <v>0</v>
      </c>
      <c r="AE234" s="19">
        <f>ROUND(IF(AQ234="7",BI234,0),2)</f>
        <v>0</v>
      </c>
      <c r="AF234" s="19">
        <f>ROUND(IF(AQ234="2",BH234,0),2)</f>
        <v>0</v>
      </c>
      <c r="AG234" s="19">
        <f>ROUND(IF(AQ234="2",BI234,0),2)</f>
        <v>0</v>
      </c>
      <c r="AH234" s="19">
        <f>ROUND(IF(AQ234="0",BJ234,0),2)</f>
        <v>0</v>
      </c>
      <c r="AI234" s="16" t="s">
        <v>438</v>
      </c>
      <c r="AJ234" s="19">
        <f>IF(AN234=0,L234,0)</f>
        <v>0</v>
      </c>
      <c r="AK234" s="19">
        <f>IF(AN234=12,L234,0)</f>
        <v>0</v>
      </c>
      <c r="AL234" s="19">
        <f>IF(AN234=21,L234,0)</f>
        <v>0</v>
      </c>
      <c r="AN234" s="19">
        <v>12</v>
      </c>
      <c r="AO234" s="19">
        <f>H234*0</f>
        <v>0</v>
      </c>
      <c r="AP234" s="19">
        <f>H234*(1-0)</f>
        <v>0</v>
      </c>
      <c r="AQ234" s="89" t="s">
        <v>540</v>
      </c>
      <c r="AV234" s="19">
        <f>ROUND(AW234+AX234,2)</f>
        <v>0</v>
      </c>
      <c r="AW234" s="19">
        <f>ROUND(G234*AO234,2)</f>
        <v>0</v>
      </c>
      <c r="AX234" s="19">
        <f>ROUND(G234*AP234,2)</f>
        <v>0</v>
      </c>
      <c r="AY234" s="89" t="s">
        <v>734</v>
      </c>
      <c r="AZ234" s="89" t="s">
        <v>735</v>
      </c>
      <c r="BA234" s="16" t="s">
        <v>709</v>
      </c>
      <c r="BC234" s="19">
        <f>AW234+AX234</f>
        <v>0</v>
      </c>
      <c r="BD234" s="19">
        <f>H234/(100-BE234)*100</f>
        <v>0</v>
      </c>
      <c r="BE234" s="19">
        <v>0</v>
      </c>
      <c r="BF234" s="19">
        <f>O234</f>
        <v>0</v>
      </c>
      <c r="BH234" s="19">
        <f>G234*AO234</f>
        <v>0</v>
      </c>
      <c r="BI234" s="19">
        <f>G234*AP234</f>
        <v>0</v>
      </c>
      <c r="BJ234" s="19">
        <f>G234*H234</f>
        <v>0</v>
      </c>
      <c r="BK234" s="89" t="s">
        <v>30</v>
      </c>
      <c r="BL234" s="19">
        <v>767</v>
      </c>
      <c r="BW234" s="19">
        <f>I234</f>
        <v>12</v>
      </c>
      <c r="BX234" s="4" t="s">
        <v>336</v>
      </c>
    </row>
    <row r="235" spans="1:76" x14ac:dyDescent="0.25">
      <c r="A235" s="84" t="s">
        <v>23</v>
      </c>
      <c r="B235" s="15" t="s">
        <v>438</v>
      </c>
      <c r="C235" s="15" t="s">
        <v>337</v>
      </c>
      <c r="D235" s="152" t="s">
        <v>338</v>
      </c>
      <c r="E235" s="153"/>
      <c r="F235" s="85" t="s">
        <v>22</v>
      </c>
      <c r="G235" s="85" t="s">
        <v>22</v>
      </c>
      <c r="H235" s="85" t="s">
        <v>22</v>
      </c>
      <c r="I235" s="85" t="s">
        <v>22</v>
      </c>
      <c r="J235" s="60">
        <f>SUM(J236:J237)</f>
        <v>0</v>
      </c>
      <c r="K235" s="60">
        <f>SUM(K236:K237)</f>
        <v>0</v>
      </c>
      <c r="L235" s="60">
        <f>SUM(L236:L237)</f>
        <v>0</v>
      </c>
      <c r="M235" s="60">
        <f>SUM(M236:M237)</f>
        <v>0</v>
      </c>
      <c r="N235" s="16" t="s">
        <v>23</v>
      </c>
      <c r="O235" s="60">
        <f>SUM(O236:O237)</f>
        <v>1.7238E-2</v>
      </c>
      <c r="P235" s="86" t="s">
        <v>23</v>
      </c>
      <c r="AI235" s="16" t="s">
        <v>438</v>
      </c>
      <c r="AS235" s="60">
        <f>SUM(AJ236:AJ237)</f>
        <v>0</v>
      </c>
      <c r="AT235" s="60">
        <f>SUM(AK236:AK237)</f>
        <v>0</v>
      </c>
      <c r="AU235" s="60">
        <f>SUM(AL236:AL237)</f>
        <v>0</v>
      </c>
    </row>
    <row r="236" spans="1:76" x14ac:dyDescent="0.25">
      <c r="A236" s="1" t="s">
        <v>739</v>
      </c>
      <c r="B236" s="2" t="s">
        <v>438</v>
      </c>
      <c r="C236" s="2" t="s">
        <v>339</v>
      </c>
      <c r="D236" s="96" t="s">
        <v>340</v>
      </c>
      <c r="E236" s="97"/>
      <c r="F236" s="2" t="s">
        <v>306</v>
      </c>
      <c r="G236" s="19">
        <f>'Rozpočet - vybrané sloupce'!I194</f>
        <v>5.3</v>
      </c>
      <c r="H236" s="19">
        <f>'Rozpočet - vybrané sloupce'!J194</f>
        <v>0</v>
      </c>
      <c r="I236" s="87">
        <v>12</v>
      </c>
      <c r="J236" s="19">
        <f>ROUND(G236*AO236,2)</f>
        <v>0</v>
      </c>
      <c r="K236" s="19">
        <f>ROUND(G236*AP236,2)</f>
        <v>0</v>
      </c>
      <c r="L236" s="19">
        <f>ROUND(G236*H236,2)</f>
        <v>0</v>
      </c>
      <c r="M236" s="19">
        <f>L236*(1+BW236/100)</f>
        <v>0</v>
      </c>
      <c r="N236" s="19">
        <v>1.4599999999999999E-3</v>
      </c>
      <c r="O236" s="19">
        <f>G236*N236</f>
        <v>7.7379999999999992E-3</v>
      </c>
      <c r="P236" s="88" t="s">
        <v>562</v>
      </c>
      <c r="Z236" s="19">
        <f>ROUND(IF(AQ236="5",BJ236,0),2)</f>
        <v>0</v>
      </c>
      <c r="AB236" s="19">
        <f>ROUND(IF(AQ236="1",BH236,0),2)</f>
        <v>0</v>
      </c>
      <c r="AC236" s="19">
        <f>ROUND(IF(AQ236="1",BI236,0),2)</f>
        <v>0</v>
      </c>
      <c r="AD236" s="19">
        <f>ROUND(IF(AQ236="7",BH236,0),2)</f>
        <v>0</v>
      </c>
      <c r="AE236" s="19">
        <f>ROUND(IF(AQ236="7",BI236,0),2)</f>
        <v>0</v>
      </c>
      <c r="AF236" s="19">
        <f>ROUND(IF(AQ236="2",BH236,0),2)</f>
        <v>0</v>
      </c>
      <c r="AG236" s="19">
        <f>ROUND(IF(AQ236="2",BI236,0),2)</f>
        <v>0</v>
      </c>
      <c r="AH236" s="19">
        <f>ROUND(IF(AQ236="0",BJ236,0),2)</f>
        <v>0</v>
      </c>
      <c r="AI236" s="16" t="s">
        <v>438</v>
      </c>
      <c r="AJ236" s="19">
        <f>IF(AN236=0,L236,0)</f>
        <v>0</v>
      </c>
      <c r="AK236" s="19">
        <f>IF(AN236=12,L236,0)</f>
        <v>0</v>
      </c>
      <c r="AL236" s="19">
        <f>IF(AN236=21,L236,0)</f>
        <v>0</v>
      </c>
      <c r="AN236" s="19">
        <v>12</v>
      </c>
      <c r="AO236" s="19">
        <f>H236*0</f>
        <v>0</v>
      </c>
      <c r="AP236" s="19">
        <f>H236*(1-0)</f>
        <v>0</v>
      </c>
      <c r="AQ236" s="89" t="s">
        <v>532</v>
      </c>
      <c r="AV236" s="19">
        <f>ROUND(AW236+AX236,2)</f>
        <v>0</v>
      </c>
      <c r="AW236" s="19">
        <f>ROUND(G236*AO236,2)</f>
        <v>0</v>
      </c>
      <c r="AX236" s="19">
        <f>ROUND(G236*AP236,2)</f>
        <v>0</v>
      </c>
      <c r="AY236" s="89" t="s">
        <v>740</v>
      </c>
      <c r="AZ236" s="89" t="s">
        <v>741</v>
      </c>
      <c r="BA236" s="16" t="s">
        <v>709</v>
      </c>
      <c r="BC236" s="19">
        <f>AW236+AX236</f>
        <v>0</v>
      </c>
      <c r="BD236" s="19">
        <f>H236/(100-BE236)*100</f>
        <v>0</v>
      </c>
      <c r="BE236" s="19">
        <v>0</v>
      </c>
      <c r="BF236" s="19">
        <f>O236</f>
        <v>7.7379999999999992E-3</v>
      </c>
      <c r="BH236" s="19">
        <f>G236*AO236</f>
        <v>0</v>
      </c>
      <c r="BI236" s="19">
        <f>G236*AP236</f>
        <v>0</v>
      </c>
      <c r="BJ236" s="19">
        <f>G236*H236</f>
        <v>0</v>
      </c>
      <c r="BK236" s="89" t="s">
        <v>30</v>
      </c>
      <c r="BL236" s="19">
        <v>783</v>
      </c>
      <c r="BW236" s="19">
        <f>I236</f>
        <v>12</v>
      </c>
      <c r="BX236" s="4" t="s">
        <v>340</v>
      </c>
    </row>
    <row r="237" spans="1:76" x14ac:dyDescent="0.25">
      <c r="A237" s="1" t="s">
        <v>742</v>
      </c>
      <c r="B237" s="2" t="s">
        <v>438</v>
      </c>
      <c r="C237" s="2" t="s">
        <v>341</v>
      </c>
      <c r="D237" s="96" t="s">
        <v>342</v>
      </c>
      <c r="E237" s="97"/>
      <c r="F237" s="2" t="s">
        <v>343</v>
      </c>
      <c r="G237" s="19">
        <f>'Rozpočet - vybrané sloupce'!I195</f>
        <v>9.5</v>
      </c>
      <c r="H237" s="19">
        <f>'Rozpočet - vybrané sloupce'!J195</f>
        <v>0</v>
      </c>
      <c r="I237" s="87">
        <v>12</v>
      </c>
      <c r="J237" s="19">
        <f>ROUND(G237*AO237,2)</f>
        <v>0</v>
      </c>
      <c r="K237" s="19">
        <f>ROUND(G237*AP237,2)</f>
        <v>0</v>
      </c>
      <c r="L237" s="19">
        <f>ROUND(G237*H237,2)</f>
        <v>0</v>
      </c>
      <c r="M237" s="19">
        <f>L237*(1+BW237/100)</f>
        <v>0</v>
      </c>
      <c r="N237" s="19">
        <v>1E-3</v>
      </c>
      <c r="O237" s="19">
        <f>G237*N237</f>
        <v>9.4999999999999998E-3</v>
      </c>
      <c r="P237" s="88" t="s">
        <v>531</v>
      </c>
      <c r="Z237" s="19">
        <f>ROUND(IF(AQ237="5",BJ237,0),2)</f>
        <v>0</v>
      </c>
      <c r="AB237" s="19">
        <f>ROUND(IF(AQ237="1",BH237,0),2)</f>
        <v>0</v>
      </c>
      <c r="AC237" s="19">
        <f>ROUND(IF(AQ237="1",BI237,0),2)</f>
        <v>0</v>
      </c>
      <c r="AD237" s="19">
        <f>ROUND(IF(AQ237="7",BH237,0),2)</f>
        <v>0</v>
      </c>
      <c r="AE237" s="19">
        <f>ROUND(IF(AQ237="7",BI237,0),2)</f>
        <v>0</v>
      </c>
      <c r="AF237" s="19">
        <f>ROUND(IF(AQ237="2",BH237,0),2)</f>
        <v>0</v>
      </c>
      <c r="AG237" s="19">
        <f>ROUND(IF(AQ237="2",BI237,0),2)</f>
        <v>0</v>
      </c>
      <c r="AH237" s="19">
        <f>ROUND(IF(AQ237="0",BJ237,0),2)</f>
        <v>0</v>
      </c>
      <c r="AI237" s="16" t="s">
        <v>438</v>
      </c>
      <c r="AJ237" s="19">
        <f>IF(AN237=0,L237,0)</f>
        <v>0</v>
      </c>
      <c r="AK237" s="19">
        <f>IF(AN237=12,L237,0)</f>
        <v>0</v>
      </c>
      <c r="AL237" s="19">
        <f>IF(AN237=21,L237,0)</f>
        <v>0</v>
      </c>
      <c r="AN237" s="19">
        <v>12</v>
      </c>
      <c r="AO237" s="19">
        <f>H237*1</f>
        <v>0</v>
      </c>
      <c r="AP237" s="19">
        <f>H237*(1-1)</f>
        <v>0</v>
      </c>
      <c r="AQ237" s="89" t="s">
        <v>532</v>
      </c>
      <c r="AV237" s="19">
        <f>ROUND(AW237+AX237,2)</f>
        <v>0</v>
      </c>
      <c r="AW237" s="19">
        <f>ROUND(G237*AO237,2)</f>
        <v>0</v>
      </c>
      <c r="AX237" s="19">
        <f>ROUND(G237*AP237,2)</f>
        <v>0</v>
      </c>
      <c r="AY237" s="89" t="s">
        <v>740</v>
      </c>
      <c r="AZ237" s="89" t="s">
        <v>741</v>
      </c>
      <c r="BA237" s="16" t="s">
        <v>709</v>
      </c>
      <c r="BC237" s="19">
        <f>AW237+AX237</f>
        <v>0</v>
      </c>
      <c r="BD237" s="19">
        <f>H237/(100-BE237)*100</f>
        <v>0</v>
      </c>
      <c r="BE237" s="19">
        <v>0</v>
      </c>
      <c r="BF237" s="19">
        <f>O237</f>
        <v>9.4999999999999998E-3</v>
      </c>
      <c r="BH237" s="19">
        <f>G237*AO237</f>
        <v>0</v>
      </c>
      <c r="BI237" s="19">
        <f>G237*AP237</f>
        <v>0</v>
      </c>
      <c r="BJ237" s="19">
        <f>G237*H237</f>
        <v>0</v>
      </c>
      <c r="BK237" s="89" t="s">
        <v>53</v>
      </c>
      <c r="BL237" s="19">
        <v>783</v>
      </c>
      <c r="BW237" s="19">
        <f>I237</f>
        <v>12</v>
      </c>
      <c r="BX237" s="4" t="s">
        <v>342</v>
      </c>
    </row>
    <row r="238" spans="1:76" ht="89.25" x14ac:dyDescent="0.25">
      <c r="A238" s="90"/>
      <c r="C238" s="91" t="s">
        <v>547</v>
      </c>
      <c r="D238" s="180" t="s">
        <v>743</v>
      </c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2"/>
      <c r="BX238" s="92" t="s">
        <v>743</v>
      </c>
    </row>
    <row r="239" spans="1:76" x14ac:dyDescent="0.25">
      <c r="A239" s="84" t="s">
        <v>23</v>
      </c>
      <c r="B239" s="15" t="s">
        <v>438</v>
      </c>
      <c r="C239" s="15" t="s">
        <v>344</v>
      </c>
      <c r="D239" s="152" t="s">
        <v>345</v>
      </c>
      <c r="E239" s="153"/>
      <c r="F239" s="85" t="s">
        <v>22</v>
      </c>
      <c r="G239" s="85" t="s">
        <v>22</v>
      </c>
      <c r="H239" s="85" t="s">
        <v>22</v>
      </c>
      <c r="I239" s="85" t="s">
        <v>22</v>
      </c>
      <c r="J239" s="60">
        <f>SUM(J240:J240)</f>
        <v>0</v>
      </c>
      <c r="K239" s="60">
        <f>SUM(K240:K240)</f>
        <v>0</v>
      </c>
      <c r="L239" s="60">
        <f>SUM(L240:L240)</f>
        <v>0</v>
      </c>
      <c r="M239" s="60">
        <f>SUM(M240:M240)</f>
        <v>0</v>
      </c>
      <c r="N239" s="16" t="s">
        <v>23</v>
      </c>
      <c r="O239" s="60">
        <f>SUM(O240:O240)</f>
        <v>4.6800000000000001E-2</v>
      </c>
      <c r="P239" s="86" t="s">
        <v>23</v>
      </c>
      <c r="AI239" s="16" t="s">
        <v>438</v>
      </c>
      <c r="AS239" s="60">
        <f>SUM(AJ240:AJ240)</f>
        <v>0</v>
      </c>
      <c r="AT239" s="60">
        <f>SUM(AK240:AK240)</f>
        <v>0</v>
      </c>
      <c r="AU239" s="60">
        <f>SUM(AL240:AL240)</f>
        <v>0</v>
      </c>
    </row>
    <row r="240" spans="1:76" x14ac:dyDescent="0.25">
      <c r="A240" s="1" t="s">
        <v>744</v>
      </c>
      <c r="B240" s="2" t="s">
        <v>438</v>
      </c>
      <c r="C240" s="2" t="s">
        <v>346</v>
      </c>
      <c r="D240" s="96" t="s">
        <v>347</v>
      </c>
      <c r="E240" s="97"/>
      <c r="F240" s="2" t="s">
        <v>306</v>
      </c>
      <c r="G240" s="19">
        <f>'Rozpočet - vybrané sloupce'!I197</f>
        <v>120</v>
      </c>
      <c r="H240" s="19">
        <f>'Rozpočet - vybrané sloupce'!J197</f>
        <v>0</v>
      </c>
      <c r="I240" s="87">
        <v>12</v>
      </c>
      <c r="J240" s="19">
        <f>ROUND(G240*AO240,2)</f>
        <v>0</v>
      </c>
      <c r="K240" s="19">
        <f>ROUND(G240*AP240,2)</f>
        <v>0</v>
      </c>
      <c r="L240" s="19">
        <f>ROUND(G240*H240,2)</f>
        <v>0</v>
      </c>
      <c r="M240" s="19">
        <f>L240*(1+BW240/100)</f>
        <v>0</v>
      </c>
      <c r="N240" s="19">
        <v>3.8999999999999999E-4</v>
      </c>
      <c r="O240" s="19">
        <f>G240*N240</f>
        <v>4.6800000000000001E-2</v>
      </c>
      <c r="P240" s="88" t="s">
        <v>531</v>
      </c>
      <c r="Z240" s="19">
        <f>ROUND(IF(AQ240="5",BJ240,0),2)</f>
        <v>0</v>
      </c>
      <c r="AB240" s="19">
        <f>ROUND(IF(AQ240="1",BH240,0),2)</f>
        <v>0</v>
      </c>
      <c r="AC240" s="19">
        <f>ROUND(IF(AQ240="1",BI240,0),2)</f>
        <v>0</v>
      </c>
      <c r="AD240" s="19">
        <f>ROUND(IF(AQ240="7",BH240,0),2)</f>
        <v>0</v>
      </c>
      <c r="AE240" s="19">
        <f>ROUND(IF(AQ240="7",BI240,0),2)</f>
        <v>0</v>
      </c>
      <c r="AF240" s="19">
        <f>ROUND(IF(AQ240="2",BH240,0),2)</f>
        <v>0</v>
      </c>
      <c r="AG240" s="19">
        <f>ROUND(IF(AQ240="2",BI240,0),2)</f>
        <v>0</v>
      </c>
      <c r="AH240" s="19">
        <f>ROUND(IF(AQ240="0",BJ240,0),2)</f>
        <v>0</v>
      </c>
      <c r="AI240" s="16" t="s">
        <v>438</v>
      </c>
      <c r="AJ240" s="19">
        <f>IF(AN240=0,L240,0)</f>
        <v>0</v>
      </c>
      <c r="AK240" s="19">
        <f>IF(AN240=12,L240,0)</f>
        <v>0</v>
      </c>
      <c r="AL240" s="19">
        <f>IF(AN240=21,L240,0)</f>
        <v>0</v>
      </c>
      <c r="AN240" s="19">
        <v>12</v>
      </c>
      <c r="AO240" s="19">
        <f>H240*0.186095017</f>
        <v>0</v>
      </c>
      <c r="AP240" s="19">
        <f>H240*(1-0.186095017)</f>
        <v>0</v>
      </c>
      <c r="AQ240" s="89" t="s">
        <v>532</v>
      </c>
      <c r="AV240" s="19">
        <f>ROUND(AW240+AX240,2)</f>
        <v>0</v>
      </c>
      <c r="AW240" s="19">
        <f>ROUND(G240*AO240,2)</f>
        <v>0</v>
      </c>
      <c r="AX240" s="19">
        <f>ROUND(G240*AP240,2)</f>
        <v>0</v>
      </c>
      <c r="AY240" s="89" t="s">
        <v>745</v>
      </c>
      <c r="AZ240" s="89" t="s">
        <v>741</v>
      </c>
      <c r="BA240" s="16" t="s">
        <v>709</v>
      </c>
      <c r="BC240" s="19">
        <f>AW240+AX240</f>
        <v>0</v>
      </c>
      <c r="BD240" s="19">
        <f>H240/(100-BE240)*100</f>
        <v>0</v>
      </c>
      <c r="BE240" s="19">
        <v>0</v>
      </c>
      <c r="BF240" s="19">
        <f>O240</f>
        <v>4.6800000000000001E-2</v>
      </c>
      <c r="BH240" s="19">
        <f>G240*AO240</f>
        <v>0</v>
      </c>
      <c r="BI240" s="19">
        <f>G240*AP240</f>
        <v>0</v>
      </c>
      <c r="BJ240" s="19">
        <f>G240*H240</f>
        <v>0</v>
      </c>
      <c r="BK240" s="89" t="s">
        <v>30</v>
      </c>
      <c r="BL240" s="19">
        <v>784</v>
      </c>
      <c r="BW240" s="19">
        <f>I240</f>
        <v>12</v>
      </c>
      <c r="BX240" s="4" t="s">
        <v>347</v>
      </c>
    </row>
    <row r="241" spans="1:76" x14ac:dyDescent="0.25">
      <c r="A241" s="84" t="s">
        <v>23</v>
      </c>
      <c r="B241" s="15" t="s">
        <v>438</v>
      </c>
      <c r="C241" s="15" t="s">
        <v>348</v>
      </c>
      <c r="D241" s="152" t="s">
        <v>349</v>
      </c>
      <c r="E241" s="153"/>
      <c r="F241" s="85" t="s">
        <v>22</v>
      </c>
      <c r="G241" s="85" t="s">
        <v>22</v>
      </c>
      <c r="H241" s="85" t="s">
        <v>22</v>
      </c>
      <c r="I241" s="85" t="s">
        <v>22</v>
      </c>
      <c r="J241" s="60">
        <f>SUM(J242:J242)</f>
        <v>0</v>
      </c>
      <c r="K241" s="60">
        <f>SUM(K242:K242)</f>
        <v>0</v>
      </c>
      <c r="L241" s="60">
        <f>SUM(L242:L242)</f>
        <v>0</v>
      </c>
      <c r="M241" s="60">
        <f>SUM(M242:M242)</f>
        <v>0</v>
      </c>
      <c r="N241" s="16" t="s">
        <v>23</v>
      </c>
      <c r="O241" s="60">
        <f>SUM(O242:O242)</f>
        <v>0</v>
      </c>
      <c r="P241" s="86" t="s">
        <v>23</v>
      </c>
      <c r="AI241" s="16" t="s">
        <v>438</v>
      </c>
      <c r="AS241" s="60">
        <f>SUM(AJ242:AJ242)</f>
        <v>0</v>
      </c>
      <c r="AT241" s="60">
        <f>SUM(AK242:AK242)</f>
        <v>0</v>
      </c>
      <c r="AU241" s="60">
        <f>SUM(AL242:AL242)</f>
        <v>0</v>
      </c>
    </row>
    <row r="242" spans="1:76" x14ac:dyDescent="0.25">
      <c r="A242" s="1" t="s">
        <v>746</v>
      </c>
      <c r="B242" s="2" t="s">
        <v>438</v>
      </c>
      <c r="C242" s="2" t="s">
        <v>350</v>
      </c>
      <c r="D242" s="96" t="s">
        <v>351</v>
      </c>
      <c r="E242" s="97"/>
      <c r="F242" s="2" t="s">
        <v>306</v>
      </c>
      <c r="G242" s="19">
        <f>'Rozpočet - vybrané sloupce'!I199</f>
        <v>660</v>
      </c>
      <c r="H242" s="19">
        <f>'Rozpočet - vybrané sloupce'!J199</f>
        <v>0</v>
      </c>
      <c r="I242" s="87">
        <v>12</v>
      </c>
      <c r="J242" s="19">
        <f>ROUND(G242*AO242,2)</f>
        <v>0</v>
      </c>
      <c r="K242" s="19">
        <f>ROUND(G242*AP242,2)</f>
        <v>0</v>
      </c>
      <c r="L242" s="19">
        <f>ROUND(G242*H242,2)</f>
        <v>0</v>
      </c>
      <c r="M242" s="19">
        <f>L242*(1+BW242/100)</f>
        <v>0</v>
      </c>
      <c r="N242" s="19">
        <v>0</v>
      </c>
      <c r="O242" s="19">
        <f>G242*N242</f>
        <v>0</v>
      </c>
      <c r="P242" s="88" t="s">
        <v>531</v>
      </c>
      <c r="Z242" s="19">
        <f>ROUND(IF(AQ242="5",BJ242,0),2)</f>
        <v>0</v>
      </c>
      <c r="AB242" s="19">
        <f>ROUND(IF(AQ242="1",BH242,0),2)</f>
        <v>0</v>
      </c>
      <c r="AC242" s="19">
        <f>ROUND(IF(AQ242="1",BI242,0),2)</f>
        <v>0</v>
      </c>
      <c r="AD242" s="19">
        <f>ROUND(IF(AQ242="7",BH242,0),2)</f>
        <v>0</v>
      </c>
      <c r="AE242" s="19">
        <f>ROUND(IF(AQ242="7",BI242,0),2)</f>
        <v>0</v>
      </c>
      <c r="AF242" s="19">
        <f>ROUND(IF(AQ242="2",BH242,0),2)</f>
        <v>0</v>
      </c>
      <c r="AG242" s="19">
        <f>ROUND(IF(AQ242="2",BI242,0),2)</f>
        <v>0</v>
      </c>
      <c r="AH242" s="19">
        <f>ROUND(IF(AQ242="0",BJ242,0),2)</f>
        <v>0</v>
      </c>
      <c r="AI242" s="16" t="s">
        <v>438</v>
      </c>
      <c r="AJ242" s="19">
        <f>IF(AN242=0,L242,0)</f>
        <v>0</v>
      </c>
      <c r="AK242" s="19">
        <f>IF(AN242=12,L242,0)</f>
        <v>0</v>
      </c>
      <c r="AL242" s="19">
        <f>IF(AN242=21,L242,0)</f>
        <v>0</v>
      </c>
      <c r="AN242" s="19">
        <v>12</v>
      </c>
      <c r="AO242" s="19">
        <f>H242*0</f>
        <v>0</v>
      </c>
      <c r="AP242" s="19">
        <f>H242*(1-0)</f>
        <v>0</v>
      </c>
      <c r="AQ242" s="89" t="s">
        <v>530</v>
      </c>
      <c r="AV242" s="19">
        <f>ROUND(AW242+AX242,2)</f>
        <v>0</v>
      </c>
      <c r="AW242" s="19">
        <f>ROUND(G242*AO242,2)</f>
        <v>0</v>
      </c>
      <c r="AX242" s="19">
        <f>ROUND(G242*AP242,2)</f>
        <v>0</v>
      </c>
      <c r="AY242" s="89" t="s">
        <v>747</v>
      </c>
      <c r="AZ242" s="89" t="s">
        <v>748</v>
      </c>
      <c r="BA242" s="16" t="s">
        <v>709</v>
      </c>
      <c r="BC242" s="19">
        <f>AW242+AX242</f>
        <v>0</v>
      </c>
      <c r="BD242" s="19">
        <f>H242/(100-BE242)*100</f>
        <v>0</v>
      </c>
      <c r="BE242" s="19">
        <v>0</v>
      </c>
      <c r="BF242" s="19">
        <f>O242</f>
        <v>0</v>
      </c>
      <c r="BH242" s="19">
        <f>G242*AO242</f>
        <v>0</v>
      </c>
      <c r="BI242" s="19">
        <f>G242*AP242</f>
        <v>0</v>
      </c>
      <c r="BJ242" s="19">
        <f>G242*H242</f>
        <v>0</v>
      </c>
      <c r="BK242" s="89" t="s">
        <v>30</v>
      </c>
      <c r="BL242" s="19">
        <v>95</v>
      </c>
      <c r="BW242" s="19">
        <f>I242</f>
        <v>12</v>
      </c>
      <c r="BX242" s="4" t="s">
        <v>351</v>
      </c>
    </row>
    <row r="243" spans="1:76" x14ac:dyDescent="0.25">
      <c r="A243" s="84" t="s">
        <v>23</v>
      </c>
      <c r="B243" s="15" t="s">
        <v>438</v>
      </c>
      <c r="C243" s="15" t="s">
        <v>352</v>
      </c>
      <c r="D243" s="152" t="s">
        <v>353</v>
      </c>
      <c r="E243" s="153"/>
      <c r="F243" s="85" t="s">
        <v>22</v>
      </c>
      <c r="G243" s="85" t="s">
        <v>22</v>
      </c>
      <c r="H243" s="85" t="s">
        <v>22</v>
      </c>
      <c r="I243" s="85" t="s">
        <v>22</v>
      </c>
      <c r="J243" s="60">
        <f>SUM(J244:J244)</f>
        <v>0</v>
      </c>
      <c r="K243" s="60">
        <f>SUM(K244:K244)</f>
        <v>0</v>
      </c>
      <c r="L243" s="60">
        <f>SUM(L244:L244)</f>
        <v>0</v>
      </c>
      <c r="M243" s="60">
        <f>SUM(M244:M244)</f>
        <v>0</v>
      </c>
      <c r="N243" s="16" t="s">
        <v>23</v>
      </c>
      <c r="O243" s="60">
        <f>SUM(O244:O244)</f>
        <v>5.5450049999999997</v>
      </c>
      <c r="P243" s="86" t="s">
        <v>23</v>
      </c>
      <c r="AI243" s="16" t="s">
        <v>438</v>
      </c>
      <c r="AS243" s="60">
        <f>SUM(AJ244:AJ244)</f>
        <v>0</v>
      </c>
      <c r="AT243" s="60">
        <f>SUM(AK244:AK244)</f>
        <v>0</v>
      </c>
      <c r="AU243" s="60">
        <f>SUM(AL244:AL244)</f>
        <v>0</v>
      </c>
    </row>
    <row r="244" spans="1:76" x14ac:dyDescent="0.25">
      <c r="A244" s="1" t="s">
        <v>749</v>
      </c>
      <c r="B244" s="2" t="s">
        <v>438</v>
      </c>
      <c r="C244" s="2" t="s">
        <v>354</v>
      </c>
      <c r="D244" s="96" t="s">
        <v>355</v>
      </c>
      <c r="E244" s="97"/>
      <c r="F244" s="2" t="s">
        <v>306</v>
      </c>
      <c r="G244" s="19">
        <f>'Rozpočet - vybrané sloupce'!I201</f>
        <v>51.5</v>
      </c>
      <c r="H244" s="19">
        <f>'Rozpočet - vybrané sloupce'!J201</f>
        <v>0</v>
      </c>
      <c r="I244" s="87">
        <v>12</v>
      </c>
      <c r="J244" s="19">
        <f>ROUND(G244*AO244,2)</f>
        <v>0</v>
      </c>
      <c r="K244" s="19">
        <f>ROUND(G244*AP244,2)</f>
        <v>0</v>
      </c>
      <c r="L244" s="19">
        <f>ROUND(G244*H244,2)</f>
        <v>0</v>
      </c>
      <c r="M244" s="19">
        <f>L244*(1+BW244/100)</f>
        <v>0</v>
      </c>
      <c r="N244" s="19">
        <v>0.10767</v>
      </c>
      <c r="O244" s="19">
        <f>G244*N244</f>
        <v>5.5450049999999997</v>
      </c>
      <c r="P244" s="88" t="s">
        <v>750</v>
      </c>
      <c r="Z244" s="19">
        <f>ROUND(IF(AQ244="5",BJ244,0),2)</f>
        <v>0</v>
      </c>
      <c r="AB244" s="19">
        <f>ROUND(IF(AQ244="1",BH244,0),2)</f>
        <v>0</v>
      </c>
      <c r="AC244" s="19">
        <f>ROUND(IF(AQ244="1",BI244,0),2)</f>
        <v>0</v>
      </c>
      <c r="AD244" s="19">
        <f>ROUND(IF(AQ244="7",BH244,0),2)</f>
        <v>0</v>
      </c>
      <c r="AE244" s="19">
        <f>ROUND(IF(AQ244="7",BI244,0),2)</f>
        <v>0</v>
      </c>
      <c r="AF244" s="19">
        <f>ROUND(IF(AQ244="2",BH244,0),2)</f>
        <v>0</v>
      </c>
      <c r="AG244" s="19">
        <f>ROUND(IF(AQ244="2",BI244,0),2)</f>
        <v>0</v>
      </c>
      <c r="AH244" s="19">
        <f>ROUND(IF(AQ244="0",BJ244,0),2)</f>
        <v>0</v>
      </c>
      <c r="AI244" s="16" t="s">
        <v>438</v>
      </c>
      <c r="AJ244" s="19">
        <f>IF(AN244=0,L244,0)</f>
        <v>0</v>
      </c>
      <c r="AK244" s="19">
        <f>IF(AN244=12,L244,0)</f>
        <v>0</v>
      </c>
      <c r="AL244" s="19">
        <f>IF(AN244=21,L244,0)</f>
        <v>0</v>
      </c>
      <c r="AN244" s="19">
        <v>12</v>
      </c>
      <c r="AO244" s="19">
        <f>H244*0.197055928</f>
        <v>0</v>
      </c>
      <c r="AP244" s="19">
        <f>H244*(1-0.197055928)</f>
        <v>0</v>
      </c>
      <c r="AQ244" s="89" t="s">
        <v>530</v>
      </c>
      <c r="AV244" s="19">
        <f>ROUND(AW244+AX244,2)</f>
        <v>0</v>
      </c>
      <c r="AW244" s="19">
        <f>ROUND(G244*AO244,2)</f>
        <v>0</v>
      </c>
      <c r="AX244" s="19">
        <f>ROUND(G244*AP244,2)</f>
        <v>0</v>
      </c>
      <c r="AY244" s="89" t="s">
        <v>751</v>
      </c>
      <c r="AZ244" s="89" t="s">
        <v>748</v>
      </c>
      <c r="BA244" s="16" t="s">
        <v>709</v>
      </c>
      <c r="BC244" s="19">
        <f>AW244+AX244</f>
        <v>0</v>
      </c>
      <c r="BD244" s="19">
        <f>H244/(100-BE244)*100</f>
        <v>0</v>
      </c>
      <c r="BE244" s="19">
        <v>0</v>
      </c>
      <c r="BF244" s="19">
        <f>O244</f>
        <v>5.5450049999999997</v>
      </c>
      <c r="BH244" s="19">
        <f>G244*AO244</f>
        <v>0</v>
      </c>
      <c r="BI244" s="19">
        <f>G244*AP244</f>
        <v>0</v>
      </c>
      <c r="BJ244" s="19">
        <f>G244*H244</f>
        <v>0</v>
      </c>
      <c r="BK244" s="89" t="s">
        <v>30</v>
      </c>
      <c r="BL244" s="19">
        <v>96</v>
      </c>
      <c r="BW244" s="19">
        <f>I244</f>
        <v>12</v>
      </c>
      <c r="BX244" s="4" t="s">
        <v>355</v>
      </c>
    </row>
    <row r="245" spans="1:76" x14ac:dyDescent="0.25">
      <c r="A245" s="84" t="s">
        <v>23</v>
      </c>
      <c r="B245" s="15" t="s">
        <v>438</v>
      </c>
      <c r="C245" s="15" t="s">
        <v>356</v>
      </c>
      <c r="D245" s="152" t="s">
        <v>357</v>
      </c>
      <c r="E245" s="153"/>
      <c r="F245" s="85" t="s">
        <v>22</v>
      </c>
      <c r="G245" s="85" t="s">
        <v>22</v>
      </c>
      <c r="H245" s="85" t="s">
        <v>22</v>
      </c>
      <c r="I245" s="85" t="s">
        <v>22</v>
      </c>
      <c r="J245" s="60">
        <f>SUM(J246:J253)</f>
        <v>0</v>
      </c>
      <c r="K245" s="60">
        <f>SUM(K246:K253)</f>
        <v>0</v>
      </c>
      <c r="L245" s="60">
        <f>SUM(L246:L253)</f>
        <v>0</v>
      </c>
      <c r="M245" s="60">
        <f>SUM(M246:M253)</f>
        <v>0</v>
      </c>
      <c r="N245" s="16" t="s">
        <v>23</v>
      </c>
      <c r="O245" s="60">
        <f>SUM(O246:O253)</f>
        <v>2.0801080000000001</v>
      </c>
      <c r="P245" s="86" t="s">
        <v>23</v>
      </c>
      <c r="AI245" s="16" t="s">
        <v>438</v>
      </c>
      <c r="AS245" s="60">
        <f>SUM(AJ246:AJ253)</f>
        <v>0</v>
      </c>
      <c r="AT245" s="60">
        <f>SUM(AK246:AK253)</f>
        <v>0</v>
      </c>
      <c r="AU245" s="60">
        <f>SUM(AL246:AL253)</f>
        <v>0</v>
      </c>
    </row>
    <row r="246" spans="1:76" x14ac:dyDescent="0.25">
      <c r="A246" s="1" t="s">
        <v>752</v>
      </c>
      <c r="B246" s="2" t="s">
        <v>438</v>
      </c>
      <c r="C246" s="2" t="s">
        <v>358</v>
      </c>
      <c r="D246" s="96" t="s">
        <v>359</v>
      </c>
      <c r="E246" s="97"/>
      <c r="F246" s="2" t="s">
        <v>33</v>
      </c>
      <c r="G246" s="19">
        <f>'Rozpočet - vybrané sloupce'!I203</f>
        <v>22</v>
      </c>
      <c r="H246" s="19">
        <f>'Rozpočet - vybrané sloupce'!J203</f>
        <v>0</v>
      </c>
      <c r="I246" s="87">
        <v>12</v>
      </c>
      <c r="J246" s="19">
        <f>ROUND(G246*AO246,2)</f>
        <v>0</v>
      </c>
      <c r="K246" s="19">
        <f>ROUND(G246*AP246,2)</f>
        <v>0</v>
      </c>
      <c r="L246" s="19">
        <f>ROUND(G246*H246,2)</f>
        <v>0</v>
      </c>
      <c r="M246" s="19">
        <f>L246*(1+BW246/100)</f>
        <v>0</v>
      </c>
      <c r="N246" s="19">
        <v>0.09</v>
      </c>
      <c r="O246" s="19">
        <f>G246*N246</f>
        <v>1.98</v>
      </c>
      <c r="P246" s="88" t="s">
        <v>531</v>
      </c>
      <c r="Z246" s="19">
        <f>ROUND(IF(AQ246="5",BJ246,0),2)</f>
        <v>0</v>
      </c>
      <c r="AB246" s="19">
        <f>ROUND(IF(AQ246="1",BH246,0),2)</f>
        <v>0</v>
      </c>
      <c r="AC246" s="19">
        <f>ROUND(IF(AQ246="1",BI246,0),2)</f>
        <v>0</v>
      </c>
      <c r="AD246" s="19">
        <f>ROUND(IF(AQ246="7",BH246,0),2)</f>
        <v>0</v>
      </c>
      <c r="AE246" s="19">
        <f>ROUND(IF(AQ246="7",BI246,0),2)</f>
        <v>0</v>
      </c>
      <c r="AF246" s="19">
        <f>ROUND(IF(AQ246="2",BH246,0),2)</f>
        <v>0</v>
      </c>
      <c r="AG246" s="19">
        <f>ROUND(IF(AQ246="2",BI246,0),2)</f>
        <v>0</v>
      </c>
      <c r="AH246" s="19">
        <f>ROUND(IF(AQ246="0",BJ246,0),2)</f>
        <v>0</v>
      </c>
      <c r="AI246" s="16" t="s">
        <v>438</v>
      </c>
      <c r="AJ246" s="19">
        <f>IF(AN246=0,L246,0)</f>
        <v>0</v>
      </c>
      <c r="AK246" s="19">
        <f>IF(AN246=12,L246,0)</f>
        <v>0</v>
      </c>
      <c r="AL246" s="19">
        <f>IF(AN246=21,L246,0)</f>
        <v>0</v>
      </c>
      <c r="AN246" s="19">
        <v>12</v>
      </c>
      <c r="AO246" s="19">
        <f>H246*0</f>
        <v>0</v>
      </c>
      <c r="AP246" s="19">
        <f>H246*(1-0)</f>
        <v>0</v>
      </c>
      <c r="AQ246" s="89" t="s">
        <v>530</v>
      </c>
      <c r="AV246" s="19">
        <f>ROUND(AW246+AX246,2)</f>
        <v>0</v>
      </c>
      <c r="AW246" s="19">
        <f>ROUND(G246*AO246,2)</f>
        <v>0</v>
      </c>
      <c r="AX246" s="19">
        <f>ROUND(G246*AP246,2)</f>
        <v>0</v>
      </c>
      <c r="AY246" s="89" t="s">
        <v>753</v>
      </c>
      <c r="AZ246" s="89" t="s">
        <v>748</v>
      </c>
      <c r="BA246" s="16" t="s">
        <v>709</v>
      </c>
      <c r="BC246" s="19">
        <f>AW246+AX246</f>
        <v>0</v>
      </c>
      <c r="BD246" s="19">
        <f>H246/(100-BE246)*100</f>
        <v>0</v>
      </c>
      <c r="BE246" s="19">
        <v>0</v>
      </c>
      <c r="BF246" s="19">
        <f>O246</f>
        <v>1.98</v>
      </c>
      <c r="BH246" s="19">
        <f>G246*AO246</f>
        <v>0</v>
      </c>
      <c r="BI246" s="19">
        <f>G246*AP246</f>
        <v>0</v>
      </c>
      <c r="BJ246" s="19">
        <f>G246*H246</f>
        <v>0</v>
      </c>
      <c r="BK246" s="89" t="s">
        <v>30</v>
      </c>
      <c r="BL246" s="19">
        <v>97</v>
      </c>
      <c r="BW246" s="19">
        <f>I246</f>
        <v>12</v>
      </c>
      <c r="BX246" s="4" t="s">
        <v>359</v>
      </c>
    </row>
    <row r="247" spans="1:76" ht="25.5" x14ac:dyDescent="0.25">
      <c r="A247" s="90"/>
      <c r="C247" s="91" t="s">
        <v>547</v>
      </c>
      <c r="D247" s="180" t="s">
        <v>754</v>
      </c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2"/>
      <c r="BX247" s="92" t="s">
        <v>754</v>
      </c>
    </row>
    <row r="248" spans="1:76" x14ac:dyDescent="0.25">
      <c r="A248" s="1" t="s">
        <v>755</v>
      </c>
      <c r="B248" s="2" t="s">
        <v>438</v>
      </c>
      <c r="C248" s="2" t="s">
        <v>360</v>
      </c>
      <c r="D248" s="96" t="s">
        <v>361</v>
      </c>
      <c r="E248" s="97"/>
      <c r="F248" s="2" t="s">
        <v>29</v>
      </c>
      <c r="G248" s="19">
        <f>'Rozpočet - vybrané sloupce'!I204</f>
        <v>2.9</v>
      </c>
      <c r="H248" s="19">
        <f>'Rozpočet - vybrané sloupce'!J204</f>
        <v>0</v>
      </c>
      <c r="I248" s="87">
        <v>12</v>
      </c>
      <c r="J248" s="19">
        <f>ROUND(G248*AO248,2)</f>
        <v>0</v>
      </c>
      <c r="K248" s="19">
        <f>ROUND(G248*AP248,2)</f>
        <v>0</v>
      </c>
      <c r="L248" s="19">
        <f>ROUND(G248*H248,2)</f>
        <v>0</v>
      </c>
      <c r="M248" s="19">
        <f>L248*(1+BW248/100)</f>
        <v>0</v>
      </c>
      <c r="N248" s="19">
        <v>3.3169999999999998E-2</v>
      </c>
      <c r="O248" s="19">
        <f>G248*N248</f>
        <v>9.6192999999999987E-2</v>
      </c>
      <c r="P248" s="88" t="s">
        <v>531</v>
      </c>
      <c r="Z248" s="19">
        <f>ROUND(IF(AQ248="5",BJ248,0),2)</f>
        <v>0</v>
      </c>
      <c r="AB248" s="19">
        <f>ROUND(IF(AQ248="1",BH248,0),2)</f>
        <v>0</v>
      </c>
      <c r="AC248" s="19">
        <f>ROUND(IF(AQ248="1",BI248,0),2)</f>
        <v>0</v>
      </c>
      <c r="AD248" s="19">
        <f>ROUND(IF(AQ248="7",BH248,0),2)</f>
        <v>0</v>
      </c>
      <c r="AE248" s="19">
        <f>ROUND(IF(AQ248="7",BI248,0),2)</f>
        <v>0</v>
      </c>
      <c r="AF248" s="19">
        <f>ROUND(IF(AQ248="2",BH248,0),2)</f>
        <v>0</v>
      </c>
      <c r="AG248" s="19">
        <f>ROUND(IF(AQ248="2",BI248,0),2)</f>
        <v>0</v>
      </c>
      <c r="AH248" s="19">
        <f>ROUND(IF(AQ248="0",BJ248,0),2)</f>
        <v>0</v>
      </c>
      <c r="AI248" s="16" t="s">
        <v>438</v>
      </c>
      <c r="AJ248" s="19">
        <f>IF(AN248=0,L248,0)</f>
        <v>0</v>
      </c>
      <c r="AK248" s="19">
        <f>IF(AN248=12,L248,0)</f>
        <v>0</v>
      </c>
      <c r="AL248" s="19">
        <f>IF(AN248=21,L248,0)</f>
        <v>0</v>
      </c>
      <c r="AN248" s="19">
        <v>12</v>
      </c>
      <c r="AO248" s="19">
        <f>H248*0.290761374</f>
        <v>0</v>
      </c>
      <c r="AP248" s="19">
        <f>H248*(1-0.290761374)</f>
        <v>0</v>
      </c>
      <c r="AQ248" s="89" t="s">
        <v>530</v>
      </c>
      <c r="AV248" s="19">
        <f>ROUND(AW248+AX248,2)</f>
        <v>0</v>
      </c>
      <c r="AW248" s="19">
        <f>ROUND(G248*AO248,2)</f>
        <v>0</v>
      </c>
      <c r="AX248" s="19">
        <f>ROUND(G248*AP248,2)</f>
        <v>0</v>
      </c>
      <c r="AY248" s="89" t="s">
        <v>753</v>
      </c>
      <c r="AZ248" s="89" t="s">
        <v>748</v>
      </c>
      <c r="BA248" s="16" t="s">
        <v>709</v>
      </c>
      <c r="BC248" s="19">
        <f>AW248+AX248</f>
        <v>0</v>
      </c>
      <c r="BD248" s="19">
        <f>H248/(100-BE248)*100</f>
        <v>0</v>
      </c>
      <c r="BE248" s="19">
        <v>0</v>
      </c>
      <c r="BF248" s="19">
        <f>O248</f>
        <v>9.6192999999999987E-2</v>
      </c>
      <c r="BH248" s="19">
        <f>G248*AO248</f>
        <v>0</v>
      </c>
      <c r="BI248" s="19">
        <f>G248*AP248</f>
        <v>0</v>
      </c>
      <c r="BJ248" s="19">
        <f>G248*H248</f>
        <v>0</v>
      </c>
      <c r="BK248" s="89" t="s">
        <v>30</v>
      </c>
      <c r="BL248" s="19">
        <v>97</v>
      </c>
      <c r="BW248" s="19">
        <f>I248</f>
        <v>12</v>
      </c>
      <c r="BX248" s="4" t="s">
        <v>361</v>
      </c>
    </row>
    <row r="249" spans="1:76" x14ac:dyDescent="0.25">
      <c r="A249" s="1" t="s">
        <v>756</v>
      </c>
      <c r="B249" s="2" t="s">
        <v>438</v>
      </c>
      <c r="C249" s="2" t="s">
        <v>362</v>
      </c>
      <c r="D249" s="96" t="s">
        <v>363</v>
      </c>
      <c r="E249" s="97"/>
      <c r="F249" s="2" t="s">
        <v>29</v>
      </c>
      <c r="G249" s="19">
        <f>'Rozpočet - vybrané sloupce'!I205</f>
        <v>2.9</v>
      </c>
      <c r="H249" s="19">
        <f>'Rozpočet - vybrané sloupce'!J205</f>
        <v>0</v>
      </c>
      <c r="I249" s="87">
        <v>12</v>
      </c>
      <c r="J249" s="19">
        <f>ROUND(G249*AO249,2)</f>
        <v>0</v>
      </c>
      <c r="K249" s="19">
        <f>ROUND(G249*AP249,2)</f>
        <v>0</v>
      </c>
      <c r="L249" s="19">
        <f>ROUND(G249*H249,2)</f>
        <v>0</v>
      </c>
      <c r="M249" s="19">
        <f>L249*(1+BW249/100)</f>
        <v>0</v>
      </c>
      <c r="N249" s="19">
        <v>1.0000000000000001E-5</v>
      </c>
      <c r="O249" s="19">
        <f>G249*N249</f>
        <v>2.9E-5</v>
      </c>
      <c r="P249" s="88" t="s">
        <v>531</v>
      </c>
      <c r="Z249" s="19">
        <f>ROUND(IF(AQ249="5",BJ249,0),2)</f>
        <v>0</v>
      </c>
      <c r="AB249" s="19">
        <f>ROUND(IF(AQ249="1",BH249,0),2)</f>
        <v>0</v>
      </c>
      <c r="AC249" s="19">
        <f>ROUND(IF(AQ249="1",BI249,0),2)</f>
        <v>0</v>
      </c>
      <c r="AD249" s="19">
        <f>ROUND(IF(AQ249="7",BH249,0),2)</f>
        <v>0</v>
      </c>
      <c r="AE249" s="19">
        <f>ROUND(IF(AQ249="7",BI249,0),2)</f>
        <v>0</v>
      </c>
      <c r="AF249" s="19">
        <f>ROUND(IF(AQ249="2",BH249,0),2)</f>
        <v>0</v>
      </c>
      <c r="AG249" s="19">
        <f>ROUND(IF(AQ249="2",BI249,0),2)</f>
        <v>0</v>
      </c>
      <c r="AH249" s="19">
        <f>ROUND(IF(AQ249="0",BJ249,0),2)</f>
        <v>0</v>
      </c>
      <c r="AI249" s="16" t="s">
        <v>438</v>
      </c>
      <c r="AJ249" s="19">
        <f>IF(AN249=0,L249,0)</f>
        <v>0</v>
      </c>
      <c r="AK249" s="19">
        <f>IF(AN249=12,L249,0)</f>
        <v>0</v>
      </c>
      <c r="AL249" s="19">
        <f>IF(AN249=21,L249,0)</f>
        <v>0</v>
      </c>
      <c r="AN249" s="19">
        <v>12</v>
      </c>
      <c r="AO249" s="19">
        <f>H249*0.157214938</f>
        <v>0</v>
      </c>
      <c r="AP249" s="19">
        <f>H249*(1-0.157214938)</f>
        <v>0</v>
      </c>
      <c r="AQ249" s="89" t="s">
        <v>530</v>
      </c>
      <c r="AV249" s="19">
        <f>ROUND(AW249+AX249,2)</f>
        <v>0</v>
      </c>
      <c r="AW249" s="19">
        <f>ROUND(G249*AO249,2)</f>
        <v>0</v>
      </c>
      <c r="AX249" s="19">
        <f>ROUND(G249*AP249,2)</f>
        <v>0</v>
      </c>
      <c r="AY249" s="89" t="s">
        <v>753</v>
      </c>
      <c r="AZ249" s="89" t="s">
        <v>748</v>
      </c>
      <c r="BA249" s="16" t="s">
        <v>709</v>
      </c>
      <c r="BC249" s="19">
        <f>AW249+AX249</f>
        <v>0</v>
      </c>
      <c r="BD249" s="19">
        <f>H249/(100-BE249)*100</f>
        <v>0</v>
      </c>
      <c r="BE249" s="19">
        <v>0</v>
      </c>
      <c r="BF249" s="19">
        <f>O249</f>
        <v>2.9E-5</v>
      </c>
      <c r="BH249" s="19">
        <f>G249*AO249</f>
        <v>0</v>
      </c>
      <c r="BI249" s="19">
        <f>G249*AP249</f>
        <v>0</v>
      </c>
      <c r="BJ249" s="19">
        <f>G249*H249</f>
        <v>0</v>
      </c>
      <c r="BK249" s="89" t="s">
        <v>30</v>
      </c>
      <c r="BL249" s="19">
        <v>97</v>
      </c>
      <c r="BW249" s="19">
        <f>I249</f>
        <v>12</v>
      </c>
      <c r="BX249" s="4" t="s">
        <v>363</v>
      </c>
    </row>
    <row r="250" spans="1:76" x14ac:dyDescent="0.25">
      <c r="A250" s="90"/>
      <c r="C250" s="91" t="s">
        <v>547</v>
      </c>
      <c r="D250" s="180" t="s">
        <v>757</v>
      </c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2"/>
      <c r="BX250" s="92" t="s">
        <v>757</v>
      </c>
    </row>
    <row r="251" spans="1:76" x14ac:dyDescent="0.25">
      <c r="A251" s="1" t="s">
        <v>758</v>
      </c>
      <c r="B251" s="2" t="s">
        <v>438</v>
      </c>
      <c r="C251" s="2" t="s">
        <v>364</v>
      </c>
      <c r="D251" s="96" t="s">
        <v>365</v>
      </c>
      <c r="E251" s="97"/>
      <c r="F251" s="2" t="s">
        <v>29</v>
      </c>
      <c r="G251" s="19">
        <f>'Rozpočet - vybrané sloupce'!I206</f>
        <v>2.9</v>
      </c>
      <c r="H251" s="19">
        <f>'Rozpočet - vybrané sloupce'!J206</f>
        <v>0</v>
      </c>
      <c r="I251" s="87">
        <v>12</v>
      </c>
      <c r="J251" s="19">
        <f>ROUND(G251*AO251,2)</f>
        <v>0</v>
      </c>
      <c r="K251" s="19">
        <f>ROUND(G251*AP251,2)</f>
        <v>0</v>
      </c>
      <c r="L251" s="19">
        <f>ROUND(G251*H251,2)</f>
        <v>0</v>
      </c>
      <c r="M251" s="19">
        <f>L251*(1+BW251/100)</f>
        <v>0</v>
      </c>
      <c r="N251" s="19">
        <v>0</v>
      </c>
      <c r="O251" s="19">
        <f>G251*N251</f>
        <v>0</v>
      </c>
      <c r="P251" s="88" t="s">
        <v>531</v>
      </c>
      <c r="Z251" s="19">
        <f>ROUND(IF(AQ251="5",BJ251,0),2)</f>
        <v>0</v>
      </c>
      <c r="AB251" s="19">
        <f>ROUND(IF(AQ251="1",BH251,0),2)</f>
        <v>0</v>
      </c>
      <c r="AC251" s="19">
        <f>ROUND(IF(AQ251="1",BI251,0),2)</f>
        <v>0</v>
      </c>
      <c r="AD251" s="19">
        <f>ROUND(IF(AQ251="7",BH251,0),2)</f>
        <v>0</v>
      </c>
      <c r="AE251" s="19">
        <f>ROUND(IF(AQ251="7",BI251,0),2)</f>
        <v>0</v>
      </c>
      <c r="AF251" s="19">
        <f>ROUND(IF(AQ251="2",BH251,0),2)</f>
        <v>0</v>
      </c>
      <c r="AG251" s="19">
        <f>ROUND(IF(AQ251="2",BI251,0),2)</f>
        <v>0</v>
      </c>
      <c r="AH251" s="19">
        <f>ROUND(IF(AQ251="0",BJ251,0),2)</f>
        <v>0</v>
      </c>
      <c r="AI251" s="16" t="s">
        <v>438</v>
      </c>
      <c r="AJ251" s="19">
        <f>IF(AN251=0,L251,0)</f>
        <v>0</v>
      </c>
      <c r="AK251" s="19">
        <f>IF(AN251=12,L251,0)</f>
        <v>0</v>
      </c>
      <c r="AL251" s="19">
        <f>IF(AN251=21,L251,0)</f>
        <v>0</v>
      </c>
      <c r="AN251" s="19">
        <v>12</v>
      </c>
      <c r="AO251" s="19">
        <f>H251*0</f>
        <v>0</v>
      </c>
      <c r="AP251" s="19">
        <f>H251*(1-0)</f>
        <v>0</v>
      </c>
      <c r="AQ251" s="89" t="s">
        <v>530</v>
      </c>
      <c r="AV251" s="19">
        <f>ROUND(AW251+AX251,2)</f>
        <v>0</v>
      </c>
      <c r="AW251" s="19">
        <f>ROUND(G251*AO251,2)</f>
        <v>0</v>
      </c>
      <c r="AX251" s="19">
        <f>ROUND(G251*AP251,2)</f>
        <v>0</v>
      </c>
      <c r="AY251" s="89" t="s">
        <v>753</v>
      </c>
      <c r="AZ251" s="89" t="s">
        <v>748</v>
      </c>
      <c r="BA251" s="16" t="s">
        <v>709</v>
      </c>
      <c r="BC251" s="19">
        <f>AW251+AX251</f>
        <v>0</v>
      </c>
      <c r="BD251" s="19">
        <f>H251/(100-BE251)*100</f>
        <v>0</v>
      </c>
      <c r="BE251" s="19">
        <v>0</v>
      </c>
      <c r="BF251" s="19">
        <f>O251</f>
        <v>0</v>
      </c>
      <c r="BH251" s="19">
        <f>G251*AO251</f>
        <v>0</v>
      </c>
      <c r="BI251" s="19">
        <f>G251*AP251</f>
        <v>0</v>
      </c>
      <c r="BJ251" s="19">
        <f>G251*H251</f>
        <v>0</v>
      </c>
      <c r="BK251" s="89" t="s">
        <v>30</v>
      </c>
      <c r="BL251" s="19">
        <v>97</v>
      </c>
      <c r="BW251" s="19">
        <f>I251</f>
        <v>12</v>
      </c>
      <c r="BX251" s="4" t="s">
        <v>365</v>
      </c>
    </row>
    <row r="252" spans="1:76" x14ac:dyDescent="0.25">
      <c r="A252" s="90"/>
      <c r="C252" s="91" t="s">
        <v>547</v>
      </c>
      <c r="D252" s="180" t="s">
        <v>759</v>
      </c>
      <c r="E252" s="181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2"/>
      <c r="BX252" s="92" t="s">
        <v>759</v>
      </c>
    </row>
    <row r="253" spans="1:76" x14ac:dyDescent="0.25">
      <c r="A253" s="1" t="s">
        <v>760</v>
      </c>
      <c r="B253" s="2" t="s">
        <v>438</v>
      </c>
      <c r="C253" s="2" t="s">
        <v>366</v>
      </c>
      <c r="D253" s="96" t="s">
        <v>367</v>
      </c>
      <c r="E253" s="97"/>
      <c r="F253" s="2" t="s">
        <v>29</v>
      </c>
      <c r="G253" s="19">
        <f>'Rozpočet - vybrané sloupce'!I207</f>
        <v>2.9</v>
      </c>
      <c r="H253" s="19">
        <f>'Rozpočet - vybrané sloupce'!J207</f>
        <v>0</v>
      </c>
      <c r="I253" s="87">
        <v>12</v>
      </c>
      <c r="J253" s="19">
        <f>ROUND(G253*AO253,2)</f>
        <v>0</v>
      </c>
      <c r="K253" s="19">
        <f>ROUND(G253*AP253,2)</f>
        <v>0</v>
      </c>
      <c r="L253" s="19">
        <f>ROUND(G253*H253,2)</f>
        <v>0</v>
      </c>
      <c r="M253" s="19">
        <f>L253*(1+BW253/100)</f>
        <v>0</v>
      </c>
      <c r="N253" s="19">
        <v>1.34E-3</v>
      </c>
      <c r="O253" s="19">
        <f>G253*N253</f>
        <v>3.8860000000000001E-3</v>
      </c>
      <c r="P253" s="88" t="s">
        <v>531</v>
      </c>
      <c r="Z253" s="19">
        <f>ROUND(IF(AQ253="5",BJ253,0),2)</f>
        <v>0</v>
      </c>
      <c r="AB253" s="19">
        <f>ROUND(IF(AQ253="1",BH253,0),2)</f>
        <v>0</v>
      </c>
      <c r="AC253" s="19">
        <f>ROUND(IF(AQ253="1",BI253,0),2)</f>
        <v>0</v>
      </c>
      <c r="AD253" s="19">
        <f>ROUND(IF(AQ253="7",BH253,0),2)</f>
        <v>0</v>
      </c>
      <c r="AE253" s="19">
        <f>ROUND(IF(AQ253="7",BI253,0),2)</f>
        <v>0</v>
      </c>
      <c r="AF253" s="19">
        <f>ROUND(IF(AQ253="2",BH253,0),2)</f>
        <v>0</v>
      </c>
      <c r="AG253" s="19">
        <f>ROUND(IF(AQ253="2",BI253,0),2)</f>
        <v>0</v>
      </c>
      <c r="AH253" s="19">
        <f>ROUND(IF(AQ253="0",BJ253,0),2)</f>
        <v>0</v>
      </c>
      <c r="AI253" s="16" t="s">
        <v>438</v>
      </c>
      <c r="AJ253" s="19">
        <f>IF(AN253=0,L253,0)</f>
        <v>0</v>
      </c>
      <c r="AK253" s="19">
        <f>IF(AN253=12,L253,0)</f>
        <v>0</v>
      </c>
      <c r="AL253" s="19">
        <f>IF(AN253=21,L253,0)</f>
        <v>0</v>
      </c>
      <c r="AN253" s="19">
        <v>12</v>
      </c>
      <c r="AO253" s="19">
        <f>H253*0.069601227</f>
        <v>0</v>
      </c>
      <c r="AP253" s="19">
        <f>H253*(1-0.069601227)</f>
        <v>0</v>
      </c>
      <c r="AQ253" s="89" t="s">
        <v>530</v>
      </c>
      <c r="AV253" s="19">
        <f>ROUND(AW253+AX253,2)</f>
        <v>0</v>
      </c>
      <c r="AW253" s="19">
        <f>ROUND(G253*AO253,2)</f>
        <v>0</v>
      </c>
      <c r="AX253" s="19">
        <f>ROUND(G253*AP253,2)</f>
        <v>0</v>
      </c>
      <c r="AY253" s="89" t="s">
        <v>753</v>
      </c>
      <c r="AZ253" s="89" t="s">
        <v>748</v>
      </c>
      <c r="BA253" s="16" t="s">
        <v>709</v>
      </c>
      <c r="BC253" s="19">
        <f>AW253+AX253</f>
        <v>0</v>
      </c>
      <c r="BD253" s="19">
        <f>H253/(100-BE253)*100</f>
        <v>0</v>
      </c>
      <c r="BE253" s="19">
        <v>0</v>
      </c>
      <c r="BF253" s="19">
        <f>O253</f>
        <v>3.8860000000000001E-3</v>
      </c>
      <c r="BH253" s="19">
        <f>G253*AO253</f>
        <v>0</v>
      </c>
      <c r="BI253" s="19">
        <f>G253*AP253</f>
        <v>0</v>
      </c>
      <c r="BJ253" s="19">
        <f>G253*H253</f>
        <v>0</v>
      </c>
      <c r="BK253" s="89" t="s">
        <v>30</v>
      </c>
      <c r="BL253" s="19">
        <v>97</v>
      </c>
      <c r="BW253" s="19">
        <f>I253</f>
        <v>12</v>
      </c>
      <c r="BX253" s="4" t="s">
        <v>367</v>
      </c>
    </row>
    <row r="254" spans="1:76" x14ac:dyDescent="0.25">
      <c r="A254" s="90"/>
      <c r="C254" s="91" t="s">
        <v>547</v>
      </c>
      <c r="D254" s="180" t="s">
        <v>761</v>
      </c>
      <c r="E254" s="181"/>
      <c r="F254" s="181"/>
      <c r="G254" s="181"/>
      <c r="H254" s="181"/>
      <c r="I254" s="181"/>
      <c r="J254" s="181"/>
      <c r="K254" s="181"/>
      <c r="L254" s="181"/>
      <c r="M254" s="181"/>
      <c r="N254" s="181"/>
      <c r="O254" s="181"/>
      <c r="P254" s="182"/>
      <c r="BX254" s="92" t="s">
        <v>761</v>
      </c>
    </row>
    <row r="255" spans="1:76" x14ac:dyDescent="0.25">
      <c r="A255" s="84" t="s">
        <v>23</v>
      </c>
      <c r="B255" s="15" t="s">
        <v>438</v>
      </c>
      <c r="C255" s="15" t="s">
        <v>368</v>
      </c>
      <c r="D255" s="152" t="s">
        <v>369</v>
      </c>
      <c r="E255" s="153"/>
      <c r="F255" s="85" t="s">
        <v>22</v>
      </c>
      <c r="G255" s="85" t="s">
        <v>22</v>
      </c>
      <c r="H255" s="85" t="s">
        <v>22</v>
      </c>
      <c r="I255" s="85" t="s">
        <v>22</v>
      </c>
      <c r="J255" s="60">
        <f>SUM(J256:J267)</f>
        <v>0</v>
      </c>
      <c r="K255" s="60">
        <f>SUM(K256:K267)</f>
        <v>0</v>
      </c>
      <c r="L255" s="60">
        <f>SUM(L256:L267)</f>
        <v>0</v>
      </c>
      <c r="M255" s="60">
        <f>SUM(M256:M267)</f>
        <v>0</v>
      </c>
      <c r="N255" s="16" t="s">
        <v>23</v>
      </c>
      <c r="O255" s="60">
        <f>SUM(O256:O267)</f>
        <v>0</v>
      </c>
      <c r="P255" s="86" t="s">
        <v>23</v>
      </c>
      <c r="AI255" s="16" t="s">
        <v>438</v>
      </c>
      <c r="AS255" s="60">
        <f>SUM(AJ256:AJ267)</f>
        <v>0</v>
      </c>
      <c r="AT255" s="60">
        <f>SUM(AK256:AK267)</f>
        <v>0</v>
      </c>
      <c r="AU255" s="60">
        <f>SUM(AL256:AL267)</f>
        <v>0</v>
      </c>
    </row>
    <row r="256" spans="1:76" x14ac:dyDescent="0.25">
      <c r="A256" s="1" t="s">
        <v>762</v>
      </c>
      <c r="B256" s="2" t="s">
        <v>438</v>
      </c>
      <c r="C256" s="2" t="s">
        <v>370</v>
      </c>
      <c r="D256" s="96" t="s">
        <v>371</v>
      </c>
      <c r="E256" s="97"/>
      <c r="F256" s="2" t="s">
        <v>372</v>
      </c>
      <c r="G256" s="19">
        <f>'Rozpočet - vybrané sloupce'!I209</f>
        <v>45</v>
      </c>
      <c r="H256" s="19">
        <f>'Rozpočet - vybrané sloupce'!J209</f>
        <v>0</v>
      </c>
      <c r="I256" s="87">
        <v>12</v>
      </c>
      <c r="J256" s="19">
        <f>ROUND(G256*AO256,2)</f>
        <v>0</v>
      </c>
      <c r="K256" s="19">
        <f>ROUND(G256*AP256,2)</f>
        <v>0</v>
      </c>
      <c r="L256" s="19">
        <f>ROUND(G256*H256,2)</f>
        <v>0</v>
      </c>
      <c r="M256" s="19">
        <f>L256*(1+BW256/100)</f>
        <v>0</v>
      </c>
      <c r="N256" s="19">
        <v>0</v>
      </c>
      <c r="O256" s="19">
        <f>G256*N256</f>
        <v>0</v>
      </c>
      <c r="P256" s="88" t="s">
        <v>562</v>
      </c>
      <c r="Z256" s="19">
        <f>ROUND(IF(AQ256="5",BJ256,0),2)</f>
        <v>0</v>
      </c>
      <c r="AB256" s="19">
        <f>ROUND(IF(AQ256="1",BH256,0),2)</f>
        <v>0</v>
      </c>
      <c r="AC256" s="19">
        <f>ROUND(IF(AQ256="1",BI256,0),2)</f>
        <v>0</v>
      </c>
      <c r="AD256" s="19">
        <f>ROUND(IF(AQ256="7",BH256,0),2)</f>
        <v>0</v>
      </c>
      <c r="AE256" s="19">
        <f>ROUND(IF(AQ256="7",BI256,0),2)</f>
        <v>0</v>
      </c>
      <c r="AF256" s="19">
        <f>ROUND(IF(AQ256="2",BH256,0),2)</f>
        <v>0</v>
      </c>
      <c r="AG256" s="19">
        <f>ROUND(IF(AQ256="2",BI256,0),2)</f>
        <v>0</v>
      </c>
      <c r="AH256" s="19">
        <f>ROUND(IF(AQ256="0",BJ256,0),2)</f>
        <v>0</v>
      </c>
      <c r="AI256" s="16" t="s">
        <v>438</v>
      </c>
      <c r="AJ256" s="19">
        <f>IF(AN256=0,L256,0)</f>
        <v>0</v>
      </c>
      <c r="AK256" s="19">
        <f>IF(AN256=12,L256,0)</f>
        <v>0</v>
      </c>
      <c r="AL256" s="19">
        <f>IF(AN256=21,L256,0)</f>
        <v>0</v>
      </c>
      <c r="AN256" s="19">
        <v>12</v>
      </c>
      <c r="AO256" s="19">
        <f>H256*0</f>
        <v>0</v>
      </c>
      <c r="AP256" s="19">
        <f>H256*(1-0)</f>
        <v>0</v>
      </c>
      <c r="AQ256" s="89" t="s">
        <v>530</v>
      </c>
      <c r="AV256" s="19">
        <f>ROUND(AW256+AX256,2)</f>
        <v>0</v>
      </c>
      <c r="AW256" s="19">
        <f>ROUND(G256*AO256,2)</f>
        <v>0</v>
      </c>
      <c r="AX256" s="19">
        <f>ROUND(G256*AP256,2)</f>
        <v>0</v>
      </c>
      <c r="AY256" s="89" t="s">
        <v>763</v>
      </c>
      <c r="AZ256" s="89" t="s">
        <v>748</v>
      </c>
      <c r="BA256" s="16" t="s">
        <v>709</v>
      </c>
      <c r="BC256" s="19">
        <f>AW256+AX256</f>
        <v>0</v>
      </c>
      <c r="BD256" s="19">
        <f>H256/(100-BE256)*100</f>
        <v>0</v>
      </c>
      <c r="BE256" s="19">
        <v>0</v>
      </c>
      <c r="BF256" s="19">
        <f>O256</f>
        <v>0</v>
      </c>
      <c r="BH256" s="19">
        <f>G256*AO256</f>
        <v>0</v>
      </c>
      <c r="BI256" s="19">
        <f>G256*AP256</f>
        <v>0</v>
      </c>
      <c r="BJ256" s="19">
        <f>G256*H256</f>
        <v>0</v>
      </c>
      <c r="BK256" s="89" t="s">
        <v>30</v>
      </c>
      <c r="BL256" s="19"/>
      <c r="BW256" s="19">
        <f>I256</f>
        <v>12</v>
      </c>
      <c r="BX256" s="4" t="s">
        <v>371</v>
      </c>
    </row>
    <row r="257" spans="1:76" x14ac:dyDescent="0.25">
      <c r="A257" s="1" t="s">
        <v>764</v>
      </c>
      <c r="B257" s="2" t="s">
        <v>438</v>
      </c>
      <c r="C257" s="2" t="s">
        <v>373</v>
      </c>
      <c r="D257" s="96" t="s">
        <v>374</v>
      </c>
      <c r="E257" s="97"/>
      <c r="F257" s="2" t="s">
        <v>90</v>
      </c>
      <c r="G257" s="19">
        <f>'Rozpočet - vybrané sloupce'!I210</f>
        <v>2.7</v>
      </c>
      <c r="H257" s="19">
        <f>'Rozpočet - vybrané sloupce'!J210</f>
        <v>0</v>
      </c>
      <c r="I257" s="87">
        <v>12</v>
      </c>
      <c r="J257" s="19">
        <f>ROUND(G257*AO257,2)</f>
        <v>0</v>
      </c>
      <c r="K257" s="19">
        <f>ROUND(G257*AP257,2)</f>
        <v>0</v>
      </c>
      <c r="L257" s="19">
        <f>ROUND(G257*H257,2)</f>
        <v>0</v>
      </c>
      <c r="M257" s="19">
        <f>L257*(1+BW257/100)</f>
        <v>0</v>
      </c>
      <c r="N257" s="19">
        <v>0</v>
      </c>
      <c r="O257" s="19">
        <f>G257*N257</f>
        <v>0</v>
      </c>
      <c r="P257" s="88" t="s">
        <v>531</v>
      </c>
      <c r="Z257" s="19">
        <f>ROUND(IF(AQ257="5",BJ257,0),2)</f>
        <v>0</v>
      </c>
      <c r="AB257" s="19">
        <f>ROUND(IF(AQ257="1",BH257,0),2)</f>
        <v>0</v>
      </c>
      <c r="AC257" s="19">
        <f>ROUND(IF(AQ257="1",BI257,0),2)</f>
        <v>0</v>
      </c>
      <c r="AD257" s="19">
        <f>ROUND(IF(AQ257="7",BH257,0),2)</f>
        <v>0</v>
      </c>
      <c r="AE257" s="19">
        <f>ROUND(IF(AQ257="7",BI257,0),2)</f>
        <v>0</v>
      </c>
      <c r="AF257" s="19">
        <f>ROUND(IF(AQ257="2",BH257,0),2)</f>
        <v>0</v>
      </c>
      <c r="AG257" s="19">
        <f>ROUND(IF(AQ257="2",BI257,0),2)</f>
        <v>0</v>
      </c>
      <c r="AH257" s="19">
        <f>ROUND(IF(AQ257="0",BJ257,0),2)</f>
        <v>0</v>
      </c>
      <c r="AI257" s="16" t="s">
        <v>438</v>
      </c>
      <c r="AJ257" s="19">
        <f>IF(AN257=0,L257,0)</f>
        <v>0</v>
      </c>
      <c r="AK257" s="19">
        <f>IF(AN257=12,L257,0)</f>
        <v>0</v>
      </c>
      <c r="AL257" s="19">
        <f>IF(AN257=21,L257,0)</f>
        <v>0</v>
      </c>
      <c r="AN257" s="19">
        <v>12</v>
      </c>
      <c r="AO257" s="19">
        <f>H257*0</f>
        <v>0</v>
      </c>
      <c r="AP257" s="19">
        <f>H257*(1-0)</f>
        <v>0</v>
      </c>
      <c r="AQ257" s="89" t="s">
        <v>540</v>
      </c>
      <c r="AV257" s="19">
        <f>ROUND(AW257+AX257,2)</f>
        <v>0</v>
      </c>
      <c r="AW257" s="19">
        <f>ROUND(G257*AO257,2)</f>
        <v>0</v>
      </c>
      <c r="AX257" s="19">
        <f>ROUND(G257*AP257,2)</f>
        <v>0</v>
      </c>
      <c r="AY257" s="89" t="s">
        <v>763</v>
      </c>
      <c r="AZ257" s="89" t="s">
        <v>748</v>
      </c>
      <c r="BA257" s="16" t="s">
        <v>709</v>
      </c>
      <c r="BC257" s="19">
        <f>AW257+AX257</f>
        <v>0</v>
      </c>
      <c r="BD257" s="19">
        <f>H257/(100-BE257)*100</f>
        <v>0</v>
      </c>
      <c r="BE257" s="19">
        <v>0</v>
      </c>
      <c r="BF257" s="19">
        <f>O257</f>
        <v>0</v>
      </c>
      <c r="BH257" s="19">
        <f>G257*AO257</f>
        <v>0</v>
      </c>
      <c r="BI257" s="19">
        <f>G257*AP257</f>
        <v>0</v>
      </c>
      <c r="BJ257" s="19">
        <f>G257*H257</f>
        <v>0</v>
      </c>
      <c r="BK257" s="89" t="s">
        <v>30</v>
      </c>
      <c r="BL257" s="19"/>
      <c r="BW257" s="19">
        <f>I257</f>
        <v>12</v>
      </c>
      <c r="BX257" s="4" t="s">
        <v>374</v>
      </c>
    </row>
    <row r="258" spans="1:76" ht="38.25" x14ac:dyDescent="0.25">
      <c r="A258" s="90"/>
      <c r="C258" s="91" t="s">
        <v>547</v>
      </c>
      <c r="D258" s="180" t="s">
        <v>765</v>
      </c>
      <c r="E258" s="181"/>
      <c r="F258" s="181"/>
      <c r="G258" s="181"/>
      <c r="H258" s="181"/>
      <c r="I258" s="181"/>
      <c r="J258" s="181"/>
      <c r="K258" s="181"/>
      <c r="L258" s="181"/>
      <c r="M258" s="181"/>
      <c r="N258" s="181"/>
      <c r="O258" s="181"/>
      <c r="P258" s="182"/>
      <c r="BX258" s="92" t="s">
        <v>765</v>
      </c>
    </row>
    <row r="259" spans="1:76" x14ac:dyDescent="0.25">
      <c r="A259" s="1" t="s">
        <v>766</v>
      </c>
      <c r="B259" s="2" t="s">
        <v>438</v>
      </c>
      <c r="C259" s="2" t="s">
        <v>375</v>
      </c>
      <c r="D259" s="96" t="s">
        <v>376</v>
      </c>
      <c r="E259" s="97"/>
      <c r="F259" s="2" t="s">
        <v>90</v>
      </c>
      <c r="G259" s="19">
        <f>'Rozpočet - vybrané sloupce'!I211</f>
        <v>5.4</v>
      </c>
      <c r="H259" s="19">
        <f>'Rozpočet - vybrané sloupce'!J211</f>
        <v>0</v>
      </c>
      <c r="I259" s="87">
        <v>12</v>
      </c>
      <c r="J259" s="19">
        <f>ROUND(G259*AO259,2)</f>
        <v>0</v>
      </c>
      <c r="K259" s="19">
        <f>ROUND(G259*AP259,2)</f>
        <v>0</v>
      </c>
      <c r="L259" s="19">
        <f>ROUND(G259*H259,2)</f>
        <v>0</v>
      </c>
      <c r="M259" s="19">
        <f>L259*(1+BW259/100)</f>
        <v>0</v>
      </c>
      <c r="N259" s="19">
        <v>0</v>
      </c>
      <c r="O259" s="19">
        <f>G259*N259</f>
        <v>0</v>
      </c>
      <c r="P259" s="88" t="s">
        <v>531</v>
      </c>
      <c r="Z259" s="19">
        <f>ROUND(IF(AQ259="5",BJ259,0),2)</f>
        <v>0</v>
      </c>
      <c r="AB259" s="19">
        <f>ROUND(IF(AQ259="1",BH259,0),2)</f>
        <v>0</v>
      </c>
      <c r="AC259" s="19">
        <f>ROUND(IF(AQ259="1",BI259,0),2)</f>
        <v>0</v>
      </c>
      <c r="AD259" s="19">
        <f>ROUND(IF(AQ259="7",BH259,0),2)</f>
        <v>0</v>
      </c>
      <c r="AE259" s="19">
        <f>ROUND(IF(AQ259="7",BI259,0),2)</f>
        <v>0</v>
      </c>
      <c r="AF259" s="19">
        <f>ROUND(IF(AQ259="2",BH259,0),2)</f>
        <v>0</v>
      </c>
      <c r="AG259" s="19">
        <f>ROUND(IF(AQ259="2",BI259,0),2)</f>
        <v>0</v>
      </c>
      <c r="AH259" s="19">
        <f>ROUND(IF(AQ259="0",BJ259,0),2)</f>
        <v>0</v>
      </c>
      <c r="AI259" s="16" t="s">
        <v>438</v>
      </c>
      <c r="AJ259" s="19">
        <f>IF(AN259=0,L259,0)</f>
        <v>0</v>
      </c>
      <c r="AK259" s="19">
        <f>IF(AN259=12,L259,0)</f>
        <v>0</v>
      </c>
      <c r="AL259" s="19">
        <f>IF(AN259=21,L259,0)</f>
        <v>0</v>
      </c>
      <c r="AN259" s="19">
        <v>12</v>
      </c>
      <c r="AO259" s="19">
        <f>H259*0</f>
        <v>0</v>
      </c>
      <c r="AP259" s="19">
        <f>H259*(1-0)</f>
        <v>0</v>
      </c>
      <c r="AQ259" s="89" t="s">
        <v>540</v>
      </c>
      <c r="AV259" s="19">
        <f>ROUND(AW259+AX259,2)</f>
        <v>0</v>
      </c>
      <c r="AW259" s="19">
        <f>ROUND(G259*AO259,2)</f>
        <v>0</v>
      </c>
      <c r="AX259" s="19">
        <f>ROUND(G259*AP259,2)</f>
        <v>0</v>
      </c>
      <c r="AY259" s="89" t="s">
        <v>763</v>
      </c>
      <c r="AZ259" s="89" t="s">
        <v>748</v>
      </c>
      <c r="BA259" s="16" t="s">
        <v>709</v>
      </c>
      <c r="BC259" s="19">
        <f>AW259+AX259</f>
        <v>0</v>
      </c>
      <c r="BD259" s="19">
        <f>H259/(100-BE259)*100</f>
        <v>0</v>
      </c>
      <c r="BE259" s="19">
        <v>0</v>
      </c>
      <c r="BF259" s="19">
        <f>O259</f>
        <v>0</v>
      </c>
      <c r="BH259" s="19">
        <f>G259*AO259</f>
        <v>0</v>
      </c>
      <c r="BI259" s="19">
        <f>G259*AP259</f>
        <v>0</v>
      </c>
      <c r="BJ259" s="19">
        <f>G259*H259</f>
        <v>0</v>
      </c>
      <c r="BK259" s="89" t="s">
        <v>30</v>
      </c>
      <c r="BL259" s="19"/>
      <c r="BW259" s="19">
        <f>I259</f>
        <v>12</v>
      </c>
      <c r="BX259" s="4" t="s">
        <v>376</v>
      </c>
    </row>
    <row r="260" spans="1:76" x14ac:dyDescent="0.25">
      <c r="A260" s="1" t="s">
        <v>767</v>
      </c>
      <c r="B260" s="2" t="s">
        <v>438</v>
      </c>
      <c r="C260" s="2" t="s">
        <v>377</v>
      </c>
      <c r="D260" s="96" t="s">
        <v>378</v>
      </c>
      <c r="E260" s="97"/>
      <c r="F260" s="2" t="s">
        <v>90</v>
      </c>
      <c r="G260" s="19">
        <f>'Rozpočet - vybrané sloupce'!I212</f>
        <v>8.1</v>
      </c>
      <c r="H260" s="19">
        <f>'Rozpočet - vybrané sloupce'!J212</f>
        <v>0</v>
      </c>
      <c r="I260" s="87">
        <v>12</v>
      </c>
      <c r="J260" s="19">
        <f>ROUND(G260*AO260,2)</f>
        <v>0</v>
      </c>
      <c r="K260" s="19">
        <f>ROUND(G260*AP260,2)</f>
        <v>0</v>
      </c>
      <c r="L260" s="19">
        <f>ROUND(G260*H260,2)</f>
        <v>0</v>
      </c>
      <c r="M260" s="19">
        <f>L260*(1+BW260/100)</f>
        <v>0</v>
      </c>
      <c r="N260" s="19">
        <v>0</v>
      </c>
      <c r="O260" s="19">
        <f>G260*N260</f>
        <v>0</v>
      </c>
      <c r="P260" s="88" t="s">
        <v>531</v>
      </c>
      <c r="Z260" s="19">
        <f>ROUND(IF(AQ260="5",BJ260,0),2)</f>
        <v>0</v>
      </c>
      <c r="AB260" s="19">
        <f>ROUND(IF(AQ260="1",BH260,0),2)</f>
        <v>0</v>
      </c>
      <c r="AC260" s="19">
        <f>ROUND(IF(AQ260="1",BI260,0),2)</f>
        <v>0</v>
      </c>
      <c r="AD260" s="19">
        <f>ROUND(IF(AQ260="7",BH260,0),2)</f>
        <v>0</v>
      </c>
      <c r="AE260" s="19">
        <f>ROUND(IF(AQ260="7",BI260,0),2)</f>
        <v>0</v>
      </c>
      <c r="AF260" s="19">
        <f>ROUND(IF(AQ260="2",BH260,0),2)</f>
        <v>0</v>
      </c>
      <c r="AG260" s="19">
        <f>ROUND(IF(AQ260="2",BI260,0),2)</f>
        <v>0</v>
      </c>
      <c r="AH260" s="19">
        <f>ROUND(IF(AQ260="0",BJ260,0),2)</f>
        <v>0</v>
      </c>
      <c r="AI260" s="16" t="s">
        <v>438</v>
      </c>
      <c r="AJ260" s="19">
        <f>IF(AN260=0,L260,0)</f>
        <v>0</v>
      </c>
      <c r="AK260" s="19">
        <f>IF(AN260=12,L260,0)</f>
        <v>0</v>
      </c>
      <c r="AL260" s="19">
        <f>IF(AN260=21,L260,0)</f>
        <v>0</v>
      </c>
      <c r="AN260" s="19">
        <v>12</v>
      </c>
      <c r="AO260" s="19">
        <f>H260*0</f>
        <v>0</v>
      </c>
      <c r="AP260" s="19">
        <f>H260*(1-0)</f>
        <v>0</v>
      </c>
      <c r="AQ260" s="89" t="s">
        <v>540</v>
      </c>
      <c r="AV260" s="19">
        <f>ROUND(AW260+AX260,2)</f>
        <v>0</v>
      </c>
      <c r="AW260" s="19">
        <f>ROUND(G260*AO260,2)</f>
        <v>0</v>
      </c>
      <c r="AX260" s="19">
        <f>ROUND(G260*AP260,2)</f>
        <v>0</v>
      </c>
      <c r="AY260" s="89" t="s">
        <v>763</v>
      </c>
      <c r="AZ260" s="89" t="s">
        <v>748</v>
      </c>
      <c r="BA260" s="16" t="s">
        <v>709</v>
      </c>
      <c r="BC260" s="19">
        <f>AW260+AX260</f>
        <v>0</v>
      </c>
      <c r="BD260" s="19">
        <f>H260/(100-BE260)*100</f>
        <v>0</v>
      </c>
      <c r="BE260" s="19">
        <v>0</v>
      </c>
      <c r="BF260" s="19">
        <f>O260</f>
        <v>0</v>
      </c>
      <c r="BH260" s="19">
        <f>G260*AO260</f>
        <v>0</v>
      </c>
      <c r="BI260" s="19">
        <f>G260*AP260</f>
        <v>0</v>
      </c>
      <c r="BJ260" s="19">
        <f>G260*H260</f>
        <v>0</v>
      </c>
      <c r="BK260" s="89" t="s">
        <v>30</v>
      </c>
      <c r="BL260" s="19"/>
      <c r="BW260" s="19">
        <f>I260</f>
        <v>12</v>
      </c>
      <c r="BX260" s="4" t="s">
        <v>378</v>
      </c>
    </row>
    <row r="261" spans="1:76" x14ac:dyDescent="0.25">
      <c r="A261" s="90"/>
      <c r="C261" s="91" t="s">
        <v>547</v>
      </c>
      <c r="D261" s="180" t="s">
        <v>768</v>
      </c>
      <c r="E261" s="181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2"/>
      <c r="BX261" s="92" t="s">
        <v>768</v>
      </c>
    </row>
    <row r="262" spans="1:76" x14ac:dyDescent="0.25">
      <c r="A262" s="1" t="s">
        <v>769</v>
      </c>
      <c r="B262" s="2" t="s">
        <v>438</v>
      </c>
      <c r="C262" s="2" t="s">
        <v>379</v>
      </c>
      <c r="D262" s="96" t="s">
        <v>380</v>
      </c>
      <c r="E262" s="97"/>
      <c r="F262" s="2" t="s">
        <v>90</v>
      </c>
      <c r="G262" s="19">
        <f>'Rozpočet - vybrané sloupce'!I213</f>
        <v>8.1</v>
      </c>
      <c r="H262" s="19">
        <f>'Rozpočet - vybrané sloupce'!J213</f>
        <v>0</v>
      </c>
      <c r="I262" s="87">
        <v>12</v>
      </c>
      <c r="J262" s="19">
        <f>ROUND(G262*AO262,2)</f>
        <v>0</v>
      </c>
      <c r="K262" s="19">
        <f>ROUND(G262*AP262,2)</f>
        <v>0</v>
      </c>
      <c r="L262" s="19">
        <f>ROUND(G262*H262,2)</f>
        <v>0</v>
      </c>
      <c r="M262" s="19">
        <f>L262*(1+BW262/100)</f>
        <v>0</v>
      </c>
      <c r="N262" s="19">
        <v>0</v>
      </c>
      <c r="O262" s="19">
        <f>G262*N262</f>
        <v>0</v>
      </c>
      <c r="P262" s="88" t="s">
        <v>531</v>
      </c>
      <c r="Z262" s="19">
        <f>ROUND(IF(AQ262="5",BJ262,0),2)</f>
        <v>0</v>
      </c>
      <c r="AB262" s="19">
        <f>ROUND(IF(AQ262="1",BH262,0),2)</f>
        <v>0</v>
      </c>
      <c r="AC262" s="19">
        <f>ROUND(IF(AQ262="1",BI262,0),2)</f>
        <v>0</v>
      </c>
      <c r="AD262" s="19">
        <f>ROUND(IF(AQ262="7",BH262,0),2)</f>
        <v>0</v>
      </c>
      <c r="AE262" s="19">
        <f>ROUND(IF(AQ262="7",BI262,0),2)</f>
        <v>0</v>
      </c>
      <c r="AF262" s="19">
        <f>ROUND(IF(AQ262="2",BH262,0),2)</f>
        <v>0</v>
      </c>
      <c r="AG262" s="19">
        <f>ROUND(IF(AQ262="2",BI262,0),2)</f>
        <v>0</v>
      </c>
      <c r="AH262" s="19">
        <f>ROUND(IF(AQ262="0",BJ262,0),2)</f>
        <v>0</v>
      </c>
      <c r="AI262" s="16" t="s">
        <v>438</v>
      </c>
      <c r="AJ262" s="19">
        <f>IF(AN262=0,L262,0)</f>
        <v>0</v>
      </c>
      <c r="AK262" s="19">
        <f>IF(AN262=12,L262,0)</f>
        <v>0</v>
      </c>
      <c r="AL262" s="19">
        <f>IF(AN262=21,L262,0)</f>
        <v>0</v>
      </c>
      <c r="AN262" s="19">
        <v>12</v>
      </c>
      <c r="AO262" s="19">
        <f>H262*0</f>
        <v>0</v>
      </c>
      <c r="AP262" s="19">
        <f>H262*(1-0)</f>
        <v>0</v>
      </c>
      <c r="AQ262" s="89" t="s">
        <v>540</v>
      </c>
      <c r="AV262" s="19">
        <f>ROUND(AW262+AX262,2)</f>
        <v>0</v>
      </c>
      <c r="AW262" s="19">
        <f>ROUND(G262*AO262,2)</f>
        <v>0</v>
      </c>
      <c r="AX262" s="19">
        <f>ROUND(G262*AP262,2)</f>
        <v>0</v>
      </c>
      <c r="AY262" s="89" t="s">
        <v>763</v>
      </c>
      <c r="AZ262" s="89" t="s">
        <v>748</v>
      </c>
      <c r="BA262" s="16" t="s">
        <v>709</v>
      </c>
      <c r="BC262" s="19">
        <f>AW262+AX262</f>
        <v>0</v>
      </c>
      <c r="BD262" s="19">
        <f>H262/(100-BE262)*100</f>
        <v>0</v>
      </c>
      <c r="BE262" s="19">
        <v>0</v>
      </c>
      <c r="BF262" s="19">
        <f>O262</f>
        <v>0</v>
      </c>
      <c r="BH262" s="19">
        <f>G262*AO262</f>
        <v>0</v>
      </c>
      <c r="BI262" s="19">
        <f>G262*AP262</f>
        <v>0</v>
      </c>
      <c r="BJ262" s="19">
        <f>G262*H262</f>
        <v>0</v>
      </c>
      <c r="BK262" s="89" t="s">
        <v>30</v>
      </c>
      <c r="BL262" s="19"/>
      <c r="BW262" s="19">
        <f>I262</f>
        <v>12</v>
      </c>
      <c r="BX262" s="4" t="s">
        <v>380</v>
      </c>
    </row>
    <row r="263" spans="1:76" x14ac:dyDescent="0.25">
      <c r="A263" s="90"/>
      <c r="C263" s="91" t="s">
        <v>547</v>
      </c>
      <c r="D263" s="180" t="s">
        <v>770</v>
      </c>
      <c r="E263" s="181"/>
      <c r="F263" s="181"/>
      <c r="G263" s="181"/>
      <c r="H263" s="181"/>
      <c r="I263" s="181"/>
      <c r="J263" s="181"/>
      <c r="K263" s="181"/>
      <c r="L263" s="181"/>
      <c r="M263" s="181"/>
      <c r="N263" s="181"/>
      <c r="O263" s="181"/>
      <c r="P263" s="182"/>
      <c r="BX263" s="92" t="s">
        <v>770</v>
      </c>
    </row>
    <row r="264" spans="1:76" x14ac:dyDescent="0.25">
      <c r="A264" s="1" t="s">
        <v>771</v>
      </c>
      <c r="B264" s="2" t="s">
        <v>438</v>
      </c>
      <c r="C264" s="2" t="s">
        <v>381</v>
      </c>
      <c r="D264" s="96" t="s">
        <v>382</v>
      </c>
      <c r="E264" s="97"/>
      <c r="F264" s="2" t="s">
        <v>90</v>
      </c>
      <c r="G264" s="19">
        <f>'Rozpočet - vybrané sloupce'!I214</f>
        <v>8.1</v>
      </c>
      <c r="H264" s="19">
        <f>'Rozpočet - vybrané sloupce'!J214</f>
        <v>0</v>
      </c>
      <c r="I264" s="87">
        <v>12</v>
      </c>
      <c r="J264" s="19">
        <f>ROUND(G264*AO264,2)</f>
        <v>0</v>
      </c>
      <c r="K264" s="19">
        <f>ROUND(G264*AP264,2)</f>
        <v>0</v>
      </c>
      <c r="L264" s="19">
        <f>ROUND(G264*H264,2)</f>
        <v>0</v>
      </c>
      <c r="M264" s="19">
        <f>L264*(1+BW264/100)</f>
        <v>0</v>
      </c>
      <c r="N264" s="19">
        <v>0</v>
      </c>
      <c r="O264" s="19">
        <f>G264*N264</f>
        <v>0</v>
      </c>
      <c r="P264" s="88" t="s">
        <v>531</v>
      </c>
      <c r="Z264" s="19">
        <f>ROUND(IF(AQ264="5",BJ264,0),2)</f>
        <v>0</v>
      </c>
      <c r="AB264" s="19">
        <f>ROUND(IF(AQ264="1",BH264,0),2)</f>
        <v>0</v>
      </c>
      <c r="AC264" s="19">
        <f>ROUND(IF(AQ264="1",BI264,0),2)</f>
        <v>0</v>
      </c>
      <c r="AD264" s="19">
        <f>ROUND(IF(AQ264="7",BH264,0),2)</f>
        <v>0</v>
      </c>
      <c r="AE264" s="19">
        <f>ROUND(IF(AQ264="7",BI264,0),2)</f>
        <v>0</v>
      </c>
      <c r="AF264" s="19">
        <f>ROUND(IF(AQ264="2",BH264,0),2)</f>
        <v>0</v>
      </c>
      <c r="AG264" s="19">
        <f>ROUND(IF(AQ264="2",BI264,0),2)</f>
        <v>0</v>
      </c>
      <c r="AH264" s="19">
        <f>ROUND(IF(AQ264="0",BJ264,0),2)</f>
        <v>0</v>
      </c>
      <c r="AI264" s="16" t="s">
        <v>438</v>
      </c>
      <c r="AJ264" s="19">
        <f>IF(AN264=0,L264,0)</f>
        <v>0</v>
      </c>
      <c r="AK264" s="19">
        <f>IF(AN264=12,L264,0)</f>
        <v>0</v>
      </c>
      <c r="AL264" s="19">
        <f>IF(AN264=21,L264,0)</f>
        <v>0</v>
      </c>
      <c r="AN264" s="19">
        <v>12</v>
      </c>
      <c r="AO264" s="19">
        <f>H264*0</f>
        <v>0</v>
      </c>
      <c r="AP264" s="19">
        <f>H264*(1-0)</f>
        <v>0</v>
      </c>
      <c r="AQ264" s="89" t="s">
        <v>540</v>
      </c>
      <c r="AV264" s="19">
        <f>ROUND(AW264+AX264,2)</f>
        <v>0</v>
      </c>
      <c r="AW264" s="19">
        <f>ROUND(G264*AO264,2)</f>
        <v>0</v>
      </c>
      <c r="AX264" s="19">
        <f>ROUND(G264*AP264,2)</f>
        <v>0</v>
      </c>
      <c r="AY264" s="89" t="s">
        <v>763</v>
      </c>
      <c r="AZ264" s="89" t="s">
        <v>748</v>
      </c>
      <c r="BA264" s="16" t="s">
        <v>709</v>
      </c>
      <c r="BC264" s="19">
        <f>AW264+AX264</f>
        <v>0</v>
      </c>
      <c r="BD264" s="19">
        <f>H264/(100-BE264)*100</f>
        <v>0</v>
      </c>
      <c r="BE264" s="19">
        <v>0</v>
      </c>
      <c r="BF264" s="19">
        <f>O264</f>
        <v>0</v>
      </c>
      <c r="BH264" s="19">
        <f>G264*AO264</f>
        <v>0</v>
      </c>
      <c r="BI264" s="19">
        <f>G264*AP264</f>
        <v>0</v>
      </c>
      <c r="BJ264" s="19">
        <f>G264*H264</f>
        <v>0</v>
      </c>
      <c r="BK264" s="89" t="s">
        <v>30</v>
      </c>
      <c r="BL264" s="19"/>
      <c r="BW264" s="19">
        <f>I264</f>
        <v>12</v>
      </c>
      <c r="BX264" s="4" t="s">
        <v>382</v>
      </c>
    </row>
    <row r="265" spans="1:76" x14ac:dyDescent="0.25">
      <c r="A265" s="1" t="s">
        <v>772</v>
      </c>
      <c r="B265" s="2" t="s">
        <v>438</v>
      </c>
      <c r="C265" s="2" t="s">
        <v>383</v>
      </c>
      <c r="D265" s="96" t="s">
        <v>384</v>
      </c>
      <c r="E265" s="97"/>
      <c r="F265" s="2" t="s">
        <v>90</v>
      </c>
      <c r="G265" s="19">
        <f>'Rozpočet - vybrané sloupce'!I215</f>
        <v>81</v>
      </c>
      <c r="H265" s="19">
        <f>'Rozpočet - vybrané sloupce'!J215</f>
        <v>0</v>
      </c>
      <c r="I265" s="87">
        <v>12</v>
      </c>
      <c r="J265" s="19">
        <f>ROUND(G265*AO265,2)</f>
        <v>0</v>
      </c>
      <c r="K265" s="19">
        <f>ROUND(G265*AP265,2)</f>
        <v>0</v>
      </c>
      <c r="L265" s="19">
        <f>ROUND(G265*H265,2)</f>
        <v>0</v>
      </c>
      <c r="M265" s="19">
        <f>L265*(1+BW265/100)</f>
        <v>0</v>
      </c>
      <c r="N265" s="19">
        <v>0</v>
      </c>
      <c r="O265" s="19">
        <f>G265*N265</f>
        <v>0</v>
      </c>
      <c r="P265" s="88" t="s">
        <v>531</v>
      </c>
      <c r="Z265" s="19">
        <f>ROUND(IF(AQ265="5",BJ265,0),2)</f>
        <v>0</v>
      </c>
      <c r="AB265" s="19">
        <f>ROUND(IF(AQ265="1",BH265,0),2)</f>
        <v>0</v>
      </c>
      <c r="AC265" s="19">
        <f>ROUND(IF(AQ265="1",BI265,0),2)</f>
        <v>0</v>
      </c>
      <c r="AD265" s="19">
        <f>ROUND(IF(AQ265="7",BH265,0),2)</f>
        <v>0</v>
      </c>
      <c r="AE265" s="19">
        <f>ROUND(IF(AQ265="7",BI265,0),2)</f>
        <v>0</v>
      </c>
      <c r="AF265" s="19">
        <f>ROUND(IF(AQ265="2",BH265,0),2)</f>
        <v>0</v>
      </c>
      <c r="AG265" s="19">
        <f>ROUND(IF(AQ265="2",BI265,0),2)</f>
        <v>0</v>
      </c>
      <c r="AH265" s="19">
        <f>ROUND(IF(AQ265="0",BJ265,0),2)</f>
        <v>0</v>
      </c>
      <c r="AI265" s="16" t="s">
        <v>438</v>
      </c>
      <c r="AJ265" s="19">
        <f>IF(AN265=0,L265,0)</f>
        <v>0</v>
      </c>
      <c r="AK265" s="19">
        <f>IF(AN265=12,L265,0)</f>
        <v>0</v>
      </c>
      <c r="AL265" s="19">
        <f>IF(AN265=21,L265,0)</f>
        <v>0</v>
      </c>
      <c r="AN265" s="19">
        <v>12</v>
      </c>
      <c r="AO265" s="19">
        <f>H265*0</f>
        <v>0</v>
      </c>
      <c r="AP265" s="19">
        <f>H265*(1-0)</f>
        <v>0</v>
      </c>
      <c r="AQ265" s="89" t="s">
        <v>540</v>
      </c>
      <c r="AV265" s="19">
        <f>ROUND(AW265+AX265,2)</f>
        <v>0</v>
      </c>
      <c r="AW265" s="19">
        <f>ROUND(G265*AO265,2)</f>
        <v>0</v>
      </c>
      <c r="AX265" s="19">
        <f>ROUND(G265*AP265,2)</f>
        <v>0</v>
      </c>
      <c r="AY265" s="89" t="s">
        <v>763</v>
      </c>
      <c r="AZ265" s="89" t="s">
        <v>748</v>
      </c>
      <c r="BA265" s="16" t="s">
        <v>709</v>
      </c>
      <c r="BC265" s="19">
        <f>AW265+AX265</f>
        <v>0</v>
      </c>
      <c r="BD265" s="19">
        <f>H265/(100-BE265)*100</f>
        <v>0</v>
      </c>
      <c r="BE265" s="19">
        <v>0</v>
      </c>
      <c r="BF265" s="19">
        <f>O265</f>
        <v>0</v>
      </c>
      <c r="BH265" s="19">
        <f>G265*AO265</f>
        <v>0</v>
      </c>
      <c r="BI265" s="19">
        <f>G265*AP265</f>
        <v>0</v>
      </c>
      <c r="BJ265" s="19">
        <f>G265*H265</f>
        <v>0</v>
      </c>
      <c r="BK265" s="89" t="s">
        <v>30</v>
      </c>
      <c r="BL265" s="19"/>
      <c r="BW265" s="19">
        <f>I265</f>
        <v>12</v>
      </c>
      <c r="BX265" s="4" t="s">
        <v>384</v>
      </c>
    </row>
    <row r="266" spans="1:76" x14ac:dyDescent="0.25">
      <c r="A266" s="1" t="s">
        <v>773</v>
      </c>
      <c r="B266" s="2" t="s">
        <v>438</v>
      </c>
      <c r="C266" s="2" t="s">
        <v>385</v>
      </c>
      <c r="D266" s="96" t="s">
        <v>386</v>
      </c>
      <c r="E266" s="97"/>
      <c r="F266" s="2" t="s">
        <v>90</v>
      </c>
      <c r="G266" s="19">
        <f>'Rozpočet - vybrané sloupce'!I216</f>
        <v>7.6</v>
      </c>
      <c r="H266" s="19">
        <f>'Rozpočet - vybrané sloupce'!J216</f>
        <v>0</v>
      </c>
      <c r="I266" s="87">
        <v>12</v>
      </c>
      <c r="J266" s="19">
        <f>ROUND(G266*AO266,2)</f>
        <v>0</v>
      </c>
      <c r="K266" s="19">
        <f>ROUND(G266*AP266,2)</f>
        <v>0</v>
      </c>
      <c r="L266" s="19">
        <f>ROUND(G266*H266,2)</f>
        <v>0</v>
      </c>
      <c r="M266" s="19">
        <f>L266*(1+BW266/100)</f>
        <v>0</v>
      </c>
      <c r="N266" s="19">
        <v>0</v>
      </c>
      <c r="O266" s="19">
        <f>G266*N266</f>
        <v>0</v>
      </c>
      <c r="P266" s="88" t="s">
        <v>531</v>
      </c>
      <c r="Z266" s="19">
        <f>ROUND(IF(AQ266="5",BJ266,0),2)</f>
        <v>0</v>
      </c>
      <c r="AB266" s="19">
        <f>ROUND(IF(AQ266="1",BH266,0),2)</f>
        <v>0</v>
      </c>
      <c r="AC266" s="19">
        <f>ROUND(IF(AQ266="1",BI266,0),2)</f>
        <v>0</v>
      </c>
      <c r="AD266" s="19">
        <f>ROUND(IF(AQ266="7",BH266,0),2)</f>
        <v>0</v>
      </c>
      <c r="AE266" s="19">
        <f>ROUND(IF(AQ266="7",BI266,0),2)</f>
        <v>0</v>
      </c>
      <c r="AF266" s="19">
        <f>ROUND(IF(AQ266="2",BH266,0),2)</f>
        <v>0</v>
      </c>
      <c r="AG266" s="19">
        <f>ROUND(IF(AQ266="2",BI266,0),2)</f>
        <v>0</v>
      </c>
      <c r="AH266" s="19">
        <f>ROUND(IF(AQ266="0",BJ266,0),2)</f>
        <v>0</v>
      </c>
      <c r="AI266" s="16" t="s">
        <v>438</v>
      </c>
      <c r="AJ266" s="19">
        <f>IF(AN266=0,L266,0)</f>
        <v>0</v>
      </c>
      <c r="AK266" s="19">
        <f>IF(AN266=12,L266,0)</f>
        <v>0</v>
      </c>
      <c r="AL266" s="19">
        <f>IF(AN266=21,L266,0)</f>
        <v>0</v>
      </c>
      <c r="AN266" s="19">
        <v>12</v>
      </c>
      <c r="AO266" s="19">
        <f>H266*0</f>
        <v>0</v>
      </c>
      <c r="AP266" s="19">
        <f>H266*(1-0)</f>
        <v>0</v>
      </c>
      <c r="AQ266" s="89" t="s">
        <v>540</v>
      </c>
      <c r="AV266" s="19">
        <f>ROUND(AW266+AX266,2)</f>
        <v>0</v>
      </c>
      <c r="AW266" s="19">
        <f>ROUND(G266*AO266,2)</f>
        <v>0</v>
      </c>
      <c r="AX266" s="19">
        <f>ROUND(G266*AP266,2)</f>
        <v>0</v>
      </c>
      <c r="AY266" s="89" t="s">
        <v>763</v>
      </c>
      <c r="AZ266" s="89" t="s">
        <v>748</v>
      </c>
      <c r="BA266" s="16" t="s">
        <v>709</v>
      </c>
      <c r="BC266" s="19">
        <f>AW266+AX266</f>
        <v>0</v>
      </c>
      <c r="BD266" s="19">
        <f>H266/(100-BE266)*100</f>
        <v>0</v>
      </c>
      <c r="BE266" s="19">
        <v>0</v>
      </c>
      <c r="BF266" s="19">
        <f>O266</f>
        <v>0</v>
      </c>
      <c r="BH266" s="19">
        <f>G266*AO266</f>
        <v>0</v>
      </c>
      <c r="BI266" s="19">
        <f>G266*AP266</f>
        <v>0</v>
      </c>
      <c r="BJ266" s="19">
        <f>G266*H266</f>
        <v>0</v>
      </c>
      <c r="BK266" s="89" t="s">
        <v>30</v>
      </c>
      <c r="BL266" s="19"/>
      <c r="BW266" s="19">
        <f>I266</f>
        <v>12</v>
      </c>
      <c r="BX266" s="4" t="s">
        <v>386</v>
      </c>
    </row>
    <row r="267" spans="1:76" x14ac:dyDescent="0.25">
      <c r="A267" s="1" t="s">
        <v>774</v>
      </c>
      <c r="B267" s="2" t="s">
        <v>438</v>
      </c>
      <c r="C267" s="2" t="s">
        <v>387</v>
      </c>
      <c r="D267" s="96" t="s">
        <v>388</v>
      </c>
      <c r="E267" s="97"/>
      <c r="F267" s="2" t="s">
        <v>90</v>
      </c>
      <c r="G267" s="19">
        <f>'Rozpočet - vybrané sloupce'!I217</f>
        <v>0.5</v>
      </c>
      <c r="H267" s="19">
        <f>'Rozpočet - vybrané sloupce'!J217</f>
        <v>0</v>
      </c>
      <c r="I267" s="87">
        <v>12</v>
      </c>
      <c r="J267" s="19">
        <f>ROUND(G267*AO267,2)</f>
        <v>0</v>
      </c>
      <c r="K267" s="19">
        <f>ROUND(G267*AP267,2)</f>
        <v>0</v>
      </c>
      <c r="L267" s="19">
        <f>ROUND(G267*H267,2)</f>
        <v>0</v>
      </c>
      <c r="M267" s="19">
        <f>L267*(1+BW267/100)</f>
        <v>0</v>
      </c>
      <c r="N267" s="19">
        <v>0</v>
      </c>
      <c r="O267" s="19">
        <f>G267*N267</f>
        <v>0</v>
      </c>
      <c r="P267" s="88" t="s">
        <v>531</v>
      </c>
      <c r="Z267" s="19">
        <f>ROUND(IF(AQ267="5",BJ267,0),2)</f>
        <v>0</v>
      </c>
      <c r="AB267" s="19">
        <f>ROUND(IF(AQ267="1",BH267,0),2)</f>
        <v>0</v>
      </c>
      <c r="AC267" s="19">
        <f>ROUND(IF(AQ267="1",BI267,0),2)</f>
        <v>0</v>
      </c>
      <c r="AD267" s="19">
        <f>ROUND(IF(AQ267="7",BH267,0),2)</f>
        <v>0</v>
      </c>
      <c r="AE267" s="19">
        <f>ROUND(IF(AQ267="7",BI267,0),2)</f>
        <v>0</v>
      </c>
      <c r="AF267" s="19">
        <f>ROUND(IF(AQ267="2",BH267,0),2)</f>
        <v>0</v>
      </c>
      <c r="AG267" s="19">
        <f>ROUND(IF(AQ267="2",BI267,0),2)</f>
        <v>0</v>
      </c>
      <c r="AH267" s="19">
        <f>ROUND(IF(AQ267="0",BJ267,0),2)</f>
        <v>0</v>
      </c>
      <c r="AI267" s="16" t="s">
        <v>438</v>
      </c>
      <c r="AJ267" s="19">
        <f>IF(AN267=0,L267,0)</f>
        <v>0</v>
      </c>
      <c r="AK267" s="19">
        <f>IF(AN267=12,L267,0)</f>
        <v>0</v>
      </c>
      <c r="AL267" s="19">
        <f>IF(AN267=21,L267,0)</f>
        <v>0</v>
      </c>
      <c r="AN267" s="19">
        <v>12</v>
      </c>
      <c r="AO267" s="19">
        <f>H267*0</f>
        <v>0</v>
      </c>
      <c r="AP267" s="19">
        <f>H267*(1-0)</f>
        <v>0</v>
      </c>
      <c r="AQ267" s="89" t="s">
        <v>540</v>
      </c>
      <c r="AV267" s="19">
        <f>ROUND(AW267+AX267,2)</f>
        <v>0</v>
      </c>
      <c r="AW267" s="19">
        <f>ROUND(G267*AO267,2)</f>
        <v>0</v>
      </c>
      <c r="AX267" s="19">
        <f>ROUND(G267*AP267,2)</f>
        <v>0</v>
      </c>
      <c r="AY267" s="89" t="s">
        <v>763</v>
      </c>
      <c r="AZ267" s="89" t="s">
        <v>748</v>
      </c>
      <c r="BA267" s="16" t="s">
        <v>709</v>
      </c>
      <c r="BC267" s="19">
        <f>AW267+AX267</f>
        <v>0</v>
      </c>
      <c r="BD267" s="19">
        <f>H267/(100-BE267)*100</f>
        <v>0</v>
      </c>
      <c r="BE267" s="19">
        <v>0</v>
      </c>
      <c r="BF267" s="19">
        <f>O267</f>
        <v>0</v>
      </c>
      <c r="BH267" s="19">
        <f>G267*AO267</f>
        <v>0</v>
      </c>
      <c r="BI267" s="19">
        <f>G267*AP267</f>
        <v>0</v>
      </c>
      <c r="BJ267" s="19">
        <f>G267*H267</f>
        <v>0</v>
      </c>
      <c r="BK267" s="89" t="s">
        <v>30</v>
      </c>
      <c r="BL267" s="19"/>
      <c r="BW267" s="19">
        <f>I267</f>
        <v>12</v>
      </c>
      <c r="BX267" s="4" t="s">
        <v>388</v>
      </c>
    </row>
    <row r="268" spans="1:76" x14ac:dyDescent="0.25">
      <c r="A268" s="90"/>
      <c r="C268" s="91" t="s">
        <v>547</v>
      </c>
      <c r="D268" s="180" t="s">
        <v>775</v>
      </c>
      <c r="E268" s="181"/>
      <c r="F268" s="181"/>
      <c r="G268" s="181"/>
      <c r="H268" s="181"/>
      <c r="I268" s="181"/>
      <c r="J268" s="181"/>
      <c r="K268" s="181"/>
      <c r="L268" s="181"/>
      <c r="M268" s="181"/>
      <c r="N268" s="181"/>
      <c r="O268" s="181"/>
      <c r="P268" s="182"/>
      <c r="BX268" s="92" t="s">
        <v>775</v>
      </c>
    </row>
    <row r="269" spans="1:76" x14ac:dyDescent="0.25">
      <c r="A269" s="84" t="s">
        <v>23</v>
      </c>
      <c r="B269" s="15" t="s">
        <v>439</v>
      </c>
      <c r="C269" s="15" t="s">
        <v>23</v>
      </c>
      <c r="D269" s="152" t="s">
        <v>389</v>
      </c>
      <c r="E269" s="153"/>
      <c r="F269" s="85" t="s">
        <v>22</v>
      </c>
      <c r="G269" s="85" t="s">
        <v>22</v>
      </c>
      <c r="H269" s="85" t="s">
        <v>22</v>
      </c>
      <c r="I269" s="85" t="s">
        <v>22</v>
      </c>
      <c r="J269" s="60">
        <f>J270</f>
        <v>0</v>
      </c>
      <c r="K269" s="60">
        <f>K270</f>
        <v>0</v>
      </c>
      <c r="L269" s="60">
        <f>L270</f>
        <v>0</v>
      </c>
      <c r="M269" s="60">
        <f>M270</f>
        <v>0</v>
      </c>
      <c r="N269" s="16" t="s">
        <v>23</v>
      </c>
      <c r="O269" s="60">
        <f>O270</f>
        <v>1.264667</v>
      </c>
      <c r="P269" s="86" t="s">
        <v>23</v>
      </c>
    </row>
    <row r="270" spans="1:76" x14ac:dyDescent="0.25">
      <c r="A270" s="84" t="s">
        <v>23</v>
      </c>
      <c r="B270" s="15" t="s">
        <v>439</v>
      </c>
      <c r="C270" s="15" t="s">
        <v>390</v>
      </c>
      <c r="D270" s="152" t="s">
        <v>391</v>
      </c>
      <c r="E270" s="153"/>
      <c r="F270" s="85" t="s">
        <v>22</v>
      </c>
      <c r="G270" s="85" t="s">
        <v>22</v>
      </c>
      <c r="H270" s="85" t="s">
        <v>22</v>
      </c>
      <c r="I270" s="85" t="s">
        <v>22</v>
      </c>
      <c r="J270" s="60">
        <f>SUM(J271:J278)</f>
        <v>0</v>
      </c>
      <c r="K270" s="60">
        <f>SUM(K271:K278)</f>
        <v>0</v>
      </c>
      <c r="L270" s="60">
        <f>SUM(L271:L278)</f>
        <v>0</v>
      </c>
      <c r="M270" s="60">
        <f>SUM(M271:M278)</f>
        <v>0</v>
      </c>
      <c r="N270" s="16" t="s">
        <v>23</v>
      </c>
      <c r="O270" s="60">
        <f>SUM(O271:O278)</f>
        <v>1.264667</v>
      </c>
      <c r="P270" s="86" t="s">
        <v>23</v>
      </c>
      <c r="AI270" s="16" t="s">
        <v>439</v>
      </c>
      <c r="AS270" s="60">
        <f>SUM(AJ271:AJ278)</f>
        <v>0</v>
      </c>
      <c r="AT270" s="60">
        <f>SUM(AK271:AK278)</f>
        <v>0</v>
      </c>
      <c r="AU270" s="60">
        <f>SUM(AL271:AL278)</f>
        <v>0</v>
      </c>
    </row>
    <row r="271" spans="1:76" x14ac:dyDescent="0.25">
      <c r="A271" s="1" t="s">
        <v>776</v>
      </c>
      <c r="B271" s="2" t="s">
        <v>439</v>
      </c>
      <c r="C271" s="2" t="s">
        <v>392</v>
      </c>
      <c r="D271" s="96" t="s">
        <v>393</v>
      </c>
      <c r="E271" s="97"/>
      <c r="F271" s="2" t="s">
        <v>306</v>
      </c>
      <c r="G271" s="19">
        <f>'Rozpočet - vybrané sloupce'!I220</f>
        <v>40.700000000000003</v>
      </c>
      <c r="H271" s="19">
        <f>'Rozpočet - vybrané sloupce'!J220</f>
        <v>0</v>
      </c>
      <c r="I271" s="87">
        <v>12</v>
      </c>
      <c r="J271" s="19">
        <f>ROUND(G271*AO271,2)</f>
        <v>0</v>
      </c>
      <c r="K271" s="19">
        <f>ROUND(G271*AP271,2)</f>
        <v>0</v>
      </c>
      <c r="L271" s="19">
        <f>ROUND(G271*H271,2)</f>
        <v>0</v>
      </c>
      <c r="M271" s="19">
        <f>L271*(1+BW271/100)</f>
        <v>0</v>
      </c>
      <c r="N271" s="19">
        <v>2.1000000000000001E-4</v>
      </c>
      <c r="O271" s="19">
        <f>G271*N271</f>
        <v>8.5470000000000008E-3</v>
      </c>
      <c r="P271" s="88" t="s">
        <v>531</v>
      </c>
      <c r="Z271" s="19">
        <f>ROUND(IF(AQ271="5",BJ271,0),2)</f>
        <v>0</v>
      </c>
      <c r="AB271" s="19">
        <f>ROUND(IF(AQ271="1",BH271,0),2)</f>
        <v>0</v>
      </c>
      <c r="AC271" s="19">
        <f>ROUND(IF(AQ271="1",BI271,0),2)</f>
        <v>0</v>
      </c>
      <c r="AD271" s="19">
        <f>ROUND(IF(AQ271="7",BH271,0),2)</f>
        <v>0</v>
      </c>
      <c r="AE271" s="19">
        <f>ROUND(IF(AQ271="7",BI271,0),2)</f>
        <v>0</v>
      </c>
      <c r="AF271" s="19">
        <f>ROUND(IF(AQ271="2",BH271,0),2)</f>
        <v>0</v>
      </c>
      <c r="AG271" s="19">
        <f>ROUND(IF(AQ271="2",BI271,0),2)</f>
        <v>0</v>
      </c>
      <c r="AH271" s="19">
        <f>ROUND(IF(AQ271="0",BJ271,0),2)</f>
        <v>0</v>
      </c>
      <c r="AI271" s="16" t="s">
        <v>439</v>
      </c>
      <c r="AJ271" s="19">
        <f>IF(AN271=0,L271,0)</f>
        <v>0</v>
      </c>
      <c r="AK271" s="19">
        <f>IF(AN271=12,L271,0)</f>
        <v>0</v>
      </c>
      <c r="AL271" s="19">
        <f>IF(AN271=21,L271,0)</f>
        <v>0</v>
      </c>
      <c r="AN271" s="19">
        <v>12</v>
      </c>
      <c r="AO271" s="19">
        <f>H271*0.422456566</f>
        <v>0</v>
      </c>
      <c r="AP271" s="19">
        <f>H271*(1-0.422456566)</f>
        <v>0</v>
      </c>
      <c r="AQ271" s="89" t="s">
        <v>532</v>
      </c>
      <c r="AV271" s="19">
        <f>ROUND(AW271+AX271,2)</f>
        <v>0</v>
      </c>
      <c r="AW271" s="19">
        <f>ROUND(G271*AO271,2)</f>
        <v>0</v>
      </c>
      <c r="AX271" s="19">
        <f>ROUND(G271*AP271,2)</f>
        <v>0</v>
      </c>
      <c r="AY271" s="89" t="s">
        <v>777</v>
      </c>
      <c r="AZ271" s="89" t="s">
        <v>778</v>
      </c>
      <c r="BA271" s="16" t="s">
        <v>779</v>
      </c>
      <c r="BC271" s="19">
        <f>AW271+AX271</f>
        <v>0</v>
      </c>
      <c r="BD271" s="19">
        <f>H271/(100-BE271)*100</f>
        <v>0</v>
      </c>
      <c r="BE271" s="19">
        <v>0</v>
      </c>
      <c r="BF271" s="19">
        <f>O271</f>
        <v>8.5470000000000008E-3</v>
      </c>
      <c r="BH271" s="19">
        <f>G271*AO271</f>
        <v>0</v>
      </c>
      <c r="BI271" s="19">
        <f>G271*AP271</f>
        <v>0</v>
      </c>
      <c r="BJ271" s="19">
        <f>G271*H271</f>
        <v>0</v>
      </c>
      <c r="BK271" s="89" t="s">
        <v>30</v>
      </c>
      <c r="BL271" s="19">
        <v>781</v>
      </c>
      <c r="BW271" s="19">
        <f>I271</f>
        <v>12</v>
      </c>
      <c r="BX271" s="4" t="s">
        <v>393</v>
      </c>
    </row>
    <row r="272" spans="1:76" x14ac:dyDescent="0.25">
      <c r="A272" s="90"/>
      <c r="C272" s="91" t="s">
        <v>547</v>
      </c>
      <c r="D272" s="180" t="s">
        <v>780</v>
      </c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2"/>
      <c r="BX272" s="92" t="s">
        <v>780</v>
      </c>
    </row>
    <row r="273" spans="1:76" x14ac:dyDescent="0.25">
      <c r="A273" s="1" t="s">
        <v>781</v>
      </c>
      <c r="B273" s="2" t="s">
        <v>439</v>
      </c>
      <c r="C273" s="2" t="s">
        <v>394</v>
      </c>
      <c r="D273" s="96" t="s">
        <v>395</v>
      </c>
      <c r="E273" s="97"/>
      <c r="F273" s="2" t="s">
        <v>306</v>
      </c>
      <c r="G273" s="19">
        <f>'Rozpočet - vybrané sloupce'!I221</f>
        <v>40.700000000000003</v>
      </c>
      <c r="H273" s="19">
        <f>'Rozpočet - vybrané sloupce'!J221</f>
        <v>0</v>
      </c>
      <c r="I273" s="87">
        <v>12</v>
      </c>
      <c r="J273" s="19">
        <f>ROUND(G273*AO273,2)</f>
        <v>0</v>
      </c>
      <c r="K273" s="19">
        <f>ROUND(G273*AP273,2)</f>
        <v>0</v>
      </c>
      <c r="L273" s="19">
        <f>ROUND(G273*H273,2)</f>
        <v>0</v>
      </c>
      <c r="M273" s="19">
        <f>L273*(1+BW273/100)</f>
        <v>0</v>
      </c>
      <c r="N273" s="19">
        <v>0</v>
      </c>
      <c r="O273" s="19">
        <f>G273*N273</f>
        <v>0</v>
      </c>
      <c r="P273" s="88" t="s">
        <v>531</v>
      </c>
      <c r="Z273" s="19">
        <f>ROUND(IF(AQ273="5",BJ273,0),2)</f>
        <v>0</v>
      </c>
      <c r="AB273" s="19">
        <f>ROUND(IF(AQ273="1",BH273,0),2)</f>
        <v>0</v>
      </c>
      <c r="AC273" s="19">
        <f>ROUND(IF(AQ273="1",BI273,0),2)</f>
        <v>0</v>
      </c>
      <c r="AD273" s="19">
        <f>ROUND(IF(AQ273="7",BH273,0),2)</f>
        <v>0</v>
      </c>
      <c r="AE273" s="19">
        <f>ROUND(IF(AQ273="7",BI273,0),2)</f>
        <v>0</v>
      </c>
      <c r="AF273" s="19">
        <f>ROUND(IF(AQ273="2",BH273,0),2)</f>
        <v>0</v>
      </c>
      <c r="AG273" s="19">
        <f>ROUND(IF(AQ273="2",BI273,0),2)</f>
        <v>0</v>
      </c>
      <c r="AH273" s="19">
        <f>ROUND(IF(AQ273="0",BJ273,0),2)</f>
        <v>0</v>
      </c>
      <c r="AI273" s="16" t="s">
        <v>439</v>
      </c>
      <c r="AJ273" s="19">
        <f>IF(AN273=0,L273,0)</f>
        <v>0</v>
      </c>
      <c r="AK273" s="19">
        <f>IF(AN273=12,L273,0)</f>
        <v>0</v>
      </c>
      <c r="AL273" s="19">
        <f>IF(AN273=21,L273,0)</f>
        <v>0</v>
      </c>
      <c r="AN273" s="19">
        <v>12</v>
      </c>
      <c r="AO273" s="19">
        <f>H273*0</f>
        <v>0</v>
      </c>
      <c r="AP273" s="19">
        <f>H273*(1-0)</f>
        <v>0</v>
      </c>
      <c r="AQ273" s="89" t="s">
        <v>532</v>
      </c>
      <c r="AV273" s="19">
        <f>ROUND(AW273+AX273,2)</f>
        <v>0</v>
      </c>
      <c r="AW273" s="19">
        <f>ROUND(G273*AO273,2)</f>
        <v>0</v>
      </c>
      <c r="AX273" s="19">
        <f>ROUND(G273*AP273,2)</f>
        <v>0</v>
      </c>
      <c r="AY273" s="89" t="s">
        <v>777</v>
      </c>
      <c r="AZ273" s="89" t="s">
        <v>778</v>
      </c>
      <c r="BA273" s="16" t="s">
        <v>779</v>
      </c>
      <c r="BC273" s="19">
        <f>AW273+AX273</f>
        <v>0</v>
      </c>
      <c r="BD273" s="19">
        <f>H273/(100-BE273)*100</f>
        <v>0</v>
      </c>
      <c r="BE273" s="19">
        <v>0</v>
      </c>
      <c r="BF273" s="19">
        <f>O273</f>
        <v>0</v>
      </c>
      <c r="BH273" s="19">
        <f>G273*AO273</f>
        <v>0</v>
      </c>
      <c r="BI273" s="19">
        <f>G273*AP273</f>
        <v>0</v>
      </c>
      <c r="BJ273" s="19">
        <f>G273*H273</f>
        <v>0</v>
      </c>
      <c r="BK273" s="89" t="s">
        <v>30</v>
      </c>
      <c r="BL273" s="19">
        <v>781</v>
      </c>
      <c r="BW273" s="19">
        <f>I273</f>
        <v>12</v>
      </c>
      <c r="BX273" s="4" t="s">
        <v>395</v>
      </c>
    </row>
    <row r="274" spans="1:76" ht="89.25" x14ac:dyDescent="0.25">
      <c r="A274" s="90"/>
      <c r="C274" s="91" t="s">
        <v>547</v>
      </c>
      <c r="D274" s="180" t="s">
        <v>782</v>
      </c>
      <c r="E274" s="181"/>
      <c r="F274" s="181"/>
      <c r="G274" s="181"/>
      <c r="H274" s="181"/>
      <c r="I274" s="181"/>
      <c r="J274" s="181"/>
      <c r="K274" s="181"/>
      <c r="L274" s="181"/>
      <c r="M274" s="181"/>
      <c r="N274" s="181"/>
      <c r="O274" s="181"/>
      <c r="P274" s="182"/>
      <c r="BX274" s="92" t="s">
        <v>782</v>
      </c>
    </row>
    <row r="275" spans="1:76" x14ac:dyDescent="0.25">
      <c r="A275" s="1" t="s">
        <v>783</v>
      </c>
      <c r="B275" s="2" t="s">
        <v>439</v>
      </c>
      <c r="C275" s="2" t="s">
        <v>396</v>
      </c>
      <c r="D275" s="96" t="s">
        <v>397</v>
      </c>
      <c r="E275" s="97"/>
      <c r="F275" s="2" t="s">
        <v>306</v>
      </c>
      <c r="G275" s="19">
        <f>'Rozpočet - vybrané sloupce'!I222</f>
        <v>42.7</v>
      </c>
      <c r="H275" s="19">
        <f>'Rozpočet - vybrané sloupce'!J222</f>
        <v>0</v>
      </c>
      <c r="I275" s="87">
        <v>12</v>
      </c>
      <c r="J275" s="19">
        <f>ROUND(G275*AO275,2)</f>
        <v>0</v>
      </c>
      <c r="K275" s="19">
        <f>ROUND(G275*AP275,2)</f>
        <v>0</v>
      </c>
      <c r="L275" s="19">
        <f>ROUND(G275*H275,2)</f>
        <v>0</v>
      </c>
      <c r="M275" s="19">
        <f>L275*(1+BW275/100)</f>
        <v>0</v>
      </c>
      <c r="N275" s="19">
        <v>1.3599999999999999E-2</v>
      </c>
      <c r="O275" s="19">
        <f>G275*N275</f>
        <v>0.58072000000000001</v>
      </c>
      <c r="P275" s="88" t="s">
        <v>562</v>
      </c>
      <c r="Z275" s="19">
        <f>ROUND(IF(AQ275="5",BJ275,0),2)</f>
        <v>0</v>
      </c>
      <c r="AB275" s="19">
        <f>ROUND(IF(AQ275="1",BH275,0),2)</f>
        <v>0</v>
      </c>
      <c r="AC275" s="19">
        <f>ROUND(IF(AQ275="1",BI275,0),2)</f>
        <v>0</v>
      </c>
      <c r="AD275" s="19">
        <f>ROUND(IF(AQ275="7",BH275,0),2)</f>
        <v>0</v>
      </c>
      <c r="AE275" s="19">
        <f>ROUND(IF(AQ275="7",BI275,0),2)</f>
        <v>0</v>
      </c>
      <c r="AF275" s="19">
        <f>ROUND(IF(AQ275="2",BH275,0),2)</f>
        <v>0</v>
      </c>
      <c r="AG275" s="19">
        <f>ROUND(IF(AQ275="2",BI275,0),2)</f>
        <v>0</v>
      </c>
      <c r="AH275" s="19">
        <f>ROUND(IF(AQ275="0",BJ275,0),2)</f>
        <v>0</v>
      </c>
      <c r="AI275" s="16" t="s">
        <v>439</v>
      </c>
      <c r="AJ275" s="19">
        <f>IF(AN275=0,L275,0)</f>
        <v>0</v>
      </c>
      <c r="AK275" s="19">
        <f>IF(AN275=12,L275,0)</f>
        <v>0</v>
      </c>
      <c r="AL275" s="19">
        <f>IF(AN275=21,L275,0)</f>
        <v>0</v>
      </c>
      <c r="AN275" s="19">
        <v>12</v>
      </c>
      <c r="AO275" s="19">
        <f>H275*1</f>
        <v>0</v>
      </c>
      <c r="AP275" s="19">
        <f>H275*(1-1)</f>
        <v>0</v>
      </c>
      <c r="AQ275" s="89" t="s">
        <v>532</v>
      </c>
      <c r="AV275" s="19">
        <f>ROUND(AW275+AX275,2)</f>
        <v>0</v>
      </c>
      <c r="AW275" s="19">
        <f>ROUND(G275*AO275,2)</f>
        <v>0</v>
      </c>
      <c r="AX275" s="19">
        <f>ROUND(G275*AP275,2)</f>
        <v>0</v>
      </c>
      <c r="AY275" s="89" t="s">
        <v>777</v>
      </c>
      <c r="AZ275" s="89" t="s">
        <v>778</v>
      </c>
      <c r="BA275" s="16" t="s">
        <v>779</v>
      </c>
      <c r="BC275" s="19">
        <f>AW275+AX275</f>
        <v>0</v>
      </c>
      <c r="BD275" s="19">
        <f>H275/(100-BE275)*100</f>
        <v>0</v>
      </c>
      <c r="BE275" s="19">
        <v>0</v>
      </c>
      <c r="BF275" s="19">
        <f>O275</f>
        <v>0.58072000000000001</v>
      </c>
      <c r="BH275" s="19">
        <f>G275*AO275</f>
        <v>0</v>
      </c>
      <c r="BI275" s="19">
        <f>G275*AP275</f>
        <v>0</v>
      </c>
      <c r="BJ275" s="19">
        <f>G275*H275</f>
        <v>0</v>
      </c>
      <c r="BK275" s="89" t="s">
        <v>53</v>
      </c>
      <c r="BL275" s="19">
        <v>781</v>
      </c>
      <c r="BW275" s="19">
        <f>I275</f>
        <v>12</v>
      </c>
      <c r="BX275" s="4" t="s">
        <v>397</v>
      </c>
    </row>
    <row r="276" spans="1:76" x14ac:dyDescent="0.25">
      <c r="A276" s="90"/>
      <c r="C276" s="91" t="s">
        <v>547</v>
      </c>
      <c r="D276" s="180" t="s">
        <v>784</v>
      </c>
      <c r="E276" s="181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2"/>
      <c r="BX276" s="92" t="s">
        <v>784</v>
      </c>
    </row>
    <row r="277" spans="1:76" x14ac:dyDescent="0.25">
      <c r="A277" s="1" t="s">
        <v>785</v>
      </c>
      <c r="B277" s="2" t="s">
        <v>439</v>
      </c>
      <c r="C277" s="2" t="s">
        <v>398</v>
      </c>
      <c r="D277" s="96" t="s">
        <v>399</v>
      </c>
      <c r="E277" s="97"/>
      <c r="F277" s="2" t="s">
        <v>33</v>
      </c>
      <c r="G277" s="19">
        <f>'Rozpočet - vybrané sloupce'!I223</f>
        <v>220</v>
      </c>
      <c r="H277" s="19">
        <f>'Rozpočet - vybrané sloupce'!J223</f>
        <v>0</v>
      </c>
      <c r="I277" s="87">
        <v>12</v>
      </c>
      <c r="J277" s="19">
        <f>ROUND(G277*AO277,2)</f>
        <v>0</v>
      </c>
      <c r="K277" s="19">
        <f>ROUND(G277*AP277,2)</f>
        <v>0</v>
      </c>
      <c r="L277" s="19">
        <f>ROUND(G277*H277,2)</f>
        <v>0</v>
      </c>
      <c r="M277" s="19">
        <f>L277*(1+BW277/100)</f>
        <v>0</v>
      </c>
      <c r="N277" s="19">
        <v>3.0699999999999998E-3</v>
      </c>
      <c r="O277" s="19">
        <f>G277*N277</f>
        <v>0.6754</v>
      </c>
      <c r="P277" s="88" t="s">
        <v>531</v>
      </c>
      <c r="Z277" s="19">
        <f>ROUND(IF(AQ277="5",BJ277,0),2)</f>
        <v>0</v>
      </c>
      <c r="AB277" s="19">
        <f>ROUND(IF(AQ277="1",BH277,0),2)</f>
        <v>0</v>
      </c>
      <c r="AC277" s="19">
        <f>ROUND(IF(AQ277="1",BI277,0),2)</f>
        <v>0</v>
      </c>
      <c r="AD277" s="19">
        <f>ROUND(IF(AQ277="7",BH277,0),2)</f>
        <v>0</v>
      </c>
      <c r="AE277" s="19">
        <f>ROUND(IF(AQ277="7",BI277,0),2)</f>
        <v>0</v>
      </c>
      <c r="AF277" s="19">
        <f>ROUND(IF(AQ277="2",BH277,0),2)</f>
        <v>0</v>
      </c>
      <c r="AG277" s="19">
        <f>ROUND(IF(AQ277="2",BI277,0),2)</f>
        <v>0</v>
      </c>
      <c r="AH277" s="19">
        <f>ROUND(IF(AQ277="0",BJ277,0),2)</f>
        <v>0</v>
      </c>
      <c r="AI277" s="16" t="s">
        <v>439</v>
      </c>
      <c r="AJ277" s="19">
        <f>IF(AN277=0,L277,0)</f>
        <v>0</v>
      </c>
      <c r="AK277" s="19">
        <f>IF(AN277=12,L277,0)</f>
        <v>0</v>
      </c>
      <c r="AL277" s="19">
        <f>IF(AN277=21,L277,0)</f>
        <v>0</v>
      </c>
      <c r="AN277" s="19">
        <v>12</v>
      </c>
      <c r="AO277" s="19">
        <f>H277*0.264058577</f>
        <v>0</v>
      </c>
      <c r="AP277" s="19">
        <f>H277*(1-0.264058577)</f>
        <v>0</v>
      </c>
      <c r="AQ277" s="89" t="s">
        <v>532</v>
      </c>
      <c r="AV277" s="19">
        <f>ROUND(AW277+AX277,2)</f>
        <v>0</v>
      </c>
      <c r="AW277" s="19">
        <f>ROUND(G277*AO277,2)</f>
        <v>0</v>
      </c>
      <c r="AX277" s="19">
        <f>ROUND(G277*AP277,2)</f>
        <v>0</v>
      </c>
      <c r="AY277" s="89" t="s">
        <v>777</v>
      </c>
      <c r="AZ277" s="89" t="s">
        <v>778</v>
      </c>
      <c r="BA277" s="16" t="s">
        <v>779</v>
      </c>
      <c r="BC277" s="19">
        <f>AW277+AX277</f>
        <v>0</v>
      </c>
      <c r="BD277" s="19">
        <f>H277/(100-BE277)*100</f>
        <v>0</v>
      </c>
      <c r="BE277" s="19">
        <v>0</v>
      </c>
      <c r="BF277" s="19">
        <f>O277</f>
        <v>0.6754</v>
      </c>
      <c r="BH277" s="19">
        <f>G277*AO277</f>
        <v>0</v>
      </c>
      <c r="BI277" s="19">
        <f>G277*AP277</f>
        <v>0</v>
      </c>
      <c r="BJ277" s="19">
        <f>G277*H277</f>
        <v>0</v>
      </c>
      <c r="BK277" s="89" t="s">
        <v>30</v>
      </c>
      <c r="BL277" s="19">
        <v>781</v>
      </c>
      <c r="BW277" s="19">
        <f>I277</f>
        <v>12</v>
      </c>
      <c r="BX277" s="4" t="s">
        <v>399</v>
      </c>
    </row>
    <row r="278" spans="1:76" x14ac:dyDescent="0.25">
      <c r="A278" s="1" t="s">
        <v>786</v>
      </c>
      <c r="B278" s="2" t="s">
        <v>439</v>
      </c>
      <c r="C278" s="2" t="s">
        <v>400</v>
      </c>
      <c r="D278" s="96" t="s">
        <v>401</v>
      </c>
      <c r="E278" s="97"/>
      <c r="F278" s="2" t="s">
        <v>41</v>
      </c>
      <c r="G278" s="19">
        <f>'Rozpočet - vybrané sloupce'!I224</f>
        <v>1130</v>
      </c>
      <c r="H278" s="19">
        <f>'Rozpočet - vybrané sloupce'!J224</f>
        <v>0</v>
      </c>
      <c r="I278" s="87">
        <v>12</v>
      </c>
      <c r="J278" s="19">
        <f>ROUND(G278*AO278,2)</f>
        <v>0</v>
      </c>
      <c r="K278" s="19">
        <f>ROUND(G278*AP278,2)</f>
        <v>0</v>
      </c>
      <c r="L278" s="19">
        <f>ROUND(G278*H278,2)</f>
        <v>0</v>
      </c>
      <c r="M278" s="19">
        <f>L278*(1+BW278/100)</f>
        <v>0</v>
      </c>
      <c r="N278" s="19">
        <v>0</v>
      </c>
      <c r="O278" s="19">
        <f>G278*N278</f>
        <v>0</v>
      </c>
      <c r="P278" s="88" t="s">
        <v>531</v>
      </c>
      <c r="Z278" s="19">
        <f>ROUND(IF(AQ278="5",BJ278,0),2)</f>
        <v>0</v>
      </c>
      <c r="AB278" s="19">
        <f>ROUND(IF(AQ278="1",BH278,0),2)</f>
        <v>0</v>
      </c>
      <c r="AC278" s="19">
        <f>ROUND(IF(AQ278="1",BI278,0),2)</f>
        <v>0</v>
      </c>
      <c r="AD278" s="19">
        <f>ROUND(IF(AQ278="7",BH278,0),2)</f>
        <v>0</v>
      </c>
      <c r="AE278" s="19">
        <f>ROUND(IF(AQ278="7",BI278,0),2)</f>
        <v>0</v>
      </c>
      <c r="AF278" s="19">
        <f>ROUND(IF(AQ278="2",BH278,0),2)</f>
        <v>0</v>
      </c>
      <c r="AG278" s="19">
        <f>ROUND(IF(AQ278="2",BI278,0),2)</f>
        <v>0</v>
      </c>
      <c r="AH278" s="19">
        <f>ROUND(IF(AQ278="0",BJ278,0),2)</f>
        <v>0</v>
      </c>
      <c r="AI278" s="16" t="s">
        <v>439</v>
      </c>
      <c r="AJ278" s="19">
        <f>IF(AN278=0,L278,0)</f>
        <v>0</v>
      </c>
      <c r="AK278" s="19">
        <f>IF(AN278=12,L278,0)</f>
        <v>0</v>
      </c>
      <c r="AL278" s="19">
        <f>IF(AN278=21,L278,0)</f>
        <v>0</v>
      </c>
      <c r="AN278" s="19">
        <v>12</v>
      </c>
      <c r="AO278" s="19">
        <f>H278*0</f>
        <v>0</v>
      </c>
      <c r="AP278" s="19">
        <f>H278*(1-0)</f>
        <v>0</v>
      </c>
      <c r="AQ278" s="89" t="s">
        <v>540</v>
      </c>
      <c r="AV278" s="19">
        <f>ROUND(AW278+AX278,2)</f>
        <v>0</v>
      </c>
      <c r="AW278" s="19">
        <f>ROUND(G278*AO278,2)</f>
        <v>0</v>
      </c>
      <c r="AX278" s="19">
        <f>ROUND(G278*AP278,2)</f>
        <v>0</v>
      </c>
      <c r="AY278" s="89" t="s">
        <v>777</v>
      </c>
      <c r="AZ278" s="89" t="s">
        <v>778</v>
      </c>
      <c r="BA278" s="16" t="s">
        <v>779</v>
      </c>
      <c r="BC278" s="19">
        <f>AW278+AX278</f>
        <v>0</v>
      </c>
      <c r="BD278" s="19">
        <f>H278/(100-BE278)*100</f>
        <v>0</v>
      </c>
      <c r="BE278" s="19">
        <v>0</v>
      </c>
      <c r="BF278" s="19">
        <f>O278</f>
        <v>0</v>
      </c>
      <c r="BH278" s="19">
        <f>G278*AO278</f>
        <v>0</v>
      </c>
      <c r="BI278" s="19">
        <f>G278*AP278</f>
        <v>0</v>
      </c>
      <c r="BJ278" s="19">
        <f>G278*H278</f>
        <v>0</v>
      </c>
      <c r="BK278" s="89" t="s">
        <v>30</v>
      </c>
      <c r="BL278" s="19">
        <v>781</v>
      </c>
      <c r="BW278" s="19">
        <f>I278</f>
        <v>12</v>
      </c>
      <c r="BX278" s="4" t="s">
        <v>401</v>
      </c>
    </row>
    <row r="279" spans="1:76" x14ac:dyDescent="0.25">
      <c r="A279" s="84" t="s">
        <v>23</v>
      </c>
      <c r="B279" s="15" t="s">
        <v>440</v>
      </c>
      <c r="C279" s="15" t="s">
        <v>23</v>
      </c>
      <c r="D279" s="152" t="s">
        <v>402</v>
      </c>
      <c r="E279" s="153"/>
      <c r="F279" s="85" t="s">
        <v>22</v>
      </c>
      <c r="G279" s="85" t="s">
        <v>22</v>
      </c>
      <c r="H279" s="85" t="s">
        <v>22</v>
      </c>
      <c r="I279" s="85" t="s">
        <v>22</v>
      </c>
      <c r="J279" s="60">
        <f>J281+J283+J286+J288</f>
        <v>0</v>
      </c>
      <c r="K279" s="60">
        <f>K281+K283+K286+K288</f>
        <v>0</v>
      </c>
      <c r="L279" s="60">
        <f>L281+L283+L286+L288</f>
        <v>0</v>
      </c>
      <c r="M279" s="60">
        <f>M281+M283+M286+M288</f>
        <v>0</v>
      </c>
      <c r="N279" s="16" t="s">
        <v>23</v>
      </c>
      <c r="O279" s="60">
        <f>O281+O283+O286+O288</f>
        <v>0</v>
      </c>
      <c r="P279" s="86" t="s">
        <v>23</v>
      </c>
    </row>
    <row r="280" spans="1:76" x14ac:dyDescent="0.25">
      <c r="A280" s="84" t="s">
        <v>23</v>
      </c>
      <c r="B280" s="15" t="s">
        <v>440</v>
      </c>
      <c r="C280" s="15" t="s">
        <v>403</v>
      </c>
      <c r="D280" s="152" t="s">
        <v>404</v>
      </c>
      <c r="E280" s="153"/>
      <c r="F280" s="85" t="s">
        <v>22</v>
      </c>
      <c r="G280" s="85" t="s">
        <v>22</v>
      </c>
      <c r="H280" s="85" t="s">
        <v>22</v>
      </c>
      <c r="I280" s="85" t="s">
        <v>22</v>
      </c>
      <c r="J280" s="60">
        <f>J281+J283+J286+J288</f>
        <v>0</v>
      </c>
      <c r="K280" s="60">
        <f>K281+K283+K286+K288</f>
        <v>0</v>
      </c>
      <c r="L280" s="60">
        <f>L281+L283+L286+L288</f>
        <v>0</v>
      </c>
      <c r="M280" s="60">
        <f>M281+M283+M286+M288</f>
        <v>0</v>
      </c>
      <c r="N280" s="16" t="s">
        <v>23</v>
      </c>
      <c r="O280" s="60">
        <f>O281+O283+O286+O288</f>
        <v>0</v>
      </c>
      <c r="P280" s="86" t="s">
        <v>23</v>
      </c>
      <c r="AI280" s="16" t="s">
        <v>440</v>
      </c>
    </row>
    <row r="281" spans="1:76" x14ac:dyDescent="0.25">
      <c r="A281" s="84" t="s">
        <v>23</v>
      </c>
      <c r="B281" s="15" t="s">
        <v>440</v>
      </c>
      <c r="C281" s="15" t="s">
        <v>405</v>
      </c>
      <c r="D281" s="152" t="s">
        <v>406</v>
      </c>
      <c r="E281" s="153"/>
      <c r="F281" s="85" t="s">
        <v>22</v>
      </c>
      <c r="G281" s="85" t="s">
        <v>22</v>
      </c>
      <c r="H281" s="85" t="s">
        <v>22</v>
      </c>
      <c r="I281" s="85" t="s">
        <v>22</v>
      </c>
      <c r="J281" s="60">
        <f>SUM(J282:J282)</f>
        <v>0</v>
      </c>
      <c r="K281" s="60">
        <f>SUM(K282:K282)</f>
        <v>0</v>
      </c>
      <c r="L281" s="60">
        <f>SUM(L282:L282)</f>
        <v>0</v>
      </c>
      <c r="M281" s="60">
        <f>SUM(M282:M282)</f>
        <v>0</v>
      </c>
      <c r="N281" s="16" t="s">
        <v>23</v>
      </c>
      <c r="O281" s="60">
        <f>SUM(O282:O282)</f>
        <v>0</v>
      </c>
      <c r="P281" s="86" t="s">
        <v>23</v>
      </c>
      <c r="AI281" s="16" t="s">
        <v>440</v>
      </c>
      <c r="AS281" s="60">
        <f>SUM(AJ282:AJ282)</f>
        <v>0</v>
      </c>
      <c r="AT281" s="60">
        <f>SUM(AK282:AK282)</f>
        <v>0</v>
      </c>
      <c r="AU281" s="60">
        <f>SUM(AL282:AL282)</f>
        <v>0</v>
      </c>
    </row>
    <row r="282" spans="1:76" x14ac:dyDescent="0.25">
      <c r="A282" s="1" t="s">
        <v>787</v>
      </c>
      <c r="B282" s="2" t="s">
        <v>440</v>
      </c>
      <c r="C282" s="2" t="s">
        <v>407</v>
      </c>
      <c r="D282" s="96" t="s">
        <v>408</v>
      </c>
      <c r="E282" s="97"/>
      <c r="F282" s="2" t="s">
        <v>56</v>
      </c>
      <c r="G282" s="19">
        <f>'Rozpočet - vybrané sloupce'!I228</f>
        <v>22</v>
      </c>
      <c r="H282" s="19">
        <f>'Rozpočet - vybrané sloupce'!J228</f>
        <v>0</v>
      </c>
      <c r="I282" s="87">
        <v>12</v>
      </c>
      <c r="J282" s="19">
        <f>ROUND(G282*AO282,2)</f>
        <v>0</v>
      </c>
      <c r="K282" s="19">
        <f>ROUND(G282*AP282,2)</f>
        <v>0</v>
      </c>
      <c r="L282" s="19">
        <f>ROUND(G282*H282,2)</f>
        <v>0</v>
      </c>
      <c r="M282" s="19">
        <f>L282*(1+BW282/100)</f>
        <v>0</v>
      </c>
      <c r="N282" s="19">
        <v>0</v>
      </c>
      <c r="O282" s="19">
        <f>G282*N282</f>
        <v>0</v>
      </c>
      <c r="P282" s="88" t="s">
        <v>531</v>
      </c>
      <c r="Z282" s="19">
        <f>ROUND(IF(AQ282="5",BJ282,0),2)</f>
        <v>0</v>
      </c>
      <c r="AB282" s="19">
        <f>ROUND(IF(AQ282="1",BH282,0),2)</f>
        <v>0</v>
      </c>
      <c r="AC282" s="19">
        <f>ROUND(IF(AQ282="1",BI282,0),2)</f>
        <v>0</v>
      </c>
      <c r="AD282" s="19">
        <f>ROUND(IF(AQ282="7",BH282,0),2)</f>
        <v>0</v>
      </c>
      <c r="AE282" s="19">
        <f>ROUND(IF(AQ282="7",BI282,0),2)</f>
        <v>0</v>
      </c>
      <c r="AF282" s="19">
        <f>ROUND(IF(AQ282="2",BH282,0),2)</f>
        <v>0</v>
      </c>
      <c r="AG282" s="19">
        <f>ROUND(IF(AQ282="2",BI282,0),2)</f>
        <v>0</v>
      </c>
      <c r="AH282" s="19">
        <f>ROUND(IF(AQ282="0",BJ282,0),2)</f>
        <v>0</v>
      </c>
      <c r="AI282" s="16" t="s">
        <v>440</v>
      </c>
      <c r="AJ282" s="19">
        <f>IF(AN282=0,L282,0)</f>
        <v>0</v>
      </c>
      <c r="AK282" s="19">
        <f>IF(AN282=12,L282,0)</f>
        <v>0</v>
      </c>
      <c r="AL282" s="19">
        <f>IF(AN282=21,L282,0)</f>
        <v>0</v>
      </c>
      <c r="AN282" s="19">
        <v>12</v>
      </c>
      <c r="AO282" s="19">
        <f>H282*0</f>
        <v>0</v>
      </c>
      <c r="AP282" s="19">
        <f>H282*(1-0)</f>
        <v>0</v>
      </c>
      <c r="AQ282" s="89" t="s">
        <v>652</v>
      </c>
      <c r="AV282" s="19">
        <f>ROUND(AW282+AX282,2)</f>
        <v>0</v>
      </c>
      <c r="AW282" s="19">
        <f>ROUND(G282*AO282,2)</f>
        <v>0</v>
      </c>
      <c r="AX282" s="19">
        <f>ROUND(G282*AP282,2)</f>
        <v>0</v>
      </c>
      <c r="AY282" s="89" t="s">
        <v>788</v>
      </c>
      <c r="AZ282" s="89" t="s">
        <v>789</v>
      </c>
      <c r="BA282" s="16" t="s">
        <v>790</v>
      </c>
      <c r="BC282" s="19">
        <f>AW282+AX282</f>
        <v>0</v>
      </c>
      <c r="BD282" s="19">
        <f>H282/(100-BE282)*100</f>
        <v>0</v>
      </c>
      <c r="BE282" s="19">
        <v>0</v>
      </c>
      <c r="BF282" s="19">
        <f>O282</f>
        <v>0</v>
      </c>
      <c r="BH282" s="19">
        <f>G282*AO282</f>
        <v>0</v>
      </c>
      <c r="BI282" s="19">
        <f>G282*AP282</f>
        <v>0</v>
      </c>
      <c r="BJ282" s="19">
        <f>G282*H282</f>
        <v>0</v>
      </c>
      <c r="BK282" s="89" t="s">
        <v>30</v>
      </c>
      <c r="BL282" s="19"/>
      <c r="BM282" s="19">
        <f>G282*H282</f>
        <v>0</v>
      </c>
      <c r="BW282" s="19">
        <f>I282</f>
        <v>12</v>
      </c>
      <c r="BX282" s="4" t="s">
        <v>408</v>
      </c>
    </row>
    <row r="283" spans="1:76" x14ac:dyDescent="0.25">
      <c r="A283" s="84" t="s">
        <v>23</v>
      </c>
      <c r="B283" s="15" t="s">
        <v>440</v>
      </c>
      <c r="C283" s="15" t="s">
        <v>409</v>
      </c>
      <c r="D283" s="152" t="s">
        <v>410</v>
      </c>
      <c r="E283" s="153"/>
      <c r="F283" s="85" t="s">
        <v>22</v>
      </c>
      <c r="G283" s="85" t="s">
        <v>22</v>
      </c>
      <c r="H283" s="85" t="s">
        <v>22</v>
      </c>
      <c r="I283" s="85" t="s">
        <v>22</v>
      </c>
      <c r="J283" s="60">
        <f>SUM(J284:J285)</f>
        <v>0</v>
      </c>
      <c r="K283" s="60">
        <f>SUM(K284:K285)</f>
        <v>0</v>
      </c>
      <c r="L283" s="60">
        <f>SUM(L284:L285)</f>
        <v>0</v>
      </c>
      <c r="M283" s="60">
        <f>SUM(M284:M285)</f>
        <v>0</v>
      </c>
      <c r="N283" s="16" t="s">
        <v>23</v>
      </c>
      <c r="O283" s="60">
        <f>SUM(O284:O285)</f>
        <v>0</v>
      </c>
      <c r="P283" s="86" t="s">
        <v>23</v>
      </c>
      <c r="AI283" s="16" t="s">
        <v>440</v>
      </c>
      <c r="AS283" s="60">
        <f>SUM(AJ284:AJ285)</f>
        <v>0</v>
      </c>
      <c r="AT283" s="60">
        <f>SUM(AK284:AK285)</f>
        <v>0</v>
      </c>
      <c r="AU283" s="60">
        <f>SUM(AL284:AL285)</f>
        <v>0</v>
      </c>
    </row>
    <row r="284" spans="1:76" x14ac:dyDescent="0.25">
      <c r="A284" s="1" t="s">
        <v>791</v>
      </c>
      <c r="B284" s="2" t="s">
        <v>440</v>
      </c>
      <c r="C284" s="2" t="s">
        <v>411</v>
      </c>
      <c r="D284" s="96" t="s">
        <v>410</v>
      </c>
      <c r="E284" s="97"/>
      <c r="F284" s="2" t="s">
        <v>412</v>
      </c>
      <c r="G284" s="19">
        <f>'Rozpočet - vybrané sloupce'!I230</f>
        <v>1</v>
      </c>
      <c r="H284" s="19">
        <f>'Rozpočet - vybrané sloupce'!J230</f>
        <v>0</v>
      </c>
      <c r="I284" s="87">
        <v>12</v>
      </c>
      <c r="J284" s="19">
        <f>ROUND(G284*AO284,2)</f>
        <v>0</v>
      </c>
      <c r="K284" s="19">
        <f>ROUND(G284*AP284,2)</f>
        <v>0</v>
      </c>
      <c r="L284" s="19">
        <f>ROUND(G284*H284,2)</f>
        <v>0</v>
      </c>
      <c r="M284" s="19">
        <f>L284*(1+BW284/100)</f>
        <v>0</v>
      </c>
      <c r="N284" s="19">
        <v>0</v>
      </c>
      <c r="O284" s="19">
        <f>G284*N284</f>
        <v>0</v>
      </c>
      <c r="P284" s="88" t="s">
        <v>531</v>
      </c>
      <c r="Z284" s="19">
        <f>ROUND(IF(AQ284="5",BJ284,0),2)</f>
        <v>0</v>
      </c>
      <c r="AB284" s="19">
        <f>ROUND(IF(AQ284="1",BH284,0),2)</f>
        <v>0</v>
      </c>
      <c r="AC284" s="19">
        <f>ROUND(IF(AQ284="1",BI284,0),2)</f>
        <v>0</v>
      </c>
      <c r="AD284" s="19">
        <f>ROUND(IF(AQ284="7",BH284,0),2)</f>
        <v>0</v>
      </c>
      <c r="AE284" s="19">
        <f>ROUND(IF(AQ284="7",BI284,0),2)</f>
        <v>0</v>
      </c>
      <c r="AF284" s="19">
        <f>ROUND(IF(AQ284="2",BH284,0),2)</f>
        <v>0</v>
      </c>
      <c r="AG284" s="19">
        <f>ROUND(IF(AQ284="2",BI284,0),2)</f>
        <v>0</v>
      </c>
      <c r="AH284" s="19">
        <f>ROUND(IF(AQ284="0",BJ284,0),2)</f>
        <v>0</v>
      </c>
      <c r="AI284" s="16" t="s">
        <v>440</v>
      </c>
      <c r="AJ284" s="19">
        <f>IF(AN284=0,L284,0)</f>
        <v>0</v>
      </c>
      <c r="AK284" s="19">
        <f>IF(AN284=12,L284,0)</f>
        <v>0</v>
      </c>
      <c r="AL284" s="19">
        <f>IF(AN284=21,L284,0)</f>
        <v>0</v>
      </c>
      <c r="AN284" s="19">
        <v>12</v>
      </c>
      <c r="AO284" s="19">
        <f>H284*0</f>
        <v>0</v>
      </c>
      <c r="AP284" s="19">
        <f>H284*(1-0)</f>
        <v>0</v>
      </c>
      <c r="AQ284" s="89" t="s">
        <v>652</v>
      </c>
      <c r="AV284" s="19">
        <f>ROUND(AW284+AX284,2)</f>
        <v>0</v>
      </c>
      <c r="AW284" s="19">
        <f>ROUND(G284*AO284,2)</f>
        <v>0</v>
      </c>
      <c r="AX284" s="19">
        <f>ROUND(G284*AP284,2)</f>
        <v>0</v>
      </c>
      <c r="AY284" s="89" t="s">
        <v>792</v>
      </c>
      <c r="AZ284" s="89" t="s">
        <v>789</v>
      </c>
      <c r="BA284" s="16" t="s">
        <v>790</v>
      </c>
      <c r="BC284" s="19">
        <f>AW284+AX284</f>
        <v>0</v>
      </c>
      <c r="BD284" s="19">
        <f>H284/(100-BE284)*100</f>
        <v>0</v>
      </c>
      <c r="BE284" s="19">
        <v>0</v>
      </c>
      <c r="BF284" s="19">
        <f>O284</f>
        <v>0</v>
      </c>
      <c r="BH284" s="19">
        <f>G284*AO284</f>
        <v>0</v>
      </c>
      <c r="BI284" s="19">
        <f>G284*AP284</f>
        <v>0</v>
      </c>
      <c r="BJ284" s="19">
        <f>G284*H284</f>
        <v>0</v>
      </c>
      <c r="BK284" s="89" t="s">
        <v>30</v>
      </c>
      <c r="BL284" s="19"/>
      <c r="BO284" s="19">
        <f>G284*H284</f>
        <v>0</v>
      </c>
      <c r="BW284" s="19">
        <f>I284</f>
        <v>12</v>
      </c>
      <c r="BX284" s="4" t="s">
        <v>410</v>
      </c>
    </row>
    <row r="285" spans="1:76" x14ac:dyDescent="0.25">
      <c r="A285" s="1" t="s">
        <v>793</v>
      </c>
      <c r="B285" s="2" t="s">
        <v>440</v>
      </c>
      <c r="C285" s="2" t="s">
        <v>413</v>
      </c>
      <c r="D285" s="96" t="s">
        <v>414</v>
      </c>
      <c r="E285" s="97"/>
      <c r="F285" s="2" t="s">
        <v>412</v>
      </c>
      <c r="G285" s="19">
        <f>'Rozpočet - vybrané sloupce'!I231</f>
        <v>1</v>
      </c>
      <c r="H285" s="19">
        <f>'Rozpočet - vybrané sloupce'!J231</f>
        <v>0</v>
      </c>
      <c r="I285" s="87">
        <v>12</v>
      </c>
      <c r="J285" s="19">
        <f>ROUND(G285*AO285,2)</f>
        <v>0</v>
      </c>
      <c r="K285" s="19">
        <f>ROUND(G285*AP285,2)</f>
        <v>0</v>
      </c>
      <c r="L285" s="19">
        <f>ROUND(G285*H285,2)</f>
        <v>0</v>
      </c>
      <c r="M285" s="19">
        <f>L285*(1+BW285/100)</f>
        <v>0</v>
      </c>
      <c r="N285" s="19">
        <v>0</v>
      </c>
      <c r="O285" s="19">
        <f>G285*N285</f>
        <v>0</v>
      </c>
      <c r="P285" s="88" t="s">
        <v>531</v>
      </c>
      <c r="Z285" s="19">
        <f>ROUND(IF(AQ285="5",BJ285,0),2)</f>
        <v>0</v>
      </c>
      <c r="AB285" s="19">
        <f>ROUND(IF(AQ285="1",BH285,0),2)</f>
        <v>0</v>
      </c>
      <c r="AC285" s="19">
        <f>ROUND(IF(AQ285="1",BI285,0),2)</f>
        <v>0</v>
      </c>
      <c r="AD285" s="19">
        <f>ROUND(IF(AQ285="7",BH285,0),2)</f>
        <v>0</v>
      </c>
      <c r="AE285" s="19">
        <f>ROUND(IF(AQ285="7",BI285,0),2)</f>
        <v>0</v>
      </c>
      <c r="AF285" s="19">
        <f>ROUND(IF(AQ285="2",BH285,0),2)</f>
        <v>0</v>
      </c>
      <c r="AG285" s="19">
        <f>ROUND(IF(AQ285="2",BI285,0),2)</f>
        <v>0</v>
      </c>
      <c r="AH285" s="19">
        <f>ROUND(IF(AQ285="0",BJ285,0),2)</f>
        <v>0</v>
      </c>
      <c r="AI285" s="16" t="s">
        <v>440</v>
      </c>
      <c r="AJ285" s="19">
        <f>IF(AN285=0,L285,0)</f>
        <v>0</v>
      </c>
      <c r="AK285" s="19">
        <f>IF(AN285=12,L285,0)</f>
        <v>0</v>
      </c>
      <c r="AL285" s="19">
        <f>IF(AN285=21,L285,0)</f>
        <v>0</v>
      </c>
      <c r="AN285" s="19">
        <v>12</v>
      </c>
      <c r="AO285" s="19">
        <f>H285*0</f>
        <v>0</v>
      </c>
      <c r="AP285" s="19">
        <f>H285*(1-0)</f>
        <v>0</v>
      </c>
      <c r="AQ285" s="89" t="s">
        <v>652</v>
      </c>
      <c r="AV285" s="19">
        <f>ROUND(AW285+AX285,2)</f>
        <v>0</v>
      </c>
      <c r="AW285" s="19">
        <f>ROUND(G285*AO285,2)</f>
        <v>0</v>
      </c>
      <c r="AX285" s="19">
        <f>ROUND(G285*AP285,2)</f>
        <v>0</v>
      </c>
      <c r="AY285" s="89" t="s">
        <v>792</v>
      </c>
      <c r="AZ285" s="89" t="s">
        <v>789</v>
      </c>
      <c r="BA285" s="16" t="s">
        <v>790</v>
      </c>
      <c r="BC285" s="19">
        <f>AW285+AX285</f>
        <v>0</v>
      </c>
      <c r="BD285" s="19">
        <f>H285/(100-BE285)*100</f>
        <v>0</v>
      </c>
      <c r="BE285" s="19">
        <v>0</v>
      </c>
      <c r="BF285" s="19">
        <f>O285</f>
        <v>0</v>
      </c>
      <c r="BH285" s="19">
        <f>G285*AO285</f>
        <v>0</v>
      </c>
      <c r="BI285" s="19">
        <f>G285*AP285</f>
        <v>0</v>
      </c>
      <c r="BJ285" s="19">
        <f>G285*H285</f>
        <v>0</v>
      </c>
      <c r="BK285" s="89" t="s">
        <v>30</v>
      </c>
      <c r="BL285" s="19"/>
      <c r="BO285" s="19">
        <f>G285*H285</f>
        <v>0</v>
      </c>
      <c r="BW285" s="19">
        <f>I285</f>
        <v>12</v>
      </c>
      <c r="BX285" s="4" t="s">
        <v>414</v>
      </c>
    </row>
    <row r="286" spans="1:76" x14ac:dyDescent="0.25">
      <c r="A286" s="84" t="s">
        <v>23</v>
      </c>
      <c r="B286" s="15" t="s">
        <v>440</v>
      </c>
      <c r="C286" s="15" t="s">
        <v>415</v>
      </c>
      <c r="D286" s="152" t="s">
        <v>416</v>
      </c>
      <c r="E286" s="153"/>
      <c r="F286" s="85" t="s">
        <v>22</v>
      </c>
      <c r="G286" s="85" t="s">
        <v>22</v>
      </c>
      <c r="H286" s="85" t="s">
        <v>22</v>
      </c>
      <c r="I286" s="85" t="s">
        <v>22</v>
      </c>
      <c r="J286" s="60">
        <f>SUM(J287:J287)</f>
        <v>0</v>
      </c>
      <c r="K286" s="60">
        <f>SUM(K287:K287)</f>
        <v>0</v>
      </c>
      <c r="L286" s="60">
        <f>SUM(L287:L287)</f>
        <v>0</v>
      </c>
      <c r="M286" s="60">
        <f>SUM(M287:M287)</f>
        <v>0</v>
      </c>
      <c r="N286" s="16" t="s">
        <v>23</v>
      </c>
      <c r="O286" s="60">
        <f>SUM(O287:O287)</f>
        <v>0</v>
      </c>
      <c r="P286" s="86" t="s">
        <v>23</v>
      </c>
      <c r="AI286" s="16" t="s">
        <v>440</v>
      </c>
      <c r="AS286" s="60">
        <f>SUM(AJ287:AJ287)</f>
        <v>0</v>
      </c>
      <c r="AT286" s="60">
        <f>SUM(AK287:AK287)</f>
        <v>0</v>
      </c>
      <c r="AU286" s="60">
        <f>SUM(AL287:AL287)</f>
        <v>0</v>
      </c>
    </row>
    <row r="287" spans="1:76" x14ac:dyDescent="0.25">
      <c r="A287" s="1" t="s">
        <v>794</v>
      </c>
      <c r="B287" s="2" t="s">
        <v>440</v>
      </c>
      <c r="C287" s="2" t="s">
        <v>417</v>
      </c>
      <c r="D287" s="96" t="s">
        <v>416</v>
      </c>
      <c r="E287" s="97"/>
      <c r="F287" s="2" t="s">
        <v>412</v>
      </c>
      <c r="G287" s="19">
        <f>'Rozpočet - vybrané sloupce'!I233</f>
        <v>1</v>
      </c>
      <c r="H287" s="19">
        <f>'Rozpočet - vybrané sloupce'!J233</f>
        <v>0</v>
      </c>
      <c r="I287" s="87">
        <v>12</v>
      </c>
      <c r="J287" s="19">
        <f>ROUND(G287*AO287,2)</f>
        <v>0</v>
      </c>
      <c r="K287" s="19">
        <f>ROUND(G287*AP287,2)</f>
        <v>0</v>
      </c>
      <c r="L287" s="19">
        <f>ROUND(G287*H287,2)</f>
        <v>0</v>
      </c>
      <c r="M287" s="19">
        <f>L287*(1+BW287/100)</f>
        <v>0</v>
      </c>
      <c r="N287" s="19">
        <v>0</v>
      </c>
      <c r="O287" s="19">
        <f>G287*N287</f>
        <v>0</v>
      </c>
      <c r="P287" s="88" t="s">
        <v>531</v>
      </c>
      <c r="Z287" s="19">
        <f>ROUND(IF(AQ287="5",BJ287,0),2)</f>
        <v>0</v>
      </c>
      <c r="AB287" s="19">
        <f>ROUND(IF(AQ287="1",BH287,0),2)</f>
        <v>0</v>
      </c>
      <c r="AC287" s="19">
        <f>ROUND(IF(AQ287="1",BI287,0),2)</f>
        <v>0</v>
      </c>
      <c r="AD287" s="19">
        <f>ROUND(IF(AQ287="7",BH287,0),2)</f>
        <v>0</v>
      </c>
      <c r="AE287" s="19">
        <f>ROUND(IF(AQ287="7",BI287,0),2)</f>
        <v>0</v>
      </c>
      <c r="AF287" s="19">
        <f>ROUND(IF(AQ287="2",BH287,0),2)</f>
        <v>0</v>
      </c>
      <c r="AG287" s="19">
        <f>ROUND(IF(AQ287="2",BI287,0),2)</f>
        <v>0</v>
      </c>
      <c r="AH287" s="19">
        <f>ROUND(IF(AQ287="0",BJ287,0),2)</f>
        <v>0</v>
      </c>
      <c r="AI287" s="16" t="s">
        <v>440</v>
      </c>
      <c r="AJ287" s="19">
        <f>IF(AN287=0,L287,0)</f>
        <v>0</v>
      </c>
      <c r="AK287" s="19">
        <f>IF(AN287=12,L287,0)</f>
        <v>0</v>
      </c>
      <c r="AL287" s="19">
        <f>IF(AN287=21,L287,0)</f>
        <v>0</v>
      </c>
      <c r="AN287" s="19">
        <v>12</v>
      </c>
      <c r="AO287" s="19">
        <f>H287*0</f>
        <v>0</v>
      </c>
      <c r="AP287" s="19">
        <f>H287*(1-0)</f>
        <v>0</v>
      </c>
      <c r="AQ287" s="89" t="s">
        <v>652</v>
      </c>
      <c r="AV287" s="19">
        <f>ROUND(AW287+AX287,2)</f>
        <v>0</v>
      </c>
      <c r="AW287" s="19">
        <f>ROUND(G287*AO287,2)</f>
        <v>0</v>
      </c>
      <c r="AX287" s="19">
        <f>ROUND(G287*AP287,2)</f>
        <v>0</v>
      </c>
      <c r="AY287" s="89" t="s">
        <v>795</v>
      </c>
      <c r="AZ287" s="89" t="s">
        <v>789</v>
      </c>
      <c r="BA287" s="16" t="s">
        <v>790</v>
      </c>
      <c r="BC287" s="19">
        <f>AW287+AX287</f>
        <v>0</v>
      </c>
      <c r="BD287" s="19">
        <f>H287/(100-BE287)*100</f>
        <v>0</v>
      </c>
      <c r="BE287" s="19">
        <v>0</v>
      </c>
      <c r="BF287" s="19">
        <f>O287</f>
        <v>0</v>
      </c>
      <c r="BH287" s="19">
        <f>G287*AO287</f>
        <v>0</v>
      </c>
      <c r="BI287" s="19">
        <f>G287*AP287</f>
        <v>0</v>
      </c>
      <c r="BJ287" s="19">
        <f>G287*H287</f>
        <v>0</v>
      </c>
      <c r="BK287" s="89" t="s">
        <v>30</v>
      </c>
      <c r="BL287" s="19"/>
      <c r="BS287" s="19">
        <f>G287*H287</f>
        <v>0</v>
      </c>
      <c r="BW287" s="19">
        <f>I287</f>
        <v>12</v>
      </c>
      <c r="BX287" s="4" t="s">
        <v>416</v>
      </c>
    </row>
    <row r="288" spans="1:76" x14ac:dyDescent="0.25">
      <c r="A288" s="84" t="s">
        <v>23</v>
      </c>
      <c r="B288" s="15" t="s">
        <v>440</v>
      </c>
      <c r="C288" s="15" t="s">
        <v>418</v>
      </c>
      <c r="D288" s="152" t="s">
        <v>419</v>
      </c>
      <c r="E288" s="153"/>
      <c r="F288" s="85" t="s">
        <v>22</v>
      </c>
      <c r="G288" s="85" t="s">
        <v>22</v>
      </c>
      <c r="H288" s="85" t="s">
        <v>22</v>
      </c>
      <c r="I288" s="85" t="s">
        <v>22</v>
      </c>
      <c r="J288" s="60">
        <f>SUM(J289:J289)</f>
        <v>0</v>
      </c>
      <c r="K288" s="60">
        <f>SUM(K289:K289)</f>
        <v>0</v>
      </c>
      <c r="L288" s="60">
        <f>SUM(L289:L289)</f>
        <v>0</v>
      </c>
      <c r="M288" s="60">
        <f>SUM(M289:M289)</f>
        <v>0</v>
      </c>
      <c r="N288" s="16" t="s">
        <v>23</v>
      </c>
      <c r="O288" s="60">
        <f>SUM(O289:O289)</f>
        <v>0</v>
      </c>
      <c r="P288" s="86" t="s">
        <v>23</v>
      </c>
      <c r="AI288" s="16" t="s">
        <v>440</v>
      </c>
      <c r="AS288" s="60">
        <f>SUM(AJ289:AJ289)</f>
        <v>0</v>
      </c>
      <c r="AT288" s="60">
        <f>SUM(AK289:AK289)</f>
        <v>0</v>
      </c>
      <c r="AU288" s="60">
        <f>SUM(AL289:AL289)</f>
        <v>0</v>
      </c>
    </row>
    <row r="289" spans="1:76" x14ac:dyDescent="0.25">
      <c r="A289" s="5" t="s">
        <v>796</v>
      </c>
      <c r="B289" s="6" t="s">
        <v>440</v>
      </c>
      <c r="C289" s="6" t="s">
        <v>420</v>
      </c>
      <c r="D289" s="154" t="s">
        <v>421</v>
      </c>
      <c r="E289" s="133"/>
      <c r="F289" s="6" t="s">
        <v>412</v>
      </c>
      <c r="G289" s="23">
        <f>'Rozpočet - vybrané sloupce'!I235</f>
        <v>22</v>
      </c>
      <c r="H289" s="23">
        <f>'Rozpočet - vybrané sloupce'!J235</f>
        <v>0</v>
      </c>
      <c r="I289" s="93">
        <v>12</v>
      </c>
      <c r="J289" s="23">
        <f>ROUND(G289*AO289,2)</f>
        <v>0</v>
      </c>
      <c r="K289" s="23">
        <f>ROUND(G289*AP289,2)</f>
        <v>0</v>
      </c>
      <c r="L289" s="23">
        <f>ROUND(G289*H289,2)</f>
        <v>0</v>
      </c>
      <c r="M289" s="23">
        <f>L289*(1+BW289/100)</f>
        <v>0</v>
      </c>
      <c r="N289" s="23">
        <v>0</v>
      </c>
      <c r="O289" s="23">
        <f>G289*N289</f>
        <v>0</v>
      </c>
      <c r="P289" s="94" t="s">
        <v>23</v>
      </c>
      <c r="Z289" s="19">
        <f>ROUND(IF(AQ289="5",BJ289,0),2)</f>
        <v>0</v>
      </c>
      <c r="AB289" s="19">
        <f>ROUND(IF(AQ289="1",BH289,0),2)</f>
        <v>0</v>
      </c>
      <c r="AC289" s="19">
        <f>ROUND(IF(AQ289="1",BI289,0),2)</f>
        <v>0</v>
      </c>
      <c r="AD289" s="19">
        <f>ROUND(IF(AQ289="7",BH289,0),2)</f>
        <v>0</v>
      </c>
      <c r="AE289" s="19">
        <f>ROUND(IF(AQ289="7",BI289,0),2)</f>
        <v>0</v>
      </c>
      <c r="AF289" s="19">
        <f>ROUND(IF(AQ289="2",BH289,0),2)</f>
        <v>0</v>
      </c>
      <c r="AG289" s="19">
        <f>ROUND(IF(AQ289="2",BI289,0),2)</f>
        <v>0</v>
      </c>
      <c r="AH289" s="19">
        <f>ROUND(IF(AQ289="0",BJ289,0),2)</f>
        <v>0</v>
      </c>
      <c r="AI289" s="16" t="s">
        <v>440</v>
      </c>
      <c r="AJ289" s="19">
        <f>IF(AN289=0,L289,0)</f>
        <v>0</v>
      </c>
      <c r="AK289" s="19">
        <f>IF(AN289=12,L289,0)</f>
        <v>0</v>
      </c>
      <c r="AL289" s="19">
        <f>IF(AN289=21,L289,0)</f>
        <v>0</v>
      </c>
      <c r="AN289" s="19">
        <v>12</v>
      </c>
      <c r="AO289" s="19">
        <f>H289*0</f>
        <v>0</v>
      </c>
      <c r="AP289" s="19">
        <f>H289*(1-0)</f>
        <v>0</v>
      </c>
      <c r="AQ289" s="89" t="s">
        <v>652</v>
      </c>
      <c r="AV289" s="19">
        <f>ROUND(AW289+AX289,2)</f>
        <v>0</v>
      </c>
      <c r="AW289" s="19">
        <f>ROUND(G289*AO289,2)</f>
        <v>0</v>
      </c>
      <c r="AX289" s="19">
        <f>ROUND(G289*AP289,2)</f>
        <v>0</v>
      </c>
      <c r="AY289" s="89" t="s">
        <v>797</v>
      </c>
      <c r="AZ289" s="89" t="s">
        <v>789</v>
      </c>
      <c r="BA289" s="16" t="s">
        <v>790</v>
      </c>
      <c r="BC289" s="19">
        <f>AW289+AX289</f>
        <v>0</v>
      </c>
      <c r="BD289" s="19">
        <f>H289/(100-BE289)*100</f>
        <v>0</v>
      </c>
      <c r="BE289" s="19">
        <v>0</v>
      </c>
      <c r="BF289" s="19">
        <f>O289</f>
        <v>0</v>
      </c>
      <c r="BH289" s="19">
        <f>G289*AO289</f>
        <v>0</v>
      </c>
      <c r="BI289" s="19">
        <f>G289*AP289</f>
        <v>0</v>
      </c>
      <c r="BJ289" s="19">
        <f>G289*H289</f>
        <v>0</v>
      </c>
      <c r="BK289" s="89" t="s">
        <v>30</v>
      </c>
      <c r="BL289" s="19"/>
      <c r="BU289" s="19">
        <f>G289*H289</f>
        <v>0</v>
      </c>
      <c r="BW289" s="19">
        <f>I289</f>
        <v>12</v>
      </c>
      <c r="BX289" s="4" t="s">
        <v>421</v>
      </c>
    </row>
    <row r="290" spans="1:76" x14ac:dyDescent="0.25">
      <c r="J290" s="179" t="s">
        <v>422</v>
      </c>
      <c r="K290" s="179"/>
      <c r="L290" s="37">
        <f>ROUND(L13+L20+L30+L34+L51+L111+L116+L152+L157+L188+L206+L223+L228+L230+L235+L239+L241+L243+L245+L255+L270+L281+L283+L286+L288,0)</f>
        <v>0</v>
      </c>
      <c r="M290" s="37">
        <f>ROUND(M13+M20+M30+M34+M51+M111+M116+M152+M157+M188+M206+M223+M228+M230+M235+M239+M241+M243+M245+M255+M270+M281+M283+M286+M288,0)</f>
        <v>0</v>
      </c>
    </row>
    <row r="291" spans="1:76" x14ac:dyDescent="0.25">
      <c r="A291" s="95" t="s">
        <v>485</v>
      </c>
    </row>
    <row r="292" spans="1:76" ht="12.75" customHeight="1" x14ac:dyDescent="0.25">
      <c r="A292" s="96" t="s">
        <v>23</v>
      </c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</row>
  </sheetData>
  <mergeCells count="309">
    <mergeCell ref="A1:P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  <mergeCell ref="J2:P3"/>
    <mergeCell ref="J4:P5"/>
    <mergeCell ref="J6:P7"/>
    <mergeCell ref="J8:P9"/>
    <mergeCell ref="D10:E10"/>
    <mergeCell ref="D8:E9"/>
    <mergeCell ref="H2:H3"/>
    <mergeCell ref="H4:H5"/>
    <mergeCell ref="H6:H7"/>
    <mergeCell ref="H8:H9"/>
    <mergeCell ref="D14:E14"/>
    <mergeCell ref="D15:E15"/>
    <mergeCell ref="D16:E16"/>
    <mergeCell ref="D17:E17"/>
    <mergeCell ref="D18:E18"/>
    <mergeCell ref="D11:E11"/>
    <mergeCell ref="J10:L10"/>
    <mergeCell ref="N10:O10"/>
    <mergeCell ref="D12:E12"/>
    <mergeCell ref="D13:E13"/>
    <mergeCell ref="D24:E24"/>
    <mergeCell ref="D25:E25"/>
    <mergeCell ref="D26:P26"/>
    <mergeCell ref="D27:E27"/>
    <mergeCell ref="D28:E28"/>
    <mergeCell ref="D19:E19"/>
    <mergeCell ref="D20:E20"/>
    <mergeCell ref="D21:E21"/>
    <mergeCell ref="D22:E22"/>
    <mergeCell ref="D23:E23"/>
    <mergeCell ref="D34:E34"/>
    <mergeCell ref="D35:E35"/>
    <mergeCell ref="D36:E36"/>
    <mergeCell ref="D37:P37"/>
    <mergeCell ref="D38:E38"/>
    <mergeCell ref="D29:E29"/>
    <mergeCell ref="D30:E30"/>
    <mergeCell ref="D31:E31"/>
    <mergeCell ref="D32:P32"/>
    <mergeCell ref="D33:E33"/>
    <mergeCell ref="D44:E44"/>
    <mergeCell ref="D45:E45"/>
    <mergeCell ref="D46:E46"/>
    <mergeCell ref="D47:E47"/>
    <mergeCell ref="D48:P48"/>
    <mergeCell ref="D39:E39"/>
    <mergeCell ref="D40:E40"/>
    <mergeCell ref="D41:E41"/>
    <mergeCell ref="D42:E42"/>
    <mergeCell ref="D43:E43"/>
    <mergeCell ref="D54:E54"/>
    <mergeCell ref="D55:E55"/>
    <mergeCell ref="D56:E56"/>
    <mergeCell ref="D57:P57"/>
    <mergeCell ref="D58:E58"/>
    <mergeCell ref="D49:E49"/>
    <mergeCell ref="D50:E50"/>
    <mergeCell ref="D51:E51"/>
    <mergeCell ref="D52:E52"/>
    <mergeCell ref="D53:E53"/>
    <mergeCell ref="D64:E64"/>
    <mergeCell ref="D65:P65"/>
    <mergeCell ref="D66:E66"/>
    <mergeCell ref="D67:P67"/>
    <mergeCell ref="D68:E68"/>
    <mergeCell ref="D59:E59"/>
    <mergeCell ref="D60:E60"/>
    <mergeCell ref="D61:E61"/>
    <mergeCell ref="D62:E62"/>
    <mergeCell ref="D63:P63"/>
    <mergeCell ref="D74:E74"/>
    <mergeCell ref="D75:P75"/>
    <mergeCell ref="D76:E76"/>
    <mergeCell ref="D77:E77"/>
    <mergeCell ref="D78:E78"/>
    <mergeCell ref="D69:P69"/>
    <mergeCell ref="D70:E70"/>
    <mergeCell ref="D71:P71"/>
    <mergeCell ref="D72:E72"/>
    <mergeCell ref="D73:P73"/>
    <mergeCell ref="D84:E84"/>
    <mergeCell ref="D85:E85"/>
    <mergeCell ref="D86:E86"/>
    <mergeCell ref="D87:E87"/>
    <mergeCell ref="D88:E88"/>
    <mergeCell ref="D79:E79"/>
    <mergeCell ref="D80:E80"/>
    <mergeCell ref="D81:E81"/>
    <mergeCell ref="D82:E82"/>
    <mergeCell ref="D83:E83"/>
    <mergeCell ref="D94:E94"/>
    <mergeCell ref="D95:E95"/>
    <mergeCell ref="D96:P96"/>
    <mergeCell ref="D97:E97"/>
    <mergeCell ref="D98:P98"/>
    <mergeCell ref="D89:E89"/>
    <mergeCell ref="D90:E90"/>
    <mergeCell ref="D91:E91"/>
    <mergeCell ref="D92:E92"/>
    <mergeCell ref="D93:E93"/>
    <mergeCell ref="D104:E104"/>
    <mergeCell ref="D105:E105"/>
    <mergeCell ref="D106:E106"/>
    <mergeCell ref="D107:E107"/>
    <mergeCell ref="D108:P108"/>
    <mergeCell ref="D99:E99"/>
    <mergeCell ref="D100:P100"/>
    <mergeCell ref="D101:E101"/>
    <mergeCell ref="D102:E102"/>
    <mergeCell ref="D103:P103"/>
    <mergeCell ref="D114:E114"/>
    <mergeCell ref="D115:E115"/>
    <mergeCell ref="D116:E116"/>
    <mergeCell ref="D117:E117"/>
    <mergeCell ref="D118:E118"/>
    <mergeCell ref="D109:E109"/>
    <mergeCell ref="D110:E110"/>
    <mergeCell ref="D111:E111"/>
    <mergeCell ref="D112:E112"/>
    <mergeCell ref="D113:E113"/>
    <mergeCell ref="D124:E124"/>
    <mergeCell ref="D125:E125"/>
    <mergeCell ref="D126:E126"/>
    <mergeCell ref="D127:E127"/>
    <mergeCell ref="D128:P128"/>
    <mergeCell ref="D119:E119"/>
    <mergeCell ref="D120:P120"/>
    <mergeCell ref="D121:E121"/>
    <mergeCell ref="D122:E122"/>
    <mergeCell ref="D123:E123"/>
    <mergeCell ref="D134:P134"/>
    <mergeCell ref="D135:E135"/>
    <mergeCell ref="D136:P136"/>
    <mergeCell ref="D137:E137"/>
    <mergeCell ref="D138:P138"/>
    <mergeCell ref="D129:E129"/>
    <mergeCell ref="D130:P130"/>
    <mergeCell ref="D131:E131"/>
    <mergeCell ref="D132:P132"/>
    <mergeCell ref="D133:E133"/>
    <mergeCell ref="D144:E144"/>
    <mergeCell ref="D145:E145"/>
    <mergeCell ref="D146:E146"/>
    <mergeCell ref="D147:E147"/>
    <mergeCell ref="D148:E148"/>
    <mergeCell ref="D139:E139"/>
    <mergeCell ref="D140:P140"/>
    <mergeCell ref="D141:E141"/>
    <mergeCell ref="D142:E142"/>
    <mergeCell ref="D143:E143"/>
    <mergeCell ref="D154:E154"/>
    <mergeCell ref="D155:E155"/>
    <mergeCell ref="D156:E156"/>
    <mergeCell ref="D157:E157"/>
    <mergeCell ref="D158:E158"/>
    <mergeCell ref="D149:E149"/>
    <mergeCell ref="D150:P150"/>
    <mergeCell ref="D151:E151"/>
    <mergeCell ref="D152:E152"/>
    <mergeCell ref="D153:E153"/>
    <mergeCell ref="D164:P164"/>
    <mergeCell ref="D165:E165"/>
    <mergeCell ref="D166:P166"/>
    <mergeCell ref="D167:E167"/>
    <mergeCell ref="D168:E168"/>
    <mergeCell ref="D159:E159"/>
    <mergeCell ref="D160:P160"/>
    <mergeCell ref="D161:E161"/>
    <mergeCell ref="D162:P162"/>
    <mergeCell ref="D163:E163"/>
    <mergeCell ref="D174:E174"/>
    <mergeCell ref="D175:E175"/>
    <mergeCell ref="D176:E176"/>
    <mergeCell ref="D177:E177"/>
    <mergeCell ref="D178:E178"/>
    <mergeCell ref="D169:E169"/>
    <mergeCell ref="D170:E170"/>
    <mergeCell ref="D171:E171"/>
    <mergeCell ref="D172:E172"/>
    <mergeCell ref="D173:E173"/>
    <mergeCell ref="D184:E184"/>
    <mergeCell ref="D185:P185"/>
    <mergeCell ref="D186:E186"/>
    <mergeCell ref="D187:E187"/>
    <mergeCell ref="D188:E188"/>
    <mergeCell ref="D179:E179"/>
    <mergeCell ref="D180:E180"/>
    <mergeCell ref="D181:E181"/>
    <mergeCell ref="D182:E182"/>
    <mergeCell ref="D183:E183"/>
    <mergeCell ref="D194:E194"/>
    <mergeCell ref="D195:E195"/>
    <mergeCell ref="D196:E196"/>
    <mergeCell ref="D197:E197"/>
    <mergeCell ref="D198:E198"/>
    <mergeCell ref="D189:E189"/>
    <mergeCell ref="D190:E190"/>
    <mergeCell ref="D191:P191"/>
    <mergeCell ref="D192:E192"/>
    <mergeCell ref="D193:P193"/>
    <mergeCell ref="D204:E204"/>
    <mergeCell ref="D205:E205"/>
    <mergeCell ref="D206:E206"/>
    <mergeCell ref="D207:E207"/>
    <mergeCell ref="D208:E208"/>
    <mergeCell ref="D199:E199"/>
    <mergeCell ref="D200:E200"/>
    <mergeCell ref="D201:E201"/>
    <mergeCell ref="D202:E202"/>
    <mergeCell ref="D203:P203"/>
    <mergeCell ref="D214:E214"/>
    <mergeCell ref="D215:P215"/>
    <mergeCell ref="D216:E216"/>
    <mergeCell ref="D217:P217"/>
    <mergeCell ref="D218:E218"/>
    <mergeCell ref="D209:E209"/>
    <mergeCell ref="D210:P210"/>
    <mergeCell ref="D211:E211"/>
    <mergeCell ref="D212:E212"/>
    <mergeCell ref="D213:P213"/>
    <mergeCell ref="D224:E224"/>
    <mergeCell ref="D225:E225"/>
    <mergeCell ref="D226:P226"/>
    <mergeCell ref="D227:E227"/>
    <mergeCell ref="D228:E228"/>
    <mergeCell ref="D219:P219"/>
    <mergeCell ref="D220:E220"/>
    <mergeCell ref="D221:P221"/>
    <mergeCell ref="D222:E222"/>
    <mergeCell ref="D223:E223"/>
    <mergeCell ref="D234:E234"/>
    <mergeCell ref="D235:E235"/>
    <mergeCell ref="D236:E236"/>
    <mergeCell ref="D237:E237"/>
    <mergeCell ref="D238:P238"/>
    <mergeCell ref="D229:E229"/>
    <mergeCell ref="D230:E230"/>
    <mergeCell ref="D231:E231"/>
    <mergeCell ref="D232:E232"/>
    <mergeCell ref="D233:E233"/>
    <mergeCell ref="D244:E244"/>
    <mergeCell ref="D245:E245"/>
    <mergeCell ref="D246:E246"/>
    <mergeCell ref="D247:P247"/>
    <mergeCell ref="D248:E248"/>
    <mergeCell ref="D239:E239"/>
    <mergeCell ref="D240:E240"/>
    <mergeCell ref="D241:E241"/>
    <mergeCell ref="D242:E242"/>
    <mergeCell ref="D243:E243"/>
    <mergeCell ref="D254:P254"/>
    <mergeCell ref="D255:E255"/>
    <mergeCell ref="D256:E256"/>
    <mergeCell ref="D257:E257"/>
    <mergeCell ref="D258:P258"/>
    <mergeCell ref="D249:E249"/>
    <mergeCell ref="D250:P250"/>
    <mergeCell ref="D251:E251"/>
    <mergeCell ref="D252:P252"/>
    <mergeCell ref="D253:E253"/>
    <mergeCell ref="D264:E264"/>
    <mergeCell ref="D265:E265"/>
    <mergeCell ref="D266:E266"/>
    <mergeCell ref="D267:E267"/>
    <mergeCell ref="D268:P268"/>
    <mergeCell ref="D259:E259"/>
    <mergeCell ref="D260:E260"/>
    <mergeCell ref="D261:P261"/>
    <mergeCell ref="D262:E262"/>
    <mergeCell ref="D263:P263"/>
    <mergeCell ref="D274:P274"/>
    <mergeCell ref="D275:E275"/>
    <mergeCell ref="D276:P276"/>
    <mergeCell ref="D277:E277"/>
    <mergeCell ref="D278:E278"/>
    <mergeCell ref="D269:E269"/>
    <mergeCell ref="D270:E270"/>
    <mergeCell ref="D271:E271"/>
    <mergeCell ref="D272:P272"/>
    <mergeCell ref="D273:E273"/>
    <mergeCell ref="D289:E289"/>
    <mergeCell ref="J290:K290"/>
    <mergeCell ref="A292:P292"/>
    <mergeCell ref="D284:E284"/>
    <mergeCell ref="D285:E285"/>
    <mergeCell ref="D286:E286"/>
    <mergeCell ref="D287:E287"/>
    <mergeCell ref="D288:E288"/>
    <mergeCell ref="D279:E279"/>
    <mergeCell ref="D280:E280"/>
    <mergeCell ref="D281:E281"/>
    <mergeCell ref="D282:E282"/>
    <mergeCell ref="D283:E283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Krycí list rozpočtu</vt:lpstr>
      <vt:lpstr>Stavební rozpočet - součet</vt:lpstr>
      <vt:lpstr>Rozpočet - vybrané sloupce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Radim</cp:lastModifiedBy>
  <dcterms:created xsi:type="dcterms:W3CDTF">2021-06-10T20:06:38Z</dcterms:created>
  <dcterms:modified xsi:type="dcterms:W3CDTF">2025-06-11T09:36:10Z</dcterms:modified>
</cp:coreProperties>
</file>