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T:\BUDOVY\Hálkova 20 - 24\Rekonstrukce rozvodu plynu, vody, kanalizace\"/>
    </mc:Choice>
  </mc:AlternateContent>
  <xr:revisionPtr revIDLastSave="0" documentId="13_ncr:1_{D71D5E94-514B-4E7F-8DCC-67165600FFB8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Krycí list rozpočtu" sheetId="3" r:id="rId1"/>
    <sheet name="Rozpočet - vybrané sloupce" sheetId="1" r:id="rId2"/>
    <sheet name="VORN" sheetId="4" state="hidden" r:id="rId3"/>
    <sheet name="Stavební rozpočet" sheetId="5" state="hidden" r:id="rId4"/>
  </sheets>
  <definedNames>
    <definedName name="vorn_sum">VORN!$I$45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W700" i="5" l="1"/>
  <c r="AL700" i="5"/>
  <c r="AU699" i="5" s="1"/>
  <c r="AJ700" i="5"/>
  <c r="AS699" i="5" s="1"/>
  <c r="AH700" i="5"/>
  <c r="AG700" i="5"/>
  <c r="AF700" i="5"/>
  <c r="AE700" i="5"/>
  <c r="AD700" i="5"/>
  <c r="AC700" i="5"/>
  <c r="AB700" i="5"/>
  <c r="Z700" i="5"/>
  <c r="H700" i="5"/>
  <c r="BD700" i="5" s="1"/>
  <c r="G700" i="5"/>
  <c r="BW698" i="5"/>
  <c r="AL698" i="5"/>
  <c r="AU697" i="5" s="1"/>
  <c r="AJ698" i="5"/>
  <c r="AS697" i="5" s="1"/>
  <c r="AH698" i="5"/>
  <c r="AG698" i="5"/>
  <c r="AF698" i="5"/>
  <c r="AE698" i="5"/>
  <c r="AD698" i="5"/>
  <c r="AC698" i="5"/>
  <c r="AB698" i="5"/>
  <c r="Z698" i="5"/>
  <c r="H698" i="5"/>
  <c r="AP698" i="5" s="1"/>
  <c r="G698" i="5"/>
  <c r="BW696" i="5"/>
  <c r="AL696" i="5"/>
  <c r="AJ696" i="5"/>
  <c r="AH696" i="5"/>
  <c r="AG696" i="5"/>
  <c r="AF696" i="5"/>
  <c r="AE696" i="5"/>
  <c r="AD696" i="5"/>
  <c r="AC696" i="5"/>
  <c r="AB696" i="5"/>
  <c r="Z696" i="5"/>
  <c r="H696" i="5"/>
  <c r="G696" i="5"/>
  <c r="BW695" i="5"/>
  <c r="AL695" i="5"/>
  <c r="AJ695" i="5"/>
  <c r="AH695" i="5"/>
  <c r="AG695" i="5"/>
  <c r="AF695" i="5"/>
  <c r="AE695" i="5"/>
  <c r="AD695" i="5"/>
  <c r="AC695" i="5"/>
  <c r="AB695" i="5"/>
  <c r="Z695" i="5"/>
  <c r="H695" i="5"/>
  <c r="BD695" i="5" s="1"/>
  <c r="G695" i="5"/>
  <c r="BW693" i="5"/>
  <c r="AL693" i="5"/>
  <c r="AU692" i="5" s="1"/>
  <c r="AJ693" i="5"/>
  <c r="AS692" i="5" s="1"/>
  <c r="AH693" i="5"/>
  <c r="AG693" i="5"/>
  <c r="AF693" i="5"/>
  <c r="AE693" i="5"/>
  <c r="AD693" i="5"/>
  <c r="AC693" i="5"/>
  <c r="AB693" i="5"/>
  <c r="Z693" i="5"/>
  <c r="H693" i="5"/>
  <c r="G693" i="5"/>
  <c r="O693" i="5" s="1"/>
  <c r="BW689" i="5"/>
  <c r="AL689" i="5"/>
  <c r="AJ689" i="5"/>
  <c r="AH689" i="5"/>
  <c r="AG689" i="5"/>
  <c r="AF689" i="5"/>
  <c r="AE689" i="5"/>
  <c r="AD689" i="5"/>
  <c r="AC689" i="5"/>
  <c r="AB689" i="5"/>
  <c r="H689" i="5"/>
  <c r="G689" i="5"/>
  <c r="O689" i="5" s="1"/>
  <c r="BF689" i="5" s="1"/>
  <c r="BW688" i="5"/>
  <c r="AL688" i="5"/>
  <c r="AJ688" i="5"/>
  <c r="AH688" i="5"/>
  <c r="AG688" i="5"/>
  <c r="AF688" i="5"/>
  <c r="AE688" i="5"/>
  <c r="AD688" i="5"/>
  <c r="AC688" i="5"/>
  <c r="AB688" i="5"/>
  <c r="H688" i="5"/>
  <c r="AO688" i="5" s="1"/>
  <c r="G688" i="5"/>
  <c r="BW687" i="5"/>
  <c r="AL687" i="5"/>
  <c r="AJ687" i="5"/>
  <c r="AH687" i="5"/>
  <c r="AG687" i="5"/>
  <c r="AF687" i="5"/>
  <c r="AE687" i="5"/>
  <c r="AD687" i="5"/>
  <c r="AC687" i="5"/>
  <c r="AB687" i="5"/>
  <c r="H687" i="5"/>
  <c r="G687" i="5"/>
  <c r="O687" i="5" s="1"/>
  <c r="BF687" i="5" s="1"/>
  <c r="BW686" i="5"/>
  <c r="AL686" i="5"/>
  <c r="AJ686" i="5"/>
  <c r="AH686" i="5"/>
  <c r="AG686" i="5"/>
  <c r="AF686" i="5"/>
  <c r="AE686" i="5"/>
  <c r="AD686" i="5"/>
  <c r="AC686" i="5"/>
  <c r="AB686" i="5"/>
  <c r="H686" i="5"/>
  <c r="AP686" i="5" s="1"/>
  <c r="G686" i="5"/>
  <c r="BW685" i="5"/>
  <c r="AL685" i="5"/>
  <c r="AJ685" i="5"/>
  <c r="AH685" i="5"/>
  <c r="AG685" i="5"/>
  <c r="AF685" i="5"/>
  <c r="AE685" i="5"/>
  <c r="AD685" i="5"/>
  <c r="AC685" i="5"/>
  <c r="AB685" i="5"/>
  <c r="H685" i="5"/>
  <c r="G685" i="5"/>
  <c r="O685" i="5" s="1"/>
  <c r="BF685" i="5" s="1"/>
  <c r="BW684" i="5"/>
  <c r="AL684" i="5"/>
  <c r="AJ684" i="5"/>
  <c r="AH684" i="5"/>
  <c r="AG684" i="5"/>
  <c r="AF684" i="5"/>
  <c r="AE684" i="5"/>
  <c r="AD684" i="5"/>
  <c r="AC684" i="5"/>
  <c r="AB684" i="5"/>
  <c r="H684" i="5"/>
  <c r="AO684" i="5" s="1"/>
  <c r="G684" i="5"/>
  <c r="BW683" i="5"/>
  <c r="AL683" i="5"/>
  <c r="AJ683" i="5"/>
  <c r="AH683" i="5"/>
  <c r="AG683" i="5"/>
  <c r="AF683" i="5"/>
  <c r="AE683" i="5"/>
  <c r="AD683" i="5"/>
  <c r="AC683" i="5"/>
  <c r="AB683" i="5"/>
  <c r="H683" i="5"/>
  <c r="BD683" i="5" s="1"/>
  <c r="G683" i="5"/>
  <c r="BW682" i="5"/>
  <c r="AL682" i="5"/>
  <c r="AJ682" i="5"/>
  <c r="AH682" i="5"/>
  <c r="AG682" i="5"/>
  <c r="AF682" i="5"/>
  <c r="AE682" i="5"/>
  <c r="AD682" i="5"/>
  <c r="Z682" i="5"/>
  <c r="H682" i="5"/>
  <c r="G682" i="5"/>
  <c r="BW680" i="5"/>
  <c r="AL680" i="5"/>
  <c r="AJ680" i="5"/>
  <c r="AH680" i="5"/>
  <c r="AG680" i="5"/>
  <c r="AF680" i="5"/>
  <c r="AE680" i="5"/>
  <c r="AD680" i="5"/>
  <c r="Z680" i="5"/>
  <c r="H680" i="5"/>
  <c r="G680" i="5"/>
  <c r="O680" i="5" s="1"/>
  <c r="BF680" i="5" s="1"/>
  <c r="BW679" i="5"/>
  <c r="AL679" i="5"/>
  <c r="AJ679" i="5"/>
  <c r="AH679" i="5"/>
  <c r="AG679" i="5"/>
  <c r="AF679" i="5"/>
  <c r="AE679" i="5"/>
  <c r="AD679" i="5"/>
  <c r="Z679" i="5"/>
  <c r="H679" i="5"/>
  <c r="G679" i="5"/>
  <c r="BW678" i="5"/>
  <c r="AL678" i="5"/>
  <c r="AJ678" i="5"/>
  <c r="AH678" i="5"/>
  <c r="AG678" i="5"/>
  <c r="AF678" i="5"/>
  <c r="AE678" i="5"/>
  <c r="AD678" i="5"/>
  <c r="Z678" i="5"/>
  <c r="H678" i="5"/>
  <c r="G678" i="5"/>
  <c r="O678" i="5" s="1"/>
  <c r="BF678" i="5" s="1"/>
  <c r="BW677" i="5"/>
  <c r="AL677" i="5"/>
  <c r="AJ677" i="5"/>
  <c r="AH677" i="5"/>
  <c r="AG677" i="5"/>
  <c r="AF677" i="5"/>
  <c r="AE677" i="5"/>
  <c r="AD677" i="5"/>
  <c r="Z677" i="5"/>
  <c r="H677" i="5"/>
  <c r="G677" i="5"/>
  <c r="BW676" i="5"/>
  <c r="AL676" i="5"/>
  <c r="AJ676" i="5"/>
  <c r="AH676" i="5"/>
  <c r="AG676" i="5"/>
  <c r="AF676" i="5"/>
  <c r="AE676" i="5"/>
  <c r="AD676" i="5"/>
  <c r="Z676" i="5"/>
  <c r="H676" i="5"/>
  <c r="G676" i="5"/>
  <c r="O676" i="5" s="1"/>
  <c r="BF676" i="5" s="1"/>
  <c r="BW674" i="5"/>
  <c r="AL674" i="5"/>
  <c r="AU673" i="5" s="1"/>
  <c r="AJ674" i="5"/>
  <c r="AS673" i="5" s="1"/>
  <c r="AH674" i="5"/>
  <c r="AG674" i="5"/>
  <c r="AF674" i="5"/>
  <c r="AE674" i="5"/>
  <c r="AD674" i="5"/>
  <c r="Z674" i="5"/>
  <c r="H674" i="5"/>
  <c r="AO674" i="5" s="1"/>
  <c r="G674" i="5"/>
  <c r="BW672" i="5"/>
  <c r="AL672" i="5"/>
  <c r="AU671" i="5" s="1"/>
  <c r="AJ672" i="5"/>
  <c r="AS671" i="5" s="1"/>
  <c r="AH672" i="5"/>
  <c r="AG672" i="5"/>
  <c r="AF672" i="5"/>
  <c r="AE672" i="5"/>
  <c r="AD672" i="5"/>
  <c r="Z672" i="5"/>
  <c r="H672" i="5"/>
  <c r="BD672" i="5" s="1"/>
  <c r="G672" i="5"/>
  <c r="O672" i="5" s="1"/>
  <c r="O671" i="5" s="1"/>
  <c r="BW670" i="5"/>
  <c r="AL670" i="5"/>
  <c r="AU669" i="5" s="1"/>
  <c r="AJ670" i="5"/>
  <c r="AS669" i="5" s="1"/>
  <c r="AH670" i="5"/>
  <c r="AG670" i="5"/>
  <c r="AF670" i="5"/>
  <c r="AC670" i="5"/>
  <c r="AB670" i="5"/>
  <c r="Z670" i="5"/>
  <c r="H670" i="5"/>
  <c r="AO670" i="5" s="1"/>
  <c r="G670" i="5"/>
  <c r="BW668" i="5"/>
  <c r="AL668" i="5"/>
  <c r="AJ668" i="5"/>
  <c r="AH668" i="5"/>
  <c r="AG668" i="5"/>
  <c r="AF668" i="5"/>
  <c r="AC668" i="5"/>
  <c r="AB668" i="5"/>
  <c r="Z668" i="5"/>
  <c r="H668" i="5"/>
  <c r="BD668" i="5" s="1"/>
  <c r="G668" i="5"/>
  <c r="O668" i="5" s="1"/>
  <c r="BF668" i="5" s="1"/>
  <c r="BW667" i="5"/>
  <c r="AL667" i="5"/>
  <c r="AJ667" i="5"/>
  <c r="AH667" i="5"/>
  <c r="AG667" i="5"/>
  <c r="AF667" i="5"/>
  <c r="AC667" i="5"/>
  <c r="AB667" i="5"/>
  <c r="Z667" i="5"/>
  <c r="H667" i="5"/>
  <c r="AO667" i="5" s="1"/>
  <c r="G667" i="5"/>
  <c r="BW665" i="5"/>
  <c r="AL665" i="5"/>
  <c r="AJ665" i="5"/>
  <c r="AH665" i="5"/>
  <c r="AG665" i="5"/>
  <c r="AF665" i="5"/>
  <c r="AE665" i="5"/>
  <c r="AD665" i="5"/>
  <c r="AC665" i="5"/>
  <c r="AB665" i="5"/>
  <c r="H665" i="5"/>
  <c r="AP665" i="5" s="1"/>
  <c r="G665" i="5"/>
  <c r="O665" i="5" s="1"/>
  <c r="BF665" i="5" s="1"/>
  <c r="BW664" i="5"/>
  <c r="AL664" i="5"/>
  <c r="AJ664" i="5"/>
  <c r="AH664" i="5"/>
  <c r="AG664" i="5"/>
  <c r="AF664" i="5"/>
  <c r="AC664" i="5"/>
  <c r="AB664" i="5"/>
  <c r="Z664" i="5"/>
  <c r="H664" i="5"/>
  <c r="G664" i="5"/>
  <c r="BW663" i="5"/>
  <c r="AL663" i="5"/>
  <c r="AJ663" i="5"/>
  <c r="AH663" i="5"/>
  <c r="AG663" i="5"/>
  <c r="AF663" i="5"/>
  <c r="AC663" i="5"/>
  <c r="AB663" i="5"/>
  <c r="Z663" i="5"/>
  <c r="H663" i="5"/>
  <c r="BD663" i="5" s="1"/>
  <c r="G663" i="5"/>
  <c r="O663" i="5" s="1"/>
  <c r="BF663" i="5" s="1"/>
  <c r="BW662" i="5"/>
  <c r="AL662" i="5"/>
  <c r="AJ662" i="5"/>
  <c r="AH662" i="5"/>
  <c r="AG662" i="5"/>
  <c r="AF662" i="5"/>
  <c r="AC662" i="5"/>
  <c r="AB662" i="5"/>
  <c r="Z662" i="5"/>
  <c r="H662" i="5"/>
  <c r="AO662" i="5" s="1"/>
  <c r="G662" i="5"/>
  <c r="BW661" i="5"/>
  <c r="AL661" i="5"/>
  <c r="AJ661" i="5"/>
  <c r="AH661" i="5"/>
  <c r="AG661" i="5"/>
  <c r="AF661" i="5"/>
  <c r="AC661" i="5"/>
  <c r="AB661" i="5"/>
  <c r="Z661" i="5"/>
  <c r="H661" i="5"/>
  <c r="BD661" i="5" s="1"/>
  <c r="G661" i="5"/>
  <c r="O661" i="5" s="1"/>
  <c r="BF661" i="5" s="1"/>
  <c r="BW660" i="5"/>
  <c r="AL660" i="5"/>
  <c r="AJ660" i="5"/>
  <c r="AH660" i="5"/>
  <c r="AG660" i="5"/>
  <c r="AF660" i="5"/>
  <c r="AC660" i="5"/>
  <c r="AB660" i="5"/>
  <c r="Z660" i="5"/>
  <c r="H660" i="5"/>
  <c r="G660" i="5"/>
  <c r="O660" i="5" s="1"/>
  <c r="BF660" i="5" s="1"/>
  <c r="BW658" i="5"/>
  <c r="AL658" i="5"/>
  <c r="AJ658" i="5"/>
  <c r="AH658" i="5"/>
  <c r="AG658" i="5"/>
  <c r="AF658" i="5"/>
  <c r="AE658" i="5"/>
  <c r="AD658" i="5"/>
  <c r="AC658" i="5"/>
  <c r="AB658" i="5"/>
  <c r="H658" i="5"/>
  <c r="AP658" i="5" s="1"/>
  <c r="G658" i="5"/>
  <c r="BW657" i="5"/>
  <c r="AL657" i="5"/>
  <c r="AJ657" i="5"/>
  <c r="AH657" i="5"/>
  <c r="AG657" i="5"/>
  <c r="AF657" i="5"/>
  <c r="AC657" i="5"/>
  <c r="AB657" i="5"/>
  <c r="Z657" i="5"/>
  <c r="H657" i="5"/>
  <c r="AP657" i="5" s="1"/>
  <c r="G657" i="5"/>
  <c r="BW656" i="5"/>
  <c r="AL656" i="5"/>
  <c r="AJ656" i="5"/>
  <c r="AH656" i="5"/>
  <c r="AG656" i="5"/>
  <c r="AF656" i="5"/>
  <c r="AC656" i="5"/>
  <c r="AB656" i="5"/>
  <c r="Z656" i="5"/>
  <c r="H656" i="5"/>
  <c r="G656" i="5"/>
  <c r="O656" i="5" s="1"/>
  <c r="BF656" i="5" s="1"/>
  <c r="BW655" i="5"/>
  <c r="AL655" i="5"/>
  <c r="AJ655" i="5"/>
  <c r="AH655" i="5"/>
  <c r="AG655" i="5"/>
  <c r="AF655" i="5"/>
  <c r="AC655" i="5"/>
  <c r="AB655" i="5"/>
  <c r="Z655" i="5"/>
  <c r="H655" i="5"/>
  <c r="G655" i="5"/>
  <c r="O655" i="5" s="1"/>
  <c r="BF655" i="5" s="1"/>
  <c r="BW654" i="5"/>
  <c r="AL654" i="5"/>
  <c r="AJ654" i="5"/>
  <c r="AH654" i="5"/>
  <c r="AG654" i="5"/>
  <c r="AF654" i="5"/>
  <c r="AC654" i="5"/>
  <c r="AB654" i="5"/>
  <c r="Z654" i="5"/>
  <c r="H654" i="5"/>
  <c r="G654" i="5"/>
  <c r="BW653" i="5"/>
  <c r="AL653" i="5"/>
  <c r="AJ653" i="5"/>
  <c r="AH653" i="5"/>
  <c r="AG653" i="5"/>
  <c r="AF653" i="5"/>
  <c r="AC653" i="5"/>
  <c r="AB653" i="5"/>
  <c r="Z653" i="5"/>
  <c r="H653" i="5"/>
  <c r="G653" i="5"/>
  <c r="O653" i="5" s="1"/>
  <c r="BF653" i="5" s="1"/>
  <c r="BW652" i="5"/>
  <c r="AL652" i="5"/>
  <c r="AJ652" i="5"/>
  <c r="AH652" i="5"/>
  <c r="AG652" i="5"/>
  <c r="AF652" i="5"/>
  <c r="AC652" i="5"/>
  <c r="AB652" i="5"/>
  <c r="Z652" i="5"/>
  <c r="H652" i="5"/>
  <c r="AP652" i="5" s="1"/>
  <c r="G652" i="5"/>
  <c r="BW650" i="5"/>
  <c r="AL650" i="5"/>
  <c r="AU649" i="5" s="1"/>
  <c r="AJ650" i="5"/>
  <c r="AS649" i="5" s="1"/>
  <c r="AH650" i="5"/>
  <c r="AG650" i="5"/>
  <c r="AF650" i="5"/>
  <c r="AC650" i="5"/>
  <c r="AB650" i="5"/>
  <c r="Z650" i="5"/>
  <c r="H650" i="5"/>
  <c r="BD650" i="5" s="1"/>
  <c r="G650" i="5"/>
  <c r="O650" i="5" s="1"/>
  <c r="BF650" i="5" s="1"/>
  <c r="BW648" i="5"/>
  <c r="AL648" i="5"/>
  <c r="AJ648" i="5"/>
  <c r="AH648" i="5"/>
  <c r="AG648" i="5"/>
  <c r="AF648" i="5"/>
  <c r="AC648" i="5"/>
  <c r="AB648" i="5"/>
  <c r="Z648" i="5"/>
  <c r="H648" i="5"/>
  <c r="AP648" i="5" s="1"/>
  <c r="G648" i="5"/>
  <c r="BW647" i="5"/>
  <c r="AL647" i="5"/>
  <c r="AJ647" i="5"/>
  <c r="AH647" i="5"/>
  <c r="AG647" i="5"/>
  <c r="AF647" i="5"/>
  <c r="AE647" i="5"/>
  <c r="AD647" i="5"/>
  <c r="AC647" i="5"/>
  <c r="AB647" i="5"/>
  <c r="H647" i="5"/>
  <c r="BD647" i="5" s="1"/>
  <c r="G647" i="5"/>
  <c r="BW646" i="5"/>
  <c r="AL646" i="5"/>
  <c r="AJ646" i="5"/>
  <c r="AH646" i="5"/>
  <c r="AG646" i="5"/>
  <c r="AF646" i="5"/>
  <c r="AC646" i="5"/>
  <c r="AB646" i="5"/>
  <c r="Z646" i="5"/>
  <c r="H646" i="5"/>
  <c r="AP646" i="5" s="1"/>
  <c r="G646" i="5"/>
  <c r="BW644" i="5"/>
  <c r="AL644" i="5"/>
  <c r="AJ644" i="5"/>
  <c r="AH644" i="5"/>
  <c r="AG644" i="5"/>
  <c r="AF644" i="5"/>
  <c r="AE644" i="5"/>
  <c r="AD644" i="5"/>
  <c r="AC644" i="5"/>
  <c r="AB644" i="5"/>
  <c r="H644" i="5"/>
  <c r="BD644" i="5" s="1"/>
  <c r="G644" i="5"/>
  <c r="O644" i="5" s="1"/>
  <c r="BF644" i="5" s="1"/>
  <c r="BW643" i="5"/>
  <c r="AL643" i="5"/>
  <c r="AJ643" i="5"/>
  <c r="AH643" i="5"/>
  <c r="AG643" i="5"/>
  <c r="AF643" i="5"/>
  <c r="AE643" i="5"/>
  <c r="AD643" i="5"/>
  <c r="Z643" i="5"/>
  <c r="H643" i="5"/>
  <c r="AP643" i="5" s="1"/>
  <c r="G643" i="5"/>
  <c r="BW642" i="5"/>
  <c r="AL642" i="5"/>
  <c r="AJ642" i="5"/>
  <c r="AH642" i="5"/>
  <c r="AG642" i="5"/>
  <c r="AF642" i="5"/>
  <c r="AE642" i="5"/>
  <c r="AD642" i="5"/>
  <c r="Z642" i="5"/>
  <c r="H642" i="5"/>
  <c r="BD642" i="5" s="1"/>
  <c r="G642" i="5"/>
  <c r="BW640" i="5"/>
  <c r="AL640" i="5"/>
  <c r="AJ640" i="5"/>
  <c r="AH640" i="5"/>
  <c r="AG640" i="5"/>
  <c r="AF640" i="5"/>
  <c r="AE640" i="5"/>
  <c r="AD640" i="5"/>
  <c r="AC640" i="5"/>
  <c r="AB640" i="5"/>
  <c r="H640" i="5"/>
  <c r="G640" i="5"/>
  <c r="BW639" i="5"/>
  <c r="AL639" i="5"/>
  <c r="AJ639" i="5"/>
  <c r="AH639" i="5"/>
  <c r="AG639" i="5"/>
  <c r="AF639" i="5"/>
  <c r="AE639" i="5"/>
  <c r="AD639" i="5"/>
  <c r="Z639" i="5"/>
  <c r="H639" i="5"/>
  <c r="G639" i="5"/>
  <c r="O639" i="5" s="1"/>
  <c r="BF639" i="5" s="1"/>
  <c r="BW638" i="5"/>
  <c r="AL638" i="5"/>
  <c r="AJ638" i="5"/>
  <c r="AH638" i="5"/>
  <c r="AG638" i="5"/>
  <c r="AF638" i="5"/>
  <c r="AE638" i="5"/>
  <c r="AD638" i="5"/>
  <c r="Z638" i="5"/>
  <c r="H638" i="5"/>
  <c r="AO638" i="5" s="1"/>
  <c r="G638" i="5"/>
  <c r="BW637" i="5"/>
  <c r="AL637" i="5"/>
  <c r="AJ637" i="5"/>
  <c r="AH637" i="5"/>
  <c r="AG637" i="5"/>
  <c r="AF637" i="5"/>
  <c r="AE637" i="5"/>
  <c r="AD637" i="5"/>
  <c r="Z637" i="5"/>
  <c r="H637" i="5"/>
  <c r="G637" i="5"/>
  <c r="O637" i="5" s="1"/>
  <c r="BF637" i="5" s="1"/>
  <c r="BW636" i="5"/>
  <c r="AL636" i="5"/>
  <c r="AJ636" i="5"/>
  <c r="AH636" i="5"/>
  <c r="AG636" i="5"/>
  <c r="AF636" i="5"/>
  <c r="AE636" i="5"/>
  <c r="AD636" i="5"/>
  <c r="Z636" i="5"/>
  <c r="H636" i="5"/>
  <c r="AP636" i="5" s="1"/>
  <c r="G636" i="5"/>
  <c r="BW635" i="5"/>
  <c r="AL635" i="5"/>
  <c r="AJ635" i="5"/>
  <c r="AH635" i="5"/>
  <c r="AG635" i="5"/>
  <c r="AF635" i="5"/>
  <c r="AE635" i="5"/>
  <c r="AD635" i="5"/>
  <c r="Z635" i="5"/>
  <c r="H635" i="5"/>
  <c r="AO635" i="5" s="1"/>
  <c r="G635" i="5"/>
  <c r="BW634" i="5"/>
  <c r="AL634" i="5"/>
  <c r="AJ634" i="5"/>
  <c r="AH634" i="5"/>
  <c r="AG634" i="5"/>
  <c r="AF634" i="5"/>
  <c r="AE634" i="5"/>
  <c r="AD634" i="5"/>
  <c r="Z634" i="5"/>
  <c r="H634" i="5"/>
  <c r="AO634" i="5" s="1"/>
  <c r="G634" i="5"/>
  <c r="BW631" i="5"/>
  <c r="AL631" i="5"/>
  <c r="AJ631" i="5"/>
  <c r="AH631" i="5"/>
  <c r="AG631" i="5"/>
  <c r="AF631" i="5"/>
  <c r="AE631" i="5"/>
  <c r="AD631" i="5"/>
  <c r="AC631" i="5"/>
  <c r="AB631" i="5"/>
  <c r="H631" i="5"/>
  <c r="G631" i="5"/>
  <c r="BW630" i="5"/>
  <c r="AL630" i="5"/>
  <c r="AJ630" i="5"/>
  <c r="AH630" i="5"/>
  <c r="AG630" i="5"/>
  <c r="AF630" i="5"/>
  <c r="AE630" i="5"/>
  <c r="AD630" i="5"/>
  <c r="AC630" i="5"/>
  <c r="AB630" i="5"/>
  <c r="H630" i="5"/>
  <c r="BD630" i="5" s="1"/>
  <c r="G630" i="5"/>
  <c r="O630" i="5" s="1"/>
  <c r="BF630" i="5" s="1"/>
  <c r="BW629" i="5"/>
  <c r="AL629" i="5"/>
  <c r="AJ629" i="5"/>
  <c r="AH629" i="5"/>
  <c r="AG629" i="5"/>
  <c r="AF629" i="5"/>
  <c r="AE629" i="5"/>
  <c r="AD629" i="5"/>
  <c r="AC629" i="5"/>
  <c r="AB629" i="5"/>
  <c r="H629" i="5"/>
  <c r="G629" i="5"/>
  <c r="BW628" i="5"/>
  <c r="AL628" i="5"/>
  <c r="AJ628" i="5"/>
  <c r="AH628" i="5"/>
  <c r="AG628" i="5"/>
  <c r="AF628" i="5"/>
  <c r="AE628" i="5"/>
  <c r="AD628" i="5"/>
  <c r="AC628" i="5"/>
  <c r="AB628" i="5"/>
  <c r="H628" i="5"/>
  <c r="BD628" i="5" s="1"/>
  <c r="G628" i="5"/>
  <c r="BW627" i="5"/>
  <c r="AL627" i="5"/>
  <c r="AJ627" i="5"/>
  <c r="AH627" i="5"/>
  <c r="AG627" i="5"/>
  <c r="AF627" i="5"/>
  <c r="AE627" i="5"/>
  <c r="AD627" i="5"/>
  <c r="AC627" i="5"/>
  <c r="AB627" i="5"/>
  <c r="H627" i="5"/>
  <c r="G627" i="5"/>
  <c r="O627" i="5" s="1"/>
  <c r="BF627" i="5" s="1"/>
  <c r="BW626" i="5"/>
  <c r="AL626" i="5"/>
  <c r="AJ626" i="5"/>
  <c r="AH626" i="5"/>
  <c r="AG626" i="5"/>
  <c r="AF626" i="5"/>
  <c r="AE626" i="5"/>
  <c r="AD626" i="5"/>
  <c r="AC626" i="5"/>
  <c r="AB626" i="5"/>
  <c r="H626" i="5"/>
  <c r="G626" i="5"/>
  <c r="O626" i="5" s="1"/>
  <c r="BF626" i="5" s="1"/>
  <c r="BW625" i="5"/>
  <c r="AL625" i="5"/>
  <c r="AJ625" i="5"/>
  <c r="AH625" i="5"/>
  <c r="AG625" i="5"/>
  <c r="AF625" i="5"/>
  <c r="AE625" i="5"/>
  <c r="AD625" i="5"/>
  <c r="AC625" i="5"/>
  <c r="AB625" i="5"/>
  <c r="H625" i="5"/>
  <c r="G625" i="5"/>
  <c r="BW624" i="5"/>
  <c r="AL624" i="5"/>
  <c r="AJ624" i="5"/>
  <c r="AH624" i="5"/>
  <c r="AG624" i="5"/>
  <c r="AF624" i="5"/>
  <c r="AE624" i="5"/>
  <c r="AD624" i="5"/>
  <c r="Z624" i="5"/>
  <c r="H624" i="5"/>
  <c r="AO624" i="5" s="1"/>
  <c r="G624" i="5"/>
  <c r="BW622" i="5"/>
  <c r="AL622" i="5"/>
  <c r="AJ622" i="5"/>
  <c r="AH622" i="5"/>
  <c r="AG622" i="5"/>
  <c r="AF622" i="5"/>
  <c r="AE622" i="5"/>
  <c r="AD622" i="5"/>
  <c r="Z622" i="5"/>
  <c r="H622" i="5"/>
  <c r="G622" i="5"/>
  <c r="O622" i="5" s="1"/>
  <c r="BF622" i="5" s="1"/>
  <c r="BW621" i="5"/>
  <c r="AL621" i="5"/>
  <c r="AJ621" i="5"/>
  <c r="AH621" i="5"/>
  <c r="AG621" i="5"/>
  <c r="AF621" i="5"/>
  <c r="AE621" i="5"/>
  <c r="AD621" i="5"/>
  <c r="Z621" i="5"/>
  <c r="H621" i="5"/>
  <c r="G621" i="5"/>
  <c r="O621" i="5" s="1"/>
  <c r="BF621" i="5" s="1"/>
  <c r="BW620" i="5"/>
  <c r="AL620" i="5"/>
  <c r="AJ620" i="5"/>
  <c r="AH620" i="5"/>
  <c r="AG620" i="5"/>
  <c r="AF620" i="5"/>
  <c r="AE620" i="5"/>
  <c r="AD620" i="5"/>
  <c r="Z620" i="5"/>
  <c r="H620" i="5"/>
  <c r="AP620" i="5" s="1"/>
  <c r="G620" i="5"/>
  <c r="BW619" i="5"/>
  <c r="AL619" i="5"/>
  <c r="AJ619" i="5"/>
  <c r="AH619" i="5"/>
  <c r="AG619" i="5"/>
  <c r="AF619" i="5"/>
  <c r="AE619" i="5"/>
  <c r="AD619" i="5"/>
  <c r="Z619" i="5"/>
  <c r="H619" i="5"/>
  <c r="AP619" i="5" s="1"/>
  <c r="G619" i="5"/>
  <c r="BW618" i="5"/>
  <c r="AL618" i="5"/>
  <c r="AJ618" i="5"/>
  <c r="AH618" i="5"/>
  <c r="AG618" i="5"/>
  <c r="AF618" i="5"/>
  <c r="AE618" i="5"/>
  <c r="AD618" i="5"/>
  <c r="Z618" i="5"/>
  <c r="H618" i="5"/>
  <c r="G618" i="5"/>
  <c r="O618" i="5" s="1"/>
  <c r="BF618" i="5" s="1"/>
  <c r="BW616" i="5"/>
  <c r="AL616" i="5"/>
  <c r="AU615" i="5" s="1"/>
  <c r="AJ616" i="5"/>
  <c r="AS615" i="5" s="1"/>
  <c r="AH616" i="5"/>
  <c r="AG616" i="5"/>
  <c r="AF616" i="5"/>
  <c r="AE616" i="5"/>
  <c r="AD616" i="5"/>
  <c r="Z616" i="5"/>
  <c r="H616" i="5"/>
  <c r="AP616" i="5" s="1"/>
  <c r="G616" i="5"/>
  <c r="O616" i="5" s="1"/>
  <c r="BW614" i="5"/>
  <c r="AL614" i="5"/>
  <c r="AU613" i="5" s="1"/>
  <c r="AJ614" i="5"/>
  <c r="AS613" i="5" s="1"/>
  <c r="AH614" i="5"/>
  <c r="AG614" i="5"/>
  <c r="AF614" i="5"/>
  <c r="AE614" i="5"/>
  <c r="AD614" i="5"/>
  <c r="Z614" i="5"/>
  <c r="H614" i="5"/>
  <c r="AP614" i="5" s="1"/>
  <c r="G614" i="5"/>
  <c r="BW612" i="5"/>
  <c r="AL612" i="5"/>
  <c r="AU611" i="5" s="1"/>
  <c r="AJ612" i="5"/>
  <c r="AS611" i="5" s="1"/>
  <c r="AH612" i="5"/>
  <c r="AG612" i="5"/>
  <c r="AF612" i="5"/>
  <c r="AC612" i="5"/>
  <c r="AB612" i="5"/>
  <c r="Z612" i="5"/>
  <c r="H612" i="5"/>
  <c r="BD612" i="5" s="1"/>
  <c r="G612" i="5"/>
  <c r="BW610" i="5"/>
  <c r="AL610" i="5"/>
  <c r="AJ610" i="5"/>
  <c r="AH610" i="5"/>
  <c r="AG610" i="5"/>
  <c r="AF610" i="5"/>
  <c r="AC610" i="5"/>
  <c r="AB610" i="5"/>
  <c r="Z610" i="5"/>
  <c r="H610" i="5"/>
  <c r="G610" i="5"/>
  <c r="O610" i="5" s="1"/>
  <c r="BF610" i="5" s="1"/>
  <c r="BW609" i="5"/>
  <c r="AL609" i="5"/>
  <c r="AJ609" i="5"/>
  <c r="AH609" i="5"/>
  <c r="AG609" i="5"/>
  <c r="AF609" i="5"/>
  <c r="AC609" i="5"/>
  <c r="AB609" i="5"/>
  <c r="Z609" i="5"/>
  <c r="H609" i="5"/>
  <c r="G609" i="5"/>
  <c r="O609" i="5" s="1"/>
  <c r="BF609" i="5" s="1"/>
  <c r="BW607" i="5"/>
  <c r="AL607" i="5"/>
  <c r="AJ607" i="5"/>
  <c r="AH607" i="5"/>
  <c r="AG607" i="5"/>
  <c r="AF607" i="5"/>
  <c r="AE607" i="5"/>
  <c r="AD607" i="5"/>
  <c r="AC607" i="5"/>
  <c r="AB607" i="5"/>
  <c r="H607" i="5"/>
  <c r="G607" i="5"/>
  <c r="BW606" i="5"/>
  <c r="AL606" i="5"/>
  <c r="AJ606" i="5"/>
  <c r="AH606" i="5"/>
  <c r="AG606" i="5"/>
  <c r="AF606" i="5"/>
  <c r="AC606" i="5"/>
  <c r="AB606" i="5"/>
  <c r="Z606" i="5"/>
  <c r="H606" i="5"/>
  <c r="G606" i="5"/>
  <c r="BW605" i="5"/>
  <c r="AL605" i="5"/>
  <c r="AJ605" i="5"/>
  <c r="AH605" i="5"/>
  <c r="AG605" i="5"/>
  <c r="AF605" i="5"/>
  <c r="AC605" i="5"/>
  <c r="AB605" i="5"/>
  <c r="Z605" i="5"/>
  <c r="H605" i="5"/>
  <c r="G605" i="5"/>
  <c r="BW604" i="5"/>
  <c r="AL604" i="5"/>
  <c r="AJ604" i="5"/>
  <c r="AH604" i="5"/>
  <c r="AG604" i="5"/>
  <c r="AF604" i="5"/>
  <c r="AC604" i="5"/>
  <c r="AB604" i="5"/>
  <c r="Z604" i="5"/>
  <c r="H604" i="5"/>
  <c r="AP604" i="5" s="1"/>
  <c r="G604" i="5"/>
  <c r="O604" i="5" s="1"/>
  <c r="BF604" i="5" s="1"/>
  <c r="BW603" i="5"/>
  <c r="AL603" i="5"/>
  <c r="AJ603" i="5"/>
  <c r="AH603" i="5"/>
  <c r="AG603" i="5"/>
  <c r="AF603" i="5"/>
  <c r="AC603" i="5"/>
  <c r="AB603" i="5"/>
  <c r="Z603" i="5"/>
  <c r="H603" i="5"/>
  <c r="AP603" i="5" s="1"/>
  <c r="G603" i="5"/>
  <c r="BW602" i="5"/>
  <c r="AL602" i="5"/>
  <c r="AJ602" i="5"/>
  <c r="AH602" i="5"/>
  <c r="AG602" i="5"/>
  <c r="AF602" i="5"/>
  <c r="AC602" i="5"/>
  <c r="AB602" i="5"/>
  <c r="Z602" i="5"/>
  <c r="H602" i="5"/>
  <c r="AO602" i="5" s="1"/>
  <c r="G602" i="5"/>
  <c r="O602" i="5" s="1"/>
  <c r="BF602" i="5" s="1"/>
  <c r="BW600" i="5"/>
  <c r="AL600" i="5"/>
  <c r="AJ600" i="5"/>
  <c r="AH600" i="5"/>
  <c r="AG600" i="5"/>
  <c r="AF600" i="5"/>
  <c r="AE600" i="5"/>
  <c r="AD600" i="5"/>
  <c r="AC600" i="5"/>
  <c r="AB600" i="5"/>
  <c r="H600" i="5"/>
  <c r="G600" i="5"/>
  <c r="BW599" i="5"/>
  <c r="AL599" i="5"/>
  <c r="AJ599" i="5"/>
  <c r="AH599" i="5"/>
  <c r="AG599" i="5"/>
  <c r="AF599" i="5"/>
  <c r="AC599" i="5"/>
  <c r="AB599" i="5"/>
  <c r="Z599" i="5"/>
  <c r="H599" i="5"/>
  <c r="G599" i="5"/>
  <c r="O599" i="5" s="1"/>
  <c r="BF599" i="5" s="1"/>
  <c r="BW598" i="5"/>
  <c r="AL598" i="5"/>
  <c r="AJ598" i="5"/>
  <c r="AH598" i="5"/>
  <c r="AG598" i="5"/>
  <c r="AF598" i="5"/>
  <c r="AC598" i="5"/>
  <c r="AB598" i="5"/>
  <c r="Z598" i="5"/>
  <c r="H598" i="5"/>
  <c r="G598" i="5"/>
  <c r="O598" i="5" s="1"/>
  <c r="BF598" i="5" s="1"/>
  <c r="BW597" i="5"/>
  <c r="AL597" i="5"/>
  <c r="AJ597" i="5"/>
  <c r="AH597" i="5"/>
  <c r="AG597" i="5"/>
  <c r="AF597" i="5"/>
  <c r="AC597" i="5"/>
  <c r="AB597" i="5"/>
  <c r="Z597" i="5"/>
  <c r="H597" i="5"/>
  <c r="AO597" i="5" s="1"/>
  <c r="G597" i="5"/>
  <c r="BW596" i="5"/>
  <c r="AL596" i="5"/>
  <c r="AJ596" i="5"/>
  <c r="AH596" i="5"/>
  <c r="AG596" i="5"/>
  <c r="AF596" i="5"/>
  <c r="AC596" i="5"/>
  <c r="AB596" i="5"/>
  <c r="Z596" i="5"/>
  <c r="H596" i="5"/>
  <c r="G596" i="5"/>
  <c r="BW595" i="5"/>
  <c r="AL595" i="5"/>
  <c r="AJ595" i="5"/>
  <c r="AH595" i="5"/>
  <c r="AG595" i="5"/>
  <c r="AF595" i="5"/>
  <c r="AC595" i="5"/>
  <c r="AB595" i="5"/>
  <c r="Z595" i="5"/>
  <c r="H595" i="5"/>
  <c r="G595" i="5"/>
  <c r="O595" i="5" s="1"/>
  <c r="BF595" i="5" s="1"/>
  <c r="BW594" i="5"/>
  <c r="AL594" i="5"/>
  <c r="AJ594" i="5"/>
  <c r="AH594" i="5"/>
  <c r="AG594" i="5"/>
  <c r="AF594" i="5"/>
  <c r="AC594" i="5"/>
  <c r="AB594" i="5"/>
  <c r="Z594" i="5"/>
  <c r="H594" i="5"/>
  <c r="G594" i="5"/>
  <c r="O594" i="5" s="1"/>
  <c r="BF594" i="5" s="1"/>
  <c r="BW592" i="5"/>
  <c r="AL592" i="5"/>
  <c r="AU591" i="5" s="1"/>
  <c r="AJ592" i="5"/>
  <c r="AS591" i="5" s="1"/>
  <c r="AH592" i="5"/>
  <c r="AG592" i="5"/>
  <c r="AF592" i="5"/>
  <c r="AC592" i="5"/>
  <c r="AB592" i="5"/>
  <c r="Z592" i="5"/>
  <c r="H592" i="5"/>
  <c r="AP592" i="5" s="1"/>
  <c r="G592" i="5"/>
  <c r="BW590" i="5"/>
  <c r="AL590" i="5"/>
  <c r="AJ590" i="5"/>
  <c r="AH590" i="5"/>
  <c r="AG590" i="5"/>
  <c r="AF590" i="5"/>
  <c r="AE590" i="5"/>
  <c r="AD590" i="5"/>
  <c r="AC590" i="5"/>
  <c r="AB590" i="5"/>
  <c r="H590" i="5"/>
  <c r="AP590" i="5" s="1"/>
  <c r="G590" i="5"/>
  <c r="BW589" i="5"/>
  <c r="AL589" i="5"/>
  <c r="AJ589" i="5"/>
  <c r="AH589" i="5"/>
  <c r="AG589" i="5"/>
  <c r="AF589" i="5"/>
  <c r="AC589" i="5"/>
  <c r="AB589" i="5"/>
  <c r="Z589" i="5"/>
  <c r="H589" i="5"/>
  <c r="G589" i="5"/>
  <c r="BW588" i="5"/>
  <c r="AL588" i="5"/>
  <c r="AJ588" i="5"/>
  <c r="AH588" i="5"/>
  <c r="AG588" i="5"/>
  <c r="AF588" i="5"/>
  <c r="AC588" i="5"/>
  <c r="AB588" i="5"/>
  <c r="Z588" i="5"/>
  <c r="H588" i="5"/>
  <c r="AP588" i="5" s="1"/>
  <c r="G588" i="5"/>
  <c r="O588" i="5" s="1"/>
  <c r="BW586" i="5"/>
  <c r="AL586" i="5"/>
  <c r="AJ586" i="5"/>
  <c r="AH586" i="5"/>
  <c r="AG586" i="5"/>
  <c r="AF586" i="5"/>
  <c r="AE586" i="5"/>
  <c r="AD586" i="5"/>
  <c r="AC586" i="5"/>
  <c r="AB586" i="5"/>
  <c r="H586" i="5"/>
  <c r="AP586" i="5" s="1"/>
  <c r="G586" i="5"/>
  <c r="O586" i="5" s="1"/>
  <c r="BF586" i="5" s="1"/>
  <c r="BW585" i="5"/>
  <c r="AL585" i="5"/>
  <c r="AJ585" i="5"/>
  <c r="AH585" i="5"/>
  <c r="AG585" i="5"/>
  <c r="AF585" i="5"/>
  <c r="AE585" i="5"/>
  <c r="AD585" i="5"/>
  <c r="Z585" i="5"/>
  <c r="H585" i="5"/>
  <c r="AP585" i="5" s="1"/>
  <c r="G585" i="5"/>
  <c r="BW584" i="5"/>
  <c r="AL584" i="5"/>
  <c r="AJ584" i="5"/>
  <c r="AH584" i="5"/>
  <c r="AG584" i="5"/>
  <c r="AF584" i="5"/>
  <c r="AE584" i="5"/>
  <c r="AD584" i="5"/>
  <c r="Z584" i="5"/>
  <c r="H584" i="5"/>
  <c r="AP584" i="5" s="1"/>
  <c r="G584" i="5"/>
  <c r="BW582" i="5"/>
  <c r="AL582" i="5"/>
  <c r="AJ582" i="5"/>
  <c r="AH582" i="5"/>
  <c r="AG582" i="5"/>
  <c r="AF582" i="5"/>
  <c r="AE582" i="5"/>
  <c r="AD582" i="5"/>
  <c r="AC582" i="5"/>
  <c r="AB582" i="5"/>
  <c r="H582" i="5"/>
  <c r="G582" i="5"/>
  <c r="O582" i="5" s="1"/>
  <c r="BF582" i="5" s="1"/>
  <c r="BW581" i="5"/>
  <c r="AL581" i="5"/>
  <c r="AJ581" i="5"/>
  <c r="AH581" i="5"/>
  <c r="AG581" i="5"/>
  <c r="AF581" i="5"/>
  <c r="AE581" i="5"/>
  <c r="AD581" i="5"/>
  <c r="Z581" i="5"/>
  <c r="H581" i="5"/>
  <c r="AO581" i="5" s="1"/>
  <c r="G581" i="5"/>
  <c r="BW580" i="5"/>
  <c r="AL580" i="5"/>
  <c r="AJ580" i="5"/>
  <c r="AH580" i="5"/>
  <c r="AG580" i="5"/>
  <c r="AF580" i="5"/>
  <c r="AE580" i="5"/>
  <c r="AD580" i="5"/>
  <c r="Z580" i="5"/>
  <c r="H580" i="5"/>
  <c r="G580" i="5"/>
  <c r="BW579" i="5"/>
  <c r="AL579" i="5"/>
  <c r="AJ579" i="5"/>
  <c r="AH579" i="5"/>
  <c r="AG579" i="5"/>
  <c r="AF579" i="5"/>
  <c r="AE579" i="5"/>
  <c r="AD579" i="5"/>
  <c r="Z579" i="5"/>
  <c r="H579" i="5"/>
  <c r="BD579" i="5" s="1"/>
  <c r="G579" i="5"/>
  <c r="BW578" i="5"/>
  <c r="AL578" i="5"/>
  <c r="AJ578" i="5"/>
  <c r="AH578" i="5"/>
  <c r="AG578" i="5"/>
  <c r="AF578" i="5"/>
  <c r="AE578" i="5"/>
  <c r="AD578" i="5"/>
  <c r="Z578" i="5"/>
  <c r="H578" i="5"/>
  <c r="G578" i="5"/>
  <c r="O578" i="5" s="1"/>
  <c r="BF578" i="5" s="1"/>
  <c r="BW577" i="5"/>
  <c r="AL577" i="5"/>
  <c r="AJ577" i="5"/>
  <c r="AH577" i="5"/>
  <c r="AG577" i="5"/>
  <c r="AF577" i="5"/>
  <c r="AE577" i="5"/>
  <c r="AD577" i="5"/>
  <c r="Z577" i="5"/>
  <c r="H577" i="5"/>
  <c r="G577" i="5"/>
  <c r="BW576" i="5"/>
  <c r="AL576" i="5"/>
  <c r="AJ576" i="5"/>
  <c r="AH576" i="5"/>
  <c r="AG576" i="5"/>
  <c r="AF576" i="5"/>
  <c r="AE576" i="5"/>
  <c r="AD576" i="5"/>
  <c r="Z576" i="5"/>
  <c r="H576" i="5"/>
  <c r="AO576" i="5" s="1"/>
  <c r="G576" i="5"/>
  <c r="BW572" i="5"/>
  <c r="AL572" i="5"/>
  <c r="AJ572" i="5"/>
  <c r="AH572" i="5"/>
  <c r="AG572" i="5"/>
  <c r="AF572" i="5"/>
  <c r="AE572" i="5"/>
  <c r="AD572" i="5"/>
  <c r="AC572" i="5"/>
  <c r="AB572" i="5"/>
  <c r="H572" i="5"/>
  <c r="AO572" i="5" s="1"/>
  <c r="G572" i="5"/>
  <c r="BW571" i="5"/>
  <c r="AL571" i="5"/>
  <c r="AJ571" i="5"/>
  <c r="AH571" i="5"/>
  <c r="AG571" i="5"/>
  <c r="AF571" i="5"/>
  <c r="AE571" i="5"/>
  <c r="AD571" i="5"/>
  <c r="AC571" i="5"/>
  <c r="AB571" i="5"/>
  <c r="H571" i="5"/>
  <c r="BD571" i="5" s="1"/>
  <c r="G571" i="5"/>
  <c r="O571" i="5" s="1"/>
  <c r="BF571" i="5" s="1"/>
  <c r="BW570" i="5"/>
  <c r="AL570" i="5"/>
  <c r="AJ570" i="5"/>
  <c r="AH570" i="5"/>
  <c r="AG570" i="5"/>
  <c r="AF570" i="5"/>
  <c r="AE570" i="5"/>
  <c r="AD570" i="5"/>
  <c r="AC570" i="5"/>
  <c r="AB570" i="5"/>
  <c r="H570" i="5"/>
  <c r="AO570" i="5" s="1"/>
  <c r="G570" i="5"/>
  <c r="BW569" i="5"/>
  <c r="AL569" i="5"/>
  <c r="AJ569" i="5"/>
  <c r="AH569" i="5"/>
  <c r="AG569" i="5"/>
  <c r="AF569" i="5"/>
  <c r="AE569" i="5"/>
  <c r="AD569" i="5"/>
  <c r="AC569" i="5"/>
  <c r="AB569" i="5"/>
  <c r="H569" i="5"/>
  <c r="G569" i="5"/>
  <c r="BW567" i="5"/>
  <c r="AL567" i="5"/>
  <c r="AJ567" i="5"/>
  <c r="AH567" i="5"/>
  <c r="AG567" i="5"/>
  <c r="AF567" i="5"/>
  <c r="AE567" i="5"/>
  <c r="AD567" i="5"/>
  <c r="AC567" i="5"/>
  <c r="AB567" i="5"/>
  <c r="H567" i="5"/>
  <c r="G567" i="5"/>
  <c r="BW565" i="5"/>
  <c r="AL565" i="5"/>
  <c r="AJ565" i="5"/>
  <c r="AH565" i="5"/>
  <c r="AG565" i="5"/>
  <c r="AF565" i="5"/>
  <c r="AE565" i="5"/>
  <c r="AD565" i="5"/>
  <c r="AC565" i="5"/>
  <c r="AB565" i="5"/>
  <c r="H565" i="5"/>
  <c r="BD565" i="5" s="1"/>
  <c r="G565" i="5"/>
  <c r="O565" i="5" s="1"/>
  <c r="BF565" i="5" s="1"/>
  <c r="BW563" i="5"/>
  <c r="AL563" i="5"/>
  <c r="AJ563" i="5"/>
  <c r="AH563" i="5"/>
  <c r="AG563" i="5"/>
  <c r="AF563" i="5"/>
  <c r="AE563" i="5"/>
  <c r="AD563" i="5"/>
  <c r="AC563" i="5"/>
  <c r="AB563" i="5"/>
  <c r="H563" i="5"/>
  <c r="G563" i="5"/>
  <c r="BW562" i="5"/>
  <c r="AL562" i="5"/>
  <c r="AJ562" i="5"/>
  <c r="AH562" i="5"/>
  <c r="AG562" i="5"/>
  <c r="AF562" i="5"/>
  <c r="AE562" i="5"/>
  <c r="AD562" i="5"/>
  <c r="Z562" i="5"/>
  <c r="H562" i="5"/>
  <c r="G562" i="5"/>
  <c r="BW559" i="5"/>
  <c r="AL559" i="5"/>
  <c r="AJ559" i="5"/>
  <c r="AH559" i="5"/>
  <c r="AG559" i="5"/>
  <c r="AF559" i="5"/>
  <c r="AE559" i="5"/>
  <c r="AD559" i="5"/>
  <c r="Z559" i="5"/>
  <c r="H559" i="5"/>
  <c r="BD559" i="5" s="1"/>
  <c r="G559" i="5"/>
  <c r="BW557" i="5"/>
  <c r="AL557" i="5"/>
  <c r="AJ557" i="5"/>
  <c r="AH557" i="5"/>
  <c r="AG557" i="5"/>
  <c r="AF557" i="5"/>
  <c r="AE557" i="5"/>
  <c r="AD557" i="5"/>
  <c r="Z557" i="5"/>
  <c r="H557" i="5"/>
  <c r="G557" i="5"/>
  <c r="O557" i="5" s="1"/>
  <c r="BF557" i="5" s="1"/>
  <c r="BW555" i="5"/>
  <c r="AL555" i="5"/>
  <c r="AJ555" i="5"/>
  <c r="AH555" i="5"/>
  <c r="AG555" i="5"/>
  <c r="AF555" i="5"/>
  <c r="AE555" i="5"/>
  <c r="AD555" i="5"/>
  <c r="Z555" i="5"/>
  <c r="H555" i="5"/>
  <c r="G555" i="5"/>
  <c r="BW554" i="5"/>
  <c r="AL554" i="5"/>
  <c r="AJ554" i="5"/>
  <c r="AH554" i="5"/>
  <c r="AG554" i="5"/>
  <c r="AF554" i="5"/>
  <c r="AE554" i="5"/>
  <c r="AD554" i="5"/>
  <c r="Z554" i="5"/>
  <c r="H554" i="5"/>
  <c r="G554" i="5"/>
  <c r="BW552" i="5"/>
  <c r="AL552" i="5"/>
  <c r="AJ552" i="5"/>
  <c r="AH552" i="5"/>
  <c r="AG552" i="5"/>
  <c r="AF552" i="5"/>
  <c r="AE552" i="5"/>
  <c r="AD552" i="5"/>
  <c r="Z552" i="5"/>
  <c r="H552" i="5"/>
  <c r="G552" i="5"/>
  <c r="BW550" i="5"/>
  <c r="AL550" i="5"/>
  <c r="AU549" i="5" s="1"/>
  <c r="AJ550" i="5"/>
  <c r="AS549" i="5" s="1"/>
  <c r="AH550" i="5"/>
  <c r="AG550" i="5"/>
  <c r="AF550" i="5"/>
  <c r="AE550" i="5"/>
  <c r="AD550" i="5"/>
  <c r="Z550" i="5"/>
  <c r="H550" i="5"/>
  <c r="BD550" i="5" s="1"/>
  <c r="G550" i="5"/>
  <c r="O550" i="5" s="1"/>
  <c r="BW548" i="5"/>
  <c r="AL548" i="5"/>
  <c r="AU547" i="5" s="1"/>
  <c r="AJ548" i="5"/>
  <c r="AS547" i="5" s="1"/>
  <c r="AH548" i="5"/>
  <c r="AG548" i="5"/>
  <c r="AF548" i="5"/>
  <c r="AE548" i="5"/>
  <c r="AD548" i="5"/>
  <c r="Z548" i="5"/>
  <c r="H548" i="5"/>
  <c r="G548" i="5"/>
  <c r="BW546" i="5"/>
  <c r="AL546" i="5"/>
  <c r="AU545" i="5" s="1"/>
  <c r="AJ546" i="5"/>
  <c r="AS545" i="5" s="1"/>
  <c r="AH546" i="5"/>
  <c r="AG546" i="5"/>
  <c r="AF546" i="5"/>
  <c r="AC546" i="5"/>
  <c r="AB546" i="5"/>
  <c r="Z546" i="5"/>
  <c r="H546" i="5"/>
  <c r="AP546" i="5" s="1"/>
  <c r="G546" i="5"/>
  <c r="O546" i="5" s="1"/>
  <c r="BW543" i="5"/>
  <c r="AL543" i="5"/>
  <c r="AJ543" i="5"/>
  <c r="AH543" i="5"/>
  <c r="AG543" i="5"/>
  <c r="AF543" i="5"/>
  <c r="AC543" i="5"/>
  <c r="AB543" i="5"/>
  <c r="Z543" i="5"/>
  <c r="H543" i="5"/>
  <c r="AO543" i="5" s="1"/>
  <c r="G543" i="5"/>
  <c r="BW542" i="5"/>
  <c r="AL542" i="5"/>
  <c r="AJ542" i="5"/>
  <c r="AH542" i="5"/>
  <c r="AG542" i="5"/>
  <c r="AF542" i="5"/>
  <c r="AC542" i="5"/>
  <c r="AB542" i="5"/>
  <c r="Z542" i="5"/>
  <c r="H542" i="5"/>
  <c r="G542" i="5"/>
  <c r="O542" i="5" s="1"/>
  <c r="BF542" i="5" s="1"/>
  <c r="BW540" i="5"/>
  <c r="AL540" i="5"/>
  <c r="AJ540" i="5"/>
  <c r="AH540" i="5"/>
  <c r="AG540" i="5"/>
  <c r="AF540" i="5"/>
  <c r="AE540" i="5"/>
  <c r="AD540" i="5"/>
  <c r="AC540" i="5"/>
  <c r="AB540" i="5"/>
  <c r="H540" i="5"/>
  <c r="BD540" i="5" s="1"/>
  <c r="G540" i="5"/>
  <c r="BW539" i="5"/>
  <c r="AL539" i="5"/>
  <c r="AJ539" i="5"/>
  <c r="AH539" i="5"/>
  <c r="AG539" i="5"/>
  <c r="AF539" i="5"/>
  <c r="AC539" i="5"/>
  <c r="AB539" i="5"/>
  <c r="Z539" i="5"/>
  <c r="H539" i="5"/>
  <c r="AO539" i="5" s="1"/>
  <c r="G539" i="5"/>
  <c r="BW537" i="5"/>
  <c r="AL537" i="5"/>
  <c r="AJ537" i="5"/>
  <c r="AH537" i="5"/>
  <c r="AG537" i="5"/>
  <c r="AF537" i="5"/>
  <c r="AC537" i="5"/>
  <c r="AB537" i="5"/>
  <c r="Z537" i="5"/>
  <c r="H537" i="5"/>
  <c r="AO537" i="5" s="1"/>
  <c r="G537" i="5"/>
  <c r="BW535" i="5"/>
  <c r="AL535" i="5"/>
  <c r="AJ535" i="5"/>
  <c r="AH535" i="5"/>
  <c r="AG535" i="5"/>
  <c r="AF535" i="5"/>
  <c r="AC535" i="5"/>
  <c r="AB535" i="5"/>
  <c r="Z535" i="5"/>
  <c r="H535" i="5"/>
  <c r="BD535" i="5" s="1"/>
  <c r="G535" i="5"/>
  <c r="O535" i="5" s="1"/>
  <c r="BF535" i="5" s="1"/>
  <c r="BW533" i="5"/>
  <c r="AL533" i="5"/>
  <c r="AJ533" i="5"/>
  <c r="AH533" i="5"/>
  <c r="AG533" i="5"/>
  <c r="AF533" i="5"/>
  <c r="AC533" i="5"/>
  <c r="AB533" i="5"/>
  <c r="Z533" i="5"/>
  <c r="H533" i="5"/>
  <c r="BD533" i="5" s="1"/>
  <c r="G533" i="5"/>
  <c r="BW531" i="5"/>
  <c r="AL531" i="5"/>
  <c r="AJ531" i="5"/>
  <c r="AH531" i="5"/>
  <c r="AG531" i="5"/>
  <c r="AF531" i="5"/>
  <c r="AC531" i="5"/>
  <c r="AB531" i="5"/>
  <c r="Z531" i="5"/>
  <c r="H531" i="5"/>
  <c r="AP531" i="5" s="1"/>
  <c r="G531" i="5"/>
  <c r="O531" i="5" s="1"/>
  <c r="BW529" i="5"/>
  <c r="AL529" i="5"/>
  <c r="AJ529" i="5"/>
  <c r="AH529" i="5"/>
  <c r="AG529" i="5"/>
  <c r="AF529" i="5"/>
  <c r="AE529" i="5"/>
  <c r="AD529" i="5"/>
  <c r="AC529" i="5"/>
  <c r="AB529" i="5"/>
  <c r="H529" i="5"/>
  <c r="AO529" i="5" s="1"/>
  <c r="G529" i="5"/>
  <c r="O529" i="5" s="1"/>
  <c r="BF529" i="5" s="1"/>
  <c r="BW527" i="5"/>
  <c r="AL527" i="5"/>
  <c r="AJ527" i="5"/>
  <c r="AH527" i="5"/>
  <c r="AG527" i="5"/>
  <c r="AF527" i="5"/>
  <c r="AC527" i="5"/>
  <c r="AB527" i="5"/>
  <c r="Z527" i="5"/>
  <c r="H527" i="5"/>
  <c r="AO527" i="5" s="1"/>
  <c r="G527" i="5"/>
  <c r="BW525" i="5"/>
  <c r="AL525" i="5"/>
  <c r="AJ525" i="5"/>
  <c r="AH525" i="5"/>
  <c r="AG525" i="5"/>
  <c r="AF525" i="5"/>
  <c r="AC525" i="5"/>
  <c r="AB525" i="5"/>
  <c r="Z525" i="5"/>
  <c r="H525" i="5"/>
  <c r="G525" i="5"/>
  <c r="BW523" i="5"/>
  <c r="AL523" i="5"/>
  <c r="AJ523" i="5"/>
  <c r="AH523" i="5"/>
  <c r="AG523" i="5"/>
  <c r="AF523" i="5"/>
  <c r="AC523" i="5"/>
  <c r="AB523" i="5"/>
  <c r="Z523" i="5"/>
  <c r="H523" i="5"/>
  <c r="AP523" i="5" s="1"/>
  <c r="G523" i="5"/>
  <c r="BW522" i="5"/>
  <c r="AL522" i="5"/>
  <c r="AJ522" i="5"/>
  <c r="AH522" i="5"/>
  <c r="AG522" i="5"/>
  <c r="AF522" i="5"/>
  <c r="AC522" i="5"/>
  <c r="AB522" i="5"/>
  <c r="Z522" i="5"/>
  <c r="H522" i="5"/>
  <c r="AO522" i="5" s="1"/>
  <c r="G522" i="5"/>
  <c r="BW521" i="5"/>
  <c r="AL521" i="5"/>
  <c r="AJ521" i="5"/>
  <c r="AH521" i="5"/>
  <c r="AG521" i="5"/>
  <c r="AF521" i="5"/>
  <c r="AC521" i="5"/>
  <c r="AB521" i="5"/>
  <c r="Z521" i="5"/>
  <c r="H521" i="5"/>
  <c r="BD521" i="5" s="1"/>
  <c r="G521" i="5"/>
  <c r="O521" i="5" s="1"/>
  <c r="BF521" i="5" s="1"/>
  <c r="BW520" i="5"/>
  <c r="AL520" i="5"/>
  <c r="AJ520" i="5"/>
  <c r="AH520" i="5"/>
  <c r="AG520" i="5"/>
  <c r="AF520" i="5"/>
  <c r="AC520" i="5"/>
  <c r="AB520" i="5"/>
  <c r="Z520" i="5"/>
  <c r="H520" i="5"/>
  <c r="BD520" i="5" s="1"/>
  <c r="G520" i="5"/>
  <c r="BW518" i="5"/>
  <c r="AL518" i="5"/>
  <c r="AU517" i="5" s="1"/>
  <c r="AJ518" i="5"/>
  <c r="AS517" i="5" s="1"/>
  <c r="AH518" i="5"/>
  <c r="AG518" i="5"/>
  <c r="AF518" i="5"/>
  <c r="AC518" i="5"/>
  <c r="AB518" i="5"/>
  <c r="Z518" i="5"/>
  <c r="H518" i="5"/>
  <c r="AO518" i="5" s="1"/>
  <c r="G518" i="5"/>
  <c r="BW516" i="5"/>
  <c r="AL516" i="5"/>
  <c r="AJ516" i="5"/>
  <c r="AH516" i="5"/>
  <c r="AG516" i="5"/>
  <c r="AF516" i="5"/>
  <c r="AE516" i="5"/>
  <c r="AD516" i="5"/>
  <c r="AC516" i="5"/>
  <c r="AB516" i="5"/>
  <c r="H516" i="5"/>
  <c r="G516" i="5"/>
  <c r="O516" i="5" s="1"/>
  <c r="BF516" i="5" s="1"/>
  <c r="BW515" i="5"/>
  <c r="AL515" i="5"/>
  <c r="AJ515" i="5"/>
  <c r="AH515" i="5"/>
  <c r="AG515" i="5"/>
  <c r="AF515" i="5"/>
  <c r="AC515" i="5"/>
  <c r="AB515" i="5"/>
  <c r="Z515" i="5"/>
  <c r="H515" i="5"/>
  <c r="G515" i="5"/>
  <c r="O515" i="5" s="1"/>
  <c r="BF515" i="5" s="1"/>
  <c r="BW514" i="5"/>
  <c r="AL514" i="5"/>
  <c r="AJ514" i="5"/>
  <c r="AH514" i="5"/>
  <c r="AG514" i="5"/>
  <c r="AF514" i="5"/>
  <c r="AC514" i="5"/>
  <c r="AB514" i="5"/>
  <c r="Z514" i="5"/>
  <c r="H514" i="5"/>
  <c r="AP514" i="5" s="1"/>
  <c r="G514" i="5"/>
  <c r="BW512" i="5"/>
  <c r="AL512" i="5"/>
  <c r="AJ512" i="5"/>
  <c r="AH512" i="5"/>
  <c r="AG512" i="5"/>
  <c r="AF512" i="5"/>
  <c r="AE512" i="5"/>
  <c r="AD512" i="5"/>
  <c r="AC512" i="5"/>
  <c r="AB512" i="5"/>
  <c r="H512" i="5"/>
  <c r="AP512" i="5" s="1"/>
  <c r="G512" i="5"/>
  <c r="BW511" i="5"/>
  <c r="AL511" i="5"/>
  <c r="AJ511" i="5"/>
  <c r="AH511" i="5"/>
  <c r="AG511" i="5"/>
  <c r="AF511" i="5"/>
  <c r="AE511" i="5"/>
  <c r="AD511" i="5"/>
  <c r="Z511" i="5"/>
  <c r="H511" i="5"/>
  <c r="AP511" i="5" s="1"/>
  <c r="G511" i="5"/>
  <c r="O511" i="5" s="1"/>
  <c r="BF511" i="5" s="1"/>
  <c r="BW510" i="5"/>
  <c r="AL510" i="5"/>
  <c r="AJ510" i="5"/>
  <c r="AH510" i="5"/>
  <c r="AG510" i="5"/>
  <c r="AF510" i="5"/>
  <c r="AE510" i="5"/>
  <c r="AD510" i="5"/>
  <c r="Z510" i="5"/>
  <c r="H510" i="5"/>
  <c r="AO510" i="5" s="1"/>
  <c r="G510" i="5"/>
  <c r="O510" i="5" s="1"/>
  <c r="BW508" i="5"/>
  <c r="AL508" i="5"/>
  <c r="AJ508" i="5"/>
  <c r="AH508" i="5"/>
  <c r="AG508" i="5"/>
  <c r="AF508" i="5"/>
  <c r="AE508" i="5"/>
  <c r="AD508" i="5"/>
  <c r="AC508" i="5"/>
  <c r="AB508" i="5"/>
  <c r="H508" i="5"/>
  <c r="BD508" i="5" s="1"/>
  <c r="G508" i="5"/>
  <c r="BW506" i="5"/>
  <c r="AL506" i="5"/>
  <c r="AJ506" i="5"/>
  <c r="AH506" i="5"/>
  <c r="AG506" i="5"/>
  <c r="AF506" i="5"/>
  <c r="AE506" i="5"/>
  <c r="AD506" i="5"/>
  <c r="Z506" i="5"/>
  <c r="H506" i="5"/>
  <c r="AP506" i="5" s="1"/>
  <c r="G506" i="5"/>
  <c r="BW505" i="5"/>
  <c r="AL505" i="5"/>
  <c r="AJ505" i="5"/>
  <c r="AH505" i="5"/>
  <c r="AG505" i="5"/>
  <c r="AF505" i="5"/>
  <c r="AE505" i="5"/>
  <c r="AD505" i="5"/>
  <c r="Z505" i="5"/>
  <c r="H505" i="5"/>
  <c r="G505" i="5"/>
  <c r="O505" i="5" s="1"/>
  <c r="BF505" i="5" s="1"/>
  <c r="BW503" i="5"/>
  <c r="AL503" i="5"/>
  <c r="AJ503" i="5"/>
  <c r="AH503" i="5"/>
  <c r="AG503" i="5"/>
  <c r="AF503" i="5"/>
  <c r="AE503" i="5"/>
  <c r="AD503" i="5"/>
  <c r="Z503" i="5"/>
  <c r="H503" i="5"/>
  <c r="G503" i="5"/>
  <c r="O503" i="5" s="1"/>
  <c r="BF503" i="5" s="1"/>
  <c r="BW502" i="5"/>
  <c r="AL502" i="5"/>
  <c r="AJ502" i="5"/>
  <c r="AH502" i="5"/>
  <c r="AG502" i="5"/>
  <c r="AF502" i="5"/>
  <c r="AE502" i="5"/>
  <c r="AD502" i="5"/>
  <c r="Z502" i="5"/>
  <c r="H502" i="5"/>
  <c r="AP502" i="5" s="1"/>
  <c r="G502" i="5"/>
  <c r="BW501" i="5"/>
  <c r="AL501" i="5"/>
  <c r="AJ501" i="5"/>
  <c r="AH501" i="5"/>
  <c r="AG501" i="5"/>
  <c r="AF501" i="5"/>
  <c r="AE501" i="5"/>
  <c r="AD501" i="5"/>
  <c r="Z501" i="5"/>
  <c r="H501" i="5"/>
  <c r="AO501" i="5" s="1"/>
  <c r="G501" i="5"/>
  <c r="BW500" i="5"/>
  <c r="AL500" i="5"/>
  <c r="AJ500" i="5"/>
  <c r="AH500" i="5"/>
  <c r="AG500" i="5"/>
  <c r="AF500" i="5"/>
  <c r="AE500" i="5"/>
  <c r="AD500" i="5"/>
  <c r="Z500" i="5"/>
  <c r="H500" i="5"/>
  <c r="G500" i="5"/>
  <c r="O500" i="5" s="1"/>
  <c r="BF500" i="5" s="1"/>
  <c r="BW497" i="5"/>
  <c r="AL497" i="5"/>
  <c r="AJ497" i="5"/>
  <c r="AH497" i="5"/>
  <c r="AG497" i="5"/>
  <c r="AF497" i="5"/>
  <c r="AE497" i="5"/>
  <c r="AD497" i="5"/>
  <c r="AC497" i="5"/>
  <c r="AB497" i="5"/>
  <c r="H497" i="5"/>
  <c r="G497" i="5"/>
  <c r="BW496" i="5"/>
  <c r="AL496" i="5"/>
  <c r="AJ496" i="5"/>
  <c r="AH496" i="5"/>
  <c r="AG496" i="5"/>
  <c r="AF496" i="5"/>
  <c r="AC496" i="5"/>
  <c r="AB496" i="5"/>
  <c r="Z496" i="5"/>
  <c r="H496" i="5"/>
  <c r="G496" i="5"/>
  <c r="O496" i="5" s="1"/>
  <c r="BF496" i="5" s="1"/>
  <c r="BW495" i="5"/>
  <c r="AL495" i="5"/>
  <c r="AJ495" i="5"/>
  <c r="AH495" i="5"/>
  <c r="AG495" i="5"/>
  <c r="AF495" i="5"/>
  <c r="AC495" i="5"/>
  <c r="AB495" i="5"/>
  <c r="Z495" i="5"/>
  <c r="H495" i="5"/>
  <c r="BD495" i="5" s="1"/>
  <c r="G495" i="5"/>
  <c r="BW494" i="5"/>
  <c r="AL494" i="5"/>
  <c r="AJ494" i="5"/>
  <c r="AH494" i="5"/>
  <c r="AG494" i="5"/>
  <c r="AF494" i="5"/>
  <c r="AC494" i="5"/>
  <c r="AB494" i="5"/>
  <c r="Z494" i="5"/>
  <c r="H494" i="5"/>
  <c r="G494" i="5"/>
  <c r="O494" i="5" s="1"/>
  <c r="BF494" i="5" s="1"/>
  <c r="BW493" i="5"/>
  <c r="AL493" i="5"/>
  <c r="AJ493" i="5"/>
  <c r="AH493" i="5"/>
  <c r="AG493" i="5"/>
  <c r="AF493" i="5"/>
  <c r="AC493" i="5"/>
  <c r="AB493" i="5"/>
  <c r="Z493" i="5"/>
  <c r="H493" i="5"/>
  <c r="G493" i="5"/>
  <c r="BW492" i="5"/>
  <c r="AL492" i="5"/>
  <c r="AJ492" i="5"/>
  <c r="AH492" i="5"/>
  <c r="AG492" i="5"/>
  <c r="AF492" i="5"/>
  <c r="AC492" i="5"/>
  <c r="AB492" i="5"/>
  <c r="Z492" i="5"/>
  <c r="H492" i="5"/>
  <c r="AO492" i="5" s="1"/>
  <c r="G492" i="5"/>
  <c r="O492" i="5" s="1"/>
  <c r="BF492" i="5" s="1"/>
  <c r="BW491" i="5"/>
  <c r="AL491" i="5"/>
  <c r="AJ491" i="5"/>
  <c r="AH491" i="5"/>
  <c r="AG491" i="5"/>
  <c r="AF491" i="5"/>
  <c r="AC491" i="5"/>
  <c r="AB491" i="5"/>
  <c r="Z491" i="5"/>
  <c r="H491" i="5"/>
  <c r="G491" i="5"/>
  <c r="BW490" i="5"/>
  <c r="AL490" i="5"/>
  <c r="AJ490" i="5"/>
  <c r="AH490" i="5"/>
  <c r="AG490" i="5"/>
  <c r="AF490" i="5"/>
  <c r="AC490" i="5"/>
  <c r="AB490" i="5"/>
  <c r="Z490" i="5"/>
  <c r="H490" i="5"/>
  <c r="AP490" i="5" s="1"/>
  <c r="G490" i="5"/>
  <c r="O490" i="5" s="1"/>
  <c r="BF490" i="5" s="1"/>
  <c r="BW489" i="5"/>
  <c r="AL489" i="5"/>
  <c r="AJ489" i="5"/>
  <c r="AH489" i="5"/>
  <c r="AG489" i="5"/>
  <c r="AF489" i="5"/>
  <c r="AC489" i="5"/>
  <c r="AB489" i="5"/>
  <c r="Z489" i="5"/>
  <c r="H489" i="5"/>
  <c r="G489" i="5"/>
  <c r="BW488" i="5"/>
  <c r="AL488" i="5"/>
  <c r="AJ488" i="5"/>
  <c r="AH488" i="5"/>
  <c r="AG488" i="5"/>
  <c r="AF488" i="5"/>
  <c r="AC488" i="5"/>
  <c r="AB488" i="5"/>
  <c r="Z488" i="5"/>
  <c r="H488" i="5"/>
  <c r="G488" i="5"/>
  <c r="O488" i="5" s="1"/>
  <c r="BF488" i="5" s="1"/>
  <c r="BW487" i="5"/>
  <c r="AL487" i="5"/>
  <c r="AJ487" i="5"/>
  <c r="AH487" i="5"/>
  <c r="AG487" i="5"/>
  <c r="AF487" i="5"/>
  <c r="AC487" i="5"/>
  <c r="AB487" i="5"/>
  <c r="Z487" i="5"/>
  <c r="H487" i="5"/>
  <c r="BD487" i="5" s="1"/>
  <c r="G487" i="5"/>
  <c r="BW486" i="5"/>
  <c r="AL486" i="5"/>
  <c r="AJ486" i="5"/>
  <c r="AH486" i="5"/>
  <c r="AG486" i="5"/>
  <c r="AF486" i="5"/>
  <c r="AC486" i="5"/>
  <c r="AB486" i="5"/>
  <c r="Z486" i="5"/>
  <c r="H486" i="5"/>
  <c r="G486" i="5"/>
  <c r="O486" i="5" s="1"/>
  <c r="BF486" i="5" s="1"/>
  <c r="BW485" i="5"/>
  <c r="AL485" i="5"/>
  <c r="AJ485" i="5"/>
  <c r="AH485" i="5"/>
  <c r="AG485" i="5"/>
  <c r="AF485" i="5"/>
  <c r="AC485" i="5"/>
  <c r="AB485" i="5"/>
  <c r="Z485" i="5"/>
  <c r="H485" i="5"/>
  <c r="BD485" i="5" s="1"/>
  <c r="G485" i="5"/>
  <c r="BW482" i="5"/>
  <c r="AL482" i="5"/>
  <c r="AJ482" i="5"/>
  <c r="AH482" i="5"/>
  <c r="AG482" i="5"/>
  <c r="AF482" i="5"/>
  <c r="AE482" i="5"/>
  <c r="AD482" i="5"/>
  <c r="AC482" i="5"/>
  <c r="AB482" i="5"/>
  <c r="H482" i="5"/>
  <c r="BD482" i="5" s="1"/>
  <c r="G482" i="5"/>
  <c r="O482" i="5" s="1"/>
  <c r="BF482" i="5" s="1"/>
  <c r="BW481" i="5"/>
  <c r="AL481" i="5"/>
  <c r="AJ481" i="5"/>
  <c r="AH481" i="5"/>
  <c r="AG481" i="5"/>
  <c r="AF481" i="5"/>
  <c r="AC481" i="5"/>
  <c r="AB481" i="5"/>
  <c r="Z481" i="5"/>
  <c r="H481" i="5"/>
  <c r="AP481" i="5" s="1"/>
  <c r="G481" i="5"/>
  <c r="BW480" i="5"/>
  <c r="AL480" i="5"/>
  <c r="AJ480" i="5"/>
  <c r="AH480" i="5"/>
  <c r="AG480" i="5"/>
  <c r="AF480" i="5"/>
  <c r="AC480" i="5"/>
  <c r="AB480" i="5"/>
  <c r="Z480" i="5"/>
  <c r="H480" i="5"/>
  <c r="AP480" i="5" s="1"/>
  <c r="G480" i="5"/>
  <c r="O480" i="5" s="1"/>
  <c r="BF480" i="5" s="1"/>
  <c r="BW479" i="5"/>
  <c r="AL479" i="5"/>
  <c r="AJ479" i="5"/>
  <c r="AH479" i="5"/>
  <c r="AG479" i="5"/>
  <c r="AF479" i="5"/>
  <c r="AC479" i="5"/>
  <c r="AB479" i="5"/>
  <c r="Z479" i="5"/>
  <c r="H479" i="5"/>
  <c r="G479" i="5"/>
  <c r="O479" i="5" s="1"/>
  <c r="BF479" i="5" s="1"/>
  <c r="BW478" i="5"/>
  <c r="AL478" i="5"/>
  <c r="AJ478" i="5"/>
  <c r="AH478" i="5"/>
  <c r="AG478" i="5"/>
  <c r="AF478" i="5"/>
  <c r="AC478" i="5"/>
  <c r="AB478" i="5"/>
  <c r="Z478" i="5"/>
  <c r="H478" i="5"/>
  <c r="BD478" i="5" s="1"/>
  <c r="G478" i="5"/>
  <c r="O478" i="5" s="1"/>
  <c r="BF478" i="5" s="1"/>
  <c r="BW477" i="5"/>
  <c r="AL477" i="5"/>
  <c r="AJ477" i="5"/>
  <c r="AH477" i="5"/>
  <c r="AG477" i="5"/>
  <c r="AF477" i="5"/>
  <c r="AC477" i="5"/>
  <c r="AB477" i="5"/>
  <c r="Z477" i="5"/>
  <c r="H477" i="5"/>
  <c r="AP477" i="5" s="1"/>
  <c r="G477" i="5"/>
  <c r="BW476" i="5"/>
  <c r="AL476" i="5"/>
  <c r="AJ476" i="5"/>
  <c r="AH476" i="5"/>
  <c r="AG476" i="5"/>
  <c r="AF476" i="5"/>
  <c r="AC476" i="5"/>
  <c r="AB476" i="5"/>
  <c r="Z476" i="5"/>
  <c r="H476" i="5"/>
  <c r="BD476" i="5" s="1"/>
  <c r="G476" i="5"/>
  <c r="BW475" i="5"/>
  <c r="AL475" i="5"/>
  <c r="AJ475" i="5"/>
  <c r="AH475" i="5"/>
  <c r="AG475" i="5"/>
  <c r="AF475" i="5"/>
  <c r="AC475" i="5"/>
  <c r="AB475" i="5"/>
  <c r="Z475" i="5"/>
  <c r="H475" i="5"/>
  <c r="AP475" i="5" s="1"/>
  <c r="G475" i="5"/>
  <c r="BW474" i="5"/>
  <c r="AL474" i="5"/>
  <c r="AJ474" i="5"/>
  <c r="AH474" i="5"/>
  <c r="AG474" i="5"/>
  <c r="AF474" i="5"/>
  <c r="AC474" i="5"/>
  <c r="AB474" i="5"/>
  <c r="Z474" i="5"/>
  <c r="H474" i="5"/>
  <c r="BD474" i="5" s="1"/>
  <c r="G474" i="5"/>
  <c r="O474" i="5" s="1"/>
  <c r="BF474" i="5" s="1"/>
  <c r="BW473" i="5"/>
  <c r="AL473" i="5"/>
  <c r="AJ473" i="5"/>
  <c r="AH473" i="5"/>
  <c r="AG473" i="5"/>
  <c r="AF473" i="5"/>
  <c r="AC473" i="5"/>
  <c r="AB473" i="5"/>
  <c r="Z473" i="5"/>
  <c r="H473" i="5"/>
  <c r="AP473" i="5" s="1"/>
  <c r="G473" i="5"/>
  <c r="BW472" i="5"/>
  <c r="AL472" i="5"/>
  <c r="AJ472" i="5"/>
  <c r="AH472" i="5"/>
  <c r="AG472" i="5"/>
  <c r="AF472" i="5"/>
  <c r="AC472" i="5"/>
  <c r="AB472" i="5"/>
  <c r="Z472" i="5"/>
  <c r="H472" i="5"/>
  <c r="AP472" i="5" s="1"/>
  <c r="G472" i="5"/>
  <c r="O472" i="5" s="1"/>
  <c r="BF472" i="5" s="1"/>
  <c r="BW471" i="5"/>
  <c r="AL471" i="5"/>
  <c r="AJ471" i="5"/>
  <c r="AH471" i="5"/>
  <c r="AG471" i="5"/>
  <c r="AF471" i="5"/>
  <c r="AC471" i="5"/>
  <c r="AB471" i="5"/>
  <c r="Z471" i="5"/>
  <c r="H471" i="5"/>
  <c r="BD471" i="5" s="1"/>
  <c r="G471" i="5"/>
  <c r="BW470" i="5"/>
  <c r="AL470" i="5"/>
  <c r="AJ470" i="5"/>
  <c r="AH470" i="5"/>
  <c r="AG470" i="5"/>
  <c r="AF470" i="5"/>
  <c r="AC470" i="5"/>
  <c r="AB470" i="5"/>
  <c r="Z470" i="5"/>
  <c r="H470" i="5"/>
  <c r="G470" i="5"/>
  <c r="O470" i="5" s="1"/>
  <c r="BF470" i="5" s="1"/>
  <c r="BW467" i="5"/>
  <c r="AL467" i="5"/>
  <c r="AJ467" i="5"/>
  <c r="AH467" i="5"/>
  <c r="AG467" i="5"/>
  <c r="AF467" i="5"/>
  <c r="AE467" i="5"/>
  <c r="AD467" i="5"/>
  <c r="AC467" i="5"/>
  <c r="AB467" i="5"/>
  <c r="H467" i="5"/>
  <c r="G467" i="5"/>
  <c r="O467" i="5" s="1"/>
  <c r="BF467" i="5" s="1"/>
  <c r="BW465" i="5"/>
  <c r="AL465" i="5"/>
  <c r="AJ465" i="5"/>
  <c r="AH465" i="5"/>
  <c r="AG465" i="5"/>
  <c r="AF465" i="5"/>
  <c r="AC465" i="5"/>
  <c r="AB465" i="5"/>
  <c r="Z465" i="5"/>
  <c r="H465" i="5"/>
  <c r="AO465" i="5" s="1"/>
  <c r="G465" i="5"/>
  <c r="BW464" i="5"/>
  <c r="AL464" i="5"/>
  <c r="AJ464" i="5"/>
  <c r="AH464" i="5"/>
  <c r="AG464" i="5"/>
  <c r="AF464" i="5"/>
  <c r="AC464" i="5"/>
  <c r="AB464" i="5"/>
  <c r="Z464" i="5"/>
  <c r="H464" i="5"/>
  <c r="AO464" i="5" s="1"/>
  <c r="G464" i="5"/>
  <c r="BW463" i="5"/>
  <c r="AL463" i="5"/>
  <c r="AJ463" i="5"/>
  <c r="AH463" i="5"/>
  <c r="AG463" i="5"/>
  <c r="AF463" i="5"/>
  <c r="AC463" i="5"/>
  <c r="AB463" i="5"/>
  <c r="Z463" i="5"/>
  <c r="H463" i="5"/>
  <c r="AO463" i="5" s="1"/>
  <c r="G463" i="5"/>
  <c r="O463" i="5" s="1"/>
  <c r="BF463" i="5" s="1"/>
  <c r="BW462" i="5"/>
  <c r="AL462" i="5"/>
  <c r="AJ462" i="5"/>
  <c r="AH462" i="5"/>
  <c r="AG462" i="5"/>
  <c r="AF462" i="5"/>
  <c r="AC462" i="5"/>
  <c r="AB462" i="5"/>
  <c r="Z462" i="5"/>
  <c r="H462" i="5"/>
  <c r="AO462" i="5" s="1"/>
  <c r="G462" i="5"/>
  <c r="O462" i="5" s="1"/>
  <c r="BF462" i="5" s="1"/>
  <c r="BW461" i="5"/>
  <c r="AL461" i="5"/>
  <c r="AJ461" i="5"/>
  <c r="AH461" i="5"/>
  <c r="AG461" i="5"/>
  <c r="AF461" i="5"/>
  <c r="AC461" i="5"/>
  <c r="AB461" i="5"/>
  <c r="Z461" i="5"/>
  <c r="H461" i="5"/>
  <c r="G461" i="5"/>
  <c r="BW460" i="5"/>
  <c r="AL460" i="5"/>
  <c r="AJ460" i="5"/>
  <c r="AH460" i="5"/>
  <c r="AG460" i="5"/>
  <c r="AF460" i="5"/>
  <c r="AC460" i="5"/>
  <c r="AB460" i="5"/>
  <c r="Z460" i="5"/>
  <c r="H460" i="5"/>
  <c r="AP460" i="5" s="1"/>
  <c r="G460" i="5"/>
  <c r="O460" i="5" s="1"/>
  <c r="BF460" i="5" s="1"/>
  <c r="BW459" i="5"/>
  <c r="AL459" i="5"/>
  <c r="AJ459" i="5"/>
  <c r="AH459" i="5"/>
  <c r="AG459" i="5"/>
  <c r="AF459" i="5"/>
  <c r="AC459" i="5"/>
  <c r="AB459" i="5"/>
  <c r="Z459" i="5"/>
  <c r="H459" i="5"/>
  <c r="G459" i="5"/>
  <c r="O459" i="5" s="1"/>
  <c r="BF459" i="5" s="1"/>
  <c r="BW458" i="5"/>
  <c r="AL458" i="5"/>
  <c r="AJ458" i="5"/>
  <c r="AH458" i="5"/>
  <c r="AG458" i="5"/>
  <c r="AF458" i="5"/>
  <c r="AC458" i="5"/>
  <c r="AB458" i="5"/>
  <c r="Z458" i="5"/>
  <c r="H458" i="5"/>
  <c r="G458" i="5"/>
  <c r="O458" i="5" s="1"/>
  <c r="BF458" i="5" s="1"/>
  <c r="BW457" i="5"/>
  <c r="AL457" i="5"/>
  <c r="AJ457" i="5"/>
  <c r="AH457" i="5"/>
  <c r="AG457" i="5"/>
  <c r="AF457" i="5"/>
  <c r="AC457" i="5"/>
  <c r="AB457" i="5"/>
  <c r="Z457" i="5"/>
  <c r="H457" i="5"/>
  <c r="G457" i="5"/>
  <c r="O457" i="5" s="1"/>
  <c r="BF457" i="5" s="1"/>
  <c r="BW456" i="5"/>
  <c r="AL456" i="5"/>
  <c r="AJ456" i="5"/>
  <c r="AH456" i="5"/>
  <c r="AG456" i="5"/>
  <c r="AF456" i="5"/>
  <c r="AC456" i="5"/>
  <c r="AB456" i="5"/>
  <c r="Z456" i="5"/>
  <c r="H456" i="5"/>
  <c r="G456" i="5"/>
  <c r="BW455" i="5"/>
  <c r="AL455" i="5"/>
  <c r="AJ455" i="5"/>
  <c r="AH455" i="5"/>
  <c r="AG455" i="5"/>
  <c r="AF455" i="5"/>
  <c r="AC455" i="5"/>
  <c r="AB455" i="5"/>
  <c r="Z455" i="5"/>
  <c r="H455" i="5"/>
  <c r="G455" i="5"/>
  <c r="O455" i="5" s="1"/>
  <c r="BF455" i="5" s="1"/>
  <c r="BW454" i="5"/>
  <c r="AL454" i="5"/>
  <c r="AJ454" i="5"/>
  <c r="AH454" i="5"/>
  <c r="AG454" i="5"/>
  <c r="AF454" i="5"/>
  <c r="AC454" i="5"/>
  <c r="AB454" i="5"/>
  <c r="Z454" i="5"/>
  <c r="H454" i="5"/>
  <c r="G454" i="5"/>
  <c r="BW451" i="5"/>
  <c r="AL451" i="5"/>
  <c r="AJ451" i="5"/>
  <c r="AH451" i="5"/>
  <c r="AG451" i="5"/>
  <c r="AF451" i="5"/>
  <c r="AE451" i="5"/>
  <c r="AD451" i="5"/>
  <c r="AC451" i="5"/>
  <c r="AB451" i="5"/>
  <c r="H451" i="5"/>
  <c r="G451" i="5"/>
  <c r="O451" i="5" s="1"/>
  <c r="BF451" i="5" s="1"/>
  <c r="BW450" i="5"/>
  <c r="AL450" i="5"/>
  <c r="AJ450" i="5"/>
  <c r="AH450" i="5"/>
  <c r="AG450" i="5"/>
  <c r="AF450" i="5"/>
  <c r="AC450" i="5"/>
  <c r="AB450" i="5"/>
  <c r="Z450" i="5"/>
  <c r="H450" i="5"/>
  <c r="G450" i="5"/>
  <c r="BW449" i="5"/>
  <c r="AL449" i="5"/>
  <c r="AJ449" i="5"/>
  <c r="AH449" i="5"/>
  <c r="AG449" i="5"/>
  <c r="AF449" i="5"/>
  <c r="AC449" i="5"/>
  <c r="AB449" i="5"/>
  <c r="Z449" i="5"/>
  <c r="H449" i="5"/>
  <c r="BD449" i="5" s="1"/>
  <c r="G449" i="5"/>
  <c r="BW448" i="5"/>
  <c r="AL448" i="5"/>
  <c r="AJ448" i="5"/>
  <c r="AH448" i="5"/>
  <c r="AG448" i="5"/>
  <c r="AF448" i="5"/>
  <c r="AC448" i="5"/>
  <c r="AB448" i="5"/>
  <c r="Z448" i="5"/>
  <c r="H448" i="5"/>
  <c r="BD448" i="5" s="1"/>
  <c r="G448" i="5"/>
  <c r="BW447" i="5"/>
  <c r="AL447" i="5"/>
  <c r="AJ447" i="5"/>
  <c r="AH447" i="5"/>
  <c r="AG447" i="5"/>
  <c r="AF447" i="5"/>
  <c r="AC447" i="5"/>
  <c r="AB447" i="5"/>
  <c r="Z447" i="5"/>
  <c r="H447" i="5"/>
  <c r="G447" i="5"/>
  <c r="O447" i="5" s="1"/>
  <c r="BF447" i="5" s="1"/>
  <c r="BW446" i="5"/>
  <c r="AL446" i="5"/>
  <c r="AJ446" i="5"/>
  <c r="AH446" i="5"/>
  <c r="AG446" i="5"/>
  <c r="AF446" i="5"/>
  <c r="AC446" i="5"/>
  <c r="AB446" i="5"/>
  <c r="Z446" i="5"/>
  <c r="H446" i="5"/>
  <c r="G446" i="5"/>
  <c r="BW445" i="5"/>
  <c r="AL445" i="5"/>
  <c r="AJ445" i="5"/>
  <c r="AH445" i="5"/>
  <c r="AG445" i="5"/>
  <c r="AF445" i="5"/>
  <c r="AC445" i="5"/>
  <c r="AB445" i="5"/>
  <c r="Z445" i="5"/>
  <c r="H445" i="5"/>
  <c r="BD445" i="5" s="1"/>
  <c r="G445" i="5"/>
  <c r="BW444" i="5"/>
  <c r="AL444" i="5"/>
  <c r="AJ444" i="5"/>
  <c r="AH444" i="5"/>
  <c r="AG444" i="5"/>
  <c r="AF444" i="5"/>
  <c r="AC444" i="5"/>
  <c r="AB444" i="5"/>
  <c r="Z444" i="5"/>
  <c r="H444" i="5"/>
  <c r="G444" i="5"/>
  <c r="BW443" i="5"/>
  <c r="AL443" i="5"/>
  <c r="AJ443" i="5"/>
  <c r="AH443" i="5"/>
  <c r="AG443" i="5"/>
  <c r="AF443" i="5"/>
  <c r="AC443" i="5"/>
  <c r="AB443" i="5"/>
  <c r="Z443" i="5"/>
  <c r="H443" i="5"/>
  <c r="BD443" i="5" s="1"/>
  <c r="G443" i="5"/>
  <c r="O443" i="5" s="1"/>
  <c r="BF443" i="5" s="1"/>
  <c r="BW442" i="5"/>
  <c r="AL442" i="5"/>
  <c r="AJ442" i="5"/>
  <c r="AH442" i="5"/>
  <c r="AG442" i="5"/>
  <c r="AF442" i="5"/>
  <c r="AC442" i="5"/>
  <c r="AB442" i="5"/>
  <c r="Z442" i="5"/>
  <c r="H442" i="5"/>
  <c r="G442" i="5"/>
  <c r="BW441" i="5"/>
  <c r="AL441" i="5"/>
  <c r="AJ441" i="5"/>
  <c r="AH441" i="5"/>
  <c r="AG441" i="5"/>
  <c r="AF441" i="5"/>
  <c r="AC441" i="5"/>
  <c r="AB441" i="5"/>
  <c r="Z441" i="5"/>
  <c r="H441" i="5"/>
  <c r="G441" i="5"/>
  <c r="BW440" i="5"/>
  <c r="AL440" i="5"/>
  <c r="AJ440" i="5"/>
  <c r="AH440" i="5"/>
  <c r="AG440" i="5"/>
  <c r="AF440" i="5"/>
  <c r="AC440" i="5"/>
  <c r="AB440" i="5"/>
  <c r="Z440" i="5"/>
  <c r="H440" i="5"/>
  <c r="G440" i="5"/>
  <c r="BW439" i="5"/>
  <c r="AL439" i="5"/>
  <c r="AJ439" i="5"/>
  <c r="AH439" i="5"/>
  <c r="AG439" i="5"/>
  <c r="AF439" i="5"/>
  <c r="AC439" i="5"/>
  <c r="AB439" i="5"/>
  <c r="Z439" i="5"/>
  <c r="H439" i="5"/>
  <c r="BD439" i="5" s="1"/>
  <c r="G439" i="5"/>
  <c r="O439" i="5" s="1"/>
  <c r="BF439" i="5" s="1"/>
  <c r="BW438" i="5"/>
  <c r="AL438" i="5"/>
  <c r="AJ438" i="5"/>
  <c r="AH438" i="5"/>
  <c r="AG438" i="5"/>
  <c r="AF438" i="5"/>
  <c r="AC438" i="5"/>
  <c r="AB438" i="5"/>
  <c r="Z438" i="5"/>
  <c r="H438" i="5"/>
  <c r="G438" i="5"/>
  <c r="BW437" i="5"/>
  <c r="AL437" i="5"/>
  <c r="AJ437" i="5"/>
  <c r="AH437" i="5"/>
  <c r="AG437" i="5"/>
  <c r="AF437" i="5"/>
  <c r="AC437" i="5"/>
  <c r="AB437" i="5"/>
  <c r="Z437" i="5"/>
  <c r="H437" i="5"/>
  <c r="AO437" i="5" s="1"/>
  <c r="G437" i="5"/>
  <c r="BW436" i="5"/>
  <c r="AL436" i="5"/>
  <c r="AJ436" i="5"/>
  <c r="AH436" i="5"/>
  <c r="AG436" i="5"/>
  <c r="AF436" i="5"/>
  <c r="AC436" i="5"/>
  <c r="AB436" i="5"/>
  <c r="Z436" i="5"/>
  <c r="H436" i="5"/>
  <c r="G436" i="5"/>
  <c r="BW435" i="5"/>
  <c r="AL435" i="5"/>
  <c r="AJ435" i="5"/>
  <c r="AH435" i="5"/>
  <c r="AG435" i="5"/>
  <c r="AF435" i="5"/>
  <c r="AC435" i="5"/>
  <c r="AB435" i="5"/>
  <c r="Z435" i="5"/>
  <c r="H435" i="5"/>
  <c r="BD435" i="5" s="1"/>
  <c r="G435" i="5"/>
  <c r="BW434" i="5"/>
  <c r="AL434" i="5"/>
  <c r="AJ434" i="5"/>
  <c r="AH434" i="5"/>
  <c r="AG434" i="5"/>
  <c r="AF434" i="5"/>
  <c r="AC434" i="5"/>
  <c r="AB434" i="5"/>
  <c r="Z434" i="5"/>
  <c r="H434" i="5"/>
  <c r="G434" i="5"/>
  <c r="O434" i="5" s="1"/>
  <c r="BF434" i="5" s="1"/>
  <c r="BW433" i="5"/>
  <c r="AL433" i="5"/>
  <c r="AJ433" i="5"/>
  <c r="AH433" i="5"/>
  <c r="AG433" i="5"/>
  <c r="AF433" i="5"/>
  <c r="AC433" i="5"/>
  <c r="AB433" i="5"/>
  <c r="Z433" i="5"/>
  <c r="H433" i="5"/>
  <c r="AP433" i="5" s="1"/>
  <c r="G433" i="5"/>
  <c r="BW432" i="5"/>
  <c r="AL432" i="5"/>
  <c r="AJ432" i="5"/>
  <c r="AH432" i="5"/>
  <c r="AG432" i="5"/>
  <c r="AF432" i="5"/>
  <c r="AC432" i="5"/>
  <c r="AB432" i="5"/>
  <c r="Z432" i="5"/>
  <c r="H432" i="5"/>
  <c r="BD432" i="5" s="1"/>
  <c r="G432" i="5"/>
  <c r="BW431" i="5"/>
  <c r="AL431" i="5"/>
  <c r="AJ431" i="5"/>
  <c r="AH431" i="5"/>
  <c r="AG431" i="5"/>
  <c r="AF431" i="5"/>
  <c r="AC431" i="5"/>
  <c r="AB431" i="5"/>
  <c r="Z431" i="5"/>
  <c r="H431" i="5"/>
  <c r="BD431" i="5" s="1"/>
  <c r="G431" i="5"/>
  <c r="O431" i="5" s="1"/>
  <c r="BF431" i="5" s="1"/>
  <c r="BW430" i="5"/>
  <c r="AL430" i="5"/>
  <c r="AJ430" i="5"/>
  <c r="AH430" i="5"/>
  <c r="AG430" i="5"/>
  <c r="AF430" i="5"/>
  <c r="AC430" i="5"/>
  <c r="AB430" i="5"/>
  <c r="Z430" i="5"/>
  <c r="H430" i="5"/>
  <c r="G430" i="5"/>
  <c r="O430" i="5" s="1"/>
  <c r="BF430" i="5" s="1"/>
  <c r="BW429" i="5"/>
  <c r="AL429" i="5"/>
  <c r="AJ429" i="5"/>
  <c r="AH429" i="5"/>
  <c r="AG429" i="5"/>
  <c r="AF429" i="5"/>
  <c r="AC429" i="5"/>
  <c r="AB429" i="5"/>
  <c r="Z429" i="5"/>
  <c r="H429" i="5"/>
  <c r="AO429" i="5" s="1"/>
  <c r="G429" i="5"/>
  <c r="O429" i="5" s="1"/>
  <c r="BF429" i="5" s="1"/>
  <c r="BW428" i="5"/>
  <c r="AL428" i="5"/>
  <c r="AJ428" i="5"/>
  <c r="AH428" i="5"/>
  <c r="AG428" i="5"/>
  <c r="AF428" i="5"/>
  <c r="AC428" i="5"/>
  <c r="AB428" i="5"/>
  <c r="Z428" i="5"/>
  <c r="H428" i="5"/>
  <c r="AP428" i="5" s="1"/>
  <c r="G428" i="5"/>
  <c r="BW427" i="5"/>
  <c r="AL427" i="5"/>
  <c r="AJ427" i="5"/>
  <c r="AH427" i="5"/>
  <c r="AG427" i="5"/>
  <c r="AF427" i="5"/>
  <c r="AC427" i="5"/>
  <c r="AB427" i="5"/>
  <c r="Z427" i="5"/>
  <c r="H427" i="5"/>
  <c r="AO427" i="5" s="1"/>
  <c r="G427" i="5"/>
  <c r="BW424" i="5"/>
  <c r="AL424" i="5"/>
  <c r="AJ424" i="5"/>
  <c r="AH424" i="5"/>
  <c r="AG424" i="5"/>
  <c r="AF424" i="5"/>
  <c r="AE424" i="5"/>
  <c r="AD424" i="5"/>
  <c r="AC424" i="5"/>
  <c r="AB424" i="5"/>
  <c r="H424" i="5"/>
  <c r="G424" i="5"/>
  <c r="O424" i="5" s="1"/>
  <c r="BF424" i="5" s="1"/>
  <c r="BW423" i="5"/>
  <c r="AL423" i="5"/>
  <c r="AJ423" i="5"/>
  <c r="AH423" i="5"/>
  <c r="AG423" i="5"/>
  <c r="AF423" i="5"/>
  <c r="AC423" i="5"/>
  <c r="AB423" i="5"/>
  <c r="Z423" i="5"/>
  <c r="H423" i="5"/>
  <c r="G423" i="5"/>
  <c r="BW422" i="5"/>
  <c r="AL422" i="5"/>
  <c r="AJ422" i="5"/>
  <c r="AH422" i="5"/>
  <c r="AG422" i="5"/>
  <c r="AF422" i="5"/>
  <c r="AC422" i="5"/>
  <c r="AB422" i="5"/>
  <c r="Z422" i="5"/>
  <c r="H422" i="5"/>
  <c r="G422" i="5"/>
  <c r="BW421" i="5"/>
  <c r="AL421" i="5"/>
  <c r="AJ421" i="5"/>
  <c r="AH421" i="5"/>
  <c r="AG421" i="5"/>
  <c r="AF421" i="5"/>
  <c r="AC421" i="5"/>
  <c r="AB421" i="5"/>
  <c r="Z421" i="5"/>
  <c r="H421" i="5"/>
  <c r="G421" i="5"/>
  <c r="BW420" i="5"/>
  <c r="AL420" i="5"/>
  <c r="AJ420" i="5"/>
  <c r="AH420" i="5"/>
  <c r="AG420" i="5"/>
  <c r="AF420" i="5"/>
  <c r="AC420" i="5"/>
  <c r="AB420" i="5"/>
  <c r="Z420" i="5"/>
  <c r="H420" i="5"/>
  <c r="G420" i="5"/>
  <c r="O420" i="5" s="1"/>
  <c r="BF420" i="5" s="1"/>
  <c r="BW419" i="5"/>
  <c r="AL419" i="5"/>
  <c r="AJ419" i="5"/>
  <c r="AH419" i="5"/>
  <c r="AG419" i="5"/>
  <c r="AF419" i="5"/>
  <c r="AC419" i="5"/>
  <c r="AB419" i="5"/>
  <c r="Z419" i="5"/>
  <c r="H419" i="5"/>
  <c r="AP419" i="5" s="1"/>
  <c r="G419" i="5"/>
  <c r="BW418" i="5"/>
  <c r="AL418" i="5"/>
  <c r="AJ418" i="5"/>
  <c r="AH418" i="5"/>
  <c r="AG418" i="5"/>
  <c r="AF418" i="5"/>
  <c r="AC418" i="5"/>
  <c r="AB418" i="5"/>
  <c r="Z418" i="5"/>
  <c r="H418" i="5"/>
  <c r="G418" i="5"/>
  <c r="BW417" i="5"/>
  <c r="AL417" i="5"/>
  <c r="AJ417" i="5"/>
  <c r="AH417" i="5"/>
  <c r="AG417" i="5"/>
  <c r="AF417" i="5"/>
  <c r="AC417" i="5"/>
  <c r="AB417" i="5"/>
  <c r="Z417" i="5"/>
  <c r="H417" i="5"/>
  <c r="AP417" i="5" s="1"/>
  <c r="G417" i="5"/>
  <c r="BW416" i="5"/>
  <c r="AL416" i="5"/>
  <c r="AJ416" i="5"/>
  <c r="AH416" i="5"/>
  <c r="AG416" i="5"/>
  <c r="AF416" i="5"/>
  <c r="AC416" i="5"/>
  <c r="AB416" i="5"/>
  <c r="Z416" i="5"/>
  <c r="H416" i="5"/>
  <c r="G416" i="5"/>
  <c r="O416" i="5" s="1"/>
  <c r="BF416" i="5" s="1"/>
  <c r="BW415" i="5"/>
  <c r="AL415" i="5"/>
  <c r="AJ415" i="5"/>
  <c r="AH415" i="5"/>
  <c r="AG415" i="5"/>
  <c r="AF415" i="5"/>
  <c r="AC415" i="5"/>
  <c r="AB415" i="5"/>
  <c r="Z415" i="5"/>
  <c r="H415" i="5"/>
  <c r="G415" i="5"/>
  <c r="BW414" i="5"/>
  <c r="AL414" i="5"/>
  <c r="AJ414" i="5"/>
  <c r="AH414" i="5"/>
  <c r="AG414" i="5"/>
  <c r="AF414" i="5"/>
  <c r="AC414" i="5"/>
  <c r="AB414" i="5"/>
  <c r="Z414" i="5"/>
  <c r="H414" i="5"/>
  <c r="G414" i="5"/>
  <c r="O414" i="5" s="1"/>
  <c r="BF414" i="5" s="1"/>
  <c r="BW413" i="5"/>
  <c r="AL413" i="5"/>
  <c r="AJ413" i="5"/>
  <c r="AH413" i="5"/>
  <c r="AG413" i="5"/>
  <c r="AF413" i="5"/>
  <c r="AC413" i="5"/>
  <c r="AB413" i="5"/>
  <c r="Z413" i="5"/>
  <c r="H413" i="5"/>
  <c r="G413" i="5"/>
  <c r="O413" i="5" s="1"/>
  <c r="BF413" i="5" s="1"/>
  <c r="BW412" i="5"/>
  <c r="AL412" i="5"/>
  <c r="AJ412" i="5"/>
  <c r="AH412" i="5"/>
  <c r="AG412" i="5"/>
  <c r="AF412" i="5"/>
  <c r="AC412" i="5"/>
  <c r="AB412" i="5"/>
  <c r="Z412" i="5"/>
  <c r="H412" i="5"/>
  <c r="BD412" i="5" s="1"/>
  <c r="G412" i="5"/>
  <c r="BW411" i="5"/>
  <c r="AL411" i="5"/>
  <c r="AJ411" i="5"/>
  <c r="AH411" i="5"/>
  <c r="AG411" i="5"/>
  <c r="AF411" i="5"/>
  <c r="AC411" i="5"/>
  <c r="AB411" i="5"/>
  <c r="Z411" i="5"/>
  <c r="H411" i="5"/>
  <c r="G411" i="5"/>
  <c r="BW410" i="5"/>
  <c r="AL410" i="5"/>
  <c r="AJ410" i="5"/>
  <c r="AH410" i="5"/>
  <c r="AG410" i="5"/>
  <c r="AF410" i="5"/>
  <c r="AC410" i="5"/>
  <c r="AB410" i="5"/>
  <c r="Z410" i="5"/>
  <c r="H410" i="5"/>
  <c r="AO410" i="5" s="1"/>
  <c r="G410" i="5"/>
  <c r="BW409" i="5"/>
  <c r="AL409" i="5"/>
  <c r="AJ409" i="5"/>
  <c r="AH409" i="5"/>
  <c r="AG409" i="5"/>
  <c r="AF409" i="5"/>
  <c r="AC409" i="5"/>
  <c r="AB409" i="5"/>
  <c r="Z409" i="5"/>
  <c r="H409" i="5"/>
  <c r="BD409" i="5" s="1"/>
  <c r="G409" i="5"/>
  <c r="BW408" i="5"/>
  <c r="AL408" i="5"/>
  <c r="AJ408" i="5"/>
  <c r="AH408" i="5"/>
  <c r="AG408" i="5"/>
  <c r="AF408" i="5"/>
  <c r="AC408" i="5"/>
  <c r="AB408" i="5"/>
  <c r="Z408" i="5"/>
  <c r="H408" i="5"/>
  <c r="G408" i="5"/>
  <c r="BW407" i="5"/>
  <c r="AL407" i="5"/>
  <c r="AJ407" i="5"/>
  <c r="AH407" i="5"/>
  <c r="AG407" i="5"/>
  <c r="AF407" i="5"/>
  <c r="AC407" i="5"/>
  <c r="AB407" i="5"/>
  <c r="Z407" i="5"/>
  <c r="H407" i="5"/>
  <c r="G407" i="5"/>
  <c r="BW406" i="5"/>
  <c r="AL406" i="5"/>
  <c r="AJ406" i="5"/>
  <c r="AH406" i="5"/>
  <c r="AG406" i="5"/>
  <c r="AF406" i="5"/>
  <c r="AC406" i="5"/>
  <c r="AB406" i="5"/>
  <c r="Z406" i="5"/>
  <c r="H406" i="5"/>
  <c r="BD406" i="5" s="1"/>
  <c r="G406" i="5"/>
  <c r="BW405" i="5"/>
  <c r="AL405" i="5"/>
  <c r="AJ405" i="5"/>
  <c r="AH405" i="5"/>
  <c r="AG405" i="5"/>
  <c r="AF405" i="5"/>
  <c r="AC405" i="5"/>
  <c r="AB405" i="5"/>
  <c r="Z405" i="5"/>
  <c r="H405" i="5"/>
  <c r="G405" i="5"/>
  <c r="O405" i="5" s="1"/>
  <c r="BF405" i="5" s="1"/>
  <c r="BW404" i="5"/>
  <c r="AL404" i="5"/>
  <c r="AJ404" i="5"/>
  <c r="AH404" i="5"/>
  <c r="AG404" i="5"/>
  <c r="AF404" i="5"/>
  <c r="AC404" i="5"/>
  <c r="AB404" i="5"/>
  <c r="Z404" i="5"/>
  <c r="H404" i="5"/>
  <c r="G404" i="5"/>
  <c r="BW403" i="5"/>
  <c r="AL403" i="5"/>
  <c r="AJ403" i="5"/>
  <c r="AH403" i="5"/>
  <c r="AG403" i="5"/>
  <c r="AF403" i="5"/>
  <c r="AC403" i="5"/>
  <c r="AB403" i="5"/>
  <c r="Z403" i="5"/>
  <c r="H403" i="5"/>
  <c r="G403" i="5"/>
  <c r="BW402" i="5"/>
  <c r="AL402" i="5"/>
  <c r="AJ402" i="5"/>
  <c r="AH402" i="5"/>
  <c r="AG402" i="5"/>
  <c r="AF402" i="5"/>
  <c r="AC402" i="5"/>
  <c r="AB402" i="5"/>
  <c r="Z402" i="5"/>
  <c r="H402" i="5"/>
  <c r="G402" i="5"/>
  <c r="BW401" i="5"/>
  <c r="AL401" i="5"/>
  <c r="AJ401" i="5"/>
  <c r="AH401" i="5"/>
  <c r="AG401" i="5"/>
  <c r="AF401" i="5"/>
  <c r="AC401" i="5"/>
  <c r="AB401" i="5"/>
  <c r="Z401" i="5"/>
  <c r="H401" i="5"/>
  <c r="G401" i="5"/>
  <c r="O401" i="5" s="1"/>
  <c r="BF401" i="5" s="1"/>
  <c r="BW400" i="5"/>
  <c r="AL400" i="5"/>
  <c r="AJ400" i="5"/>
  <c r="AH400" i="5"/>
  <c r="AG400" i="5"/>
  <c r="AF400" i="5"/>
  <c r="AC400" i="5"/>
  <c r="AB400" i="5"/>
  <c r="Z400" i="5"/>
  <c r="H400" i="5"/>
  <c r="G400" i="5"/>
  <c r="BW397" i="5"/>
  <c r="AL397" i="5"/>
  <c r="AJ397" i="5"/>
  <c r="AH397" i="5"/>
  <c r="AG397" i="5"/>
  <c r="AF397" i="5"/>
  <c r="AE397" i="5"/>
  <c r="AD397" i="5"/>
  <c r="AC397" i="5"/>
  <c r="AB397" i="5"/>
  <c r="H397" i="5"/>
  <c r="G397" i="5"/>
  <c r="BW395" i="5"/>
  <c r="AL395" i="5"/>
  <c r="AJ395" i="5"/>
  <c r="AH395" i="5"/>
  <c r="AG395" i="5"/>
  <c r="AF395" i="5"/>
  <c r="AC395" i="5"/>
  <c r="AB395" i="5"/>
  <c r="Z395" i="5"/>
  <c r="H395" i="5"/>
  <c r="AP395" i="5" s="1"/>
  <c r="G395" i="5"/>
  <c r="O395" i="5" s="1"/>
  <c r="BF395" i="5" s="1"/>
  <c r="BW394" i="5"/>
  <c r="AL394" i="5"/>
  <c r="AJ394" i="5"/>
  <c r="AH394" i="5"/>
  <c r="AG394" i="5"/>
  <c r="AF394" i="5"/>
  <c r="AC394" i="5"/>
  <c r="AB394" i="5"/>
  <c r="Z394" i="5"/>
  <c r="H394" i="5"/>
  <c r="G394" i="5"/>
  <c r="O394" i="5" s="1"/>
  <c r="BF394" i="5" s="1"/>
  <c r="BW393" i="5"/>
  <c r="AL393" i="5"/>
  <c r="AJ393" i="5"/>
  <c r="AH393" i="5"/>
  <c r="AG393" i="5"/>
  <c r="AF393" i="5"/>
  <c r="AC393" i="5"/>
  <c r="AB393" i="5"/>
  <c r="Z393" i="5"/>
  <c r="H393" i="5"/>
  <c r="AO393" i="5" s="1"/>
  <c r="G393" i="5"/>
  <c r="BW392" i="5"/>
  <c r="AL392" i="5"/>
  <c r="AJ392" i="5"/>
  <c r="AH392" i="5"/>
  <c r="AG392" i="5"/>
  <c r="AF392" i="5"/>
  <c r="AC392" i="5"/>
  <c r="AB392" i="5"/>
  <c r="Z392" i="5"/>
  <c r="H392" i="5"/>
  <c r="BD392" i="5" s="1"/>
  <c r="G392" i="5"/>
  <c r="BW391" i="5"/>
  <c r="AL391" i="5"/>
  <c r="AJ391" i="5"/>
  <c r="AH391" i="5"/>
  <c r="AG391" i="5"/>
  <c r="AF391" i="5"/>
  <c r="AC391" i="5"/>
  <c r="AB391" i="5"/>
  <c r="Z391" i="5"/>
  <c r="H391" i="5"/>
  <c r="BD391" i="5" s="1"/>
  <c r="G391" i="5"/>
  <c r="O391" i="5" s="1"/>
  <c r="BF391" i="5" s="1"/>
  <c r="BW390" i="5"/>
  <c r="AL390" i="5"/>
  <c r="AJ390" i="5"/>
  <c r="AH390" i="5"/>
  <c r="AG390" i="5"/>
  <c r="AF390" i="5"/>
  <c r="AC390" i="5"/>
  <c r="AB390" i="5"/>
  <c r="Z390" i="5"/>
  <c r="H390" i="5"/>
  <c r="G390" i="5"/>
  <c r="O390" i="5" s="1"/>
  <c r="BF390" i="5" s="1"/>
  <c r="BW389" i="5"/>
  <c r="AL389" i="5"/>
  <c r="AJ389" i="5"/>
  <c r="AH389" i="5"/>
  <c r="AG389" i="5"/>
  <c r="AF389" i="5"/>
  <c r="AC389" i="5"/>
  <c r="AB389" i="5"/>
  <c r="Z389" i="5"/>
  <c r="H389" i="5"/>
  <c r="AO389" i="5" s="1"/>
  <c r="G389" i="5"/>
  <c r="BW388" i="5"/>
  <c r="AL388" i="5"/>
  <c r="AJ388" i="5"/>
  <c r="AH388" i="5"/>
  <c r="AG388" i="5"/>
  <c r="AF388" i="5"/>
  <c r="AC388" i="5"/>
  <c r="AB388" i="5"/>
  <c r="Z388" i="5"/>
  <c r="H388" i="5"/>
  <c r="G388" i="5"/>
  <c r="O388" i="5" s="1"/>
  <c r="BF388" i="5" s="1"/>
  <c r="BW387" i="5"/>
  <c r="AL387" i="5"/>
  <c r="AJ387" i="5"/>
  <c r="AH387" i="5"/>
  <c r="AG387" i="5"/>
  <c r="AF387" i="5"/>
  <c r="AC387" i="5"/>
  <c r="AB387" i="5"/>
  <c r="Z387" i="5"/>
  <c r="H387" i="5"/>
  <c r="AP387" i="5" s="1"/>
  <c r="G387" i="5"/>
  <c r="O387" i="5" s="1"/>
  <c r="BF387" i="5" s="1"/>
  <c r="BW386" i="5"/>
  <c r="AL386" i="5"/>
  <c r="AJ386" i="5"/>
  <c r="AH386" i="5"/>
  <c r="AG386" i="5"/>
  <c r="AF386" i="5"/>
  <c r="AC386" i="5"/>
  <c r="AB386" i="5"/>
  <c r="Z386" i="5"/>
  <c r="H386" i="5"/>
  <c r="AP386" i="5" s="1"/>
  <c r="G386" i="5"/>
  <c r="BW385" i="5"/>
  <c r="AL385" i="5"/>
  <c r="AJ385" i="5"/>
  <c r="AH385" i="5"/>
  <c r="AG385" i="5"/>
  <c r="AF385" i="5"/>
  <c r="AC385" i="5"/>
  <c r="AB385" i="5"/>
  <c r="Z385" i="5"/>
  <c r="H385" i="5"/>
  <c r="AO385" i="5" s="1"/>
  <c r="G385" i="5"/>
  <c r="BW384" i="5"/>
  <c r="AL384" i="5"/>
  <c r="AJ384" i="5"/>
  <c r="AH384" i="5"/>
  <c r="AG384" i="5"/>
  <c r="AF384" i="5"/>
  <c r="AC384" i="5"/>
  <c r="AB384" i="5"/>
  <c r="Z384" i="5"/>
  <c r="H384" i="5"/>
  <c r="BD384" i="5" s="1"/>
  <c r="G384" i="5"/>
  <c r="O384" i="5" s="1"/>
  <c r="BF384" i="5" s="1"/>
  <c r="BW383" i="5"/>
  <c r="AL383" i="5"/>
  <c r="AJ383" i="5"/>
  <c r="AH383" i="5"/>
  <c r="AG383" i="5"/>
  <c r="AF383" i="5"/>
  <c r="AC383" i="5"/>
  <c r="AB383" i="5"/>
  <c r="Z383" i="5"/>
  <c r="H383" i="5"/>
  <c r="G383" i="5"/>
  <c r="BW382" i="5"/>
  <c r="AL382" i="5"/>
  <c r="AJ382" i="5"/>
  <c r="AH382" i="5"/>
  <c r="AG382" i="5"/>
  <c r="AF382" i="5"/>
  <c r="AC382" i="5"/>
  <c r="AB382" i="5"/>
  <c r="Z382" i="5"/>
  <c r="H382" i="5"/>
  <c r="G382" i="5"/>
  <c r="O382" i="5" s="1"/>
  <c r="BF382" i="5" s="1"/>
  <c r="BW381" i="5"/>
  <c r="AL381" i="5"/>
  <c r="AJ381" i="5"/>
  <c r="AH381" i="5"/>
  <c r="AG381" i="5"/>
  <c r="AF381" i="5"/>
  <c r="AC381" i="5"/>
  <c r="AB381" i="5"/>
  <c r="Z381" i="5"/>
  <c r="H381" i="5"/>
  <c r="AO381" i="5" s="1"/>
  <c r="G381" i="5"/>
  <c r="BW380" i="5"/>
  <c r="AL380" i="5"/>
  <c r="AJ380" i="5"/>
  <c r="AH380" i="5"/>
  <c r="AG380" i="5"/>
  <c r="AF380" i="5"/>
  <c r="AC380" i="5"/>
  <c r="AB380" i="5"/>
  <c r="Z380" i="5"/>
  <c r="H380" i="5"/>
  <c r="G380" i="5"/>
  <c r="O380" i="5" s="1"/>
  <c r="BF380" i="5" s="1"/>
  <c r="BW379" i="5"/>
  <c r="AL379" i="5"/>
  <c r="AJ379" i="5"/>
  <c r="AH379" i="5"/>
  <c r="AG379" i="5"/>
  <c r="AF379" i="5"/>
  <c r="AC379" i="5"/>
  <c r="AB379" i="5"/>
  <c r="Z379" i="5"/>
  <c r="H379" i="5"/>
  <c r="BD379" i="5" s="1"/>
  <c r="G379" i="5"/>
  <c r="BW378" i="5"/>
  <c r="AL378" i="5"/>
  <c r="AJ378" i="5"/>
  <c r="AH378" i="5"/>
  <c r="AG378" i="5"/>
  <c r="AF378" i="5"/>
  <c r="AC378" i="5"/>
  <c r="AB378" i="5"/>
  <c r="Z378" i="5"/>
  <c r="H378" i="5"/>
  <c r="BD378" i="5" s="1"/>
  <c r="G378" i="5"/>
  <c r="BW377" i="5"/>
  <c r="AL377" i="5"/>
  <c r="AJ377" i="5"/>
  <c r="AH377" i="5"/>
  <c r="AG377" i="5"/>
  <c r="AF377" i="5"/>
  <c r="AC377" i="5"/>
  <c r="AB377" i="5"/>
  <c r="Z377" i="5"/>
  <c r="H377" i="5"/>
  <c r="G377" i="5"/>
  <c r="BW376" i="5"/>
  <c r="AL376" i="5"/>
  <c r="AJ376" i="5"/>
  <c r="AH376" i="5"/>
  <c r="AG376" i="5"/>
  <c r="AF376" i="5"/>
  <c r="AC376" i="5"/>
  <c r="AB376" i="5"/>
  <c r="Z376" i="5"/>
  <c r="H376" i="5"/>
  <c r="BD376" i="5" s="1"/>
  <c r="G376" i="5"/>
  <c r="O376" i="5" s="1"/>
  <c r="BF376" i="5" s="1"/>
  <c r="BW375" i="5"/>
  <c r="AL375" i="5"/>
  <c r="AJ375" i="5"/>
  <c r="AH375" i="5"/>
  <c r="AG375" i="5"/>
  <c r="AF375" i="5"/>
  <c r="AC375" i="5"/>
  <c r="AB375" i="5"/>
  <c r="Z375" i="5"/>
  <c r="H375" i="5"/>
  <c r="G375" i="5"/>
  <c r="O375" i="5" s="1"/>
  <c r="BF375" i="5" s="1"/>
  <c r="BW374" i="5"/>
  <c r="AL374" i="5"/>
  <c r="AJ374" i="5"/>
  <c r="AH374" i="5"/>
  <c r="AG374" i="5"/>
  <c r="AF374" i="5"/>
  <c r="AC374" i="5"/>
  <c r="AB374" i="5"/>
  <c r="Z374" i="5"/>
  <c r="H374" i="5"/>
  <c r="BD374" i="5" s="1"/>
  <c r="G374" i="5"/>
  <c r="O374" i="5" s="1"/>
  <c r="BF374" i="5" s="1"/>
  <c r="BW373" i="5"/>
  <c r="AL373" i="5"/>
  <c r="AJ373" i="5"/>
  <c r="AH373" i="5"/>
  <c r="AG373" i="5"/>
  <c r="AF373" i="5"/>
  <c r="AC373" i="5"/>
  <c r="AB373" i="5"/>
  <c r="Z373" i="5"/>
  <c r="H373" i="5"/>
  <c r="G373" i="5"/>
  <c r="BW372" i="5"/>
  <c r="AL372" i="5"/>
  <c r="AJ372" i="5"/>
  <c r="AH372" i="5"/>
  <c r="AG372" i="5"/>
  <c r="AF372" i="5"/>
  <c r="AC372" i="5"/>
  <c r="AB372" i="5"/>
  <c r="Z372" i="5"/>
  <c r="H372" i="5"/>
  <c r="AO372" i="5" s="1"/>
  <c r="G372" i="5"/>
  <c r="BW369" i="5"/>
  <c r="AL369" i="5"/>
  <c r="AJ369" i="5"/>
  <c r="AH369" i="5"/>
  <c r="AG369" i="5"/>
  <c r="AF369" i="5"/>
  <c r="AE369" i="5"/>
  <c r="AD369" i="5"/>
  <c r="AC369" i="5"/>
  <c r="AB369" i="5"/>
  <c r="H369" i="5"/>
  <c r="G369" i="5"/>
  <c r="BW368" i="5"/>
  <c r="AL368" i="5"/>
  <c r="AJ368" i="5"/>
  <c r="AH368" i="5"/>
  <c r="AG368" i="5"/>
  <c r="AF368" i="5"/>
  <c r="AC368" i="5"/>
  <c r="AB368" i="5"/>
  <c r="Z368" i="5"/>
  <c r="H368" i="5"/>
  <c r="G368" i="5"/>
  <c r="O368" i="5" s="1"/>
  <c r="BF368" i="5" s="1"/>
  <c r="BW367" i="5"/>
  <c r="AL367" i="5"/>
  <c r="AJ367" i="5"/>
  <c r="AH367" i="5"/>
  <c r="AG367" i="5"/>
  <c r="AF367" i="5"/>
  <c r="AC367" i="5"/>
  <c r="AB367" i="5"/>
  <c r="Z367" i="5"/>
  <c r="H367" i="5"/>
  <c r="G367" i="5"/>
  <c r="O367" i="5" s="1"/>
  <c r="BF367" i="5" s="1"/>
  <c r="BW366" i="5"/>
  <c r="AL366" i="5"/>
  <c r="AJ366" i="5"/>
  <c r="AH366" i="5"/>
  <c r="AG366" i="5"/>
  <c r="AF366" i="5"/>
  <c r="AC366" i="5"/>
  <c r="AB366" i="5"/>
  <c r="Z366" i="5"/>
  <c r="H366" i="5"/>
  <c r="AP366" i="5" s="1"/>
  <c r="G366" i="5"/>
  <c r="BW365" i="5"/>
  <c r="AL365" i="5"/>
  <c r="AJ365" i="5"/>
  <c r="AH365" i="5"/>
  <c r="AG365" i="5"/>
  <c r="AF365" i="5"/>
  <c r="AC365" i="5"/>
  <c r="AB365" i="5"/>
  <c r="Z365" i="5"/>
  <c r="H365" i="5"/>
  <c r="AO365" i="5" s="1"/>
  <c r="G365" i="5"/>
  <c r="BW363" i="5"/>
  <c r="AL363" i="5"/>
  <c r="AJ363" i="5"/>
  <c r="AH363" i="5"/>
  <c r="AG363" i="5"/>
  <c r="AF363" i="5"/>
  <c r="AE363" i="5"/>
  <c r="AD363" i="5"/>
  <c r="AC363" i="5"/>
  <c r="AB363" i="5"/>
  <c r="H363" i="5"/>
  <c r="AP363" i="5" s="1"/>
  <c r="G363" i="5"/>
  <c r="BW361" i="5"/>
  <c r="AL361" i="5"/>
  <c r="AJ361" i="5"/>
  <c r="AH361" i="5"/>
  <c r="AG361" i="5"/>
  <c r="AF361" i="5"/>
  <c r="AC361" i="5"/>
  <c r="AB361" i="5"/>
  <c r="Z361" i="5"/>
  <c r="H361" i="5"/>
  <c r="G361" i="5"/>
  <c r="O361" i="5" s="1"/>
  <c r="BF361" i="5" s="1"/>
  <c r="BW360" i="5"/>
  <c r="AL360" i="5"/>
  <c r="AJ360" i="5"/>
  <c r="AH360" i="5"/>
  <c r="AG360" i="5"/>
  <c r="AF360" i="5"/>
  <c r="AC360" i="5"/>
  <c r="AB360" i="5"/>
  <c r="Z360" i="5"/>
  <c r="H360" i="5"/>
  <c r="AP360" i="5" s="1"/>
  <c r="G360" i="5"/>
  <c r="BW359" i="5"/>
  <c r="AL359" i="5"/>
  <c r="AJ359" i="5"/>
  <c r="AH359" i="5"/>
  <c r="AG359" i="5"/>
  <c r="AF359" i="5"/>
  <c r="AC359" i="5"/>
  <c r="AB359" i="5"/>
  <c r="Z359" i="5"/>
  <c r="H359" i="5"/>
  <c r="AP359" i="5" s="1"/>
  <c r="G359" i="5"/>
  <c r="BW358" i="5"/>
  <c r="AL358" i="5"/>
  <c r="AJ358" i="5"/>
  <c r="AH358" i="5"/>
  <c r="AG358" i="5"/>
  <c r="AF358" i="5"/>
  <c r="AC358" i="5"/>
  <c r="AB358" i="5"/>
  <c r="Z358" i="5"/>
  <c r="H358" i="5"/>
  <c r="G358" i="5"/>
  <c r="BW357" i="5"/>
  <c r="AL357" i="5"/>
  <c r="AJ357" i="5"/>
  <c r="AH357" i="5"/>
  <c r="AG357" i="5"/>
  <c r="AF357" i="5"/>
  <c r="AC357" i="5"/>
  <c r="AB357" i="5"/>
  <c r="Z357" i="5"/>
  <c r="H357" i="5"/>
  <c r="G357" i="5"/>
  <c r="O357" i="5" s="1"/>
  <c r="BF357" i="5" s="1"/>
  <c r="BW356" i="5"/>
  <c r="AL356" i="5"/>
  <c r="AJ356" i="5"/>
  <c r="AH356" i="5"/>
  <c r="AG356" i="5"/>
  <c r="AF356" i="5"/>
  <c r="AC356" i="5"/>
  <c r="AB356" i="5"/>
  <c r="Z356" i="5"/>
  <c r="H356" i="5"/>
  <c r="BD356" i="5" s="1"/>
  <c r="G356" i="5"/>
  <c r="BW355" i="5"/>
  <c r="AL355" i="5"/>
  <c r="AJ355" i="5"/>
  <c r="AH355" i="5"/>
  <c r="AG355" i="5"/>
  <c r="AF355" i="5"/>
  <c r="AC355" i="5"/>
  <c r="AB355" i="5"/>
  <c r="Z355" i="5"/>
  <c r="H355" i="5"/>
  <c r="AP355" i="5" s="1"/>
  <c r="G355" i="5"/>
  <c r="BW354" i="5"/>
  <c r="AL354" i="5"/>
  <c r="AJ354" i="5"/>
  <c r="AH354" i="5"/>
  <c r="AG354" i="5"/>
  <c r="AF354" i="5"/>
  <c r="AC354" i="5"/>
  <c r="AB354" i="5"/>
  <c r="Z354" i="5"/>
  <c r="H354" i="5"/>
  <c r="AO354" i="5" s="1"/>
  <c r="G354" i="5"/>
  <c r="O354" i="5" s="1"/>
  <c r="BF354" i="5" s="1"/>
  <c r="BW353" i="5"/>
  <c r="AL353" i="5"/>
  <c r="AJ353" i="5"/>
  <c r="AH353" i="5"/>
  <c r="AG353" i="5"/>
  <c r="AF353" i="5"/>
  <c r="AC353" i="5"/>
  <c r="AB353" i="5"/>
  <c r="Z353" i="5"/>
  <c r="H353" i="5"/>
  <c r="G353" i="5"/>
  <c r="O353" i="5" s="1"/>
  <c r="BF353" i="5" s="1"/>
  <c r="BW352" i="5"/>
  <c r="AL352" i="5"/>
  <c r="AJ352" i="5"/>
  <c r="AH352" i="5"/>
  <c r="AG352" i="5"/>
  <c r="AF352" i="5"/>
  <c r="AC352" i="5"/>
  <c r="AB352" i="5"/>
  <c r="Z352" i="5"/>
  <c r="H352" i="5"/>
  <c r="AO352" i="5" s="1"/>
  <c r="G352" i="5"/>
  <c r="BW351" i="5"/>
  <c r="AL351" i="5"/>
  <c r="AJ351" i="5"/>
  <c r="AH351" i="5"/>
  <c r="AG351" i="5"/>
  <c r="AF351" i="5"/>
  <c r="AC351" i="5"/>
  <c r="AB351" i="5"/>
  <c r="Z351" i="5"/>
  <c r="H351" i="5"/>
  <c r="G351" i="5"/>
  <c r="O351" i="5" s="1"/>
  <c r="BF351" i="5" s="1"/>
  <c r="BW350" i="5"/>
  <c r="AL350" i="5"/>
  <c r="AJ350" i="5"/>
  <c r="AH350" i="5"/>
  <c r="AG350" i="5"/>
  <c r="AF350" i="5"/>
  <c r="AC350" i="5"/>
  <c r="AB350" i="5"/>
  <c r="Z350" i="5"/>
  <c r="H350" i="5"/>
  <c r="AP350" i="5" s="1"/>
  <c r="G350" i="5"/>
  <c r="BW349" i="5"/>
  <c r="AL349" i="5"/>
  <c r="AJ349" i="5"/>
  <c r="AH349" i="5"/>
  <c r="AG349" i="5"/>
  <c r="AF349" i="5"/>
  <c r="AC349" i="5"/>
  <c r="AB349" i="5"/>
  <c r="Z349" i="5"/>
  <c r="H349" i="5"/>
  <c r="AP349" i="5" s="1"/>
  <c r="G349" i="5"/>
  <c r="BW348" i="5"/>
  <c r="AL348" i="5"/>
  <c r="AJ348" i="5"/>
  <c r="AH348" i="5"/>
  <c r="AG348" i="5"/>
  <c r="AF348" i="5"/>
  <c r="AC348" i="5"/>
  <c r="AB348" i="5"/>
  <c r="Z348" i="5"/>
  <c r="H348" i="5"/>
  <c r="BD348" i="5" s="1"/>
  <c r="G348" i="5"/>
  <c r="BW347" i="5"/>
  <c r="AL347" i="5"/>
  <c r="AJ347" i="5"/>
  <c r="AH347" i="5"/>
  <c r="AG347" i="5"/>
  <c r="AF347" i="5"/>
  <c r="AC347" i="5"/>
  <c r="AB347" i="5"/>
  <c r="Z347" i="5"/>
  <c r="H347" i="5"/>
  <c r="G347" i="5"/>
  <c r="O347" i="5" s="1"/>
  <c r="BF347" i="5" s="1"/>
  <c r="BW346" i="5"/>
  <c r="AL346" i="5"/>
  <c r="AJ346" i="5"/>
  <c r="AH346" i="5"/>
  <c r="AG346" i="5"/>
  <c r="AF346" i="5"/>
  <c r="AC346" i="5"/>
  <c r="AB346" i="5"/>
  <c r="Z346" i="5"/>
  <c r="H346" i="5"/>
  <c r="AO346" i="5" s="1"/>
  <c r="G346" i="5"/>
  <c r="BW345" i="5"/>
  <c r="AL345" i="5"/>
  <c r="AJ345" i="5"/>
  <c r="AH345" i="5"/>
  <c r="AG345" i="5"/>
  <c r="AF345" i="5"/>
  <c r="AC345" i="5"/>
  <c r="AB345" i="5"/>
  <c r="Z345" i="5"/>
  <c r="H345" i="5"/>
  <c r="G345" i="5"/>
  <c r="O345" i="5" s="1"/>
  <c r="BF345" i="5" s="1"/>
  <c r="BW344" i="5"/>
  <c r="AL344" i="5"/>
  <c r="AJ344" i="5"/>
  <c r="AH344" i="5"/>
  <c r="AG344" i="5"/>
  <c r="AF344" i="5"/>
  <c r="AC344" i="5"/>
  <c r="AB344" i="5"/>
  <c r="Z344" i="5"/>
  <c r="H344" i="5"/>
  <c r="AO344" i="5" s="1"/>
  <c r="G344" i="5"/>
  <c r="BW343" i="5"/>
  <c r="AL343" i="5"/>
  <c r="AJ343" i="5"/>
  <c r="AH343" i="5"/>
  <c r="AG343" i="5"/>
  <c r="AF343" i="5"/>
  <c r="AC343" i="5"/>
  <c r="AB343" i="5"/>
  <c r="Z343" i="5"/>
  <c r="H343" i="5"/>
  <c r="G343" i="5"/>
  <c r="O343" i="5" s="1"/>
  <c r="BW341" i="5"/>
  <c r="AL341" i="5"/>
  <c r="AJ341" i="5"/>
  <c r="AH341" i="5"/>
  <c r="AG341" i="5"/>
  <c r="AF341" i="5"/>
  <c r="AE341" i="5"/>
  <c r="AD341" i="5"/>
  <c r="AC341" i="5"/>
  <c r="AB341" i="5"/>
  <c r="H341" i="5"/>
  <c r="AO341" i="5" s="1"/>
  <c r="G341" i="5"/>
  <c r="BW340" i="5"/>
  <c r="AL340" i="5"/>
  <c r="AJ340" i="5"/>
  <c r="AH340" i="5"/>
  <c r="AG340" i="5"/>
  <c r="AF340" i="5"/>
  <c r="AC340" i="5"/>
  <c r="AB340" i="5"/>
  <c r="Z340" i="5"/>
  <c r="H340" i="5"/>
  <c r="G340" i="5"/>
  <c r="O340" i="5" s="1"/>
  <c r="BF340" i="5" s="1"/>
  <c r="BW339" i="5"/>
  <c r="AL339" i="5"/>
  <c r="AJ339" i="5"/>
  <c r="AH339" i="5"/>
  <c r="AG339" i="5"/>
  <c r="AF339" i="5"/>
  <c r="AC339" i="5"/>
  <c r="AB339" i="5"/>
  <c r="Z339" i="5"/>
  <c r="H339" i="5"/>
  <c r="BD339" i="5" s="1"/>
  <c r="G339" i="5"/>
  <c r="BW338" i="5"/>
  <c r="AL338" i="5"/>
  <c r="AJ338" i="5"/>
  <c r="AH338" i="5"/>
  <c r="AG338" i="5"/>
  <c r="AF338" i="5"/>
  <c r="AC338" i="5"/>
  <c r="AB338" i="5"/>
  <c r="Z338" i="5"/>
  <c r="H338" i="5"/>
  <c r="G338" i="5"/>
  <c r="O338" i="5" s="1"/>
  <c r="BF338" i="5" s="1"/>
  <c r="BW335" i="5"/>
  <c r="AL335" i="5"/>
  <c r="AJ335" i="5"/>
  <c r="AH335" i="5"/>
  <c r="AG335" i="5"/>
  <c r="AF335" i="5"/>
  <c r="AE335" i="5"/>
  <c r="AD335" i="5"/>
  <c r="AC335" i="5"/>
  <c r="AB335" i="5"/>
  <c r="H335" i="5"/>
  <c r="G335" i="5"/>
  <c r="BW334" i="5"/>
  <c r="AL334" i="5"/>
  <c r="AJ334" i="5"/>
  <c r="AH334" i="5"/>
  <c r="AG334" i="5"/>
  <c r="AF334" i="5"/>
  <c r="AC334" i="5"/>
  <c r="AB334" i="5"/>
  <c r="Z334" i="5"/>
  <c r="H334" i="5"/>
  <c r="BD334" i="5" s="1"/>
  <c r="G334" i="5"/>
  <c r="O334" i="5" s="1"/>
  <c r="BF334" i="5" s="1"/>
  <c r="BW333" i="5"/>
  <c r="AL333" i="5"/>
  <c r="AJ333" i="5"/>
  <c r="AH333" i="5"/>
  <c r="AG333" i="5"/>
  <c r="AF333" i="5"/>
  <c r="AC333" i="5"/>
  <c r="AB333" i="5"/>
  <c r="Z333" i="5"/>
  <c r="H333" i="5"/>
  <c r="AP333" i="5" s="1"/>
  <c r="G333" i="5"/>
  <c r="BW332" i="5"/>
  <c r="AL332" i="5"/>
  <c r="AJ332" i="5"/>
  <c r="AH332" i="5"/>
  <c r="AG332" i="5"/>
  <c r="AF332" i="5"/>
  <c r="AC332" i="5"/>
  <c r="AB332" i="5"/>
  <c r="Z332" i="5"/>
  <c r="H332" i="5"/>
  <c r="BD332" i="5" s="1"/>
  <c r="G332" i="5"/>
  <c r="O332" i="5" s="1"/>
  <c r="BF332" i="5" s="1"/>
  <c r="BW331" i="5"/>
  <c r="AL331" i="5"/>
  <c r="AJ331" i="5"/>
  <c r="AH331" i="5"/>
  <c r="AG331" i="5"/>
  <c r="AF331" i="5"/>
  <c r="AC331" i="5"/>
  <c r="AB331" i="5"/>
  <c r="Z331" i="5"/>
  <c r="H331" i="5"/>
  <c r="G331" i="5"/>
  <c r="BW329" i="5"/>
  <c r="AL329" i="5"/>
  <c r="AJ329" i="5"/>
  <c r="AH329" i="5"/>
  <c r="AG329" i="5"/>
  <c r="AF329" i="5"/>
  <c r="AE329" i="5"/>
  <c r="AD329" i="5"/>
  <c r="AC329" i="5"/>
  <c r="AB329" i="5"/>
  <c r="H329" i="5"/>
  <c r="BD329" i="5" s="1"/>
  <c r="G329" i="5"/>
  <c r="O329" i="5" s="1"/>
  <c r="BF329" i="5" s="1"/>
  <c r="BW327" i="5"/>
  <c r="AL327" i="5"/>
  <c r="AJ327" i="5"/>
  <c r="AH327" i="5"/>
  <c r="AG327" i="5"/>
  <c r="AF327" i="5"/>
  <c r="AC327" i="5"/>
  <c r="AB327" i="5"/>
  <c r="Z327" i="5"/>
  <c r="H327" i="5"/>
  <c r="G327" i="5"/>
  <c r="BW326" i="5"/>
  <c r="AL326" i="5"/>
  <c r="AJ326" i="5"/>
  <c r="AH326" i="5"/>
  <c r="AG326" i="5"/>
  <c r="AF326" i="5"/>
  <c r="AC326" i="5"/>
  <c r="AB326" i="5"/>
  <c r="Z326" i="5"/>
  <c r="H326" i="5"/>
  <c r="G326" i="5"/>
  <c r="O326" i="5" s="1"/>
  <c r="BF326" i="5" s="1"/>
  <c r="BW325" i="5"/>
  <c r="AL325" i="5"/>
  <c r="AJ325" i="5"/>
  <c r="AH325" i="5"/>
  <c r="AG325" i="5"/>
  <c r="AF325" i="5"/>
  <c r="AC325" i="5"/>
  <c r="AB325" i="5"/>
  <c r="Z325" i="5"/>
  <c r="H325" i="5"/>
  <c r="G325" i="5"/>
  <c r="BW324" i="5"/>
  <c r="AL324" i="5"/>
  <c r="AJ324" i="5"/>
  <c r="AH324" i="5"/>
  <c r="AG324" i="5"/>
  <c r="AF324" i="5"/>
  <c r="AC324" i="5"/>
  <c r="AB324" i="5"/>
  <c r="Z324" i="5"/>
  <c r="H324" i="5"/>
  <c r="G324" i="5"/>
  <c r="O324" i="5" s="1"/>
  <c r="BF324" i="5" s="1"/>
  <c r="BW323" i="5"/>
  <c r="AL323" i="5"/>
  <c r="AJ323" i="5"/>
  <c r="AH323" i="5"/>
  <c r="AG323" i="5"/>
  <c r="AF323" i="5"/>
  <c r="AC323" i="5"/>
  <c r="AB323" i="5"/>
  <c r="Z323" i="5"/>
  <c r="H323" i="5"/>
  <c r="G323" i="5"/>
  <c r="BW322" i="5"/>
  <c r="AL322" i="5"/>
  <c r="AJ322" i="5"/>
  <c r="AH322" i="5"/>
  <c r="AG322" i="5"/>
  <c r="AF322" i="5"/>
  <c r="AC322" i="5"/>
  <c r="AB322" i="5"/>
  <c r="Z322" i="5"/>
  <c r="H322" i="5"/>
  <c r="G322" i="5"/>
  <c r="O322" i="5" s="1"/>
  <c r="BF322" i="5" s="1"/>
  <c r="BW321" i="5"/>
  <c r="AL321" i="5"/>
  <c r="AJ321" i="5"/>
  <c r="AH321" i="5"/>
  <c r="AG321" i="5"/>
  <c r="AF321" i="5"/>
  <c r="AC321" i="5"/>
  <c r="AB321" i="5"/>
  <c r="Z321" i="5"/>
  <c r="H321" i="5"/>
  <c r="G321" i="5"/>
  <c r="BW320" i="5"/>
  <c r="AL320" i="5"/>
  <c r="AJ320" i="5"/>
  <c r="AH320" i="5"/>
  <c r="AG320" i="5"/>
  <c r="AF320" i="5"/>
  <c r="AC320" i="5"/>
  <c r="AB320" i="5"/>
  <c r="Z320" i="5"/>
  <c r="H320" i="5"/>
  <c r="BD320" i="5" s="1"/>
  <c r="G320" i="5"/>
  <c r="O320" i="5" s="1"/>
  <c r="BF320" i="5" s="1"/>
  <c r="BW319" i="5"/>
  <c r="AL319" i="5"/>
  <c r="AJ319" i="5"/>
  <c r="AH319" i="5"/>
  <c r="AG319" i="5"/>
  <c r="AF319" i="5"/>
  <c r="AC319" i="5"/>
  <c r="AB319" i="5"/>
  <c r="Z319" i="5"/>
  <c r="H319" i="5"/>
  <c r="AO319" i="5" s="1"/>
  <c r="G319" i="5"/>
  <c r="BW318" i="5"/>
  <c r="AL318" i="5"/>
  <c r="AJ318" i="5"/>
  <c r="AH318" i="5"/>
  <c r="AG318" i="5"/>
  <c r="AF318" i="5"/>
  <c r="AC318" i="5"/>
  <c r="AB318" i="5"/>
  <c r="Z318" i="5"/>
  <c r="H318" i="5"/>
  <c r="G318" i="5"/>
  <c r="BW317" i="5"/>
  <c r="AL317" i="5"/>
  <c r="AJ317" i="5"/>
  <c r="AH317" i="5"/>
  <c r="AG317" i="5"/>
  <c r="AF317" i="5"/>
  <c r="AC317" i="5"/>
  <c r="AB317" i="5"/>
  <c r="Z317" i="5"/>
  <c r="H317" i="5"/>
  <c r="G317" i="5"/>
  <c r="BW316" i="5"/>
  <c r="AL316" i="5"/>
  <c r="AJ316" i="5"/>
  <c r="AH316" i="5"/>
  <c r="AG316" i="5"/>
  <c r="AF316" i="5"/>
  <c r="AC316" i="5"/>
  <c r="AB316" i="5"/>
  <c r="Z316" i="5"/>
  <c r="H316" i="5"/>
  <c r="BD316" i="5" s="1"/>
  <c r="G316" i="5"/>
  <c r="BW315" i="5"/>
  <c r="AL315" i="5"/>
  <c r="AJ315" i="5"/>
  <c r="AH315" i="5"/>
  <c r="AG315" i="5"/>
  <c r="AF315" i="5"/>
  <c r="AC315" i="5"/>
  <c r="AB315" i="5"/>
  <c r="Z315" i="5"/>
  <c r="H315" i="5"/>
  <c r="G315" i="5"/>
  <c r="BW314" i="5"/>
  <c r="AL314" i="5"/>
  <c r="AJ314" i="5"/>
  <c r="AH314" i="5"/>
  <c r="AG314" i="5"/>
  <c r="AF314" i="5"/>
  <c r="AC314" i="5"/>
  <c r="AB314" i="5"/>
  <c r="Z314" i="5"/>
  <c r="H314" i="5"/>
  <c r="G314" i="5"/>
  <c r="O314" i="5" s="1"/>
  <c r="BF314" i="5" s="1"/>
  <c r="BW313" i="5"/>
  <c r="AL313" i="5"/>
  <c r="AJ313" i="5"/>
  <c r="AH313" i="5"/>
  <c r="AG313" i="5"/>
  <c r="AF313" i="5"/>
  <c r="AC313" i="5"/>
  <c r="AB313" i="5"/>
  <c r="Z313" i="5"/>
  <c r="H313" i="5"/>
  <c r="G313" i="5"/>
  <c r="BW312" i="5"/>
  <c r="AL312" i="5"/>
  <c r="AJ312" i="5"/>
  <c r="AH312" i="5"/>
  <c r="AG312" i="5"/>
  <c r="AF312" i="5"/>
  <c r="AC312" i="5"/>
  <c r="AB312" i="5"/>
  <c r="Z312" i="5"/>
  <c r="H312" i="5"/>
  <c r="AO312" i="5" s="1"/>
  <c r="G312" i="5"/>
  <c r="O312" i="5" s="1"/>
  <c r="BF312" i="5" s="1"/>
  <c r="BW311" i="5"/>
  <c r="AL311" i="5"/>
  <c r="AJ311" i="5"/>
  <c r="AH311" i="5"/>
  <c r="AG311" i="5"/>
  <c r="AF311" i="5"/>
  <c r="AC311" i="5"/>
  <c r="AB311" i="5"/>
  <c r="Z311" i="5"/>
  <c r="H311" i="5"/>
  <c r="G311" i="5"/>
  <c r="BW310" i="5"/>
  <c r="AL310" i="5"/>
  <c r="AJ310" i="5"/>
  <c r="AH310" i="5"/>
  <c r="AG310" i="5"/>
  <c r="AF310" i="5"/>
  <c r="AC310" i="5"/>
  <c r="AB310" i="5"/>
  <c r="Z310" i="5"/>
  <c r="H310" i="5"/>
  <c r="BD310" i="5" s="1"/>
  <c r="G310" i="5"/>
  <c r="O310" i="5" s="1"/>
  <c r="BF310" i="5" s="1"/>
  <c r="BW309" i="5"/>
  <c r="AL309" i="5"/>
  <c r="AJ309" i="5"/>
  <c r="AH309" i="5"/>
  <c r="AG309" i="5"/>
  <c r="AF309" i="5"/>
  <c r="AC309" i="5"/>
  <c r="AB309" i="5"/>
  <c r="Z309" i="5"/>
  <c r="H309" i="5"/>
  <c r="G309" i="5"/>
  <c r="BW307" i="5"/>
  <c r="AL307" i="5"/>
  <c r="AJ307" i="5"/>
  <c r="AH307" i="5"/>
  <c r="AG307" i="5"/>
  <c r="AF307" i="5"/>
  <c r="AE307" i="5"/>
  <c r="AD307" i="5"/>
  <c r="AC307" i="5"/>
  <c r="AB307" i="5"/>
  <c r="H307" i="5"/>
  <c r="AO307" i="5" s="1"/>
  <c r="G307" i="5"/>
  <c r="O307" i="5" s="1"/>
  <c r="BF307" i="5" s="1"/>
  <c r="BW306" i="5"/>
  <c r="AL306" i="5"/>
  <c r="AJ306" i="5"/>
  <c r="AH306" i="5"/>
  <c r="AG306" i="5"/>
  <c r="AF306" i="5"/>
  <c r="AC306" i="5"/>
  <c r="AB306" i="5"/>
  <c r="Z306" i="5"/>
  <c r="H306" i="5"/>
  <c r="G306" i="5"/>
  <c r="BW305" i="5"/>
  <c r="AL305" i="5"/>
  <c r="AJ305" i="5"/>
  <c r="AH305" i="5"/>
  <c r="AG305" i="5"/>
  <c r="AF305" i="5"/>
  <c r="AC305" i="5"/>
  <c r="AB305" i="5"/>
  <c r="Z305" i="5"/>
  <c r="H305" i="5"/>
  <c r="AP305" i="5" s="1"/>
  <c r="G305" i="5"/>
  <c r="O305" i="5" s="1"/>
  <c r="BF305" i="5" s="1"/>
  <c r="BW304" i="5"/>
  <c r="AL304" i="5"/>
  <c r="AJ304" i="5"/>
  <c r="AH304" i="5"/>
  <c r="AG304" i="5"/>
  <c r="AF304" i="5"/>
  <c r="AC304" i="5"/>
  <c r="AB304" i="5"/>
  <c r="Z304" i="5"/>
  <c r="H304" i="5"/>
  <c r="AO304" i="5" s="1"/>
  <c r="G304" i="5"/>
  <c r="BW301" i="5"/>
  <c r="AL301" i="5"/>
  <c r="AJ301" i="5"/>
  <c r="AH301" i="5"/>
  <c r="AG301" i="5"/>
  <c r="AF301" i="5"/>
  <c r="AE301" i="5"/>
  <c r="AD301" i="5"/>
  <c r="AC301" i="5"/>
  <c r="AB301" i="5"/>
  <c r="H301" i="5"/>
  <c r="AP301" i="5" s="1"/>
  <c r="G301" i="5"/>
  <c r="O301" i="5" s="1"/>
  <c r="BF301" i="5" s="1"/>
  <c r="BW300" i="5"/>
  <c r="AL300" i="5"/>
  <c r="AJ300" i="5"/>
  <c r="AH300" i="5"/>
  <c r="AG300" i="5"/>
  <c r="AF300" i="5"/>
  <c r="AC300" i="5"/>
  <c r="AB300" i="5"/>
  <c r="Z300" i="5"/>
  <c r="H300" i="5"/>
  <c r="G300" i="5"/>
  <c r="BW299" i="5"/>
  <c r="AL299" i="5"/>
  <c r="AJ299" i="5"/>
  <c r="AH299" i="5"/>
  <c r="AG299" i="5"/>
  <c r="AF299" i="5"/>
  <c r="AC299" i="5"/>
  <c r="AB299" i="5"/>
  <c r="Z299" i="5"/>
  <c r="H299" i="5"/>
  <c r="AO299" i="5" s="1"/>
  <c r="G299" i="5"/>
  <c r="O299" i="5" s="1"/>
  <c r="BF299" i="5" s="1"/>
  <c r="BW298" i="5"/>
  <c r="AL298" i="5"/>
  <c r="AJ298" i="5"/>
  <c r="AH298" i="5"/>
  <c r="AG298" i="5"/>
  <c r="AF298" i="5"/>
  <c r="AC298" i="5"/>
  <c r="AB298" i="5"/>
  <c r="Z298" i="5"/>
  <c r="H298" i="5"/>
  <c r="AO298" i="5" s="1"/>
  <c r="G298" i="5"/>
  <c r="BW297" i="5"/>
  <c r="AL297" i="5"/>
  <c r="AJ297" i="5"/>
  <c r="AH297" i="5"/>
  <c r="AG297" i="5"/>
  <c r="AF297" i="5"/>
  <c r="AC297" i="5"/>
  <c r="AB297" i="5"/>
  <c r="Z297" i="5"/>
  <c r="H297" i="5"/>
  <c r="BD297" i="5" s="1"/>
  <c r="G297" i="5"/>
  <c r="O297" i="5" s="1"/>
  <c r="BF297" i="5" s="1"/>
  <c r="BW295" i="5"/>
  <c r="AL295" i="5"/>
  <c r="AJ295" i="5"/>
  <c r="AH295" i="5"/>
  <c r="AG295" i="5"/>
  <c r="AF295" i="5"/>
  <c r="AE295" i="5"/>
  <c r="AD295" i="5"/>
  <c r="AC295" i="5"/>
  <c r="AB295" i="5"/>
  <c r="H295" i="5"/>
  <c r="AP295" i="5" s="1"/>
  <c r="G295" i="5"/>
  <c r="BW293" i="5"/>
  <c r="AL293" i="5"/>
  <c r="AJ293" i="5"/>
  <c r="AH293" i="5"/>
  <c r="AG293" i="5"/>
  <c r="AF293" i="5"/>
  <c r="AC293" i="5"/>
  <c r="AB293" i="5"/>
  <c r="Z293" i="5"/>
  <c r="H293" i="5"/>
  <c r="G293" i="5"/>
  <c r="BW292" i="5"/>
  <c r="AL292" i="5"/>
  <c r="AJ292" i="5"/>
  <c r="AH292" i="5"/>
  <c r="AG292" i="5"/>
  <c r="AF292" i="5"/>
  <c r="AC292" i="5"/>
  <c r="AB292" i="5"/>
  <c r="Z292" i="5"/>
  <c r="H292" i="5"/>
  <c r="AO292" i="5" s="1"/>
  <c r="G292" i="5"/>
  <c r="BW291" i="5"/>
  <c r="AL291" i="5"/>
  <c r="AJ291" i="5"/>
  <c r="AH291" i="5"/>
  <c r="AG291" i="5"/>
  <c r="AF291" i="5"/>
  <c r="AC291" i="5"/>
  <c r="AB291" i="5"/>
  <c r="Z291" i="5"/>
  <c r="H291" i="5"/>
  <c r="BD291" i="5" s="1"/>
  <c r="G291" i="5"/>
  <c r="O291" i="5" s="1"/>
  <c r="BF291" i="5" s="1"/>
  <c r="BW290" i="5"/>
  <c r="AL290" i="5"/>
  <c r="AJ290" i="5"/>
  <c r="AH290" i="5"/>
  <c r="AG290" i="5"/>
  <c r="AF290" i="5"/>
  <c r="AC290" i="5"/>
  <c r="AB290" i="5"/>
  <c r="Z290" i="5"/>
  <c r="H290" i="5"/>
  <c r="AP290" i="5" s="1"/>
  <c r="G290" i="5"/>
  <c r="BW289" i="5"/>
  <c r="AL289" i="5"/>
  <c r="AJ289" i="5"/>
  <c r="AH289" i="5"/>
  <c r="AG289" i="5"/>
  <c r="AF289" i="5"/>
  <c r="AC289" i="5"/>
  <c r="AB289" i="5"/>
  <c r="Z289" i="5"/>
  <c r="H289" i="5"/>
  <c r="AP289" i="5" s="1"/>
  <c r="G289" i="5"/>
  <c r="BW288" i="5"/>
  <c r="AL288" i="5"/>
  <c r="AJ288" i="5"/>
  <c r="AH288" i="5"/>
  <c r="AG288" i="5"/>
  <c r="AF288" i="5"/>
  <c r="AC288" i="5"/>
  <c r="AB288" i="5"/>
  <c r="Z288" i="5"/>
  <c r="H288" i="5"/>
  <c r="AO288" i="5" s="1"/>
  <c r="G288" i="5"/>
  <c r="BW287" i="5"/>
  <c r="AL287" i="5"/>
  <c r="AJ287" i="5"/>
  <c r="AH287" i="5"/>
  <c r="AG287" i="5"/>
  <c r="AF287" i="5"/>
  <c r="AC287" i="5"/>
  <c r="AB287" i="5"/>
  <c r="Z287" i="5"/>
  <c r="H287" i="5"/>
  <c r="G287" i="5"/>
  <c r="O287" i="5" s="1"/>
  <c r="BF287" i="5" s="1"/>
  <c r="BW286" i="5"/>
  <c r="AL286" i="5"/>
  <c r="AJ286" i="5"/>
  <c r="AH286" i="5"/>
  <c r="AG286" i="5"/>
  <c r="AF286" i="5"/>
  <c r="AC286" i="5"/>
  <c r="AB286" i="5"/>
  <c r="Z286" i="5"/>
  <c r="H286" i="5"/>
  <c r="BD286" i="5" s="1"/>
  <c r="G286" i="5"/>
  <c r="BW284" i="5"/>
  <c r="AL284" i="5"/>
  <c r="AJ284" i="5"/>
  <c r="AH284" i="5"/>
  <c r="AG284" i="5"/>
  <c r="AF284" i="5"/>
  <c r="AC284" i="5"/>
  <c r="AB284" i="5"/>
  <c r="Z284" i="5"/>
  <c r="H284" i="5"/>
  <c r="G284" i="5"/>
  <c r="O284" i="5" s="1"/>
  <c r="BF284" i="5" s="1"/>
  <c r="BW282" i="5"/>
  <c r="AL282" i="5"/>
  <c r="AJ282" i="5"/>
  <c r="AH282" i="5"/>
  <c r="AG282" i="5"/>
  <c r="AF282" i="5"/>
  <c r="AC282" i="5"/>
  <c r="AB282" i="5"/>
  <c r="Z282" i="5"/>
  <c r="H282" i="5"/>
  <c r="AO282" i="5" s="1"/>
  <c r="G282" i="5"/>
  <c r="O282" i="5" s="1"/>
  <c r="BF282" i="5" s="1"/>
  <c r="BW280" i="5"/>
  <c r="AL280" i="5"/>
  <c r="AJ280" i="5"/>
  <c r="AH280" i="5"/>
  <c r="AG280" i="5"/>
  <c r="AF280" i="5"/>
  <c r="AC280" i="5"/>
  <c r="AB280" i="5"/>
  <c r="Z280" i="5"/>
  <c r="H280" i="5"/>
  <c r="AP280" i="5" s="1"/>
  <c r="G280" i="5"/>
  <c r="BW278" i="5"/>
  <c r="AL278" i="5"/>
  <c r="AJ278" i="5"/>
  <c r="AH278" i="5"/>
  <c r="AG278" i="5"/>
  <c r="AF278" i="5"/>
  <c r="AC278" i="5"/>
  <c r="AB278" i="5"/>
  <c r="Z278" i="5"/>
  <c r="H278" i="5"/>
  <c r="AO278" i="5" s="1"/>
  <c r="G278" i="5"/>
  <c r="O278" i="5" s="1"/>
  <c r="BF278" i="5" s="1"/>
  <c r="BW276" i="5"/>
  <c r="AL276" i="5"/>
  <c r="AJ276" i="5"/>
  <c r="AH276" i="5"/>
  <c r="AG276" i="5"/>
  <c r="AF276" i="5"/>
  <c r="AC276" i="5"/>
  <c r="AB276" i="5"/>
  <c r="Z276" i="5"/>
  <c r="H276" i="5"/>
  <c r="G276" i="5"/>
  <c r="BW274" i="5"/>
  <c r="AL274" i="5"/>
  <c r="AJ274" i="5"/>
  <c r="AH274" i="5"/>
  <c r="AG274" i="5"/>
  <c r="AF274" i="5"/>
  <c r="AC274" i="5"/>
  <c r="AB274" i="5"/>
  <c r="Z274" i="5"/>
  <c r="H274" i="5"/>
  <c r="AO274" i="5" s="1"/>
  <c r="G274" i="5"/>
  <c r="BW273" i="5"/>
  <c r="AL273" i="5"/>
  <c r="AJ273" i="5"/>
  <c r="AH273" i="5"/>
  <c r="AG273" i="5"/>
  <c r="AF273" i="5"/>
  <c r="AC273" i="5"/>
  <c r="AB273" i="5"/>
  <c r="Z273" i="5"/>
  <c r="H273" i="5"/>
  <c r="AP273" i="5" s="1"/>
  <c r="G273" i="5"/>
  <c r="BW272" i="5"/>
  <c r="AL272" i="5"/>
  <c r="AJ272" i="5"/>
  <c r="AH272" i="5"/>
  <c r="AG272" i="5"/>
  <c r="AF272" i="5"/>
  <c r="AC272" i="5"/>
  <c r="AB272" i="5"/>
  <c r="Z272" i="5"/>
  <c r="H272" i="5"/>
  <c r="AO272" i="5" s="1"/>
  <c r="G272" i="5"/>
  <c r="BW270" i="5"/>
  <c r="AL270" i="5"/>
  <c r="AJ270" i="5"/>
  <c r="AH270" i="5"/>
  <c r="AG270" i="5"/>
  <c r="AF270" i="5"/>
  <c r="AC270" i="5"/>
  <c r="AB270" i="5"/>
  <c r="Z270" i="5"/>
  <c r="H270" i="5"/>
  <c r="G270" i="5"/>
  <c r="BW269" i="5"/>
  <c r="AL269" i="5"/>
  <c r="AJ269" i="5"/>
  <c r="AH269" i="5"/>
  <c r="AG269" i="5"/>
  <c r="AF269" i="5"/>
  <c r="AC269" i="5"/>
  <c r="AB269" i="5"/>
  <c r="Z269" i="5"/>
  <c r="H269" i="5"/>
  <c r="AP269" i="5" s="1"/>
  <c r="G269" i="5"/>
  <c r="O269" i="5" s="1"/>
  <c r="BF269" i="5" s="1"/>
  <c r="BW268" i="5"/>
  <c r="AL268" i="5"/>
  <c r="AJ268" i="5"/>
  <c r="AH268" i="5"/>
  <c r="AG268" i="5"/>
  <c r="AF268" i="5"/>
  <c r="AC268" i="5"/>
  <c r="AB268" i="5"/>
  <c r="Z268" i="5"/>
  <c r="H268" i="5"/>
  <c r="G268" i="5"/>
  <c r="BW266" i="5"/>
  <c r="AL266" i="5"/>
  <c r="AJ266" i="5"/>
  <c r="AH266" i="5"/>
  <c r="AG266" i="5"/>
  <c r="AF266" i="5"/>
  <c r="AE266" i="5"/>
  <c r="AD266" i="5"/>
  <c r="AC266" i="5"/>
  <c r="AB266" i="5"/>
  <c r="H266" i="5"/>
  <c r="G266" i="5"/>
  <c r="O266" i="5" s="1"/>
  <c r="BF266" i="5" s="1"/>
  <c r="BW265" i="5"/>
  <c r="AL265" i="5"/>
  <c r="AJ265" i="5"/>
  <c r="AH265" i="5"/>
  <c r="AG265" i="5"/>
  <c r="AF265" i="5"/>
  <c r="AC265" i="5"/>
  <c r="AB265" i="5"/>
  <c r="Z265" i="5"/>
  <c r="H265" i="5"/>
  <c r="G265" i="5"/>
  <c r="BW264" i="5"/>
  <c r="AL264" i="5"/>
  <c r="AJ264" i="5"/>
  <c r="AH264" i="5"/>
  <c r="AG264" i="5"/>
  <c r="AF264" i="5"/>
  <c r="AC264" i="5"/>
  <c r="AB264" i="5"/>
  <c r="Z264" i="5"/>
  <c r="H264" i="5"/>
  <c r="BD264" i="5" s="1"/>
  <c r="G264" i="5"/>
  <c r="O264" i="5" s="1"/>
  <c r="BF264" i="5" s="1"/>
  <c r="BW263" i="5"/>
  <c r="AL263" i="5"/>
  <c r="AJ263" i="5"/>
  <c r="AH263" i="5"/>
  <c r="AG263" i="5"/>
  <c r="AF263" i="5"/>
  <c r="AC263" i="5"/>
  <c r="AB263" i="5"/>
  <c r="Z263" i="5"/>
  <c r="H263" i="5"/>
  <c r="G263" i="5"/>
  <c r="BW260" i="5"/>
  <c r="AL260" i="5"/>
  <c r="AJ260" i="5"/>
  <c r="AH260" i="5"/>
  <c r="AG260" i="5"/>
  <c r="AF260" i="5"/>
  <c r="AE260" i="5"/>
  <c r="AD260" i="5"/>
  <c r="AC260" i="5"/>
  <c r="AB260" i="5"/>
  <c r="H260" i="5"/>
  <c r="G260" i="5"/>
  <c r="BW259" i="5"/>
  <c r="AL259" i="5"/>
  <c r="AJ259" i="5"/>
  <c r="AH259" i="5"/>
  <c r="AG259" i="5"/>
  <c r="AF259" i="5"/>
  <c r="AC259" i="5"/>
  <c r="AB259" i="5"/>
  <c r="Z259" i="5"/>
  <c r="H259" i="5"/>
  <c r="G259" i="5"/>
  <c r="BW258" i="5"/>
  <c r="AL258" i="5"/>
  <c r="AJ258" i="5"/>
  <c r="AH258" i="5"/>
  <c r="AG258" i="5"/>
  <c r="AF258" i="5"/>
  <c r="AC258" i="5"/>
  <c r="AB258" i="5"/>
  <c r="Z258" i="5"/>
  <c r="H258" i="5"/>
  <c r="AO258" i="5" s="1"/>
  <c r="G258" i="5"/>
  <c r="BW257" i="5"/>
  <c r="AL257" i="5"/>
  <c r="AJ257" i="5"/>
  <c r="AH257" i="5"/>
  <c r="AG257" i="5"/>
  <c r="AF257" i="5"/>
  <c r="AC257" i="5"/>
  <c r="AB257" i="5"/>
  <c r="Z257" i="5"/>
  <c r="H257" i="5"/>
  <c r="G257" i="5"/>
  <c r="O257" i="5" s="1"/>
  <c r="BF257" i="5" s="1"/>
  <c r="BW256" i="5"/>
  <c r="AL256" i="5"/>
  <c r="AJ256" i="5"/>
  <c r="AH256" i="5"/>
  <c r="AG256" i="5"/>
  <c r="AF256" i="5"/>
  <c r="AC256" i="5"/>
  <c r="AB256" i="5"/>
  <c r="Z256" i="5"/>
  <c r="H256" i="5"/>
  <c r="BD256" i="5" s="1"/>
  <c r="G256" i="5"/>
  <c r="BW255" i="5"/>
  <c r="AL255" i="5"/>
  <c r="AJ255" i="5"/>
  <c r="AH255" i="5"/>
  <c r="AG255" i="5"/>
  <c r="AF255" i="5"/>
  <c r="AC255" i="5"/>
  <c r="AB255" i="5"/>
  <c r="Z255" i="5"/>
  <c r="H255" i="5"/>
  <c r="AO255" i="5" s="1"/>
  <c r="G255" i="5"/>
  <c r="O255" i="5" s="1"/>
  <c r="BF255" i="5" s="1"/>
  <c r="BW254" i="5"/>
  <c r="AL254" i="5"/>
  <c r="AJ254" i="5"/>
  <c r="AH254" i="5"/>
  <c r="AG254" i="5"/>
  <c r="AF254" i="5"/>
  <c r="AC254" i="5"/>
  <c r="AB254" i="5"/>
  <c r="Z254" i="5"/>
  <c r="H254" i="5"/>
  <c r="AO254" i="5" s="1"/>
  <c r="G254" i="5"/>
  <c r="BW253" i="5"/>
  <c r="AL253" i="5"/>
  <c r="AJ253" i="5"/>
  <c r="AH253" i="5"/>
  <c r="AG253" i="5"/>
  <c r="AF253" i="5"/>
  <c r="AC253" i="5"/>
  <c r="AB253" i="5"/>
  <c r="Z253" i="5"/>
  <c r="H253" i="5"/>
  <c r="AO253" i="5" s="1"/>
  <c r="G253" i="5"/>
  <c r="O253" i="5" s="1"/>
  <c r="BF253" i="5" s="1"/>
  <c r="BW252" i="5"/>
  <c r="AL252" i="5"/>
  <c r="AJ252" i="5"/>
  <c r="AH252" i="5"/>
  <c r="AG252" i="5"/>
  <c r="AF252" i="5"/>
  <c r="AC252" i="5"/>
  <c r="AB252" i="5"/>
  <c r="Z252" i="5"/>
  <c r="H252" i="5"/>
  <c r="G252" i="5"/>
  <c r="BW251" i="5"/>
  <c r="AL251" i="5"/>
  <c r="AJ251" i="5"/>
  <c r="AH251" i="5"/>
  <c r="AG251" i="5"/>
  <c r="AF251" i="5"/>
  <c r="AC251" i="5"/>
  <c r="AB251" i="5"/>
  <c r="Z251" i="5"/>
  <c r="H251" i="5"/>
  <c r="AO251" i="5" s="1"/>
  <c r="G251" i="5"/>
  <c r="O251" i="5" s="1"/>
  <c r="BF251" i="5" s="1"/>
  <c r="BW250" i="5"/>
  <c r="AL250" i="5"/>
  <c r="AJ250" i="5"/>
  <c r="AH250" i="5"/>
  <c r="AG250" i="5"/>
  <c r="AF250" i="5"/>
  <c r="AC250" i="5"/>
  <c r="AB250" i="5"/>
  <c r="Z250" i="5"/>
  <c r="H250" i="5"/>
  <c r="G250" i="5"/>
  <c r="BW249" i="5"/>
  <c r="AL249" i="5"/>
  <c r="AJ249" i="5"/>
  <c r="AH249" i="5"/>
  <c r="AG249" i="5"/>
  <c r="AF249" i="5"/>
  <c r="AC249" i="5"/>
  <c r="AB249" i="5"/>
  <c r="Z249" i="5"/>
  <c r="H249" i="5"/>
  <c r="AO249" i="5" s="1"/>
  <c r="G249" i="5"/>
  <c r="O249" i="5" s="1"/>
  <c r="BF249" i="5" s="1"/>
  <c r="BW248" i="5"/>
  <c r="AL248" i="5"/>
  <c r="AJ248" i="5"/>
  <c r="AH248" i="5"/>
  <c r="AG248" i="5"/>
  <c r="AF248" i="5"/>
  <c r="AC248" i="5"/>
  <c r="AB248" i="5"/>
  <c r="Z248" i="5"/>
  <c r="H248" i="5"/>
  <c r="AO248" i="5" s="1"/>
  <c r="G248" i="5"/>
  <c r="BW247" i="5"/>
  <c r="AL247" i="5"/>
  <c r="AJ247" i="5"/>
  <c r="AH247" i="5"/>
  <c r="AG247" i="5"/>
  <c r="AF247" i="5"/>
  <c r="AC247" i="5"/>
  <c r="AB247" i="5"/>
  <c r="Z247" i="5"/>
  <c r="H247" i="5"/>
  <c r="G247" i="5"/>
  <c r="BW246" i="5"/>
  <c r="AL246" i="5"/>
  <c r="AJ246" i="5"/>
  <c r="AH246" i="5"/>
  <c r="AG246" i="5"/>
  <c r="AF246" i="5"/>
  <c r="AC246" i="5"/>
  <c r="AB246" i="5"/>
  <c r="Z246" i="5"/>
  <c r="H246" i="5"/>
  <c r="AO246" i="5" s="1"/>
  <c r="G246" i="5"/>
  <c r="BW245" i="5"/>
  <c r="AL245" i="5"/>
  <c r="AJ245" i="5"/>
  <c r="AH245" i="5"/>
  <c r="AG245" i="5"/>
  <c r="AF245" i="5"/>
  <c r="AC245" i="5"/>
  <c r="AB245" i="5"/>
  <c r="Z245" i="5"/>
  <c r="H245" i="5"/>
  <c r="G245" i="5"/>
  <c r="O245" i="5" s="1"/>
  <c r="BF245" i="5" s="1"/>
  <c r="BW244" i="5"/>
  <c r="AL244" i="5"/>
  <c r="AJ244" i="5"/>
  <c r="AH244" i="5"/>
  <c r="AG244" i="5"/>
  <c r="AF244" i="5"/>
  <c r="AC244" i="5"/>
  <c r="AB244" i="5"/>
  <c r="Z244" i="5"/>
  <c r="H244" i="5"/>
  <c r="AO244" i="5" s="1"/>
  <c r="G244" i="5"/>
  <c r="BW243" i="5"/>
  <c r="AL243" i="5"/>
  <c r="AJ243" i="5"/>
  <c r="AH243" i="5"/>
  <c r="AG243" i="5"/>
  <c r="AF243" i="5"/>
  <c r="AC243" i="5"/>
  <c r="AB243" i="5"/>
  <c r="Z243" i="5"/>
  <c r="H243" i="5"/>
  <c r="AP243" i="5" s="1"/>
  <c r="G243" i="5"/>
  <c r="O243" i="5" s="1"/>
  <c r="BF243" i="5" s="1"/>
  <c r="BW242" i="5"/>
  <c r="AL242" i="5"/>
  <c r="AJ242" i="5"/>
  <c r="AH242" i="5"/>
  <c r="AG242" i="5"/>
  <c r="AF242" i="5"/>
  <c r="AC242" i="5"/>
  <c r="AB242" i="5"/>
  <c r="Z242" i="5"/>
  <c r="H242" i="5"/>
  <c r="G242" i="5"/>
  <c r="BW241" i="5"/>
  <c r="AL241" i="5"/>
  <c r="AJ241" i="5"/>
  <c r="AH241" i="5"/>
  <c r="AG241" i="5"/>
  <c r="AF241" i="5"/>
  <c r="AC241" i="5"/>
  <c r="AB241" i="5"/>
  <c r="Z241" i="5"/>
  <c r="H241" i="5"/>
  <c r="G241" i="5"/>
  <c r="O241" i="5" s="1"/>
  <c r="BF241" i="5" s="1"/>
  <c r="BW240" i="5"/>
  <c r="AL240" i="5"/>
  <c r="AJ240" i="5"/>
  <c r="AH240" i="5"/>
  <c r="AG240" i="5"/>
  <c r="AF240" i="5"/>
  <c r="AC240" i="5"/>
  <c r="AB240" i="5"/>
  <c r="Z240" i="5"/>
  <c r="H240" i="5"/>
  <c r="AO240" i="5" s="1"/>
  <c r="G240" i="5"/>
  <c r="BW239" i="5"/>
  <c r="AL239" i="5"/>
  <c r="AJ239" i="5"/>
  <c r="AH239" i="5"/>
  <c r="AG239" i="5"/>
  <c r="AF239" i="5"/>
  <c r="AC239" i="5"/>
  <c r="AB239" i="5"/>
  <c r="Z239" i="5"/>
  <c r="H239" i="5"/>
  <c r="AP239" i="5" s="1"/>
  <c r="G239" i="5"/>
  <c r="O239" i="5" s="1"/>
  <c r="BF239" i="5" s="1"/>
  <c r="BW238" i="5"/>
  <c r="AL238" i="5"/>
  <c r="AJ238" i="5"/>
  <c r="AH238" i="5"/>
  <c r="AG238" i="5"/>
  <c r="AF238" i="5"/>
  <c r="AC238" i="5"/>
  <c r="AB238" i="5"/>
  <c r="Z238" i="5"/>
  <c r="H238" i="5"/>
  <c r="G238" i="5"/>
  <c r="BW237" i="5"/>
  <c r="AL237" i="5"/>
  <c r="AJ237" i="5"/>
  <c r="AH237" i="5"/>
  <c r="AG237" i="5"/>
  <c r="AF237" i="5"/>
  <c r="AC237" i="5"/>
  <c r="AB237" i="5"/>
  <c r="Z237" i="5"/>
  <c r="H237" i="5"/>
  <c r="BD237" i="5" s="1"/>
  <c r="G237" i="5"/>
  <c r="O237" i="5" s="1"/>
  <c r="BF237" i="5" s="1"/>
  <c r="BW236" i="5"/>
  <c r="AL236" i="5"/>
  <c r="AJ236" i="5"/>
  <c r="AH236" i="5"/>
  <c r="AG236" i="5"/>
  <c r="AF236" i="5"/>
  <c r="AC236" i="5"/>
  <c r="AB236" i="5"/>
  <c r="Z236" i="5"/>
  <c r="H236" i="5"/>
  <c r="AO236" i="5" s="1"/>
  <c r="G236" i="5"/>
  <c r="BW235" i="5"/>
  <c r="AL235" i="5"/>
  <c r="AJ235" i="5"/>
  <c r="AH235" i="5"/>
  <c r="AG235" i="5"/>
  <c r="AF235" i="5"/>
  <c r="AC235" i="5"/>
  <c r="AB235" i="5"/>
  <c r="Z235" i="5"/>
  <c r="H235" i="5"/>
  <c r="BD235" i="5" s="1"/>
  <c r="G235" i="5"/>
  <c r="O235" i="5" s="1"/>
  <c r="BF235" i="5" s="1"/>
  <c r="BW234" i="5"/>
  <c r="AL234" i="5"/>
  <c r="AJ234" i="5"/>
  <c r="AH234" i="5"/>
  <c r="AG234" i="5"/>
  <c r="AF234" i="5"/>
  <c r="AC234" i="5"/>
  <c r="AB234" i="5"/>
  <c r="Z234" i="5"/>
  <c r="H234" i="5"/>
  <c r="G234" i="5"/>
  <c r="BW232" i="5"/>
  <c r="AL232" i="5"/>
  <c r="AJ232" i="5"/>
  <c r="AH232" i="5"/>
  <c r="AG232" i="5"/>
  <c r="AF232" i="5"/>
  <c r="AC232" i="5"/>
  <c r="AB232" i="5"/>
  <c r="Z232" i="5"/>
  <c r="H232" i="5"/>
  <c r="BD232" i="5" s="1"/>
  <c r="G232" i="5"/>
  <c r="O232" i="5" s="1"/>
  <c r="BF232" i="5" s="1"/>
  <c r="BW231" i="5"/>
  <c r="AL231" i="5"/>
  <c r="AJ231" i="5"/>
  <c r="AH231" i="5"/>
  <c r="AG231" i="5"/>
  <c r="AF231" i="5"/>
  <c r="AC231" i="5"/>
  <c r="AB231" i="5"/>
  <c r="Z231" i="5"/>
  <c r="H231" i="5"/>
  <c r="G231" i="5"/>
  <c r="O231" i="5" s="1"/>
  <c r="BF231" i="5" s="1"/>
  <c r="BW230" i="5"/>
  <c r="AL230" i="5"/>
  <c r="AJ230" i="5"/>
  <c r="AH230" i="5"/>
  <c r="AG230" i="5"/>
  <c r="AF230" i="5"/>
  <c r="AC230" i="5"/>
  <c r="AB230" i="5"/>
  <c r="Z230" i="5"/>
  <c r="H230" i="5"/>
  <c r="AO230" i="5" s="1"/>
  <c r="G230" i="5"/>
  <c r="BW228" i="5"/>
  <c r="AL228" i="5"/>
  <c r="AJ228" i="5"/>
  <c r="AH228" i="5"/>
  <c r="AG228" i="5"/>
  <c r="AF228" i="5"/>
  <c r="AC228" i="5"/>
  <c r="AB228" i="5"/>
  <c r="Z228" i="5"/>
  <c r="H228" i="5"/>
  <c r="BD228" i="5" s="1"/>
  <c r="G228" i="5"/>
  <c r="BW227" i="5"/>
  <c r="AL227" i="5"/>
  <c r="AJ227" i="5"/>
  <c r="AH227" i="5"/>
  <c r="AG227" i="5"/>
  <c r="AF227" i="5"/>
  <c r="AC227" i="5"/>
  <c r="AB227" i="5"/>
  <c r="Z227" i="5"/>
  <c r="H227" i="5"/>
  <c r="AP227" i="5" s="1"/>
  <c r="G227" i="5"/>
  <c r="BW226" i="5"/>
  <c r="AL226" i="5"/>
  <c r="AJ226" i="5"/>
  <c r="AH226" i="5"/>
  <c r="AG226" i="5"/>
  <c r="AF226" i="5"/>
  <c r="AC226" i="5"/>
  <c r="AB226" i="5"/>
  <c r="Z226" i="5"/>
  <c r="H226" i="5"/>
  <c r="G226" i="5"/>
  <c r="BW225" i="5"/>
  <c r="AL225" i="5"/>
  <c r="AJ225" i="5"/>
  <c r="AH225" i="5"/>
  <c r="AG225" i="5"/>
  <c r="AF225" i="5"/>
  <c r="AC225" i="5"/>
  <c r="AB225" i="5"/>
  <c r="Z225" i="5"/>
  <c r="H225" i="5"/>
  <c r="G225" i="5"/>
  <c r="BW224" i="5"/>
  <c r="AL224" i="5"/>
  <c r="AJ224" i="5"/>
  <c r="AH224" i="5"/>
  <c r="AG224" i="5"/>
  <c r="AF224" i="5"/>
  <c r="AC224" i="5"/>
  <c r="AB224" i="5"/>
  <c r="Z224" i="5"/>
  <c r="H224" i="5"/>
  <c r="AO224" i="5" s="1"/>
  <c r="G224" i="5"/>
  <c r="O224" i="5" s="1"/>
  <c r="BF224" i="5" s="1"/>
  <c r="BW223" i="5"/>
  <c r="AL223" i="5"/>
  <c r="AJ223" i="5"/>
  <c r="AH223" i="5"/>
  <c r="AG223" i="5"/>
  <c r="AF223" i="5"/>
  <c r="AC223" i="5"/>
  <c r="AB223" i="5"/>
  <c r="Z223" i="5"/>
  <c r="H223" i="5"/>
  <c r="AO223" i="5" s="1"/>
  <c r="G223" i="5"/>
  <c r="BW222" i="5"/>
  <c r="AL222" i="5"/>
  <c r="AJ222" i="5"/>
  <c r="AH222" i="5"/>
  <c r="AG222" i="5"/>
  <c r="AF222" i="5"/>
  <c r="AC222" i="5"/>
  <c r="AB222" i="5"/>
  <c r="Z222" i="5"/>
  <c r="H222" i="5"/>
  <c r="G222" i="5"/>
  <c r="O222" i="5" s="1"/>
  <c r="BF222" i="5" s="1"/>
  <c r="BW221" i="5"/>
  <c r="AL221" i="5"/>
  <c r="AJ221" i="5"/>
  <c r="AH221" i="5"/>
  <c r="AG221" i="5"/>
  <c r="AF221" i="5"/>
  <c r="AC221" i="5"/>
  <c r="AB221" i="5"/>
  <c r="Z221" i="5"/>
  <c r="H221" i="5"/>
  <c r="AP221" i="5" s="1"/>
  <c r="G221" i="5"/>
  <c r="BW219" i="5"/>
  <c r="AL219" i="5"/>
  <c r="AJ219" i="5"/>
  <c r="AH219" i="5"/>
  <c r="AG219" i="5"/>
  <c r="AF219" i="5"/>
  <c r="AE219" i="5"/>
  <c r="AD219" i="5"/>
  <c r="AC219" i="5"/>
  <c r="AB219" i="5"/>
  <c r="H219" i="5"/>
  <c r="BD219" i="5" s="1"/>
  <c r="G219" i="5"/>
  <c r="O219" i="5" s="1"/>
  <c r="BF219" i="5" s="1"/>
  <c r="BW218" i="5"/>
  <c r="AL218" i="5"/>
  <c r="AJ218" i="5"/>
  <c r="AH218" i="5"/>
  <c r="AG218" i="5"/>
  <c r="AF218" i="5"/>
  <c r="AC218" i="5"/>
  <c r="AB218" i="5"/>
  <c r="Z218" i="5"/>
  <c r="H218" i="5"/>
  <c r="G218" i="5"/>
  <c r="BW217" i="5"/>
  <c r="AL217" i="5"/>
  <c r="AJ217" i="5"/>
  <c r="AH217" i="5"/>
  <c r="AG217" i="5"/>
  <c r="AF217" i="5"/>
  <c r="AC217" i="5"/>
  <c r="AB217" i="5"/>
  <c r="Z217" i="5"/>
  <c r="H217" i="5"/>
  <c r="G217" i="5"/>
  <c r="O217" i="5" s="1"/>
  <c r="BF217" i="5" s="1"/>
  <c r="BW216" i="5"/>
  <c r="AL216" i="5"/>
  <c r="AJ216" i="5"/>
  <c r="AH216" i="5"/>
  <c r="AG216" i="5"/>
  <c r="AF216" i="5"/>
  <c r="AC216" i="5"/>
  <c r="AB216" i="5"/>
  <c r="Z216" i="5"/>
  <c r="H216" i="5"/>
  <c r="G216" i="5"/>
  <c r="O216" i="5" s="1"/>
  <c r="BF216" i="5" s="1"/>
  <c r="BW215" i="5"/>
  <c r="AL215" i="5"/>
  <c r="AJ215" i="5"/>
  <c r="AH215" i="5"/>
  <c r="AG215" i="5"/>
  <c r="AF215" i="5"/>
  <c r="AC215" i="5"/>
  <c r="AB215" i="5"/>
  <c r="Z215" i="5"/>
  <c r="H215" i="5"/>
  <c r="BD215" i="5" s="1"/>
  <c r="G215" i="5"/>
  <c r="O215" i="5" s="1"/>
  <c r="BF215" i="5" s="1"/>
  <c r="BW214" i="5"/>
  <c r="AL214" i="5"/>
  <c r="AJ214" i="5"/>
  <c r="AH214" i="5"/>
  <c r="AG214" i="5"/>
  <c r="AF214" i="5"/>
  <c r="AC214" i="5"/>
  <c r="AB214" i="5"/>
  <c r="Z214" i="5"/>
  <c r="H214" i="5"/>
  <c r="AP214" i="5" s="1"/>
  <c r="G214" i="5"/>
  <c r="BW211" i="5"/>
  <c r="AL211" i="5"/>
  <c r="AJ211" i="5"/>
  <c r="AH211" i="5"/>
  <c r="AG211" i="5"/>
  <c r="AF211" i="5"/>
  <c r="AE211" i="5"/>
  <c r="AD211" i="5"/>
  <c r="AC211" i="5"/>
  <c r="AB211" i="5"/>
  <c r="H211" i="5"/>
  <c r="BD211" i="5" s="1"/>
  <c r="G211" i="5"/>
  <c r="BW210" i="5"/>
  <c r="AL210" i="5"/>
  <c r="AJ210" i="5"/>
  <c r="AH210" i="5"/>
  <c r="AG210" i="5"/>
  <c r="AF210" i="5"/>
  <c r="AC210" i="5"/>
  <c r="AB210" i="5"/>
  <c r="Z210" i="5"/>
  <c r="H210" i="5"/>
  <c r="G210" i="5"/>
  <c r="BW209" i="5"/>
  <c r="AL209" i="5"/>
  <c r="AJ209" i="5"/>
  <c r="AH209" i="5"/>
  <c r="AG209" i="5"/>
  <c r="AF209" i="5"/>
  <c r="AC209" i="5"/>
  <c r="AB209" i="5"/>
  <c r="Z209" i="5"/>
  <c r="H209" i="5"/>
  <c r="AP209" i="5" s="1"/>
  <c r="G209" i="5"/>
  <c r="BW208" i="5"/>
  <c r="AL208" i="5"/>
  <c r="AJ208" i="5"/>
  <c r="AH208" i="5"/>
  <c r="AG208" i="5"/>
  <c r="AF208" i="5"/>
  <c r="AC208" i="5"/>
  <c r="AB208" i="5"/>
  <c r="Z208" i="5"/>
  <c r="H208" i="5"/>
  <c r="AP208" i="5" s="1"/>
  <c r="G208" i="5"/>
  <c r="BW207" i="5"/>
  <c r="AL207" i="5"/>
  <c r="AJ207" i="5"/>
  <c r="AH207" i="5"/>
  <c r="AG207" i="5"/>
  <c r="AF207" i="5"/>
  <c r="AC207" i="5"/>
  <c r="AB207" i="5"/>
  <c r="Z207" i="5"/>
  <c r="H207" i="5"/>
  <c r="AP207" i="5" s="1"/>
  <c r="G207" i="5"/>
  <c r="O207" i="5" s="1"/>
  <c r="BF207" i="5" s="1"/>
  <c r="BW206" i="5"/>
  <c r="AL206" i="5"/>
  <c r="AJ206" i="5"/>
  <c r="AH206" i="5"/>
  <c r="AG206" i="5"/>
  <c r="AF206" i="5"/>
  <c r="AC206" i="5"/>
  <c r="AB206" i="5"/>
  <c r="Z206" i="5"/>
  <c r="H206" i="5"/>
  <c r="AO206" i="5" s="1"/>
  <c r="G206" i="5"/>
  <c r="BW205" i="5"/>
  <c r="AL205" i="5"/>
  <c r="AJ205" i="5"/>
  <c r="AH205" i="5"/>
  <c r="AG205" i="5"/>
  <c r="AF205" i="5"/>
  <c r="AC205" i="5"/>
  <c r="AB205" i="5"/>
  <c r="Z205" i="5"/>
  <c r="H205" i="5"/>
  <c r="AP205" i="5" s="1"/>
  <c r="G205" i="5"/>
  <c r="O205" i="5" s="1"/>
  <c r="BF205" i="5" s="1"/>
  <c r="BW204" i="5"/>
  <c r="AL204" i="5"/>
  <c r="AJ204" i="5"/>
  <c r="AH204" i="5"/>
  <c r="AG204" i="5"/>
  <c r="AF204" i="5"/>
  <c r="AC204" i="5"/>
  <c r="AB204" i="5"/>
  <c r="Z204" i="5"/>
  <c r="H204" i="5"/>
  <c r="G204" i="5"/>
  <c r="BW203" i="5"/>
  <c r="AL203" i="5"/>
  <c r="AJ203" i="5"/>
  <c r="AH203" i="5"/>
  <c r="AG203" i="5"/>
  <c r="AF203" i="5"/>
  <c r="AC203" i="5"/>
  <c r="AB203" i="5"/>
  <c r="Z203" i="5"/>
  <c r="H203" i="5"/>
  <c r="BD203" i="5" s="1"/>
  <c r="G203" i="5"/>
  <c r="O203" i="5" s="1"/>
  <c r="BF203" i="5" s="1"/>
  <c r="BW202" i="5"/>
  <c r="AL202" i="5"/>
  <c r="AJ202" i="5"/>
  <c r="AH202" i="5"/>
  <c r="AG202" i="5"/>
  <c r="AF202" i="5"/>
  <c r="AC202" i="5"/>
  <c r="AB202" i="5"/>
  <c r="Z202" i="5"/>
  <c r="H202" i="5"/>
  <c r="G202" i="5"/>
  <c r="BW201" i="5"/>
  <c r="AL201" i="5"/>
  <c r="AJ201" i="5"/>
  <c r="AH201" i="5"/>
  <c r="AG201" i="5"/>
  <c r="AF201" i="5"/>
  <c r="AC201" i="5"/>
  <c r="AB201" i="5"/>
  <c r="Z201" i="5"/>
  <c r="H201" i="5"/>
  <c r="G201" i="5"/>
  <c r="O201" i="5" s="1"/>
  <c r="BF201" i="5" s="1"/>
  <c r="BW200" i="5"/>
  <c r="AL200" i="5"/>
  <c r="AJ200" i="5"/>
  <c r="AH200" i="5"/>
  <c r="AG200" i="5"/>
  <c r="AF200" i="5"/>
  <c r="AC200" i="5"/>
  <c r="AB200" i="5"/>
  <c r="Z200" i="5"/>
  <c r="H200" i="5"/>
  <c r="G200" i="5"/>
  <c r="BW199" i="5"/>
  <c r="AL199" i="5"/>
  <c r="AJ199" i="5"/>
  <c r="AH199" i="5"/>
  <c r="AG199" i="5"/>
  <c r="AF199" i="5"/>
  <c r="AC199" i="5"/>
  <c r="AB199" i="5"/>
  <c r="Z199" i="5"/>
  <c r="H199" i="5"/>
  <c r="G199" i="5"/>
  <c r="BW198" i="5"/>
  <c r="AL198" i="5"/>
  <c r="AJ198" i="5"/>
  <c r="AH198" i="5"/>
  <c r="AG198" i="5"/>
  <c r="AF198" i="5"/>
  <c r="AC198" i="5"/>
  <c r="AB198" i="5"/>
  <c r="Z198" i="5"/>
  <c r="H198" i="5"/>
  <c r="AP198" i="5" s="1"/>
  <c r="G198" i="5"/>
  <c r="BW197" i="5"/>
  <c r="AL197" i="5"/>
  <c r="AJ197" i="5"/>
  <c r="AH197" i="5"/>
  <c r="AG197" i="5"/>
  <c r="AF197" i="5"/>
  <c r="AC197" i="5"/>
  <c r="AB197" i="5"/>
  <c r="Z197" i="5"/>
  <c r="H197" i="5"/>
  <c r="AP197" i="5" s="1"/>
  <c r="G197" i="5"/>
  <c r="O197" i="5" s="1"/>
  <c r="BF197" i="5" s="1"/>
  <c r="BW196" i="5"/>
  <c r="AL196" i="5"/>
  <c r="AJ196" i="5"/>
  <c r="AH196" i="5"/>
  <c r="AG196" i="5"/>
  <c r="AF196" i="5"/>
  <c r="AC196" i="5"/>
  <c r="AB196" i="5"/>
  <c r="Z196" i="5"/>
  <c r="H196" i="5"/>
  <c r="AP196" i="5" s="1"/>
  <c r="G196" i="5"/>
  <c r="BW195" i="5"/>
  <c r="AL195" i="5"/>
  <c r="AJ195" i="5"/>
  <c r="AH195" i="5"/>
  <c r="AG195" i="5"/>
  <c r="AF195" i="5"/>
  <c r="AC195" i="5"/>
  <c r="AB195" i="5"/>
  <c r="Z195" i="5"/>
  <c r="H195" i="5"/>
  <c r="AO195" i="5" s="1"/>
  <c r="G195" i="5"/>
  <c r="BW194" i="5"/>
  <c r="AL194" i="5"/>
  <c r="AJ194" i="5"/>
  <c r="AH194" i="5"/>
  <c r="AG194" i="5"/>
  <c r="AF194" i="5"/>
  <c r="AC194" i="5"/>
  <c r="AB194" i="5"/>
  <c r="Z194" i="5"/>
  <c r="H194" i="5"/>
  <c r="AP194" i="5" s="1"/>
  <c r="G194" i="5"/>
  <c r="BW193" i="5"/>
  <c r="AL193" i="5"/>
  <c r="AJ193" i="5"/>
  <c r="AH193" i="5"/>
  <c r="AG193" i="5"/>
  <c r="AF193" i="5"/>
  <c r="AC193" i="5"/>
  <c r="AB193" i="5"/>
  <c r="Z193" i="5"/>
  <c r="H193" i="5"/>
  <c r="G193" i="5"/>
  <c r="BW192" i="5"/>
  <c r="AL192" i="5"/>
  <c r="AJ192" i="5"/>
  <c r="AH192" i="5"/>
  <c r="AG192" i="5"/>
  <c r="AF192" i="5"/>
  <c r="AC192" i="5"/>
  <c r="AB192" i="5"/>
  <c r="Z192" i="5"/>
  <c r="H192" i="5"/>
  <c r="G192" i="5"/>
  <c r="O192" i="5" s="1"/>
  <c r="BF192" i="5" s="1"/>
  <c r="BW191" i="5"/>
  <c r="AL191" i="5"/>
  <c r="AJ191" i="5"/>
  <c r="AH191" i="5"/>
  <c r="AG191" i="5"/>
  <c r="AF191" i="5"/>
  <c r="AC191" i="5"/>
  <c r="AB191" i="5"/>
  <c r="Z191" i="5"/>
  <c r="H191" i="5"/>
  <c r="AO191" i="5" s="1"/>
  <c r="G191" i="5"/>
  <c r="O191" i="5" s="1"/>
  <c r="BF191" i="5" s="1"/>
  <c r="BW190" i="5"/>
  <c r="AL190" i="5"/>
  <c r="AJ190" i="5"/>
  <c r="AH190" i="5"/>
  <c r="AG190" i="5"/>
  <c r="AF190" i="5"/>
  <c r="AC190" i="5"/>
  <c r="AB190" i="5"/>
  <c r="Z190" i="5"/>
  <c r="H190" i="5"/>
  <c r="G190" i="5"/>
  <c r="BW189" i="5"/>
  <c r="AL189" i="5"/>
  <c r="AJ189" i="5"/>
  <c r="AH189" i="5"/>
  <c r="AG189" i="5"/>
  <c r="AF189" i="5"/>
  <c r="AC189" i="5"/>
  <c r="AB189" i="5"/>
  <c r="Z189" i="5"/>
  <c r="H189" i="5"/>
  <c r="G189" i="5"/>
  <c r="BW188" i="5"/>
  <c r="AL188" i="5"/>
  <c r="AJ188" i="5"/>
  <c r="AH188" i="5"/>
  <c r="AG188" i="5"/>
  <c r="AF188" i="5"/>
  <c r="AC188" i="5"/>
  <c r="AB188" i="5"/>
  <c r="Z188" i="5"/>
  <c r="H188" i="5"/>
  <c r="G188" i="5"/>
  <c r="O188" i="5" s="1"/>
  <c r="BF188" i="5" s="1"/>
  <c r="BW186" i="5"/>
  <c r="AL186" i="5"/>
  <c r="AJ186" i="5"/>
  <c r="AH186" i="5"/>
  <c r="AG186" i="5"/>
  <c r="AF186" i="5"/>
  <c r="AC186" i="5"/>
  <c r="AB186" i="5"/>
  <c r="Z186" i="5"/>
  <c r="H186" i="5"/>
  <c r="AP186" i="5" s="1"/>
  <c r="G186" i="5"/>
  <c r="O186" i="5" s="1"/>
  <c r="BF186" i="5" s="1"/>
  <c r="BW185" i="5"/>
  <c r="AL185" i="5"/>
  <c r="AJ185" i="5"/>
  <c r="AH185" i="5"/>
  <c r="AG185" i="5"/>
  <c r="AF185" i="5"/>
  <c r="AC185" i="5"/>
  <c r="AB185" i="5"/>
  <c r="Z185" i="5"/>
  <c r="H185" i="5"/>
  <c r="G185" i="5"/>
  <c r="BW184" i="5"/>
  <c r="AL184" i="5"/>
  <c r="AJ184" i="5"/>
  <c r="AH184" i="5"/>
  <c r="AG184" i="5"/>
  <c r="AF184" i="5"/>
  <c r="AC184" i="5"/>
  <c r="AB184" i="5"/>
  <c r="Z184" i="5"/>
  <c r="H184" i="5"/>
  <c r="G184" i="5"/>
  <c r="BW183" i="5"/>
  <c r="AL183" i="5"/>
  <c r="AJ183" i="5"/>
  <c r="AH183" i="5"/>
  <c r="AG183" i="5"/>
  <c r="AF183" i="5"/>
  <c r="AC183" i="5"/>
  <c r="AB183" i="5"/>
  <c r="Z183" i="5"/>
  <c r="H183" i="5"/>
  <c r="G183" i="5"/>
  <c r="BW182" i="5"/>
  <c r="AL182" i="5"/>
  <c r="AJ182" i="5"/>
  <c r="AH182" i="5"/>
  <c r="AG182" i="5"/>
  <c r="AF182" i="5"/>
  <c r="AC182" i="5"/>
  <c r="AB182" i="5"/>
  <c r="Z182" i="5"/>
  <c r="H182" i="5"/>
  <c r="G182" i="5"/>
  <c r="O182" i="5" s="1"/>
  <c r="BF182" i="5" s="1"/>
  <c r="BW181" i="5"/>
  <c r="AL181" i="5"/>
  <c r="AJ181" i="5"/>
  <c r="AH181" i="5"/>
  <c r="AG181" i="5"/>
  <c r="AF181" i="5"/>
  <c r="AC181" i="5"/>
  <c r="AB181" i="5"/>
  <c r="Z181" i="5"/>
  <c r="H181" i="5"/>
  <c r="G181" i="5"/>
  <c r="BW180" i="5"/>
  <c r="AL180" i="5"/>
  <c r="AJ180" i="5"/>
  <c r="AH180" i="5"/>
  <c r="AG180" i="5"/>
  <c r="AF180" i="5"/>
  <c r="AC180" i="5"/>
  <c r="AB180" i="5"/>
  <c r="Z180" i="5"/>
  <c r="H180" i="5"/>
  <c r="AP180" i="5" s="1"/>
  <c r="G180" i="5"/>
  <c r="BW179" i="5"/>
  <c r="AL179" i="5"/>
  <c r="AJ179" i="5"/>
  <c r="AH179" i="5"/>
  <c r="AG179" i="5"/>
  <c r="AF179" i="5"/>
  <c r="AC179" i="5"/>
  <c r="AB179" i="5"/>
  <c r="Z179" i="5"/>
  <c r="H179" i="5"/>
  <c r="G179" i="5"/>
  <c r="BW178" i="5"/>
  <c r="AL178" i="5"/>
  <c r="AJ178" i="5"/>
  <c r="AH178" i="5"/>
  <c r="AG178" i="5"/>
  <c r="AF178" i="5"/>
  <c r="AC178" i="5"/>
  <c r="AB178" i="5"/>
  <c r="Z178" i="5"/>
  <c r="H178" i="5"/>
  <c r="BD178" i="5" s="1"/>
  <c r="G178" i="5"/>
  <c r="BW177" i="5"/>
  <c r="AL177" i="5"/>
  <c r="AJ177" i="5"/>
  <c r="AH177" i="5"/>
  <c r="AG177" i="5"/>
  <c r="AF177" i="5"/>
  <c r="AC177" i="5"/>
  <c r="AB177" i="5"/>
  <c r="Z177" i="5"/>
  <c r="H177" i="5"/>
  <c r="AO177" i="5" s="1"/>
  <c r="G177" i="5"/>
  <c r="BW176" i="5"/>
  <c r="AL176" i="5"/>
  <c r="AJ176" i="5"/>
  <c r="AH176" i="5"/>
  <c r="AG176" i="5"/>
  <c r="AF176" i="5"/>
  <c r="AC176" i="5"/>
  <c r="AB176" i="5"/>
  <c r="Z176" i="5"/>
  <c r="H176" i="5"/>
  <c r="AP176" i="5" s="1"/>
  <c r="G176" i="5"/>
  <c r="O176" i="5" s="1"/>
  <c r="BF176" i="5" s="1"/>
  <c r="BW175" i="5"/>
  <c r="AL175" i="5"/>
  <c r="AJ175" i="5"/>
  <c r="AH175" i="5"/>
  <c r="AG175" i="5"/>
  <c r="AF175" i="5"/>
  <c r="AC175" i="5"/>
  <c r="AB175" i="5"/>
  <c r="Z175" i="5"/>
  <c r="H175" i="5"/>
  <c r="BD175" i="5" s="1"/>
  <c r="G175" i="5"/>
  <c r="BW174" i="5"/>
  <c r="AL174" i="5"/>
  <c r="AJ174" i="5"/>
  <c r="AH174" i="5"/>
  <c r="AG174" i="5"/>
  <c r="AF174" i="5"/>
  <c r="AC174" i="5"/>
  <c r="AB174" i="5"/>
  <c r="Z174" i="5"/>
  <c r="H174" i="5"/>
  <c r="G174" i="5"/>
  <c r="O174" i="5" s="1"/>
  <c r="BF174" i="5" s="1"/>
  <c r="BW173" i="5"/>
  <c r="AL173" i="5"/>
  <c r="AJ173" i="5"/>
  <c r="AH173" i="5"/>
  <c r="AG173" i="5"/>
  <c r="AF173" i="5"/>
  <c r="AC173" i="5"/>
  <c r="AB173" i="5"/>
  <c r="Z173" i="5"/>
  <c r="H173" i="5"/>
  <c r="G173" i="5"/>
  <c r="BW172" i="5"/>
  <c r="AL172" i="5"/>
  <c r="AJ172" i="5"/>
  <c r="AH172" i="5"/>
  <c r="AG172" i="5"/>
  <c r="AF172" i="5"/>
  <c r="AC172" i="5"/>
  <c r="AB172" i="5"/>
  <c r="Z172" i="5"/>
  <c r="H172" i="5"/>
  <c r="AO172" i="5" s="1"/>
  <c r="G172" i="5"/>
  <c r="O172" i="5" s="1"/>
  <c r="BF172" i="5" s="1"/>
  <c r="BW171" i="5"/>
  <c r="AL171" i="5"/>
  <c r="AJ171" i="5"/>
  <c r="AH171" i="5"/>
  <c r="AG171" i="5"/>
  <c r="AF171" i="5"/>
  <c r="AC171" i="5"/>
  <c r="AB171" i="5"/>
  <c r="Z171" i="5"/>
  <c r="H171" i="5"/>
  <c r="BD171" i="5" s="1"/>
  <c r="G171" i="5"/>
  <c r="BW169" i="5"/>
  <c r="AL169" i="5"/>
  <c r="AJ169" i="5"/>
  <c r="AH169" i="5"/>
  <c r="AG169" i="5"/>
  <c r="AF169" i="5"/>
  <c r="AE169" i="5"/>
  <c r="AD169" i="5"/>
  <c r="AC169" i="5"/>
  <c r="AB169" i="5"/>
  <c r="H169" i="5"/>
  <c r="AP169" i="5" s="1"/>
  <c r="G169" i="5"/>
  <c r="O169" i="5" s="1"/>
  <c r="BF169" i="5" s="1"/>
  <c r="BW168" i="5"/>
  <c r="AL168" i="5"/>
  <c r="AJ168" i="5"/>
  <c r="AH168" i="5"/>
  <c r="AG168" i="5"/>
  <c r="AF168" i="5"/>
  <c r="AC168" i="5"/>
  <c r="AB168" i="5"/>
  <c r="Z168" i="5"/>
  <c r="H168" i="5"/>
  <c r="BD168" i="5" s="1"/>
  <c r="G168" i="5"/>
  <c r="BW167" i="5"/>
  <c r="AL167" i="5"/>
  <c r="AJ167" i="5"/>
  <c r="AH167" i="5"/>
  <c r="AG167" i="5"/>
  <c r="AF167" i="5"/>
  <c r="AC167" i="5"/>
  <c r="AB167" i="5"/>
  <c r="Z167" i="5"/>
  <c r="H167" i="5"/>
  <c r="AO167" i="5" s="1"/>
  <c r="G167" i="5"/>
  <c r="O167" i="5" s="1"/>
  <c r="BF167" i="5" s="1"/>
  <c r="BW166" i="5"/>
  <c r="AL166" i="5"/>
  <c r="AJ166" i="5"/>
  <c r="AH166" i="5"/>
  <c r="AG166" i="5"/>
  <c r="AF166" i="5"/>
  <c r="AC166" i="5"/>
  <c r="AB166" i="5"/>
  <c r="Z166" i="5"/>
  <c r="H166" i="5"/>
  <c r="BD166" i="5" s="1"/>
  <c r="G166" i="5"/>
  <c r="BW165" i="5"/>
  <c r="AL165" i="5"/>
  <c r="AJ165" i="5"/>
  <c r="AH165" i="5"/>
  <c r="AG165" i="5"/>
  <c r="AF165" i="5"/>
  <c r="AC165" i="5"/>
  <c r="AB165" i="5"/>
  <c r="Z165" i="5"/>
  <c r="H165" i="5"/>
  <c r="AP165" i="5" s="1"/>
  <c r="G165" i="5"/>
  <c r="O165" i="5" s="1"/>
  <c r="BF165" i="5" s="1"/>
  <c r="BW164" i="5"/>
  <c r="AL164" i="5"/>
  <c r="AJ164" i="5"/>
  <c r="AH164" i="5"/>
  <c r="AG164" i="5"/>
  <c r="AF164" i="5"/>
  <c r="AC164" i="5"/>
  <c r="AB164" i="5"/>
  <c r="Z164" i="5"/>
  <c r="H164" i="5"/>
  <c r="AO164" i="5" s="1"/>
  <c r="G164" i="5"/>
  <c r="O164" i="5" s="1"/>
  <c r="BF164" i="5" s="1"/>
  <c r="BW163" i="5"/>
  <c r="AL163" i="5"/>
  <c r="AJ163" i="5"/>
  <c r="AH163" i="5"/>
  <c r="AG163" i="5"/>
  <c r="AF163" i="5"/>
  <c r="AC163" i="5"/>
  <c r="AB163" i="5"/>
  <c r="Z163" i="5"/>
  <c r="H163" i="5"/>
  <c r="AO163" i="5" s="1"/>
  <c r="G163" i="5"/>
  <c r="O163" i="5" s="1"/>
  <c r="BF163" i="5" s="1"/>
  <c r="BW160" i="5"/>
  <c r="AL160" i="5"/>
  <c r="AJ160" i="5"/>
  <c r="AH160" i="5"/>
  <c r="AG160" i="5"/>
  <c r="AF160" i="5"/>
  <c r="AE160" i="5"/>
  <c r="AD160" i="5"/>
  <c r="AC160" i="5"/>
  <c r="AB160" i="5"/>
  <c r="H160" i="5"/>
  <c r="AP160" i="5" s="1"/>
  <c r="G160" i="5"/>
  <c r="BW158" i="5"/>
  <c r="AL158" i="5"/>
  <c r="AJ158" i="5"/>
  <c r="AH158" i="5"/>
  <c r="AG158" i="5"/>
  <c r="AF158" i="5"/>
  <c r="AC158" i="5"/>
  <c r="AB158" i="5"/>
  <c r="Z158" i="5"/>
  <c r="H158" i="5"/>
  <c r="AP158" i="5" s="1"/>
  <c r="G158" i="5"/>
  <c r="BW157" i="5"/>
  <c r="AL157" i="5"/>
  <c r="AJ157" i="5"/>
  <c r="AH157" i="5"/>
  <c r="AG157" i="5"/>
  <c r="AF157" i="5"/>
  <c r="AC157" i="5"/>
  <c r="AB157" i="5"/>
  <c r="Z157" i="5"/>
  <c r="H157" i="5"/>
  <c r="G157" i="5"/>
  <c r="O157" i="5" s="1"/>
  <c r="BF157" i="5" s="1"/>
  <c r="BW156" i="5"/>
  <c r="AL156" i="5"/>
  <c r="AJ156" i="5"/>
  <c r="AH156" i="5"/>
  <c r="AG156" i="5"/>
  <c r="AF156" i="5"/>
  <c r="AC156" i="5"/>
  <c r="AB156" i="5"/>
  <c r="Z156" i="5"/>
  <c r="H156" i="5"/>
  <c r="BD156" i="5" s="1"/>
  <c r="G156" i="5"/>
  <c r="O156" i="5" s="1"/>
  <c r="BF156" i="5" s="1"/>
  <c r="BW155" i="5"/>
  <c r="AL155" i="5"/>
  <c r="AJ155" i="5"/>
  <c r="AH155" i="5"/>
  <c r="AG155" i="5"/>
  <c r="AF155" i="5"/>
  <c r="AC155" i="5"/>
  <c r="AB155" i="5"/>
  <c r="Z155" i="5"/>
  <c r="H155" i="5"/>
  <c r="G155" i="5"/>
  <c r="BW154" i="5"/>
  <c r="AL154" i="5"/>
  <c r="AJ154" i="5"/>
  <c r="AH154" i="5"/>
  <c r="AG154" i="5"/>
  <c r="AF154" i="5"/>
  <c r="AC154" i="5"/>
  <c r="AB154" i="5"/>
  <c r="Z154" i="5"/>
  <c r="H154" i="5"/>
  <c r="G154" i="5"/>
  <c r="O154" i="5" s="1"/>
  <c r="BF154" i="5" s="1"/>
  <c r="BW153" i="5"/>
  <c r="AL153" i="5"/>
  <c r="AJ153" i="5"/>
  <c r="AH153" i="5"/>
  <c r="AG153" i="5"/>
  <c r="AF153" i="5"/>
  <c r="AC153" i="5"/>
  <c r="AB153" i="5"/>
  <c r="Z153" i="5"/>
  <c r="H153" i="5"/>
  <c r="G153" i="5"/>
  <c r="BW152" i="5"/>
  <c r="AL152" i="5"/>
  <c r="AJ152" i="5"/>
  <c r="AH152" i="5"/>
  <c r="AG152" i="5"/>
  <c r="AF152" i="5"/>
  <c r="AC152" i="5"/>
  <c r="AB152" i="5"/>
  <c r="Z152" i="5"/>
  <c r="H152" i="5"/>
  <c r="AO152" i="5" s="1"/>
  <c r="G152" i="5"/>
  <c r="O152" i="5" s="1"/>
  <c r="BF152" i="5" s="1"/>
  <c r="BW151" i="5"/>
  <c r="AL151" i="5"/>
  <c r="AJ151" i="5"/>
  <c r="AH151" i="5"/>
  <c r="AG151" i="5"/>
  <c r="AF151" i="5"/>
  <c r="AC151" i="5"/>
  <c r="AB151" i="5"/>
  <c r="Z151" i="5"/>
  <c r="H151" i="5"/>
  <c r="G151" i="5"/>
  <c r="BW150" i="5"/>
  <c r="AL150" i="5"/>
  <c r="AJ150" i="5"/>
  <c r="AH150" i="5"/>
  <c r="AG150" i="5"/>
  <c r="AF150" i="5"/>
  <c r="AC150" i="5"/>
  <c r="AB150" i="5"/>
  <c r="Z150" i="5"/>
  <c r="H150" i="5"/>
  <c r="AP150" i="5" s="1"/>
  <c r="G150" i="5"/>
  <c r="BW149" i="5"/>
  <c r="AL149" i="5"/>
  <c r="AJ149" i="5"/>
  <c r="AH149" i="5"/>
  <c r="AG149" i="5"/>
  <c r="AF149" i="5"/>
  <c r="AC149" i="5"/>
  <c r="AB149" i="5"/>
  <c r="Z149" i="5"/>
  <c r="H149" i="5"/>
  <c r="AO149" i="5" s="1"/>
  <c r="G149" i="5"/>
  <c r="O149" i="5" s="1"/>
  <c r="BF149" i="5" s="1"/>
  <c r="BW148" i="5"/>
  <c r="AL148" i="5"/>
  <c r="AJ148" i="5"/>
  <c r="AH148" i="5"/>
  <c r="AG148" i="5"/>
  <c r="AF148" i="5"/>
  <c r="AC148" i="5"/>
  <c r="AB148" i="5"/>
  <c r="Z148" i="5"/>
  <c r="H148" i="5"/>
  <c r="BD148" i="5" s="1"/>
  <c r="G148" i="5"/>
  <c r="O148" i="5" s="1"/>
  <c r="BF148" i="5" s="1"/>
  <c r="BW147" i="5"/>
  <c r="AL147" i="5"/>
  <c r="AJ147" i="5"/>
  <c r="AH147" i="5"/>
  <c r="AG147" i="5"/>
  <c r="AF147" i="5"/>
  <c r="AC147" i="5"/>
  <c r="AB147" i="5"/>
  <c r="Z147" i="5"/>
  <c r="H147" i="5"/>
  <c r="G147" i="5"/>
  <c r="BW146" i="5"/>
  <c r="AL146" i="5"/>
  <c r="AJ146" i="5"/>
  <c r="AH146" i="5"/>
  <c r="AG146" i="5"/>
  <c r="AF146" i="5"/>
  <c r="AC146" i="5"/>
  <c r="AB146" i="5"/>
  <c r="Z146" i="5"/>
  <c r="H146" i="5"/>
  <c r="BD146" i="5" s="1"/>
  <c r="G146" i="5"/>
  <c r="BW145" i="5"/>
  <c r="AL145" i="5"/>
  <c r="AJ145" i="5"/>
  <c r="AH145" i="5"/>
  <c r="AG145" i="5"/>
  <c r="AF145" i="5"/>
  <c r="AC145" i="5"/>
  <c r="AB145" i="5"/>
  <c r="Z145" i="5"/>
  <c r="H145" i="5"/>
  <c r="G145" i="5"/>
  <c r="BW144" i="5"/>
  <c r="AL144" i="5"/>
  <c r="AJ144" i="5"/>
  <c r="AH144" i="5"/>
  <c r="AG144" i="5"/>
  <c r="AF144" i="5"/>
  <c r="AC144" i="5"/>
  <c r="AB144" i="5"/>
  <c r="Z144" i="5"/>
  <c r="H144" i="5"/>
  <c r="BD144" i="5" s="1"/>
  <c r="G144" i="5"/>
  <c r="O144" i="5" s="1"/>
  <c r="BF144" i="5" s="1"/>
  <c r="BW143" i="5"/>
  <c r="AL143" i="5"/>
  <c r="AJ143" i="5"/>
  <c r="AH143" i="5"/>
  <c r="AG143" i="5"/>
  <c r="AF143" i="5"/>
  <c r="AC143" i="5"/>
  <c r="AB143" i="5"/>
  <c r="Z143" i="5"/>
  <c r="H143" i="5"/>
  <c r="AP143" i="5" s="1"/>
  <c r="G143" i="5"/>
  <c r="BW142" i="5"/>
  <c r="AL142" i="5"/>
  <c r="AJ142" i="5"/>
  <c r="AH142" i="5"/>
  <c r="AG142" i="5"/>
  <c r="AF142" i="5"/>
  <c r="AC142" i="5"/>
  <c r="AB142" i="5"/>
  <c r="Z142" i="5"/>
  <c r="H142" i="5"/>
  <c r="G142" i="5"/>
  <c r="O142" i="5" s="1"/>
  <c r="BF142" i="5" s="1"/>
  <c r="BW141" i="5"/>
  <c r="AL141" i="5"/>
  <c r="AJ141" i="5"/>
  <c r="AH141" i="5"/>
  <c r="AG141" i="5"/>
  <c r="AF141" i="5"/>
  <c r="AC141" i="5"/>
  <c r="AB141" i="5"/>
  <c r="Z141" i="5"/>
  <c r="H141" i="5"/>
  <c r="AO141" i="5" s="1"/>
  <c r="G141" i="5"/>
  <c r="BW140" i="5"/>
  <c r="AL140" i="5"/>
  <c r="AJ140" i="5"/>
  <c r="AH140" i="5"/>
  <c r="AG140" i="5"/>
  <c r="AF140" i="5"/>
  <c r="AC140" i="5"/>
  <c r="AB140" i="5"/>
  <c r="Z140" i="5"/>
  <c r="H140" i="5"/>
  <c r="BD140" i="5" s="1"/>
  <c r="G140" i="5"/>
  <c r="O140" i="5" s="1"/>
  <c r="BF140" i="5" s="1"/>
  <c r="BW139" i="5"/>
  <c r="AL139" i="5"/>
  <c r="AJ139" i="5"/>
  <c r="AH139" i="5"/>
  <c r="AG139" i="5"/>
  <c r="AF139" i="5"/>
  <c r="AC139" i="5"/>
  <c r="AB139" i="5"/>
  <c r="Z139" i="5"/>
  <c r="H139" i="5"/>
  <c r="AP139" i="5" s="1"/>
  <c r="G139" i="5"/>
  <c r="BW138" i="5"/>
  <c r="AL138" i="5"/>
  <c r="AJ138" i="5"/>
  <c r="AH138" i="5"/>
  <c r="AG138" i="5"/>
  <c r="AF138" i="5"/>
  <c r="AC138" i="5"/>
  <c r="AB138" i="5"/>
  <c r="Z138" i="5"/>
  <c r="H138" i="5"/>
  <c r="BD138" i="5" s="1"/>
  <c r="G138" i="5"/>
  <c r="O138" i="5" s="1"/>
  <c r="BF138" i="5" s="1"/>
  <c r="BW137" i="5"/>
  <c r="AL137" i="5"/>
  <c r="AJ137" i="5"/>
  <c r="AH137" i="5"/>
  <c r="AG137" i="5"/>
  <c r="AF137" i="5"/>
  <c r="AC137" i="5"/>
  <c r="AB137" i="5"/>
  <c r="Z137" i="5"/>
  <c r="H137" i="5"/>
  <c r="AO137" i="5" s="1"/>
  <c r="G137" i="5"/>
  <c r="BW136" i="5"/>
  <c r="AL136" i="5"/>
  <c r="AJ136" i="5"/>
  <c r="AH136" i="5"/>
  <c r="AG136" i="5"/>
  <c r="AF136" i="5"/>
  <c r="AC136" i="5"/>
  <c r="AB136" i="5"/>
  <c r="Z136" i="5"/>
  <c r="H136" i="5"/>
  <c r="BD136" i="5" s="1"/>
  <c r="G136" i="5"/>
  <c r="O136" i="5" s="1"/>
  <c r="BF136" i="5" s="1"/>
  <c r="BW135" i="5"/>
  <c r="AL135" i="5"/>
  <c r="AJ135" i="5"/>
  <c r="AH135" i="5"/>
  <c r="AG135" i="5"/>
  <c r="AF135" i="5"/>
  <c r="AC135" i="5"/>
  <c r="AB135" i="5"/>
  <c r="Z135" i="5"/>
  <c r="H135" i="5"/>
  <c r="AP135" i="5" s="1"/>
  <c r="G135" i="5"/>
  <c r="BW134" i="5"/>
  <c r="AL134" i="5"/>
  <c r="AJ134" i="5"/>
  <c r="AH134" i="5"/>
  <c r="AG134" i="5"/>
  <c r="AF134" i="5"/>
  <c r="AC134" i="5"/>
  <c r="AB134" i="5"/>
  <c r="Z134" i="5"/>
  <c r="H134" i="5"/>
  <c r="BD134" i="5" s="1"/>
  <c r="G134" i="5"/>
  <c r="BW133" i="5"/>
  <c r="AL133" i="5"/>
  <c r="AJ133" i="5"/>
  <c r="AH133" i="5"/>
  <c r="AG133" i="5"/>
  <c r="AF133" i="5"/>
  <c r="AC133" i="5"/>
  <c r="AB133" i="5"/>
  <c r="Z133" i="5"/>
  <c r="H133" i="5"/>
  <c r="G133" i="5"/>
  <c r="BW131" i="5"/>
  <c r="AL131" i="5"/>
  <c r="AJ131" i="5"/>
  <c r="AH131" i="5"/>
  <c r="AG131" i="5"/>
  <c r="AF131" i="5"/>
  <c r="AC131" i="5"/>
  <c r="AB131" i="5"/>
  <c r="Z131" i="5"/>
  <c r="H131" i="5"/>
  <c r="AP131" i="5" s="1"/>
  <c r="G131" i="5"/>
  <c r="O131" i="5" s="1"/>
  <c r="BF131" i="5" s="1"/>
  <c r="BW129" i="5"/>
  <c r="AL129" i="5"/>
  <c r="AJ129" i="5"/>
  <c r="AH129" i="5"/>
  <c r="AG129" i="5"/>
  <c r="AF129" i="5"/>
  <c r="AC129" i="5"/>
  <c r="AB129" i="5"/>
  <c r="Z129" i="5"/>
  <c r="H129" i="5"/>
  <c r="G129" i="5"/>
  <c r="BW127" i="5"/>
  <c r="AL127" i="5"/>
  <c r="AJ127" i="5"/>
  <c r="AH127" i="5"/>
  <c r="AG127" i="5"/>
  <c r="AF127" i="5"/>
  <c r="AC127" i="5"/>
  <c r="AB127" i="5"/>
  <c r="Z127" i="5"/>
  <c r="H127" i="5"/>
  <c r="G127" i="5"/>
  <c r="O127" i="5" s="1"/>
  <c r="BF127" i="5" s="1"/>
  <c r="BW125" i="5"/>
  <c r="AL125" i="5"/>
  <c r="AJ125" i="5"/>
  <c r="AH125" i="5"/>
  <c r="AG125" i="5"/>
  <c r="AF125" i="5"/>
  <c r="AC125" i="5"/>
  <c r="AB125" i="5"/>
  <c r="Z125" i="5"/>
  <c r="H125" i="5"/>
  <c r="AO125" i="5" s="1"/>
  <c r="G125" i="5"/>
  <c r="BW123" i="5"/>
  <c r="AL123" i="5"/>
  <c r="AJ123" i="5"/>
  <c r="AH123" i="5"/>
  <c r="AG123" i="5"/>
  <c r="AF123" i="5"/>
  <c r="AC123" i="5"/>
  <c r="AB123" i="5"/>
  <c r="Z123" i="5"/>
  <c r="H123" i="5"/>
  <c r="BD123" i="5" s="1"/>
  <c r="G123" i="5"/>
  <c r="BW121" i="5"/>
  <c r="AL121" i="5"/>
  <c r="AJ121" i="5"/>
  <c r="AH121" i="5"/>
  <c r="AG121" i="5"/>
  <c r="AF121" i="5"/>
  <c r="AC121" i="5"/>
  <c r="AB121" i="5"/>
  <c r="Z121" i="5"/>
  <c r="H121" i="5"/>
  <c r="G121" i="5"/>
  <c r="BW119" i="5"/>
  <c r="AL119" i="5"/>
  <c r="AJ119" i="5"/>
  <c r="AH119" i="5"/>
  <c r="AG119" i="5"/>
  <c r="AF119" i="5"/>
  <c r="AC119" i="5"/>
  <c r="AB119" i="5"/>
  <c r="Z119" i="5"/>
  <c r="H119" i="5"/>
  <c r="AO119" i="5" s="1"/>
  <c r="G119" i="5"/>
  <c r="BW118" i="5"/>
  <c r="AL118" i="5"/>
  <c r="AJ118" i="5"/>
  <c r="AH118" i="5"/>
  <c r="AG118" i="5"/>
  <c r="AF118" i="5"/>
  <c r="AC118" i="5"/>
  <c r="AB118" i="5"/>
  <c r="Z118" i="5"/>
  <c r="H118" i="5"/>
  <c r="G118" i="5"/>
  <c r="BW117" i="5"/>
  <c r="AL117" i="5"/>
  <c r="AJ117" i="5"/>
  <c r="AH117" i="5"/>
  <c r="AG117" i="5"/>
  <c r="AF117" i="5"/>
  <c r="AC117" i="5"/>
  <c r="AB117" i="5"/>
  <c r="Z117" i="5"/>
  <c r="H117" i="5"/>
  <c r="AP117" i="5" s="1"/>
  <c r="G117" i="5"/>
  <c r="BW116" i="5"/>
  <c r="AL116" i="5"/>
  <c r="AJ116" i="5"/>
  <c r="AH116" i="5"/>
  <c r="AG116" i="5"/>
  <c r="AF116" i="5"/>
  <c r="AC116" i="5"/>
  <c r="AB116" i="5"/>
  <c r="Z116" i="5"/>
  <c r="H116" i="5"/>
  <c r="AO116" i="5" s="1"/>
  <c r="G116" i="5"/>
  <c r="BW115" i="5"/>
  <c r="AL115" i="5"/>
  <c r="AJ115" i="5"/>
  <c r="AH115" i="5"/>
  <c r="AG115" i="5"/>
  <c r="AF115" i="5"/>
  <c r="AC115" i="5"/>
  <c r="AB115" i="5"/>
  <c r="Z115" i="5"/>
  <c r="H115" i="5"/>
  <c r="G115" i="5"/>
  <c r="BW113" i="5"/>
  <c r="AL113" i="5"/>
  <c r="AJ113" i="5"/>
  <c r="AH113" i="5"/>
  <c r="AG113" i="5"/>
  <c r="AF113" i="5"/>
  <c r="AC113" i="5"/>
  <c r="AB113" i="5"/>
  <c r="Z113" i="5"/>
  <c r="H113" i="5"/>
  <c r="BD113" i="5" s="1"/>
  <c r="G113" i="5"/>
  <c r="BW112" i="5"/>
  <c r="AL112" i="5"/>
  <c r="AJ112" i="5"/>
  <c r="AH112" i="5"/>
  <c r="AG112" i="5"/>
  <c r="AF112" i="5"/>
  <c r="AC112" i="5"/>
  <c r="AB112" i="5"/>
  <c r="Z112" i="5"/>
  <c r="H112" i="5"/>
  <c r="AP112" i="5" s="1"/>
  <c r="G112" i="5"/>
  <c r="BW111" i="5"/>
  <c r="AL111" i="5"/>
  <c r="AJ111" i="5"/>
  <c r="AH111" i="5"/>
  <c r="AG111" i="5"/>
  <c r="AF111" i="5"/>
  <c r="AC111" i="5"/>
  <c r="AB111" i="5"/>
  <c r="Z111" i="5"/>
  <c r="H111" i="5"/>
  <c r="BD111" i="5" s="1"/>
  <c r="G111" i="5"/>
  <c r="BW109" i="5"/>
  <c r="AL109" i="5"/>
  <c r="AJ109" i="5"/>
  <c r="AH109" i="5"/>
  <c r="AG109" i="5"/>
  <c r="AF109" i="5"/>
  <c r="AE109" i="5"/>
  <c r="AD109" i="5"/>
  <c r="AC109" i="5"/>
  <c r="AB109" i="5"/>
  <c r="H109" i="5"/>
  <c r="AP109" i="5" s="1"/>
  <c r="G109" i="5"/>
  <c r="BW108" i="5"/>
  <c r="AL108" i="5"/>
  <c r="AJ108" i="5"/>
  <c r="AH108" i="5"/>
  <c r="AG108" i="5"/>
  <c r="AF108" i="5"/>
  <c r="AC108" i="5"/>
  <c r="AB108" i="5"/>
  <c r="Z108" i="5"/>
  <c r="H108" i="5"/>
  <c r="BD108" i="5" s="1"/>
  <c r="G108" i="5"/>
  <c r="BW107" i="5"/>
  <c r="AL107" i="5"/>
  <c r="AJ107" i="5"/>
  <c r="AH107" i="5"/>
  <c r="AG107" i="5"/>
  <c r="AF107" i="5"/>
  <c r="AC107" i="5"/>
  <c r="AB107" i="5"/>
  <c r="Z107" i="5"/>
  <c r="H107" i="5"/>
  <c r="AP107" i="5" s="1"/>
  <c r="G107" i="5"/>
  <c r="BW106" i="5"/>
  <c r="AL106" i="5"/>
  <c r="AJ106" i="5"/>
  <c r="AH106" i="5"/>
  <c r="AG106" i="5"/>
  <c r="AF106" i="5"/>
  <c r="AC106" i="5"/>
  <c r="AB106" i="5"/>
  <c r="Z106" i="5"/>
  <c r="H106" i="5"/>
  <c r="AP106" i="5" s="1"/>
  <c r="G106" i="5"/>
  <c r="BW105" i="5"/>
  <c r="AL105" i="5"/>
  <c r="AJ105" i="5"/>
  <c r="AH105" i="5"/>
  <c r="AG105" i="5"/>
  <c r="AF105" i="5"/>
  <c r="AC105" i="5"/>
  <c r="AB105" i="5"/>
  <c r="Z105" i="5"/>
  <c r="H105" i="5"/>
  <c r="AO105" i="5" s="1"/>
  <c r="G105" i="5"/>
  <c r="BW104" i="5"/>
  <c r="AL104" i="5"/>
  <c r="AJ104" i="5"/>
  <c r="AH104" i="5"/>
  <c r="AG104" i="5"/>
  <c r="AF104" i="5"/>
  <c r="AC104" i="5"/>
  <c r="AB104" i="5"/>
  <c r="Z104" i="5"/>
  <c r="H104" i="5"/>
  <c r="BD104" i="5" s="1"/>
  <c r="G104" i="5"/>
  <c r="BW101" i="5"/>
  <c r="AL101" i="5"/>
  <c r="AJ101" i="5"/>
  <c r="AH101" i="5"/>
  <c r="AG101" i="5"/>
  <c r="AF101" i="5"/>
  <c r="AE101" i="5"/>
  <c r="AD101" i="5"/>
  <c r="AC101" i="5"/>
  <c r="AB101" i="5"/>
  <c r="H101" i="5"/>
  <c r="AO101" i="5" s="1"/>
  <c r="G101" i="5"/>
  <c r="O101" i="5" s="1"/>
  <c r="BF101" i="5" s="1"/>
  <c r="BW100" i="5"/>
  <c r="AL100" i="5"/>
  <c r="AJ100" i="5"/>
  <c r="AH100" i="5"/>
  <c r="AG100" i="5"/>
  <c r="AF100" i="5"/>
  <c r="AC100" i="5"/>
  <c r="AB100" i="5"/>
  <c r="Z100" i="5"/>
  <c r="H100" i="5"/>
  <c r="G100" i="5"/>
  <c r="BW99" i="5"/>
  <c r="AL99" i="5"/>
  <c r="AJ99" i="5"/>
  <c r="AH99" i="5"/>
  <c r="AG99" i="5"/>
  <c r="AF99" i="5"/>
  <c r="AC99" i="5"/>
  <c r="AB99" i="5"/>
  <c r="Z99" i="5"/>
  <c r="H99" i="5"/>
  <c r="AO99" i="5" s="1"/>
  <c r="G99" i="5"/>
  <c r="BW98" i="5"/>
  <c r="AL98" i="5"/>
  <c r="AJ98" i="5"/>
  <c r="AH98" i="5"/>
  <c r="AG98" i="5"/>
  <c r="AF98" i="5"/>
  <c r="AC98" i="5"/>
  <c r="AB98" i="5"/>
  <c r="Z98" i="5"/>
  <c r="H98" i="5"/>
  <c r="AO98" i="5" s="1"/>
  <c r="G98" i="5"/>
  <c r="O98" i="5" s="1"/>
  <c r="BF98" i="5" s="1"/>
  <c r="BW97" i="5"/>
  <c r="AL97" i="5"/>
  <c r="AJ97" i="5"/>
  <c r="AH97" i="5"/>
  <c r="AG97" i="5"/>
  <c r="AF97" i="5"/>
  <c r="AC97" i="5"/>
  <c r="AB97" i="5"/>
  <c r="Z97" i="5"/>
  <c r="H97" i="5"/>
  <c r="AO97" i="5" s="1"/>
  <c r="G97" i="5"/>
  <c r="O97" i="5" s="1"/>
  <c r="BF97" i="5" s="1"/>
  <c r="BW96" i="5"/>
  <c r="AL96" i="5"/>
  <c r="AJ96" i="5"/>
  <c r="AH96" i="5"/>
  <c r="AG96" i="5"/>
  <c r="AF96" i="5"/>
  <c r="AC96" i="5"/>
  <c r="AB96" i="5"/>
  <c r="Z96" i="5"/>
  <c r="H96" i="5"/>
  <c r="AO96" i="5" s="1"/>
  <c r="G96" i="5"/>
  <c r="BW95" i="5"/>
  <c r="AL95" i="5"/>
  <c r="AJ95" i="5"/>
  <c r="AH95" i="5"/>
  <c r="AG95" i="5"/>
  <c r="AF95" i="5"/>
  <c r="AC95" i="5"/>
  <c r="AB95" i="5"/>
  <c r="Z95" i="5"/>
  <c r="H95" i="5"/>
  <c r="AO95" i="5" s="1"/>
  <c r="G95" i="5"/>
  <c r="BW94" i="5"/>
  <c r="AL94" i="5"/>
  <c r="AJ94" i="5"/>
  <c r="AH94" i="5"/>
  <c r="AG94" i="5"/>
  <c r="AF94" i="5"/>
  <c r="AC94" i="5"/>
  <c r="AB94" i="5"/>
  <c r="Z94" i="5"/>
  <c r="H94" i="5"/>
  <c r="G94" i="5"/>
  <c r="BW93" i="5"/>
  <c r="AL93" i="5"/>
  <c r="AJ93" i="5"/>
  <c r="AH93" i="5"/>
  <c r="AG93" i="5"/>
  <c r="AF93" i="5"/>
  <c r="AC93" i="5"/>
  <c r="AB93" i="5"/>
  <c r="Z93" i="5"/>
  <c r="H93" i="5"/>
  <c r="AP93" i="5" s="1"/>
  <c r="G93" i="5"/>
  <c r="O93" i="5" s="1"/>
  <c r="BF93" i="5" s="1"/>
  <c r="BW92" i="5"/>
  <c r="AL92" i="5"/>
  <c r="AJ92" i="5"/>
  <c r="AH92" i="5"/>
  <c r="AG92" i="5"/>
  <c r="AF92" i="5"/>
  <c r="AC92" i="5"/>
  <c r="AB92" i="5"/>
  <c r="Z92" i="5"/>
  <c r="H92" i="5"/>
  <c r="G92" i="5"/>
  <c r="BW91" i="5"/>
  <c r="AL91" i="5"/>
  <c r="AJ91" i="5"/>
  <c r="AH91" i="5"/>
  <c r="AG91" i="5"/>
  <c r="AF91" i="5"/>
  <c r="AC91" i="5"/>
  <c r="AB91" i="5"/>
  <c r="Z91" i="5"/>
  <c r="H91" i="5"/>
  <c r="AO91" i="5" s="1"/>
  <c r="G91" i="5"/>
  <c r="BW90" i="5"/>
  <c r="AL90" i="5"/>
  <c r="AJ90" i="5"/>
  <c r="AH90" i="5"/>
  <c r="AG90" i="5"/>
  <c r="AF90" i="5"/>
  <c r="AC90" i="5"/>
  <c r="AB90" i="5"/>
  <c r="Z90" i="5"/>
  <c r="H90" i="5"/>
  <c r="G90" i="5"/>
  <c r="BW89" i="5"/>
  <c r="AL89" i="5"/>
  <c r="AJ89" i="5"/>
  <c r="AH89" i="5"/>
  <c r="AG89" i="5"/>
  <c r="AF89" i="5"/>
  <c r="AC89" i="5"/>
  <c r="AB89" i="5"/>
  <c r="Z89" i="5"/>
  <c r="H89" i="5"/>
  <c r="G89" i="5"/>
  <c r="BW88" i="5"/>
  <c r="AL88" i="5"/>
  <c r="AJ88" i="5"/>
  <c r="AH88" i="5"/>
  <c r="AG88" i="5"/>
  <c r="AF88" i="5"/>
  <c r="AC88" i="5"/>
  <c r="AB88" i="5"/>
  <c r="Z88" i="5"/>
  <c r="H88" i="5"/>
  <c r="G88" i="5"/>
  <c r="BW87" i="5"/>
  <c r="AL87" i="5"/>
  <c r="AJ87" i="5"/>
  <c r="AH87" i="5"/>
  <c r="AG87" i="5"/>
  <c r="AF87" i="5"/>
  <c r="AC87" i="5"/>
  <c r="AB87" i="5"/>
  <c r="Z87" i="5"/>
  <c r="H87" i="5"/>
  <c r="G87" i="5"/>
  <c r="BW86" i="5"/>
  <c r="AL86" i="5"/>
  <c r="AJ86" i="5"/>
  <c r="AH86" i="5"/>
  <c r="AG86" i="5"/>
  <c r="AF86" i="5"/>
  <c r="AC86" i="5"/>
  <c r="AB86" i="5"/>
  <c r="Z86" i="5"/>
  <c r="H86" i="5"/>
  <c r="G86" i="5"/>
  <c r="BW85" i="5"/>
  <c r="AL85" i="5"/>
  <c r="AJ85" i="5"/>
  <c r="AH85" i="5"/>
  <c r="AG85" i="5"/>
  <c r="AF85" i="5"/>
  <c r="AC85" i="5"/>
  <c r="AB85" i="5"/>
  <c r="Z85" i="5"/>
  <c r="H85" i="5"/>
  <c r="AP85" i="5" s="1"/>
  <c r="G85" i="5"/>
  <c r="O85" i="5" s="1"/>
  <c r="BF85" i="5" s="1"/>
  <c r="BW83" i="5"/>
  <c r="AL83" i="5"/>
  <c r="AJ83" i="5"/>
  <c r="AH83" i="5"/>
  <c r="AG83" i="5"/>
  <c r="AF83" i="5"/>
  <c r="AE83" i="5"/>
  <c r="AD83" i="5"/>
  <c r="AC83" i="5"/>
  <c r="AB83" i="5"/>
  <c r="H83" i="5"/>
  <c r="AO83" i="5" s="1"/>
  <c r="G83" i="5"/>
  <c r="BW82" i="5"/>
  <c r="AL82" i="5"/>
  <c r="AJ82" i="5"/>
  <c r="AH82" i="5"/>
  <c r="AG82" i="5"/>
  <c r="AF82" i="5"/>
  <c r="AC82" i="5"/>
  <c r="AB82" i="5"/>
  <c r="Z82" i="5"/>
  <c r="H82" i="5"/>
  <c r="G82" i="5"/>
  <c r="BW81" i="5"/>
  <c r="AL81" i="5"/>
  <c r="AJ81" i="5"/>
  <c r="AH81" i="5"/>
  <c r="AG81" i="5"/>
  <c r="AF81" i="5"/>
  <c r="AC81" i="5"/>
  <c r="AB81" i="5"/>
  <c r="Z81" i="5"/>
  <c r="H81" i="5"/>
  <c r="AO81" i="5" s="1"/>
  <c r="G81" i="5"/>
  <c r="O81" i="5" s="1"/>
  <c r="BW78" i="5"/>
  <c r="AL78" i="5"/>
  <c r="AJ78" i="5"/>
  <c r="AH78" i="5"/>
  <c r="AG78" i="5"/>
  <c r="AF78" i="5"/>
  <c r="AE78" i="5"/>
  <c r="AD78" i="5"/>
  <c r="AC78" i="5"/>
  <c r="AB78" i="5"/>
  <c r="H78" i="5"/>
  <c r="G78" i="5"/>
  <c r="BW77" i="5"/>
  <c r="AL77" i="5"/>
  <c r="AJ77" i="5"/>
  <c r="AH77" i="5"/>
  <c r="AG77" i="5"/>
  <c r="AF77" i="5"/>
  <c r="AC77" i="5"/>
  <c r="AB77" i="5"/>
  <c r="Z77" i="5"/>
  <c r="H77" i="5"/>
  <c r="AP77" i="5" s="1"/>
  <c r="G77" i="5"/>
  <c r="BW76" i="5"/>
  <c r="AL76" i="5"/>
  <c r="AJ76" i="5"/>
  <c r="AH76" i="5"/>
  <c r="AG76" i="5"/>
  <c r="AF76" i="5"/>
  <c r="AC76" i="5"/>
  <c r="AB76" i="5"/>
  <c r="Z76" i="5"/>
  <c r="H76" i="5"/>
  <c r="G76" i="5"/>
  <c r="BW75" i="5"/>
  <c r="AL75" i="5"/>
  <c r="AJ75" i="5"/>
  <c r="AH75" i="5"/>
  <c r="AG75" i="5"/>
  <c r="AF75" i="5"/>
  <c r="AC75" i="5"/>
  <c r="AB75" i="5"/>
  <c r="Z75" i="5"/>
  <c r="H75" i="5"/>
  <c r="AP75" i="5" s="1"/>
  <c r="G75" i="5"/>
  <c r="BW74" i="5"/>
  <c r="AL74" i="5"/>
  <c r="AJ74" i="5"/>
  <c r="AH74" i="5"/>
  <c r="AG74" i="5"/>
  <c r="AF74" i="5"/>
  <c r="AC74" i="5"/>
  <c r="AB74" i="5"/>
  <c r="Z74" i="5"/>
  <c r="H74" i="5"/>
  <c r="BD74" i="5" s="1"/>
  <c r="G74" i="5"/>
  <c r="BW73" i="5"/>
  <c r="AL73" i="5"/>
  <c r="AJ73" i="5"/>
  <c r="AH73" i="5"/>
  <c r="AG73" i="5"/>
  <c r="AF73" i="5"/>
  <c r="AC73" i="5"/>
  <c r="AB73" i="5"/>
  <c r="Z73" i="5"/>
  <c r="H73" i="5"/>
  <c r="AP73" i="5" s="1"/>
  <c r="G73" i="5"/>
  <c r="BW72" i="5"/>
  <c r="AL72" i="5"/>
  <c r="AJ72" i="5"/>
  <c r="AH72" i="5"/>
  <c r="AG72" i="5"/>
  <c r="AF72" i="5"/>
  <c r="AC72" i="5"/>
  <c r="AB72" i="5"/>
  <c r="Z72" i="5"/>
  <c r="H72" i="5"/>
  <c r="AP72" i="5" s="1"/>
  <c r="G72" i="5"/>
  <c r="BW71" i="5"/>
  <c r="AL71" i="5"/>
  <c r="AJ71" i="5"/>
  <c r="AH71" i="5"/>
  <c r="AG71" i="5"/>
  <c r="AF71" i="5"/>
  <c r="AC71" i="5"/>
  <c r="AB71" i="5"/>
  <c r="Z71" i="5"/>
  <c r="H71" i="5"/>
  <c r="BD71" i="5" s="1"/>
  <c r="G71" i="5"/>
  <c r="O71" i="5" s="1"/>
  <c r="BF71" i="5" s="1"/>
  <c r="BW70" i="5"/>
  <c r="AL70" i="5"/>
  <c r="AJ70" i="5"/>
  <c r="AH70" i="5"/>
  <c r="AG70" i="5"/>
  <c r="AF70" i="5"/>
  <c r="AC70" i="5"/>
  <c r="AB70" i="5"/>
  <c r="Z70" i="5"/>
  <c r="H70" i="5"/>
  <c r="BD70" i="5" s="1"/>
  <c r="G70" i="5"/>
  <c r="BW69" i="5"/>
  <c r="AL69" i="5"/>
  <c r="AJ69" i="5"/>
  <c r="AH69" i="5"/>
  <c r="AG69" i="5"/>
  <c r="AF69" i="5"/>
  <c r="AC69" i="5"/>
  <c r="AB69" i="5"/>
  <c r="Z69" i="5"/>
  <c r="H69" i="5"/>
  <c r="AP69" i="5" s="1"/>
  <c r="G69" i="5"/>
  <c r="O69" i="5" s="1"/>
  <c r="BF69" i="5" s="1"/>
  <c r="BW68" i="5"/>
  <c r="AL68" i="5"/>
  <c r="AJ68" i="5"/>
  <c r="AH68" i="5"/>
  <c r="AG68" i="5"/>
  <c r="AF68" i="5"/>
  <c r="AC68" i="5"/>
  <c r="AB68" i="5"/>
  <c r="Z68" i="5"/>
  <c r="H68" i="5"/>
  <c r="AP68" i="5" s="1"/>
  <c r="G68" i="5"/>
  <c r="BW67" i="5"/>
  <c r="AL67" i="5"/>
  <c r="AJ67" i="5"/>
  <c r="AH67" i="5"/>
  <c r="AG67" i="5"/>
  <c r="AF67" i="5"/>
  <c r="AC67" i="5"/>
  <c r="AB67" i="5"/>
  <c r="Z67" i="5"/>
  <c r="H67" i="5"/>
  <c r="AO67" i="5" s="1"/>
  <c r="G67" i="5"/>
  <c r="BW66" i="5"/>
  <c r="AL66" i="5"/>
  <c r="AJ66" i="5"/>
  <c r="AH66" i="5"/>
  <c r="AG66" i="5"/>
  <c r="AF66" i="5"/>
  <c r="AC66" i="5"/>
  <c r="AB66" i="5"/>
  <c r="Z66" i="5"/>
  <c r="H66" i="5"/>
  <c r="G66" i="5"/>
  <c r="O66" i="5" s="1"/>
  <c r="BF66" i="5" s="1"/>
  <c r="BW65" i="5"/>
  <c r="AL65" i="5"/>
  <c r="AJ65" i="5"/>
  <c r="AH65" i="5"/>
  <c r="AG65" i="5"/>
  <c r="AF65" i="5"/>
  <c r="AC65" i="5"/>
  <c r="AB65" i="5"/>
  <c r="Z65" i="5"/>
  <c r="H65" i="5"/>
  <c r="G65" i="5"/>
  <c r="BW64" i="5"/>
  <c r="AL64" i="5"/>
  <c r="AJ64" i="5"/>
  <c r="AH64" i="5"/>
  <c r="AG64" i="5"/>
  <c r="AF64" i="5"/>
  <c r="AC64" i="5"/>
  <c r="AB64" i="5"/>
  <c r="Z64" i="5"/>
  <c r="H64" i="5"/>
  <c r="AP64" i="5" s="1"/>
  <c r="G64" i="5"/>
  <c r="BW62" i="5"/>
  <c r="AL62" i="5"/>
  <c r="AJ62" i="5"/>
  <c r="AH62" i="5"/>
  <c r="AG62" i="5"/>
  <c r="AF62" i="5"/>
  <c r="AE62" i="5"/>
  <c r="AD62" i="5"/>
  <c r="AC62" i="5"/>
  <c r="AB62" i="5"/>
  <c r="H62" i="5"/>
  <c r="AO62" i="5" s="1"/>
  <c r="G62" i="5"/>
  <c r="O62" i="5" s="1"/>
  <c r="BF62" i="5" s="1"/>
  <c r="BW61" i="5"/>
  <c r="AL61" i="5"/>
  <c r="AJ61" i="5"/>
  <c r="AH61" i="5"/>
  <c r="AG61" i="5"/>
  <c r="AF61" i="5"/>
  <c r="AC61" i="5"/>
  <c r="AB61" i="5"/>
  <c r="Z61" i="5"/>
  <c r="H61" i="5"/>
  <c r="AP61" i="5" s="1"/>
  <c r="G61" i="5"/>
  <c r="O61" i="5" s="1"/>
  <c r="BW58" i="5"/>
  <c r="AL58" i="5"/>
  <c r="AJ58" i="5"/>
  <c r="AH58" i="5"/>
  <c r="AG58" i="5"/>
  <c r="AF58" i="5"/>
  <c r="AE58" i="5"/>
  <c r="AD58" i="5"/>
  <c r="AC58" i="5"/>
  <c r="AB58" i="5"/>
  <c r="H58" i="5"/>
  <c r="AP58" i="5" s="1"/>
  <c r="G58" i="5"/>
  <c r="BW56" i="5"/>
  <c r="AL56" i="5"/>
  <c r="AJ56" i="5"/>
  <c r="AH56" i="5"/>
  <c r="AG56" i="5"/>
  <c r="AF56" i="5"/>
  <c r="AC56" i="5"/>
  <c r="AB56" i="5"/>
  <c r="Z56" i="5"/>
  <c r="H56" i="5"/>
  <c r="AP56" i="5" s="1"/>
  <c r="G56" i="5"/>
  <c r="O56" i="5" s="1"/>
  <c r="BF56" i="5" s="1"/>
  <c r="BW55" i="5"/>
  <c r="AL55" i="5"/>
  <c r="AJ55" i="5"/>
  <c r="AH55" i="5"/>
  <c r="AG55" i="5"/>
  <c r="AF55" i="5"/>
  <c r="AC55" i="5"/>
  <c r="AB55" i="5"/>
  <c r="Z55" i="5"/>
  <c r="H55" i="5"/>
  <c r="G55" i="5"/>
  <c r="BW54" i="5"/>
  <c r="AL54" i="5"/>
  <c r="AJ54" i="5"/>
  <c r="AH54" i="5"/>
  <c r="AG54" i="5"/>
  <c r="AF54" i="5"/>
  <c r="AC54" i="5"/>
  <c r="AB54" i="5"/>
  <c r="Z54" i="5"/>
  <c r="H54" i="5"/>
  <c r="BD54" i="5" s="1"/>
  <c r="G54" i="5"/>
  <c r="O54" i="5" s="1"/>
  <c r="BF54" i="5" s="1"/>
  <c r="BW53" i="5"/>
  <c r="AL53" i="5"/>
  <c r="AJ53" i="5"/>
  <c r="AH53" i="5"/>
  <c r="AG53" i="5"/>
  <c r="AF53" i="5"/>
  <c r="AC53" i="5"/>
  <c r="AB53" i="5"/>
  <c r="Z53" i="5"/>
  <c r="H53" i="5"/>
  <c r="AP53" i="5" s="1"/>
  <c r="G53" i="5"/>
  <c r="BW52" i="5"/>
  <c r="AL52" i="5"/>
  <c r="AJ52" i="5"/>
  <c r="AH52" i="5"/>
  <c r="AG52" i="5"/>
  <c r="AF52" i="5"/>
  <c r="AC52" i="5"/>
  <c r="AB52" i="5"/>
  <c r="Z52" i="5"/>
  <c r="H52" i="5"/>
  <c r="AP52" i="5" s="1"/>
  <c r="G52" i="5"/>
  <c r="O52" i="5" s="1"/>
  <c r="BF52" i="5" s="1"/>
  <c r="BW51" i="5"/>
  <c r="AL51" i="5"/>
  <c r="AJ51" i="5"/>
  <c r="AH51" i="5"/>
  <c r="AG51" i="5"/>
  <c r="AF51" i="5"/>
  <c r="AC51" i="5"/>
  <c r="AB51" i="5"/>
  <c r="Z51" i="5"/>
  <c r="H51" i="5"/>
  <c r="BD51" i="5" s="1"/>
  <c r="G51" i="5"/>
  <c r="BW50" i="5"/>
  <c r="AL50" i="5"/>
  <c r="AJ50" i="5"/>
  <c r="AH50" i="5"/>
  <c r="AG50" i="5"/>
  <c r="AF50" i="5"/>
  <c r="AC50" i="5"/>
  <c r="AB50" i="5"/>
  <c r="Z50" i="5"/>
  <c r="H50" i="5"/>
  <c r="BD50" i="5" s="1"/>
  <c r="G50" i="5"/>
  <c r="O50" i="5" s="1"/>
  <c r="BF50" i="5" s="1"/>
  <c r="BW49" i="5"/>
  <c r="AL49" i="5"/>
  <c r="AJ49" i="5"/>
  <c r="AH49" i="5"/>
  <c r="AG49" i="5"/>
  <c r="AF49" i="5"/>
  <c r="AC49" i="5"/>
  <c r="AB49" i="5"/>
  <c r="Z49" i="5"/>
  <c r="H49" i="5"/>
  <c r="AP49" i="5" s="1"/>
  <c r="G49" i="5"/>
  <c r="BW48" i="5"/>
  <c r="AL48" i="5"/>
  <c r="AJ48" i="5"/>
  <c r="AH48" i="5"/>
  <c r="AG48" i="5"/>
  <c r="AF48" i="5"/>
  <c r="AC48" i="5"/>
  <c r="AB48" i="5"/>
  <c r="Z48" i="5"/>
  <c r="H48" i="5"/>
  <c r="AP48" i="5" s="1"/>
  <c r="G48" i="5"/>
  <c r="O48" i="5" s="1"/>
  <c r="BF48" i="5" s="1"/>
  <c r="BW47" i="5"/>
  <c r="AL47" i="5"/>
  <c r="AJ47" i="5"/>
  <c r="AH47" i="5"/>
  <c r="AG47" i="5"/>
  <c r="AF47" i="5"/>
  <c r="AC47" i="5"/>
  <c r="AB47" i="5"/>
  <c r="Z47" i="5"/>
  <c r="H47" i="5"/>
  <c r="G47" i="5"/>
  <c r="BW46" i="5"/>
  <c r="AL46" i="5"/>
  <c r="AJ46" i="5"/>
  <c r="AH46" i="5"/>
  <c r="AG46" i="5"/>
  <c r="AF46" i="5"/>
  <c r="AC46" i="5"/>
  <c r="AB46" i="5"/>
  <c r="Z46" i="5"/>
  <c r="H46" i="5"/>
  <c r="BD46" i="5" s="1"/>
  <c r="G46" i="5"/>
  <c r="O46" i="5" s="1"/>
  <c r="BF46" i="5" s="1"/>
  <c r="BW45" i="5"/>
  <c r="AL45" i="5"/>
  <c r="AJ45" i="5"/>
  <c r="AH45" i="5"/>
  <c r="AG45" i="5"/>
  <c r="AF45" i="5"/>
  <c r="AC45" i="5"/>
  <c r="AB45" i="5"/>
  <c r="Z45" i="5"/>
  <c r="H45" i="5"/>
  <c r="AP45" i="5" s="1"/>
  <c r="G45" i="5"/>
  <c r="BW44" i="5"/>
  <c r="AL44" i="5"/>
  <c r="AJ44" i="5"/>
  <c r="AH44" i="5"/>
  <c r="AG44" i="5"/>
  <c r="AF44" i="5"/>
  <c r="AC44" i="5"/>
  <c r="AB44" i="5"/>
  <c r="Z44" i="5"/>
  <c r="H44" i="5"/>
  <c r="AP44" i="5" s="1"/>
  <c r="G44" i="5"/>
  <c r="O44" i="5" s="1"/>
  <c r="BF44" i="5" s="1"/>
  <c r="BW42" i="5"/>
  <c r="AL42" i="5"/>
  <c r="AJ42" i="5"/>
  <c r="AH42" i="5"/>
  <c r="AG42" i="5"/>
  <c r="AF42" i="5"/>
  <c r="AC42" i="5"/>
  <c r="AB42" i="5"/>
  <c r="Z42" i="5"/>
  <c r="H42" i="5"/>
  <c r="BD42" i="5" s="1"/>
  <c r="G42" i="5"/>
  <c r="BW41" i="5"/>
  <c r="AL41" i="5"/>
  <c r="AJ41" i="5"/>
  <c r="AH41" i="5"/>
  <c r="AG41" i="5"/>
  <c r="AF41" i="5"/>
  <c r="AC41" i="5"/>
  <c r="AB41" i="5"/>
  <c r="Z41" i="5"/>
  <c r="H41" i="5"/>
  <c r="BD41" i="5" s="1"/>
  <c r="G41" i="5"/>
  <c r="O41" i="5" s="1"/>
  <c r="BF41" i="5" s="1"/>
  <c r="BW39" i="5"/>
  <c r="AL39" i="5"/>
  <c r="AJ39" i="5"/>
  <c r="AH39" i="5"/>
  <c r="AG39" i="5"/>
  <c r="AF39" i="5"/>
  <c r="AE39" i="5"/>
  <c r="AD39" i="5"/>
  <c r="AC39" i="5"/>
  <c r="AB39" i="5"/>
  <c r="H39" i="5"/>
  <c r="AP39" i="5" s="1"/>
  <c r="G39" i="5"/>
  <c r="BW38" i="5"/>
  <c r="AL38" i="5"/>
  <c r="AJ38" i="5"/>
  <c r="AH38" i="5"/>
  <c r="AG38" i="5"/>
  <c r="AF38" i="5"/>
  <c r="AC38" i="5"/>
  <c r="AB38" i="5"/>
  <c r="Z38" i="5"/>
  <c r="H38" i="5"/>
  <c r="AP38" i="5" s="1"/>
  <c r="G38" i="5"/>
  <c r="O38" i="5" s="1"/>
  <c r="BW35" i="5"/>
  <c r="AL35" i="5"/>
  <c r="AJ35" i="5"/>
  <c r="AH35" i="5"/>
  <c r="AG35" i="5"/>
  <c r="AF35" i="5"/>
  <c r="AE35" i="5"/>
  <c r="AD35" i="5"/>
  <c r="AC35" i="5"/>
  <c r="AB35" i="5"/>
  <c r="H35" i="5"/>
  <c r="G35" i="5"/>
  <c r="BW34" i="5"/>
  <c r="AL34" i="5"/>
  <c r="AJ34" i="5"/>
  <c r="AH34" i="5"/>
  <c r="AG34" i="5"/>
  <c r="AF34" i="5"/>
  <c r="AC34" i="5"/>
  <c r="AB34" i="5"/>
  <c r="Z34" i="5"/>
  <c r="H34" i="5"/>
  <c r="AO34" i="5" s="1"/>
  <c r="G34" i="5"/>
  <c r="O34" i="5" s="1"/>
  <c r="BF34" i="5" s="1"/>
  <c r="BW33" i="5"/>
  <c r="AL33" i="5"/>
  <c r="AJ33" i="5"/>
  <c r="AH33" i="5"/>
  <c r="AG33" i="5"/>
  <c r="AF33" i="5"/>
  <c r="AC33" i="5"/>
  <c r="AB33" i="5"/>
  <c r="Z33" i="5"/>
  <c r="H33" i="5"/>
  <c r="AP33" i="5" s="1"/>
  <c r="G33" i="5"/>
  <c r="BW32" i="5"/>
  <c r="AL32" i="5"/>
  <c r="AJ32" i="5"/>
  <c r="AH32" i="5"/>
  <c r="AG32" i="5"/>
  <c r="AF32" i="5"/>
  <c r="AC32" i="5"/>
  <c r="AB32" i="5"/>
  <c r="Z32" i="5"/>
  <c r="H32" i="5"/>
  <c r="BD32" i="5" s="1"/>
  <c r="G32" i="5"/>
  <c r="BW31" i="5"/>
  <c r="AL31" i="5"/>
  <c r="AJ31" i="5"/>
  <c r="AH31" i="5"/>
  <c r="AG31" i="5"/>
  <c r="AF31" i="5"/>
  <c r="AC31" i="5"/>
  <c r="AB31" i="5"/>
  <c r="Z31" i="5"/>
  <c r="H31" i="5"/>
  <c r="AP31" i="5" s="1"/>
  <c r="G31" i="5"/>
  <c r="BW30" i="5"/>
  <c r="AL30" i="5"/>
  <c r="AJ30" i="5"/>
  <c r="AH30" i="5"/>
  <c r="AG30" i="5"/>
  <c r="AF30" i="5"/>
  <c r="AC30" i="5"/>
  <c r="AB30" i="5"/>
  <c r="Z30" i="5"/>
  <c r="H30" i="5"/>
  <c r="AO30" i="5" s="1"/>
  <c r="G30" i="5"/>
  <c r="O30" i="5" s="1"/>
  <c r="BW27" i="5"/>
  <c r="AL27" i="5"/>
  <c r="AJ27" i="5"/>
  <c r="AH27" i="5"/>
  <c r="AG27" i="5"/>
  <c r="AF27" i="5"/>
  <c r="AE27" i="5"/>
  <c r="AD27" i="5"/>
  <c r="AC27" i="5"/>
  <c r="AB27" i="5"/>
  <c r="H27" i="5"/>
  <c r="BD27" i="5" s="1"/>
  <c r="G27" i="5"/>
  <c r="O27" i="5" s="1"/>
  <c r="BF27" i="5" s="1"/>
  <c r="BW26" i="5"/>
  <c r="AL26" i="5"/>
  <c r="AJ26" i="5"/>
  <c r="AH26" i="5"/>
  <c r="AG26" i="5"/>
  <c r="AF26" i="5"/>
  <c r="AC26" i="5"/>
  <c r="AB26" i="5"/>
  <c r="Z26" i="5"/>
  <c r="H26" i="5"/>
  <c r="AP26" i="5" s="1"/>
  <c r="G26" i="5"/>
  <c r="BW25" i="5"/>
  <c r="AL25" i="5"/>
  <c r="AJ25" i="5"/>
  <c r="AH25" i="5"/>
  <c r="AG25" i="5"/>
  <c r="AF25" i="5"/>
  <c r="AC25" i="5"/>
  <c r="AB25" i="5"/>
  <c r="Z25" i="5"/>
  <c r="H25" i="5"/>
  <c r="AP25" i="5" s="1"/>
  <c r="G25" i="5"/>
  <c r="BW24" i="5"/>
  <c r="AL24" i="5"/>
  <c r="AJ24" i="5"/>
  <c r="AH24" i="5"/>
  <c r="AG24" i="5"/>
  <c r="AF24" i="5"/>
  <c r="AC24" i="5"/>
  <c r="AB24" i="5"/>
  <c r="Z24" i="5"/>
  <c r="H24" i="5"/>
  <c r="AO24" i="5" s="1"/>
  <c r="G24" i="5"/>
  <c r="BW23" i="5"/>
  <c r="AL23" i="5"/>
  <c r="AJ23" i="5"/>
  <c r="AH23" i="5"/>
  <c r="AG23" i="5"/>
  <c r="AF23" i="5"/>
  <c r="AC23" i="5"/>
  <c r="AB23" i="5"/>
  <c r="Z23" i="5"/>
  <c r="H23" i="5"/>
  <c r="BD23" i="5" s="1"/>
  <c r="G23" i="5"/>
  <c r="O23" i="5" s="1"/>
  <c r="BF23" i="5" s="1"/>
  <c r="BW22" i="5"/>
  <c r="AL22" i="5"/>
  <c r="AJ22" i="5"/>
  <c r="AH22" i="5"/>
  <c r="AG22" i="5"/>
  <c r="AF22" i="5"/>
  <c r="AC22" i="5"/>
  <c r="AB22" i="5"/>
  <c r="Z22" i="5"/>
  <c r="H22" i="5"/>
  <c r="AP22" i="5" s="1"/>
  <c r="G22" i="5"/>
  <c r="BW19" i="5"/>
  <c r="AL19" i="5"/>
  <c r="AJ19" i="5"/>
  <c r="AH19" i="5"/>
  <c r="AG19" i="5"/>
  <c r="AF19" i="5"/>
  <c r="AE19" i="5"/>
  <c r="AD19" i="5"/>
  <c r="AC19" i="5"/>
  <c r="AB19" i="5"/>
  <c r="H19" i="5"/>
  <c r="G19" i="5"/>
  <c r="BW18" i="5"/>
  <c r="AL18" i="5"/>
  <c r="AJ18" i="5"/>
  <c r="AH18" i="5"/>
  <c r="AG18" i="5"/>
  <c r="AF18" i="5"/>
  <c r="AC18" i="5"/>
  <c r="AB18" i="5"/>
  <c r="Z18" i="5"/>
  <c r="H18" i="5"/>
  <c r="AP18" i="5" s="1"/>
  <c r="G18" i="5"/>
  <c r="BW17" i="5"/>
  <c r="AL17" i="5"/>
  <c r="AJ17" i="5"/>
  <c r="AH17" i="5"/>
  <c r="AG17" i="5"/>
  <c r="AF17" i="5"/>
  <c r="AC17" i="5"/>
  <c r="AB17" i="5"/>
  <c r="Z17" i="5"/>
  <c r="H17" i="5"/>
  <c r="AO17" i="5" s="1"/>
  <c r="G17" i="5"/>
  <c r="O17" i="5" s="1"/>
  <c r="BF17" i="5" s="1"/>
  <c r="BW16" i="5"/>
  <c r="AL16" i="5"/>
  <c r="AJ16" i="5"/>
  <c r="AH16" i="5"/>
  <c r="AG16" i="5"/>
  <c r="AF16" i="5"/>
  <c r="AC16" i="5"/>
  <c r="AB16" i="5"/>
  <c r="Z16" i="5"/>
  <c r="H16" i="5"/>
  <c r="AP16" i="5" s="1"/>
  <c r="G16" i="5"/>
  <c r="O16" i="5" s="1"/>
  <c r="BF16" i="5" s="1"/>
  <c r="BW15" i="5"/>
  <c r="AL15" i="5"/>
  <c r="AJ15" i="5"/>
  <c r="AH15" i="5"/>
  <c r="AG15" i="5"/>
  <c r="AF15" i="5"/>
  <c r="AC15" i="5"/>
  <c r="AB15" i="5"/>
  <c r="Z15" i="5"/>
  <c r="H15" i="5"/>
  <c r="AP15" i="5" s="1"/>
  <c r="G15" i="5"/>
  <c r="BW14" i="5"/>
  <c r="AL14" i="5"/>
  <c r="AJ14" i="5"/>
  <c r="AH14" i="5"/>
  <c r="AG14" i="5"/>
  <c r="AF14" i="5"/>
  <c r="AC14" i="5"/>
  <c r="AB14" i="5"/>
  <c r="Z14" i="5"/>
  <c r="H14" i="5"/>
  <c r="G14" i="5"/>
  <c r="AU1" i="5"/>
  <c r="AT1" i="5"/>
  <c r="AS1" i="5"/>
  <c r="F44" i="4"/>
  <c r="I44" i="4" s="1"/>
  <c r="F42" i="4"/>
  <c r="I42" i="4" s="1"/>
  <c r="F40" i="4"/>
  <c r="I40" i="4" s="1"/>
  <c r="F39" i="4"/>
  <c r="I39" i="4" s="1"/>
  <c r="F38" i="4"/>
  <c r="I38" i="4" s="1"/>
  <c r="F36" i="4"/>
  <c r="I36" i="4" s="1"/>
  <c r="I26" i="4"/>
  <c r="I25" i="4"/>
  <c r="I18" i="3" s="1"/>
  <c r="I24" i="4"/>
  <c r="I23" i="4"/>
  <c r="I22" i="4"/>
  <c r="I21" i="4"/>
  <c r="I14" i="3" s="1"/>
  <c r="I17" i="4"/>
  <c r="F16" i="3" s="1"/>
  <c r="I16" i="4"/>
  <c r="F15" i="3" s="1"/>
  <c r="I15" i="4"/>
  <c r="I10" i="4"/>
  <c r="F10" i="4"/>
  <c r="C10" i="4"/>
  <c r="F8" i="4"/>
  <c r="C8" i="4"/>
  <c r="F6" i="4"/>
  <c r="C6" i="4"/>
  <c r="F4" i="4"/>
  <c r="C4" i="4"/>
  <c r="F2" i="4"/>
  <c r="C2" i="4"/>
  <c r="I17" i="3"/>
  <c r="I16" i="3"/>
  <c r="I15" i="3"/>
  <c r="F14" i="3"/>
  <c r="C10" i="3"/>
  <c r="F8" i="3"/>
  <c r="C8" i="3"/>
  <c r="F6" i="3"/>
  <c r="C6" i="3"/>
  <c r="F4" i="3"/>
  <c r="C4" i="3"/>
  <c r="F2" i="3"/>
  <c r="C2" i="3"/>
  <c r="IS601" i="1"/>
  <c r="IR601" i="1"/>
  <c r="IS599" i="1"/>
  <c r="IR599" i="1"/>
  <c r="IS597" i="1"/>
  <c r="IR597" i="1"/>
  <c r="IS596" i="1"/>
  <c r="IR596" i="1"/>
  <c r="IS594" i="1"/>
  <c r="IR594" i="1"/>
  <c r="IS590" i="1"/>
  <c r="IR590" i="1"/>
  <c r="IS589" i="1"/>
  <c r="IR589" i="1"/>
  <c r="IS588" i="1"/>
  <c r="IR588" i="1"/>
  <c r="IS587" i="1"/>
  <c r="IR587" i="1"/>
  <c r="IS586" i="1"/>
  <c r="IR586" i="1"/>
  <c r="IS585" i="1"/>
  <c r="IR585" i="1"/>
  <c r="IS584" i="1"/>
  <c r="IR584" i="1"/>
  <c r="IS583" i="1"/>
  <c r="IR583" i="1"/>
  <c r="IS581" i="1"/>
  <c r="IR581" i="1"/>
  <c r="IS580" i="1"/>
  <c r="IR580" i="1"/>
  <c r="IS578" i="1"/>
  <c r="IR578" i="1"/>
  <c r="IS576" i="1"/>
  <c r="IR576" i="1"/>
  <c r="IS574" i="1"/>
  <c r="IR574" i="1"/>
  <c r="IS573" i="1"/>
  <c r="IR573" i="1"/>
  <c r="IS571" i="1"/>
  <c r="IR571" i="1"/>
  <c r="IS570" i="1"/>
  <c r="IR570" i="1"/>
  <c r="IS569" i="1"/>
  <c r="IR569" i="1"/>
  <c r="IS568" i="1"/>
  <c r="IR568" i="1"/>
  <c r="IS566" i="1"/>
  <c r="IR566" i="1"/>
  <c r="IS565" i="1"/>
  <c r="IR565" i="1"/>
  <c r="IS564" i="1"/>
  <c r="IR564" i="1"/>
  <c r="IS563" i="1"/>
  <c r="IR563" i="1"/>
  <c r="IS562" i="1"/>
  <c r="IR562" i="1"/>
  <c r="IS561" i="1"/>
  <c r="IR561" i="1"/>
  <c r="IS560" i="1"/>
  <c r="IR560" i="1"/>
  <c r="IS558" i="1"/>
  <c r="IR558" i="1"/>
  <c r="IS556" i="1"/>
  <c r="IR556" i="1"/>
  <c r="IS555" i="1"/>
  <c r="IR555" i="1"/>
  <c r="IS554" i="1"/>
  <c r="IR554" i="1"/>
  <c r="IS552" i="1"/>
  <c r="IR552" i="1"/>
  <c r="IS551" i="1"/>
  <c r="IR551" i="1"/>
  <c r="IS550" i="1"/>
  <c r="IR550" i="1"/>
  <c r="IS548" i="1"/>
  <c r="IR548" i="1"/>
  <c r="IS547" i="1"/>
  <c r="IR547" i="1"/>
  <c r="IS546" i="1"/>
  <c r="IR546" i="1"/>
  <c r="IS545" i="1"/>
  <c r="IR545" i="1"/>
  <c r="IS544" i="1"/>
  <c r="IR544" i="1"/>
  <c r="IS543" i="1"/>
  <c r="IR543" i="1"/>
  <c r="IS542" i="1"/>
  <c r="IR542" i="1"/>
  <c r="IS539" i="1"/>
  <c r="IR539" i="1"/>
  <c r="IS538" i="1"/>
  <c r="IR538" i="1"/>
  <c r="IS537" i="1"/>
  <c r="IR537" i="1"/>
  <c r="IS536" i="1"/>
  <c r="IR536" i="1"/>
  <c r="IS535" i="1"/>
  <c r="IR535" i="1"/>
  <c r="IS534" i="1"/>
  <c r="IR534" i="1"/>
  <c r="IS533" i="1"/>
  <c r="IR533" i="1"/>
  <c r="IS532" i="1"/>
  <c r="IR532" i="1"/>
  <c r="IS530" i="1"/>
  <c r="IR530" i="1"/>
  <c r="IS529" i="1"/>
  <c r="IR529" i="1"/>
  <c r="IS527" i="1"/>
  <c r="IR527" i="1"/>
  <c r="IS525" i="1"/>
  <c r="IR525" i="1"/>
  <c r="IS523" i="1"/>
  <c r="IR523" i="1"/>
  <c r="IS522" i="1"/>
  <c r="IR522" i="1"/>
  <c r="IS520" i="1"/>
  <c r="IR520" i="1"/>
  <c r="IS519" i="1"/>
  <c r="IR519" i="1"/>
  <c r="IS518" i="1"/>
  <c r="IR518" i="1"/>
  <c r="IS517" i="1"/>
  <c r="IR517" i="1"/>
  <c r="IS515" i="1"/>
  <c r="IR515" i="1"/>
  <c r="IS514" i="1"/>
  <c r="IR514" i="1"/>
  <c r="IS513" i="1"/>
  <c r="IR513" i="1"/>
  <c r="IS512" i="1"/>
  <c r="IR512" i="1"/>
  <c r="IS511" i="1"/>
  <c r="IR511" i="1"/>
  <c r="IS510" i="1"/>
  <c r="IR510" i="1"/>
  <c r="IS509" i="1"/>
  <c r="IR509" i="1"/>
  <c r="IS507" i="1"/>
  <c r="IR507" i="1"/>
  <c r="IS505" i="1"/>
  <c r="IR505" i="1"/>
  <c r="IS504" i="1"/>
  <c r="IR504" i="1"/>
  <c r="IS503" i="1"/>
  <c r="IR503" i="1"/>
  <c r="IS501" i="1"/>
  <c r="IR501" i="1"/>
  <c r="IS500" i="1"/>
  <c r="IR500" i="1"/>
  <c r="IS499" i="1"/>
  <c r="IR499" i="1"/>
  <c r="IS497" i="1"/>
  <c r="IR497" i="1"/>
  <c r="IS496" i="1"/>
  <c r="IR496" i="1"/>
  <c r="IS495" i="1"/>
  <c r="IR495" i="1"/>
  <c r="IS494" i="1"/>
  <c r="IR494" i="1"/>
  <c r="IS493" i="1"/>
  <c r="IR493" i="1"/>
  <c r="IS492" i="1"/>
  <c r="IR492" i="1"/>
  <c r="IS491" i="1"/>
  <c r="IR491" i="1"/>
  <c r="IS488" i="1"/>
  <c r="IR488" i="1"/>
  <c r="IS487" i="1"/>
  <c r="IR487" i="1"/>
  <c r="IS486" i="1"/>
  <c r="IR486" i="1"/>
  <c r="IS485" i="1"/>
  <c r="IR485" i="1"/>
  <c r="IS484" i="1"/>
  <c r="IR484" i="1"/>
  <c r="IS483" i="1"/>
  <c r="IR483" i="1"/>
  <c r="IS482" i="1"/>
  <c r="IR482" i="1"/>
  <c r="IS481" i="1"/>
  <c r="IR481" i="1"/>
  <c r="IS479" i="1"/>
  <c r="IR479" i="1"/>
  <c r="IS478" i="1"/>
  <c r="IR478" i="1"/>
  <c r="IS476" i="1"/>
  <c r="IR476" i="1"/>
  <c r="IS474" i="1"/>
  <c r="IR474" i="1"/>
  <c r="IS472" i="1"/>
  <c r="IR472" i="1"/>
  <c r="IS471" i="1"/>
  <c r="IR471" i="1"/>
  <c r="IS469" i="1"/>
  <c r="IR469" i="1"/>
  <c r="IS468" i="1"/>
  <c r="IR468" i="1"/>
  <c r="IS467" i="1"/>
  <c r="IR467" i="1"/>
  <c r="IS466" i="1"/>
  <c r="IR466" i="1"/>
  <c r="IS464" i="1"/>
  <c r="IR464" i="1"/>
  <c r="IS463" i="1"/>
  <c r="IR463" i="1"/>
  <c r="IS462" i="1"/>
  <c r="IR462" i="1"/>
  <c r="IS461" i="1"/>
  <c r="IR461" i="1"/>
  <c r="IS460" i="1"/>
  <c r="IR460" i="1"/>
  <c r="IS459" i="1"/>
  <c r="IR459" i="1"/>
  <c r="IS458" i="1"/>
  <c r="IR458" i="1"/>
  <c r="IS456" i="1"/>
  <c r="IR456" i="1"/>
  <c r="IS454" i="1"/>
  <c r="IR454" i="1"/>
  <c r="IS453" i="1"/>
  <c r="IR453" i="1"/>
  <c r="IS452" i="1"/>
  <c r="IR452" i="1"/>
  <c r="IS450" i="1"/>
  <c r="IR450" i="1"/>
  <c r="IS449" i="1"/>
  <c r="IR449" i="1"/>
  <c r="IS448" i="1"/>
  <c r="IR448" i="1"/>
  <c r="IS446" i="1"/>
  <c r="IR446" i="1"/>
  <c r="IS445" i="1"/>
  <c r="IR445" i="1"/>
  <c r="IS444" i="1"/>
  <c r="IR444" i="1"/>
  <c r="IS443" i="1"/>
  <c r="IR443" i="1"/>
  <c r="IS442" i="1"/>
  <c r="IR442" i="1"/>
  <c r="IS441" i="1"/>
  <c r="IR441" i="1"/>
  <c r="IS440" i="1"/>
  <c r="IR440" i="1"/>
  <c r="IS437" i="1"/>
  <c r="IR437" i="1"/>
  <c r="IS436" i="1"/>
  <c r="IR436" i="1"/>
  <c r="IS435" i="1"/>
  <c r="IR435" i="1"/>
  <c r="IS434" i="1"/>
  <c r="IR434" i="1"/>
  <c r="IS433" i="1"/>
  <c r="IR433" i="1"/>
  <c r="IS432" i="1"/>
  <c r="IR432" i="1"/>
  <c r="IS431" i="1"/>
  <c r="IR431" i="1"/>
  <c r="IS430" i="1"/>
  <c r="IR430" i="1"/>
  <c r="IS429" i="1"/>
  <c r="IR429" i="1"/>
  <c r="IS428" i="1"/>
  <c r="IR428" i="1"/>
  <c r="IS427" i="1"/>
  <c r="IR427" i="1"/>
  <c r="IS426" i="1"/>
  <c r="IR426" i="1"/>
  <c r="IS425" i="1"/>
  <c r="IR425" i="1"/>
  <c r="IS422" i="1"/>
  <c r="IR422" i="1"/>
  <c r="IS421" i="1"/>
  <c r="IR421" i="1"/>
  <c r="IS420" i="1"/>
  <c r="IR420" i="1"/>
  <c r="IS419" i="1"/>
  <c r="IR419" i="1"/>
  <c r="IS418" i="1"/>
  <c r="IR418" i="1"/>
  <c r="IS417" i="1"/>
  <c r="IR417" i="1"/>
  <c r="IS416" i="1"/>
  <c r="IR416" i="1"/>
  <c r="IS415" i="1"/>
  <c r="IR415" i="1"/>
  <c r="IS414" i="1"/>
  <c r="IR414" i="1"/>
  <c r="IS413" i="1"/>
  <c r="IR413" i="1"/>
  <c r="IS412" i="1"/>
  <c r="IR412" i="1"/>
  <c r="IS411" i="1"/>
  <c r="IR411" i="1"/>
  <c r="IS410" i="1"/>
  <c r="IR410" i="1"/>
  <c r="IS407" i="1"/>
  <c r="IR407" i="1"/>
  <c r="IS406" i="1"/>
  <c r="IR406" i="1"/>
  <c r="IS405" i="1"/>
  <c r="IR405" i="1"/>
  <c r="IS404" i="1"/>
  <c r="IR404" i="1"/>
  <c r="IS403" i="1"/>
  <c r="IR403" i="1"/>
  <c r="IS402" i="1"/>
  <c r="IR402" i="1"/>
  <c r="IS401" i="1"/>
  <c r="IR401" i="1"/>
  <c r="IS400" i="1"/>
  <c r="IR400" i="1"/>
  <c r="IS399" i="1"/>
  <c r="IR399" i="1"/>
  <c r="IS398" i="1"/>
  <c r="IR398" i="1"/>
  <c r="IS397" i="1"/>
  <c r="IR397" i="1"/>
  <c r="IS396" i="1"/>
  <c r="IR396" i="1"/>
  <c r="IS395" i="1"/>
  <c r="IR395" i="1"/>
  <c r="IS392" i="1"/>
  <c r="IR392" i="1"/>
  <c r="IS391" i="1"/>
  <c r="IR391" i="1"/>
  <c r="IS390" i="1"/>
  <c r="IR390" i="1"/>
  <c r="IS389" i="1"/>
  <c r="IR389" i="1"/>
  <c r="IS388" i="1"/>
  <c r="IR388" i="1"/>
  <c r="IS387" i="1"/>
  <c r="IR387" i="1"/>
  <c r="IS386" i="1"/>
  <c r="IR386" i="1"/>
  <c r="IS385" i="1"/>
  <c r="IR385" i="1"/>
  <c r="IS384" i="1"/>
  <c r="IR384" i="1"/>
  <c r="IS383" i="1"/>
  <c r="IR383" i="1"/>
  <c r="IS382" i="1"/>
  <c r="IR382" i="1"/>
  <c r="IS381" i="1"/>
  <c r="IR381" i="1"/>
  <c r="IS380" i="1"/>
  <c r="IR380" i="1"/>
  <c r="IS379" i="1"/>
  <c r="IR379" i="1"/>
  <c r="IS378" i="1"/>
  <c r="IR378" i="1"/>
  <c r="IS377" i="1"/>
  <c r="IR377" i="1"/>
  <c r="IS376" i="1"/>
  <c r="IR376" i="1"/>
  <c r="IS375" i="1"/>
  <c r="IR375" i="1"/>
  <c r="IS374" i="1"/>
  <c r="IR374" i="1"/>
  <c r="IS373" i="1"/>
  <c r="IR373" i="1"/>
  <c r="IS372" i="1"/>
  <c r="IR372" i="1"/>
  <c r="IS371" i="1"/>
  <c r="IR371" i="1"/>
  <c r="IS370" i="1"/>
  <c r="IR370" i="1"/>
  <c r="IS369" i="1"/>
  <c r="IR369" i="1"/>
  <c r="IS368" i="1"/>
  <c r="IR368" i="1"/>
  <c r="IS365" i="1"/>
  <c r="IR365" i="1"/>
  <c r="IS364" i="1"/>
  <c r="IR364" i="1"/>
  <c r="IS363" i="1"/>
  <c r="IR363" i="1"/>
  <c r="IS362" i="1"/>
  <c r="IR362" i="1"/>
  <c r="IS361" i="1"/>
  <c r="IR361" i="1"/>
  <c r="IS360" i="1"/>
  <c r="IR360" i="1"/>
  <c r="IS359" i="1"/>
  <c r="IR359" i="1"/>
  <c r="IS358" i="1"/>
  <c r="IR358" i="1"/>
  <c r="IS357" i="1"/>
  <c r="IR357" i="1"/>
  <c r="IS356" i="1"/>
  <c r="IR356" i="1"/>
  <c r="IS355" i="1"/>
  <c r="IR355" i="1"/>
  <c r="IS354" i="1"/>
  <c r="IR354" i="1"/>
  <c r="IS353" i="1"/>
  <c r="IR353" i="1"/>
  <c r="IS352" i="1"/>
  <c r="IR352" i="1"/>
  <c r="IS351" i="1"/>
  <c r="IR351" i="1"/>
  <c r="IS350" i="1"/>
  <c r="IR350" i="1"/>
  <c r="IS349" i="1"/>
  <c r="IR349" i="1"/>
  <c r="IS348" i="1"/>
  <c r="IR348" i="1"/>
  <c r="IS347" i="1"/>
  <c r="IR347" i="1"/>
  <c r="IS346" i="1"/>
  <c r="IR346" i="1"/>
  <c r="IS345" i="1"/>
  <c r="IR345" i="1"/>
  <c r="IS344" i="1"/>
  <c r="IR344" i="1"/>
  <c r="IS343" i="1"/>
  <c r="IR343" i="1"/>
  <c r="IS342" i="1"/>
  <c r="IR342" i="1"/>
  <c r="IS341" i="1"/>
  <c r="IR341" i="1"/>
  <c r="IS338" i="1"/>
  <c r="IR338" i="1"/>
  <c r="IS337" i="1"/>
  <c r="IR337" i="1"/>
  <c r="IS336" i="1"/>
  <c r="IR336" i="1"/>
  <c r="IS335" i="1"/>
  <c r="IR335" i="1"/>
  <c r="IS334" i="1"/>
  <c r="IR334" i="1"/>
  <c r="IS333" i="1"/>
  <c r="IR333" i="1"/>
  <c r="IS332" i="1"/>
  <c r="IR332" i="1"/>
  <c r="IS331" i="1"/>
  <c r="IR331" i="1"/>
  <c r="IS330" i="1"/>
  <c r="IR330" i="1"/>
  <c r="IS329" i="1"/>
  <c r="IR329" i="1"/>
  <c r="IS328" i="1"/>
  <c r="IR328" i="1"/>
  <c r="IS327" i="1"/>
  <c r="IR327" i="1"/>
  <c r="IS326" i="1"/>
  <c r="IR326" i="1"/>
  <c r="IS325" i="1"/>
  <c r="IR325" i="1"/>
  <c r="IS324" i="1"/>
  <c r="IR324" i="1"/>
  <c r="IS323" i="1"/>
  <c r="IR323" i="1"/>
  <c r="IS322" i="1"/>
  <c r="IR322" i="1"/>
  <c r="IS321" i="1"/>
  <c r="IR321" i="1"/>
  <c r="IS320" i="1"/>
  <c r="IR320" i="1"/>
  <c r="IS319" i="1"/>
  <c r="IR319" i="1"/>
  <c r="IS318" i="1"/>
  <c r="IR318" i="1"/>
  <c r="IS317" i="1"/>
  <c r="IR317" i="1"/>
  <c r="IS316" i="1"/>
  <c r="IR316" i="1"/>
  <c r="IS315" i="1"/>
  <c r="IR315" i="1"/>
  <c r="IS314" i="1"/>
  <c r="IR314" i="1"/>
  <c r="IS311" i="1"/>
  <c r="IR311" i="1"/>
  <c r="IS310" i="1"/>
  <c r="IR310" i="1"/>
  <c r="IS309" i="1"/>
  <c r="IR309" i="1"/>
  <c r="IS308" i="1"/>
  <c r="IR308" i="1"/>
  <c r="IS307" i="1"/>
  <c r="IR307" i="1"/>
  <c r="IS305" i="1"/>
  <c r="IR305" i="1"/>
  <c r="IS304" i="1"/>
  <c r="IR304" i="1"/>
  <c r="IS303" i="1"/>
  <c r="IR303" i="1"/>
  <c r="IS302" i="1"/>
  <c r="IR302" i="1"/>
  <c r="IS301" i="1"/>
  <c r="IR301" i="1"/>
  <c r="IS300" i="1"/>
  <c r="IR300" i="1"/>
  <c r="IS299" i="1"/>
  <c r="IR299" i="1"/>
  <c r="IS298" i="1"/>
  <c r="IR298" i="1"/>
  <c r="IS297" i="1"/>
  <c r="IR297" i="1"/>
  <c r="IS296" i="1"/>
  <c r="IR296" i="1"/>
  <c r="IS295" i="1"/>
  <c r="IR295" i="1"/>
  <c r="IS294" i="1"/>
  <c r="IR294" i="1"/>
  <c r="IS293" i="1"/>
  <c r="IR293" i="1"/>
  <c r="IS292" i="1"/>
  <c r="IR292" i="1"/>
  <c r="IS291" i="1"/>
  <c r="IR291" i="1"/>
  <c r="IS290" i="1"/>
  <c r="IR290" i="1"/>
  <c r="IS289" i="1"/>
  <c r="IR289" i="1"/>
  <c r="IS288" i="1"/>
  <c r="IR288" i="1"/>
  <c r="IS287" i="1"/>
  <c r="IR287" i="1"/>
  <c r="IS286" i="1"/>
  <c r="IR286" i="1"/>
  <c r="IS284" i="1"/>
  <c r="IR284" i="1"/>
  <c r="IS283" i="1"/>
  <c r="IR283" i="1"/>
  <c r="IS282" i="1"/>
  <c r="IR282" i="1"/>
  <c r="IS281" i="1"/>
  <c r="IR281" i="1"/>
  <c r="IS278" i="1"/>
  <c r="IR278" i="1"/>
  <c r="IS277" i="1"/>
  <c r="IR277" i="1"/>
  <c r="IS276" i="1"/>
  <c r="IR276" i="1"/>
  <c r="IS275" i="1"/>
  <c r="IR275" i="1"/>
  <c r="IS274" i="1"/>
  <c r="IR274" i="1"/>
  <c r="IS272" i="1"/>
  <c r="IR272" i="1"/>
  <c r="IS271" i="1"/>
  <c r="IR271" i="1"/>
  <c r="IS270" i="1"/>
  <c r="IR270" i="1"/>
  <c r="IS269" i="1"/>
  <c r="IR269" i="1"/>
  <c r="IS268" i="1"/>
  <c r="IR268" i="1"/>
  <c r="IS267" i="1"/>
  <c r="IR267" i="1"/>
  <c r="IS266" i="1"/>
  <c r="IR266" i="1"/>
  <c r="IS265" i="1"/>
  <c r="IR265" i="1"/>
  <c r="IS264" i="1"/>
  <c r="IR264" i="1"/>
  <c r="IS263" i="1"/>
  <c r="IR263" i="1"/>
  <c r="IS262" i="1"/>
  <c r="IR262" i="1"/>
  <c r="IS261" i="1"/>
  <c r="IR261" i="1"/>
  <c r="IS260" i="1"/>
  <c r="IR260" i="1"/>
  <c r="IS259" i="1"/>
  <c r="IR259" i="1"/>
  <c r="IS258" i="1"/>
  <c r="IR258" i="1"/>
  <c r="IS257" i="1"/>
  <c r="IR257" i="1"/>
  <c r="IS256" i="1"/>
  <c r="IR256" i="1"/>
  <c r="IS255" i="1"/>
  <c r="IR255" i="1"/>
  <c r="IS253" i="1"/>
  <c r="IR253" i="1"/>
  <c r="IS252" i="1"/>
  <c r="IR252" i="1"/>
  <c r="IS251" i="1"/>
  <c r="IR251" i="1"/>
  <c r="IS250" i="1"/>
  <c r="IR250" i="1"/>
  <c r="IS247" i="1"/>
  <c r="IR247" i="1"/>
  <c r="IS246" i="1"/>
  <c r="IR246" i="1"/>
  <c r="IS245" i="1"/>
  <c r="IR245" i="1"/>
  <c r="IS244" i="1"/>
  <c r="IR244" i="1"/>
  <c r="IS243" i="1"/>
  <c r="IR243" i="1"/>
  <c r="IS241" i="1"/>
  <c r="IR241" i="1"/>
  <c r="IS240" i="1"/>
  <c r="IR240" i="1"/>
  <c r="IS239" i="1"/>
  <c r="IR239" i="1"/>
  <c r="IS238" i="1"/>
  <c r="IR238" i="1"/>
  <c r="IS237" i="1"/>
  <c r="IR237" i="1"/>
  <c r="IS236" i="1"/>
  <c r="IR236" i="1"/>
  <c r="IS235" i="1"/>
  <c r="IR235" i="1"/>
  <c r="IS234" i="1"/>
  <c r="IR234" i="1"/>
  <c r="IS233" i="1"/>
  <c r="IR233" i="1"/>
  <c r="IS232" i="1"/>
  <c r="IR232" i="1"/>
  <c r="IS231" i="1"/>
  <c r="IR231" i="1"/>
  <c r="IS230" i="1"/>
  <c r="IR230" i="1"/>
  <c r="IS229" i="1"/>
  <c r="IR229" i="1"/>
  <c r="IS228" i="1"/>
  <c r="IR228" i="1"/>
  <c r="IS227" i="1"/>
  <c r="IR227" i="1"/>
  <c r="IS226" i="1"/>
  <c r="IR226" i="1"/>
  <c r="IS225" i="1"/>
  <c r="IR225" i="1"/>
  <c r="IS224" i="1"/>
  <c r="IR224" i="1"/>
  <c r="IS222" i="1"/>
  <c r="IR222" i="1"/>
  <c r="IS221" i="1"/>
  <c r="IR221" i="1"/>
  <c r="IS220" i="1"/>
  <c r="IR220" i="1"/>
  <c r="IS219" i="1"/>
  <c r="IR219" i="1"/>
  <c r="IS216" i="1"/>
  <c r="IR216" i="1"/>
  <c r="IS215" i="1"/>
  <c r="IR215" i="1"/>
  <c r="IS214" i="1"/>
  <c r="IR214" i="1"/>
  <c r="IS213" i="1"/>
  <c r="IR213" i="1"/>
  <c r="IS212" i="1"/>
  <c r="IR212" i="1"/>
  <c r="IS211" i="1"/>
  <c r="IR211" i="1"/>
  <c r="IS210" i="1"/>
  <c r="IR210" i="1"/>
  <c r="IS209" i="1"/>
  <c r="IR209" i="1"/>
  <c r="IS208" i="1"/>
  <c r="IR208" i="1"/>
  <c r="IS207" i="1"/>
  <c r="IR207" i="1"/>
  <c r="IS206" i="1"/>
  <c r="IR206" i="1"/>
  <c r="IS205" i="1"/>
  <c r="IR205" i="1"/>
  <c r="IS204" i="1"/>
  <c r="IR204" i="1"/>
  <c r="IS203" i="1"/>
  <c r="IR203" i="1"/>
  <c r="IS202" i="1"/>
  <c r="IR202" i="1"/>
  <c r="IS201" i="1"/>
  <c r="IR201" i="1"/>
  <c r="IS200" i="1"/>
  <c r="IR200" i="1"/>
  <c r="IS199" i="1"/>
  <c r="IR199" i="1"/>
  <c r="IS198" i="1"/>
  <c r="IR198" i="1"/>
  <c r="IS197" i="1"/>
  <c r="IR197" i="1"/>
  <c r="IS196" i="1"/>
  <c r="IR196" i="1"/>
  <c r="IS195" i="1"/>
  <c r="IR195" i="1"/>
  <c r="IS194" i="1"/>
  <c r="IR194" i="1"/>
  <c r="IS193" i="1"/>
  <c r="IR193" i="1"/>
  <c r="IS192" i="1"/>
  <c r="IR192" i="1"/>
  <c r="IS191" i="1"/>
  <c r="IR191" i="1"/>
  <c r="IS190" i="1"/>
  <c r="IR190" i="1"/>
  <c r="IS189" i="1"/>
  <c r="IR189" i="1"/>
  <c r="IS188" i="1"/>
  <c r="IR188" i="1"/>
  <c r="IS187" i="1"/>
  <c r="IR187" i="1"/>
  <c r="IS186" i="1"/>
  <c r="IR186" i="1"/>
  <c r="IS185" i="1"/>
  <c r="IR185" i="1"/>
  <c r="IS184" i="1"/>
  <c r="IR184" i="1"/>
  <c r="IS183" i="1"/>
  <c r="IR183" i="1"/>
  <c r="IS182" i="1"/>
  <c r="IR182" i="1"/>
  <c r="IS181" i="1"/>
  <c r="IR181" i="1"/>
  <c r="IS179" i="1"/>
  <c r="IR179" i="1"/>
  <c r="IS178" i="1"/>
  <c r="IR178" i="1"/>
  <c r="IS177" i="1"/>
  <c r="IR177" i="1"/>
  <c r="IS176" i="1"/>
  <c r="IR176" i="1"/>
  <c r="IS175" i="1"/>
  <c r="IR175" i="1"/>
  <c r="IS174" i="1"/>
  <c r="IR174" i="1"/>
  <c r="IS171" i="1"/>
  <c r="IR171" i="1"/>
  <c r="IS170" i="1"/>
  <c r="IR170" i="1"/>
  <c r="IS169" i="1"/>
  <c r="IR169" i="1"/>
  <c r="IS168" i="1"/>
  <c r="IR168" i="1"/>
  <c r="IS167" i="1"/>
  <c r="IR167" i="1"/>
  <c r="IS166" i="1"/>
  <c r="IR166" i="1"/>
  <c r="IS165" i="1"/>
  <c r="IR165" i="1"/>
  <c r="IS164" i="1"/>
  <c r="IR164" i="1"/>
  <c r="IS163" i="1"/>
  <c r="IR163" i="1"/>
  <c r="IS162" i="1"/>
  <c r="IR162" i="1"/>
  <c r="IS161" i="1"/>
  <c r="IR161" i="1"/>
  <c r="IS160" i="1"/>
  <c r="IR160" i="1"/>
  <c r="IS159" i="1"/>
  <c r="IR159" i="1"/>
  <c r="IS158" i="1"/>
  <c r="IR158" i="1"/>
  <c r="IS157" i="1"/>
  <c r="IR157" i="1"/>
  <c r="IS156" i="1"/>
  <c r="IR156" i="1"/>
  <c r="IS155" i="1"/>
  <c r="IR155" i="1"/>
  <c r="IS154" i="1"/>
  <c r="IR154" i="1"/>
  <c r="IS153" i="1"/>
  <c r="IR153" i="1"/>
  <c r="IS152" i="1"/>
  <c r="IR152" i="1"/>
  <c r="IS151" i="1"/>
  <c r="IR151" i="1"/>
  <c r="IS150" i="1"/>
  <c r="IR150" i="1"/>
  <c r="IS149" i="1"/>
  <c r="IR149" i="1"/>
  <c r="IS148" i="1"/>
  <c r="IR148" i="1"/>
  <c r="IS147" i="1"/>
  <c r="IR147" i="1"/>
  <c r="IS146" i="1"/>
  <c r="IR146" i="1"/>
  <c r="IS145" i="1"/>
  <c r="IR145" i="1"/>
  <c r="IS144" i="1"/>
  <c r="IR144" i="1"/>
  <c r="IS143" i="1"/>
  <c r="IR143" i="1"/>
  <c r="IS142" i="1"/>
  <c r="IR142" i="1"/>
  <c r="IS141" i="1"/>
  <c r="IR141" i="1"/>
  <c r="IS140" i="1"/>
  <c r="IR140" i="1"/>
  <c r="IS139" i="1"/>
  <c r="IR139" i="1"/>
  <c r="IS138" i="1"/>
  <c r="IR138" i="1"/>
  <c r="IS137" i="1"/>
  <c r="IR137" i="1"/>
  <c r="IS136" i="1"/>
  <c r="IR136" i="1"/>
  <c r="IS135" i="1"/>
  <c r="IR135" i="1"/>
  <c r="IS133" i="1"/>
  <c r="IR133" i="1"/>
  <c r="IS132" i="1"/>
  <c r="IR132" i="1"/>
  <c r="IS131" i="1"/>
  <c r="IR131" i="1"/>
  <c r="IS130" i="1"/>
  <c r="IR130" i="1"/>
  <c r="IS129" i="1"/>
  <c r="IR129" i="1"/>
  <c r="IS128" i="1"/>
  <c r="IR128" i="1"/>
  <c r="IS127" i="1"/>
  <c r="IR127" i="1"/>
  <c r="IS124" i="1"/>
  <c r="IR124" i="1"/>
  <c r="IS123" i="1"/>
  <c r="IR123" i="1"/>
  <c r="IS122" i="1"/>
  <c r="IR122" i="1"/>
  <c r="IS121" i="1"/>
  <c r="IR121" i="1"/>
  <c r="IS120" i="1"/>
  <c r="IR120" i="1"/>
  <c r="IS119" i="1"/>
  <c r="IR119" i="1"/>
  <c r="IS118" i="1"/>
  <c r="IR118" i="1"/>
  <c r="IS117" i="1"/>
  <c r="IR117" i="1"/>
  <c r="IS116" i="1"/>
  <c r="IR116" i="1"/>
  <c r="IS115" i="1"/>
  <c r="IR115" i="1"/>
  <c r="IS114" i="1"/>
  <c r="IR114" i="1"/>
  <c r="IS113" i="1"/>
  <c r="IR113" i="1"/>
  <c r="IS112" i="1"/>
  <c r="IR112" i="1"/>
  <c r="IS111" i="1"/>
  <c r="IR111" i="1"/>
  <c r="IS110" i="1"/>
  <c r="IR110" i="1"/>
  <c r="IS109" i="1"/>
  <c r="IR109" i="1"/>
  <c r="IS108" i="1"/>
  <c r="IR108" i="1"/>
  <c r="IS107" i="1"/>
  <c r="IR107" i="1"/>
  <c r="IS106" i="1"/>
  <c r="IR106" i="1"/>
  <c r="IS105" i="1"/>
  <c r="IR105" i="1"/>
  <c r="IS104" i="1"/>
  <c r="IR104" i="1"/>
  <c r="IS103" i="1"/>
  <c r="IR103" i="1"/>
  <c r="IS102" i="1"/>
  <c r="IR102" i="1"/>
  <c r="IS101" i="1"/>
  <c r="IR101" i="1"/>
  <c r="IS100" i="1"/>
  <c r="IR100" i="1"/>
  <c r="IS99" i="1"/>
  <c r="IR99" i="1"/>
  <c r="IS98" i="1"/>
  <c r="IR98" i="1"/>
  <c r="IS97" i="1"/>
  <c r="IR97" i="1"/>
  <c r="IS96" i="1"/>
  <c r="IR96" i="1"/>
  <c r="IS95" i="1"/>
  <c r="IR95" i="1"/>
  <c r="IS94" i="1"/>
  <c r="IR94" i="1"/>
  <c r="IS93" i="1"/>
  <c r="IR93" i="1"/>
  <c r="IS92" i="1"/>
  <c r="IR92" i="1"/>
  <c r="IS91" i="1"/>
  <c r="IR91" i="1"/>
  <c r="IS90" i="1"/>
  <c r="IR90" i="1"/>
  <c r="IS89" i="1"/>
  <c r="IR89" i="1"/>
  <c r="IS88" i="1"/>
  <c r="IR88" i="1"/>
  <c r="IS87" i="1"/>
  <c r="IR87" i="1"/>
  <c r="IS86" i="1"/>
  <c r="IR86" i="1"/>
  <c r="IS85" i="1"/>
  <c r="IR85" i="1"/>
  <c r="IS84" i="1"/>
  <c r="IR84" i="1"/>
  <c r="IS82" i="1"/>
  <c r="IR82" i="1"/>
  <c r="IS81" i="1"/>
  <c r="IR81" i="1"/>
  <c r="IS80" i="1"/>
  <c r="IR80" i="1"/>
  <c r="IS79" i="1"/>
  <c r="IR79" i="1"/>
  <c r="IS78" i="1"/>
  <c r="IR78" i="1"/>
  <c r="IS77" i="1"/>
  <c r="IR77" i="1"/>
  <c r="IS74" i="1"/>
  <c r="IR74" i="1"/>
  <c r="IS73" i="1"/>
  <c r="IR73" i="1"/>
  <c r="IS72" i="1"/>
  <c r="IR72" i="1"/>
  <c r="IS71" i="1"/>
  <c r="IR71" i="1"/>
  <c r="IS70" i="1"/>
  <c r="IR70" i="1"/>
  <c r="IS69" i="1"/>
  <c r="IR69" i="1"/>
  <c r="IS68" i="1"/>
  <c r="IR68" i="1"/>
  <c r="IS67" i="1"/>
  <c r="IR67" i="1"/>
  <c r="IS66" i="1"/>
  <c r="IR66" i="1"/>
  <c r="IS65" i="1"/>
  <c r="IR65" i="1"/>
  <c r="IS64" i="1"/>
  <c r="IR64" i="1"/>
  <c r="IS63" i="1"/>
  <c r="IR63" i="1"/>
  <c r="IS62" i="1"/>
  <c r="IR62" i="1"/>
  <c r="IS61" i="1"/>
  <c r="IR61" i="1"/>
  <c r="IS60" i="1"/>
  <c r="IR60" i="1"/>
  <c r="IS59" i="1"/>
  <c r="IR59" i="1"/>
  <c r="IS58" i="1"/>
  <c r="IR58" i="1"/>
  <c r="IS56" i="1"/>
  <c r="IR56" i="1"/>
  <c r="IS55" i="1"/>
  <c r="IR55" i="1"/>
  <c r="IS54" i="1"/>
  <c r="IR54" i="1"/>
  <c r="IS51" i="1"/>
  <c r="IR51" i="1"/>
  <c r="IS50" i="1"/>
  <c r="IR50" i="1"/>
  <c r="IS49" i="1"/>
  <c r="IR49" i="1"/>
  <c r="IS48" i="1"/>
  <c r="IR48" i="1"/>
  <c r="IS47" i="1"/>
  <c r="IR47" i="1"/>
  <c r="IS46" i="1"/>
  <c r="IR46" i="1"/>
  <c r="IS45" i="1"/>
  <c r="IR45" i="1"/>
  <c r="IS44" i="1"/>
  <c r="IR44" i="1"/>
  <c r="IS43" i="1"/>
  <c r="IR43" i="1"/>
  <c r="IS42" i="1"/>
  <c r="IR42" i="1"/>
  <c r="IS41" i="1"/>
  <c r="IR41" i="1"/>
  <c r="IS40" i="1"/>
  <c r="IR40" i="1"/>
  <c r="IS39" i="1"/>
  <c r="IR39" i="1"/>
  <c r="IS38" i="1"/>
  <c r="IR38" i="1"/>
  <c r="IS37" i="1"/>
  <c r="IR37" i="1"/>
  <c r="IS35" i="1"/>
  <c r="IR35" i="1"/>
  <c r="IS34" i="1"/>
  <c r="IR34" i="1"/>
  <c r="IS31" i="1"/>
  <c r="IR31" i="1"/>
  <c r="IS30" i="1"/>
  <c r="IR30" i="1"/>
  <c r="IS29" i="1"/>
  <c r="IR29" i="1"/>
  <c r="IS28" i="1"/>
  <c r="IR28" i="1"/>
  <c r="IS27" i="1"/>
  <c r="IR27" i="1"/>
  <c r="IS26" i="1"/>
  <c r="IR26" i="1"/>
  <c r="IS25" i="1"/>
  <c r="IR25" i="1"/>
  <c r="IS24" i="1"/>
  <c r="IR24" i="1"/>
  <c r="IS23" i="1"/>
  <c r="IR23" i="1"/>
  <c r="IS22" i="1"/>
  <c r="IR22" i="1"/>
  <c r="IS21" i="1"/>
  <c r="IR21" i="1"/>
  <c r="IS20" i="1"/>
  <c r="IR20" i="1"/>
  <c r="IS19" i="1"/>
  <c r="IR19" i="1"/>
  <c r="IS18" i="1"/>
  <c r="IR18" i="1"/>
  <c r="IS17" i="1"/>
  <c r="IR17" i="1"/>
  <c r="IS16" i="1"/>
  <c r="IR16" i="1"/>
  <c r="IS14" i="1"/>
  <c r="IR14" i="1"/>
  <c r="IS13" i="1"/>
  <c r="IR13" i="1"/>
  <c r="I8" i="1"/>
  <c r="G8" i="1"/>
  <c r="D8" i="1"/>
  <c r="I6" i="1"/>
  <c r="G6" i="1"/>
  <c r="D6" i="1"/>
  <c r="I4" i="1"/>
  <c r="G4" i="1"/>
  <c r="D4" i="1"/>
  <c r="I2" i="1"/>
  <c r="G2" i="1"/>
  <c r="D2" i="1"/>
  <c r="L510" i="1" l="1"/>
  <c r="L34" i="1"/>
  <c r="L58" i="1"/>
  <c r="L514" i="1"/>
  <c r="L198" i="1"/>
  <c r="L410" i="1"/>
  <c r="BJ247" i="5"/>
  <c r="L479" i="5"/>
  <c r="AK479" i="5" s="1"/>
  <c r="L420" i="1"/>
  <c r="L182" i="5"/>
  <c r="AK182" i="5" s="1"/>
  <c r="L73" i="1"/>
  <c r="L169" i="1"/>
  <c r="L269" i="1"/>
  <c r="L41" i="1"/>
  <c r="L159" i="1"/>
  <c r="BD465" i="5"/>
  <c r="BJ577" i="5"/>
  <c r="AU608" i="5"/>
  <c r="L182" i="1"/>
  <c r="L532" i="1"/>
  <c r="L544" i="1"/>
  <c r="L569" i="1"/>
  <c r="L278" i="1"/>
  <c r="L301" i="1"/>
  <c r="L346" i="1"/>
  <c r="L400" i="1"/>
  <c r="BJ137" i="5"/>
  <c r="AX56" i="5"/>
  <c r="BI366" i="5"/>
  <c r="AE366" i="5" s="1"/>
  <c r="BJ306" i="5"/>
  <c r="L304" i="1"/>
  <c r="L349" i="1"/>
  <c r="L359" i="1"/>
  <c r="L371" i="1"/>
  <c r="L403" i="1"/>
  <c r="L415" i="1"/>
  <c r="BJ94" i="5"/>
  <c r="L338" i="1"/>
  <c r="L392" i="1"/>
  <c r="L416" i="1"/>
  <c r="AW96" i="5"/>
  <c r="L29" i="1"/>
  <c r="L296" i="1"/>
  <c r="L395" i="1"/>
  <c r="BJ199" i="5"/>
  <c r="L590" i="5"/>
  <c r="BJ89" i="5"/>
  <c r="L239" i="1"/>
  <c r="L252" i="1"/>
  <c r="L362" i="1"/>
  <c r="AW125" i="5"/>
  <c r="AO616" i="5"/>
  <c r="AW616" i="5" s="1"/>
  <c r="BJ473" i="5"/>
  <c r="BH83" i="5"/>
  <c r="AW272" i="5"/>
  <c r="AW465" i="5"/>
  <c r="L157" i="1"/>
  <c r="BJ373" i="5"/>
  <c r="L652" i="5"/>
  <c r="AK652" i="5" s="1"/>
  <c r="BH385" i="5"/>
  <c r="AD385" i="5" s="1"/>
  <c r="BJ585" i="5"/>
  <c r="AO22" i="5"/>
  <c r="J22" i="5" s="1"/>
  <c r="BJ378" i="5"/>
  <c r="BJ410" i="5"/>
  <c r="BJ471" i="5"/>
  <c r="L446" i="1"/>
  <c r="L493" i="1"/>
  <c r="L505" i="1"/>
  <c r="L550" i="1"/>
  <c r="AX289" i="5"/>
  <c r="K590" i="5"/>
  <c r="BJ667" i="5"/>
  <c r="L426" i="1"/>
  <c r="L462" i="1"/>
  <c r="AO58" i="5"/>
  <c r="J58" i="5" s="1"/>
  <c r="AP264" i="5"/>
  <c r="AO648" i="5"/>
  <c r="BH648" i="5" s="1"/>
  <c r="AD648" i="5" s="1"/>
  <c r="AX107" i="5"/>
  <c r="BD298" i="5"/>
  <c r="BJ516" i="5"/>
  <c r="Z516" i="5" s="1"/>
  <c r="BD529" i="5"/>
  <c r="L48" i="1"/>
  <c r="L84" i="1"/>
  <c r="L124" i="1"/>
  <c r="L137" i="1"/>
  <c r="L178" i="1"/>
  <c r="L479" i="1"/>
  <c r="L500" i="1"/>
  <c r="L523" i="1"/>
  <c r="AP465" i="5"/>
  <c r="K465" i="5" s="1"/>
  <c r="L77" i="1"/>
  <c r="L108" i="1"/>
  <c r="L118" i="1"/>
  <c r="L130" i="1"/>
  <c r="L151" i="1"/>
  <c r="L170" i="1"/>
  <c r="L78" i="1"/>
  <c r="L99" i="1"/>
  <c r="L142" i="1"/>
  <c r="L171" i="1"/>
  <c r="AX93" i="5"/>
  <c r="BJ379" i="5"/>
  <c r="BJ660" i="5"/>
  <c r="BJ65" i="5"/>
  <c r="AW95" i="5"/>
  <c r="K359" i="5"/>
  <c r="BJ621" i="5"/>
  <c r="L215" i="1"/>
  <c r="L390" i="1"/>
  <c r="L414" i="1"/>
  <c r="L117" i="5"/>
  <c r="M117" i="5" s="1"/>
  <c r="K472" i="5"/>
  <c r="AX586" i="5"/>
  <c r="AX16" i="5"/>
  <c r="L135" i="1"/>
  <c r="L123" i="5"/>
  <c r="M123" i="5" s="1"/>
  <c r="BJ226" i="5"/>
  <c r="BJ295" i="5"/>
  <c r="Z295" i="5" s="1"/>
  <c r="BJ335" i="5"/>
  <c r="Z335" i="5" s="1"/>
  <c r="AX269" i="5"/>
  <c r="AX417" i="5"/>
  <c r="L446" i="5"/>
  <c r="AK446" i="5" s="1"/>
  <c r="BD477" i="5"/>
  <c r="AW307" i="5"/>
  <c r="L497" i="1"/>
  <c r="L75" i="5"/>
  <c r="AK75" i="5" s="1"/>
  <c r="AW319" i="5"/>
  <c r="AW410" i="5"/>
  <c r="BJ520" i="5"/>
  <c r="L698" i="5"/>
  <c r="M698" i="5" s="1"/>
  <c r="M697" i="5" s="1"/>
  <c r="BJ489" i="5"/>
  <c r="L105" i="1"/>
  <c r="L266" i="1"/>
  <c r="AW97" i="5"/>
  <c r="L179" i="1"/>
  <c r="AP146" i="5"/>
  <c r="BI146" i="5" s="1"/>
  <c r="AE146" i="5" s="1"/>
  <c r="BJ202" i="5"/>
  <c r="BH278" i="5"/>
  <c r="AD278" i="5" s="1"/>
  <c r="L191" i="5"/>
  <c r="AK191" i="5" s="1"/>
  <c r="AO392" i="5"/>
  <c r="J392" i="5" s="1"/>
  <c r="L574" i="1"/>
  <c r="L554" i="1"/>
  <c r="AW101" i="5"/>
  <c r="L115" i="1"/>
  <c r="L421" i="1"/>
  <c r="BJ195" i="5"/>
  <c r="L465" i="5"/>
  <c r="AK465" i="5" s="1"/>
  <c r="BD506" i="5"/>
  <c r="AS513" i="5"/>
  <c r="L96" i="1"/>
  <c r="L128" i="1"/>
  <c r="L233" i="1"/>
  <c r="L576" i="1"/>
  <c r="L575" i="1" s="1"/>
  <c r="AO146" i="5"/>
  <c r="BH146" i="5" s="1"/>
  <c r="AD146" i="5" s="1"/>
  <c r="BJ386" i="5"/>
  <c r="BH464" i="5"/>
  <c r="AD464" i="5" s="1"/>
  <c r="AO480" i="5"/>
  <c r="J480" i="5" s="1"/>
  <c r="L87" i="1"/>
  <c r="L150" i="1"/>
  <c r="L255" i="1"/>
  <c r="L453" i="1"/>
  <c r="L234" i="5"/>
  <c r="M234" i="5" s="1"/>
  <c r="BJ350" i="5"/>
  <c r="BJ497" i="5"/>
  <c r="Z497" i="5" s="1"/>
  <c r="L54" i="1"/>
  <c r="L418" i="1"/>
  <c r="AU37" i="5"/>
  <c r="AO334" i="5"/>
  <c r="BH334" i="5" s="1"/>
  <c r="AD334" i="5" s="1"/>
  <c r="AP344" i="5"/>
  <c r="BI344" i="5" s="1"/>
  <c r="AE344" i="5" s="1"/>
  <c r="AO460" i="5"/>
  <c r="AW460" i="5" s="1"/>
  <c r="AO482" i="5"/>
  <c r="BH482" i="5" s="1"/>
  <c r="O577" i="5"/>
  <c r="BF577" i="5" s="1"/>
  <c r="BJ698" i="5"/>
  <c r="L225" i="1"/>
  <c r="L244" i="1"/>
  <c r="L309" i="1"/>
  <c r="L343" i="1"/>
  <c r="L407" i="1"/>
  <c r="L442" i="1"/>
  <c r="L499" i="1"/>
  <c r="L512" i="1"/>
  <c r="AU80" i="5"/>
  <c r="AW236" i="5"/>
  <c r="BD246" i="5"/>
  <c r="BJ381" i="5"/>
  <c r="L434" i="5"/>
  <c r="AK434" i="5" s="1"/>
  <c r="L450" i="5"/>
  <c r="AK450" i="5" s="1"/>
  <c r="BJ510" i="5"/>
  <c r="BJ586" i="5"/>
  <c r="Z586" i="5" s="1"/>
  <c r="BD604" i="5"/>
  <c r="BJ345" i="5"/>
  <c r="BJ461" i="5"/>
  <c r="L650" i="5"/>
  <c r="L649" i="5" s="1"/>
  <c r="L21" i="1"/>
  <c r="L184" i="1"/>
  <c r="L204" i="1"/>
  <c r="L245" i="1"/>
  <c r="L258" i="1"/>
  <c r="L310" i="1"/>
  <c r="L354" i="1"/>
  <c r="L364" i="1"/>
  <c r="L458" i="1"/>
  <c r="L545" i="1"/>
  <c r="BJ33" i="5"/>
  <c r="AX44" i="5"/>
  <c r="AX208" i="5"/>
  <c r="L356" i="5"/>
  <c r="AK356" i="5" s="1"/>
  <c r="AX511" i="5"/>
  <c r="BD624" i="5"/>
  <c r="L80" i="1"/>
  <c r="L144" i="1"/>
  <c r="L290" i="1"/>
  <c r="L459" i="1"/>
  <c r="L560" i="1"/>
  <c r="L590" i="1"/>
  <c r="BJ55" i="5"/>
  <c r="AP439" i="5"/>
  <c r="BI439" i="5" s="1"/>
  <c r="AE439" i="5" s="1"/>
  <c r="L487" i="5"/>
  <c r="AK487" i="5" s="1"/>
  <c r="BJ646" i="5"/>
  <c r="L186" i="1"/>
  <c r="L229" i="1"/>
  <c r="L492" i="1"/>
  <c r="L547" i="1"/>
  <c r="AX48" i="5"/>
  <c r="BD49" i="5"/>
  <c r="AS60" i="5"/>
  <c r="AX85" i="5"/>
  <c r="L101" i="5"/>
  <c r="AK101" i="5" s="1"/>
  <c r="L155" i="5"/>
  <c r="AK155" i="5" s="1"/>
  <c r="L433" i="5"/>
  <c r="AK433" i="5" s="1"/>
  <c r="BJ527" i="5"/>
  <c r="L602" i="5"/>
  <c r="M602" i="5" s="1"/>
  <c r="AO620" i="5"/>
  <c r="J620" i="5" s="1"/>
  <c r="L655" i="5"/>
  <c r="M655" i="5" s="1"/>
  <c r="AW674" i="5"/>
  <c r="L13" i="1"/>
  <c r="L47" i="1"/>
  <c r="L165" i="1"/>
  <c r="L187" i="1"/>
  <c r="AU60" i="5"/>
  <c r="L360" i="5"/>
  <c r="M360" i="5" s="1"/>
  <c r="O378" i="5"/>
  <c r="BF378" i="5" s="1"/>
  <c r="BD620" i="5"/>
  <c r="L448" i="1"/>
  <c r="L471" i="1"/>
  <c r="BJ61" i="5"/>
  <c r="BJ626" i="5"/>
  <c r="Z626" i="5" s="1"/>
  <c r="AU666" i="5"/>
  <c r="BJ288" i="5"/>
  <c r="L419" i="5"/>
  <c r="M419" i="5" s="1"/>
  <c r="BJ429" i="5"/>
  <c r="L500" i="5"/>
  <c r="AK500" i="5" s="1"/>
  <c r="BH570" i="5"/>
  <c r="K586" i="5"/>
  <c r="L510" i="5"/>
  <c r="AK510" i="5" s="1"/>
  <c r="AP278" i="5"/>
  <c r="AX278" i="5" s="1"/>
  <c r="L482" i="1"/>
  <c r="BD22" i="5"/>
  <c r="AX52" i="5"/>
  <c r="BH299" i="5"/>
  <c r="AD299" i="5" s="1"/>
  <c r="AO445" i="5"/>
  <c r="J445" i="5" s="1"/>
  <c r="BJ511" i="5"/>
  <c r="AX616" i="5"/>
  <c r="L221" i="1"/>
  <c r="L507" i="1"/>
  <c r="L506" i="1" s="1"/>
  <c r="L519" i="1"/>
  <c r="AO73" i="5"/>
  <c r="AW73" i="5" s="1"/>
  <c r="AW91" i="5"/>
  <c r="AW98" i="5"/>
  <c r="BJ248" i="5"/>
  <c r="BJ346" i="5"/>
  <c r="K355" i="5"/>
  <c r="AO356" i="5"/>
  <c r="J356" i="5" s="1"/>
  <c r="BJ565" i="5"/>
  <c r="Z565" i="5" s="1"/>
  <c r="BJ616" i="5"/>
  <c r="BH634" i="5"/>
  <c r="AB634" i="5" s="1"/>
  <c r="L50" i="1"/>
  <c r="L164" i="5"/>
  <c r="M164" i="5" s="1"/>
  <c r="L366" i="5"/>
  <c r="M366" i="5" s="1"/>
  <c r="AO487" i="5"/>
  <c r="AW487" i="5" s="1"/>
  <c r="AO506" i="5"/>
  <c r="AW506" i="5" s="1"/>
  <c r="AX512" i="5"/>
  <c r="L522" i="5"/>
  <c r="M522" i="5" s="1"/>
  <c r="L110" i="1"/>
  <c r="L132" i="1"/>
  <c r="L330" i="1"/>
  <c r="L342" i="1"/>
  <c r="L374" i="1"/>
  <c r="L584" i="1"/>
  <c r="BJ141" i="5"/>
  <c r="BJ316" i="5"/>
  <c r="L476" i="1"/>
  <c r="L475" i="1" s="1"/>
  <c r="O141" i="5"/>
  <c r="BF141" i="5" s="1"/>
  <c r="K165" i="5"/>
  <c r="K269" i="5"/>
  <c r="O316" i="5"/>
  <c r="BF316" i="5" s="1"/>
  <c r="AP392" i="5"/>
  <c r="AX392" i="5" s="1"/>
  <c r="BD480" i="5"/>
  <c r="L45" i="1"/>
  <c r="L163" i="1"/>
  <c r="L59" i="1"/>
  <c r="L111" i="1"/>
  <c r="L196" i="1"/>
  <c r="L236" i="1"/>
  <c r="L288" i="1"/>
  <c r="L419" i="1"/>
  <c r="L454" i="1"/>
  <c r="L467" i="1"/>
  <c r="L478" i="1"/>
  <c r="BJ318" i="5"/>
  <c r="L379" i="5"/>
  <c r="AK379" i="5" s="1"/>
  <c r="AP487" i="5"/>
  <c r="BI487" i="5" s="1"/>
  <c r="AE487" i="5" s="1"/>
  <c r="AU583" i="5"/>
  <c r="BI652" i="5"/>
  <c r="AE652" i="5" s="1"/>
  <c r="AO658" i="5"/>
  <c r="BH658" i="5" s="1"/>
  <c r="L122" i="1"/>
  <c r="L145" i="1"/>
  <c r="L237" i="1"/>
  <c r="L299" i="1"/>
  <c r="L322" i="1"/>
  <c r="L344" i="1"/>
  <c r="L398" i="1"/>
  <c r="L431" i="1"/>
  <c r="L486" i="1"/>
  <c r="L16" i="5"/>
  <c r="AK16" i="5" s="1"/>
  <c r="AX68" i="5"/>
  <c r="BJ90" i="5"/>
  <c r="AX112" i="5"/>
  <c r="BJ125" i="5"/>
  <c r="BJ143" i="5"/>
  <c r="BJ236" i="5"/>
  <c r="O379" i="5"/>
  <c r="BF379" i="5" s="1"/>
  <c r="AW635" i="5"/>
  <c r="BJ674" i="5"/>
  <c r="L37" i="1"/>
  <c r="L70" i="1"/>
  <c r="L113" i="1"/>
  <c r="L228" i="1"/>
  <c r="L268" i="1"/>
  <c r="L323" i="1"/>
  <c r="L487" i="1"/>
  <c r="L555" i="1"/>
  <c r="AX25" i="5"/>
  <c r="AX45" i="5"/>
  <c r="BJ106" i="5"/>
  <c r="BJ160" i="5"/>
  <c r="Z160" i="5" s="1"/>
  <c r="J381" i="5"/>
  <c r="BI433" i="5"/>
  <c r="AE433" i="5" s="1"/>
  <c r="O527" i="5"/>
  <c r="BF527" i="5" s="1"/>
  <c r="L550" i="5"/>
  <c r="L549" i="5" s="1"/>
  <c r="BJ590" i="5"/>
  <c r="Z590" i="5" s="1"/>
  <c r="AW230" i="5"/>
  <c r="BH274" i="5"/>
  <c r="AD274" i="5" s="1"/>
  <c r="L367" i="5"/>
  <c r="AK367" i="5" s="1"/>
  <c r="L368" i="1"/>
  <c r="L378" i="1"/>
  <c r="AX38" i="5"/>
  <c r="AP71" i="5"/>
  <c r="BI71" i="5" s="1"/>
  <c r="AE71" i="5" s="1"/>
  <c r="AX117" i="5"/>
  <c r="BJ192" i="5"/>
  <c r="AX305" i="5"/>
  <c r="BJ383" i="5"/>
  <c r="J465" i="5"/>
  <c r="L471" i="5"/>
  <c r="AK471" i="5" s="1"/>
  <c r="BJ627" i="5"/>
  <c r="Z627" i="5" s="1"/>
  <c r="O649" i="5"/>
  <c r="L188" i="1"/>
  <c r="L468" i="1"/>
  <c r="L104" i="1"/>
  <c r="L216" i="1"/>
  <c r="L26" i="1"/>
  <c r="L95" i="1"/>
  <c r="L138" i="1"/>
  <c r="L230" i="1"/>
  <c r="L315" i="1"/>
  <c r="L434" i="1"/>
  <c r="L501" i="1"/>
  <c r="L581" i="1"/>
  <c r="BJ47" i="5"/>
  <c r="BH101" i="5"/>
  <c r="O117" i="5"/>
  <c r="BF117" i="5" s="1"/>
  <c r="BJ147" i="5"/>
  <c r="L186" i="5"/>
  <c r="AK186" i="5" s="1"/>
  <c r="L260" i="5"/>
  <c r="M260" i="5" s="1"/>
  <c r="AW278" i="5"/>
  <c r="BJ322" i="5"/>
  <c r="O346" i="5"/>
  <c r="BF346" i="5" s="1"/>
  <c r="AO384" i="5"/>
  <c r="J384" i="5" s="1"/>
  <c r="L430" i="5"/>
  <c r="M430" i="5" s="1"/>
  <c r="AO443" i="5"/>
  <c r="J443" i="5" s="1"/>
  <c r="BJ492" i="5"/>
  <c r="AW522" i="5"/>
  <c r="AU541" i="5"/>
  <c r="BH581" i="5"/>
  <c r="AB581" i="5" s="1"/>
  <c r="BJ609" i="5"/>
  <c r="AO644" i="5"/>
  <c r="AW644" i="5" s="1"/>
  <c r="L546" i="1"/>
  <c r="BD39" i="5"/>
  <c r="AX165" i="5"/>
  <c r="AU262" i="5"/>
  <c r="BJ298" i="5"/>
  <c r="AP384" i="5"/>
  <c r="AX384" i="5" s="1"/>
  <c r="BD502" i="5"/>
  <c r="AS575" i="5"/>
  <c r="L664" i="5"/>
  <c r="M664" i="5" s="1"/>
  <c r="AP125" i="5"/>
  <c r="K125" i="5" s="1"/>
  <c r="L149" i="5"/>
  <c r="AK149" i="5" s="1"/>
  <c r="BJ166" i="5"/>
  <c r="AX196" i="5"/>
  <c r="BD344" i="5"/>
  <c r="BI350" i="5"/>
  <c r="AE350" i="5" s="1"/>
  <c r="J597" i="5"/>
  <c r="AP635" i="5"/>
  <c r="AX635" i="5" s="1"/>
  <c r="L200" i="1"/>
  <c r="BD269" i="5"/>
  <c r="BH224" i="5"/>
  <c r="AD224" i="5" s="1"/>
  <c r="O33" i="5"/>
  <c r="BF33" i="5" s="1"/>
  <c r="L212" i="1"/>
  <c r="L327" i="1"/>
  <c r="L391" i="1"/>
  <c r="L529" i="1"/>
  <c r="AX205" i="5"/>
  <c r="BH282" i="5"/>
  <c r="AD282" i="5" s="1"/>
  <c r="L335" i="5"/>
  <c r="AK335" i="5" s="1"/>
  <c r="O350" i="5"/>
  <c r="BF350" i="5" s="1"/>
  <c r="J385" i="5"/>
  <c r="AP412" i="5"/>
  <c r="BI412" i="5" s="1"/>
  <c r="AE412" i="5" s="1"/>
  <c r="BJ446" i="5"/>
  <c r="AP537" i="5"/>
  <c r="K537" i="5" s="1"/>
  <c r="BH635" i="5"/>
  <c r="AB635" i="5" s="1"/>
  <c r="AP647" i="5"/>
  <c r="AX647" i="5" s="1"/>
  <c r="L402" i="1"/>
  <c r="AU103" i="5"/>
  <c r="L481" i="1"/>
  <c r="L527" i="1"/>
  <c r="L526" i="1" s="1"/>
  <c r="L253" i="1"/>
  <c r="L305" i="1"/>
  <c r="L382" i="1"/>
  <c r="L472" i="1"/>
  <c r="L562" i="1"/>
  <c r="L596" i="1"/>
  <c r="BD45" i="5"/>
  <c r="AP99" i="5"/>
  <c r="AX99" i="5" s="1"/>
  <c r="AP138" i="5"/>
  <c r="BI138" i="5" s="1"/>
  <c r="AE138" i="5" s="1"/>
  <c r="AP376" i="5"/>
  <c r="BI376" i="5" s="1"/>
  <c r="AE376" i="5" s="1"/>
  <c r="AO395" i="5"/>
  <c r="AW395" i="5" s="1"/>
  <c r="L404" i="5"/>
  <c r="AK404" i="5" s="1"/>
  <c r="L439" i="5"/>
  <c r="AK439" i="5" s="1"/>
  <c r="L462" i="5"/>
  <c r="AK462" i="5" s="1"/>
  <c r="AW537" i="5"/>
  <c r="AO643" i="5"/>
  <c r="AW643" i="5" s="1"/>
  <c r="L149" i="1"/>
  <c r="L183" i="1"/>
  <c r="L530" i="1"/>
  <c r="AU21" i="5"/>
  <c r="AX53" i="5"/>
  <c r="L69" i="5"/>
  <c r="AK69" i="5" s="1"/>
  <c r="AP70" i="5"/>
  <c r="K70" i="5" s="1"/>
  <c r="BD99" i="5"/>
  <c r="BD230" i="5"/>
  <c r="AP274" i="5"/>
  <c r="AX274" i="5" s="1"/>
  <c r="L286" i="5"/>
  <c r="AK286" i="5" s="1"/>
  <c r="BJ477" i="5"/>
  <c r="AO571" i="5"/>
  <c r="BH571" i="5" s="1"/>
  <c r="AP579" i="5"/>
  <c r="K579" i="5" s="1"/>
  <c r="BD643" i="5"/>
  <c r="L667" i="5"/>
  <c r="M667" i="5" s="1"/>
  <c r="L25" i="1"/>
  <c r="L348" i="1"/>
  <c r="L203" i="5"/>
  <c r="M203" i="5" s="1"/>
  <c r="AP34" i="5"/>
  <c r="BI34" i="5" s="1"/>
  <c r="AE34" i="5" s="1"/>
  <c r="O89" i="5"/>
  <c r="BF89" i="5" s="1"/>
  <c r="AO77" i="5"/>
  <c r="AW77" i="5" s="1"/>
  <c r="BJ340" i="5"/>
  <c r="AP383" i="5"/>
  <c r="BI383" i="5" s="1"/>
  <c r="AE383" i="5" s="1"/>
  <c r="BD512" i="5"/>
  <c r="AO630" i="5"/>
  <c r="BH630" i="5" s="1"/>
  <c r="K214" i="5"/>
  <c r="L18" i="1"/>
  <c r="L56" i="1"/>
  <c r="L67" i="1"/>
  <c r="L119" i="1"/>
  <c r="L131" i="1"/>
  <c r="L214" i="1"/>
  <c r="L383" i="1"/>
  <c r="L428" i="1"/>
  <c r="L509" i="1"/>
  <c r="BJ86" i="5"/>
  <c r="BJ178" i="5"/>
  <c r="BJ221" i="5"/>
  <c r="BJ259" i="5"/>
  <c r="BJ321" i="5"/>
  <c r="J389" i="5"/>
  <c r="AP522" i="5"/>
  <c r="AX522" i="5" s="1"/>
  <c r="AU601" i="5"/>
  <c r="AP662" i="5"/>
  <c r="K662" i="5" s="1"/>
  <c r="BF510" i="5"/>
  <c r="K686" i="5"/>
  <c r="BI686" i="5"/>
  <c r="BI75" i="5"/>
  <c r="AE75" i="5" s="1"/>
  <c r="O692" i="5"/>
  <c r="BF693" i="5"/>
  <c r="J116" i="5"/>
  <c r="BF616" i="5"/>
  <c r="O615" i="5"/>
  <c r="O60" i="5"/>
  <c r="BF61" i="5"/>
  <c r="L24" i="1"/>
  <c r="L289" i="1"/>
  <c r="L351" i="1"/>
  <c r="L361" i="1"/>
  <c r="L373" i="1"/>
  <c r="L433" i="1"/>
  <c r="L456" i="1"/>
  <c r="L455" i="1" s="1"/>
  <c r="L483" i="1"/>
  <c r="L578" i="1"/>
  <c r="L577" i="1" s="1"/>
  <c r="BD25" i="5"/>
  <c r="AO32" i="5"/>
  <c r="AW32" i="5" s="1"/>
  <c r="O67" i="5"/>
  <c r="BF67" i="5" s="1"/>
  <c r="AO71" i="5"/>
  <c r="AW71" i="5" s="1"/>
  <c r="BD91" i="5"/>
  <c r="L106" i="5"/>
  <c r="AK106" i="5" s="1"/>
  <c r="L137" i="5"/>
  <c r="AK137" i="5" s="1"/>
  <c r="AO144" i="5"/>
  <c r="AW144" i="5" s="1"/>
  <c r="O195" i="5"/>
  <c r="BF195" i="5" s="1"/>
  <c r="O211" i="5"/>
  <c r="BF211" i="5" s="1"/>
  <c r="BD272" i="5"/>
  <c r="BD282" i="5"/>
  <c r="AP299" i="5"/>
  <c r="K299" i="5" s="1"/>
  <c r="AP310" i="5"/>
  <c r="BI310" i="5" s="1"/>
  <c r="AE310" i="5" s="1"/>
  <c r="AO329" i="5"/>
  <c r="J329" i="5" s="1"/>
  <c r="BJ341" i="5"/>
  <c r="Z341" i="5" s="1"/>
  <c r="AO348" i="5"/>
  <c r="AW348" i="5" s="1"/>
  <c r="BJ349" i="5"/>
  <c r="AP372" i="5"/>
  <c r="BI372" i="5" s="1"/>
  <c r="AE372" i="5" s="1"/>
  <c r="L383" i="5"/>
  <c r="AK383" i="5" s="1"/>
  <c r="BJ385" i="5"/>
  <c r="AP427" i="5"/>
  <c r="K427" i="5" s="1"/>
  <c r="BJ462" i="5"/>
  <c r="BD543" i="5"/>
  <c r="AP550" i="5"/>
  <c r="BI550" i="5" s="1"/>
  <c r="AC550" i="5" s="1"/>
  <c r="BD602" i="5"/>
  <c r="AO621" i="5"/>
  <c r="J621" i="5" s="1"/>
  <c r="AS666" i="5"/>
  <c r="AP672" i="5"/>
  <c r="K672" i="5" s="1"/>
  <c r="K671" i="5" s="1"/>
  <c r="AU675" i="5"/>
  <c r="L81" i="1"/>
  <c r="L101" i="1"/>
  <c r="L121" i="1"/>
  <c r="L143" i="1"/>
  <c r="L152" i="1"/>
  <c r="L161" i="1"/>
  <c r="L199" i="1"/>
  <c r="AP32" i="5"/>
  <c r="BI32" i="5" s="1"/>
  <c r="AE32" i="5" s="1"/>
  <c r="AU40" i="5"/>
  <c r="BJ144" i="5"/>
  <c r="O228" i="5"/>
  <c r="BF228" i="5" s="1"/>
  <c r="L238" i="5"/>
  <c r="AK238" i="5" s="1"/>
  <c r="J278" i="5"/>
  <c r="AP348" i="5"/>
  <c r="K348" i="5" s="1"/>
  <c r="BD352" i="5"/>
  <c r="BD355" i="5"/>
  <c r="BJ360" i="5"/>
  <c r="BD372" i="5"/>
  <c r="O383" i="5"/>
  <c r="BF383" i="5" s="1"/>
  <c r="BD427" i="5"/>
  <c r="BJ550" i="5"/>
  <c r="AP621" i="5"/>
  <c r="BI621" i="5" s="1"/>
  <c r="AC621" i="5" s="1"/>
  <c r="AO660" i="5"/>
  <c r="BH660" i="5" s="1"/>
  <c r="AD660" i="5" s="1"/>
  <c r="BF672" i="5"/>
  <c r="L570" i="5"/>
  <c r="M570" i="5" s="1"/>
  <c r="L190" i="1"/>
  <c r="L209" i="1"/>
  <c r="L238" i="1"/>
  <c r="L352" i="1"/>
  <c r="L422" i="1"/>
  <c r="L445" i="1"/>
  <c r="L496" i="1"/>
  <c r="L570" i="1"/>
  <c r="L587" i="1"/>
  <c r="BJ38" i="5"/>
  <c r="K109" i="5"/>
  <c r="BD160" i="5"/>
  <c r="AO180" i="5"/>
  <c r="AW180" i="5" s="1"/>
  <c r="O208" i="5"/>
  <c r="BF208" i="5" s="1"/>
  <c r="L248" i="5"/>
  <c r="AO264" i="5"/>
  <c r="BH264" i="5" s="1"/>
  <c r="AD264" i="5" s="1"/>
  <c r="L278" i="5"/>
  <c r="AK278" i="5" s="1"/>
  <c r="O288" i="5"/>
  <c r="BF288" i="5" s="1"/>
  <c r="AO289" i="5"/>
  <c r="J289" i="5" s="1"/>
  <c r="BJ307" i="5"/>
  <c r="Z307" i="5" s="1"/>
  <c r="BJ420" i="5"/>
  <c r="BJ447" i="5"/>
  <c r="O471" i="5"/>
  <c r="BF471" i="5" s="1"/>
  <c r="AO512" i="5"/>
  <c r="BH512" i="5" s="1"/>
  <c r="AS583" i="5"/>
  <c r="O608" i="5"/>
  <c r="AX652" i="5"/>
  <c r="AP660" i="5"/>
  <c r="AX660" i="5" s="1"/>
  <c r="AO663" i="5"/>
  <c r="BH663" i="5" s="1"/>
  <c r="AD663" i="5" s="1"/>
  <c r="BD667" i="5"/>
  <c r="AP683" i="5"/>
  <c r="AX683" i="5" s="1"/>
  <c r="AW688" i="5"/>
  <c r="BD698" i="5"/>
  <c r="L588" i="1"/>
  <c r="J119" i="5"/>
  <c r="AO138" i="5"/>
  <c r="J138" i="5" s="1"/>
  <c r="BD149" i="5"/>
  <c r="BD180" i="5"/>
  <c r="AX197" i="5"/>
  <c r="L163" i="5"/>
  <c r="AK163" i="5" s="1"/>
  <c r="L16" i="1"/>
  <c r="L61" i="1"/>
  <c r="L71" i="1"/>
  <c r="L93" i="1"/>
  <c r="L112" i="1"/>
  <c r="L219" i="1"/>
  <c r="L260" i="1"/>
  <c r="L311" i="1"/>
  <c r="L353" i="1"/>
  <c r="L363" i="1"/>
  <c r="K69" i="5"/>
  <c r="K75" i="5"/>
  <c r="AS80" i="5"/>
  <c r="AO209" i="5"/>
  <c r="BH209" i="5" s="1"/>
  <c r="AD209" i="5" s="1"/>
  <c r="AP230" i="5"/>
  <c r="BI230" i="5" s="1"/>
  <c r="AE230" i="5" s="1"/>
  <c r="BD254" i="5"/>
  <c r="BD289" i="5"/>
  <c r="J307" i="5"/>
  <c r="BJ331" i="5"/>
  <c r="L346" i="5"/>
  <c r="M346" i="5" s="1"/>
  <c r="K350" i="5"/>
  <c r="O386" i="5"/>
  <c r="BF386" i="5" s="1"/>
  <c r="BD395" i="5"/>
  <c r="BJ443" i="5"/>
  <c r="BD460" i="5"/>
  <c r="BD572" i="5"/>
  <c r="BJ622" i="5"/>
  <c r="BD635" i="5"/>
  <c r="O652" i="5"/>
  <c r="BF652" i="5" s="1"/>
  <c r="BJ661" i="5"/>
  <c r="L27" i="1"/>
  <c r="L40" i="1"/>
  <c r="L123" i="1"/>
  <c r="L154" i="1"/>
  <c r="L164" i="1"/>
  <c r="L192" i="1"/>
  <c r="L211" i="1"/>
  <c r="L314" i="1"/>
  <c r="O75" i="5"/>
  <c r="BF75" i="5" s="1"/>
  <c r="BD81" i="5"/>
  <c r="BJ85" i="5"/>
  <c r="L97" i="5"/>
  <c r="M97" i="5" s="1"/>
  <c r="AO107" i="5"/>
  <c r="BH107" i="5" s="1"/>
  <c r="AD107" i="5" s="1"/>
  <c r="BD143" i="5"/>
  <c r="K150" i="5"/>
  <c r="AX169" i="5"/>
  <c r="BD274" i="5"/>
  <c r="BJ286" i="5"/>
  <c r="AP298" i="5"/>
  <c r="K298" i="5" s="1"/>
  <c r="BJ304" i="5"/>
  <c r="L318" i="5"/>
  <c r="M318" i="5" s="1"/>
  <c r="BJ326" i="5"/>
  <c r="AX531" i="5"/>
  <c r="L565" i="5"/>
  <c r="AK565" i="5" s="1"/>
  <c r="L661" i="5"/>
  <c r="M661" i="5" s="1"/>
  <c r="L674" i="5"/>
  <c r="M674" i="5" s="1"/>
  <c r="M673" i="5" s="1"/>
  <c r="BH684" i="5"/>
  <c r="L341" i="5"/>
  <c r="M341" i="5" s="1"/>
  <c r="L63" i="1"/>
  <c r="L282" i="1"/>
  <c r="L302" i="1"/>
  <c r="L404" i="1"/>
  <c r="BJ25" i="5"/>
  <c r="J105" i="5"/>
  <c r="BD125" i="5"/>
  <c r="AO134" i="5"/>
  <c r="BH134" i="5" s="1"/>
  <c r="AD134" i="5" s="1"/>
  <c r="BJ140" i="5"/>
  <c r="L147" i="5"/>
  <c r="AK147" i="5" s="1"/>
  <c r="L178" i="5"/>
  <c r="AK178" i="5" s="1"/>
  <c r="BJ182" i="5"/>
  <c r="AP203" i="5"/>
  <c r="AX203" i="5" s="1"/>
  <c r="AO219" i="5"/>
  <c r="AW219" i="5" s="1"/>
  <c r="BJ231" i="5"/>
  <c r="J282" i="5"/>
  <c r="O304" i="5"/>
  <c r="BF304" i="5" s="1"/>
  <c r="AP322" i="5"/>
  <c r="BI322" i="5" s="1"/>
  <c r="AE322" i="5" s="1"/>
  <c r="AO339" i="5"/>
  <c r="AW339" i="5" s="1"/>
  <c r="O341" i="5"/>
  <c r="BF341" i="5" s="1"/>
  <c r="O349" i="5"/>
  <c r="BF349" i="5" s="1"/>
  <c r="AW354" i="5"/>
  <c r="J581" i="5"/>
  <c r="BJ596" i="5"/>
  <c r="J602" i="5"/>
  <c r="L631" i="5"/>
  <c r="M631" i="5" s="1"/>
  <c r="AX646" i="5"/>
  <c r="AS651" i="5"/>
  <c r="L64" i="1"/>
  <c r="L86" i="1"/>
  <c r="L174" i="1"/>
  <c r="L283" i="1"/>
  <c r="L293" i="1"/>
  <c r="L325" i="1"/>
  <c r="L405" i="1"/>
  <c r="L427" i="1"/>
  <c r="L449" i="1"/>
  <c r="L488" i="1"/>
  <c r="BD58" i="5"/>
  <c r="AP67" i="5"/>
  <c r="BI67" i="5" s="1"/>
  <c r="AE67" i="5" s="1"/>
  <c r="BJ71" i="5"/>
  <c r="O94" i="5"/>
  <c r="BF94" i="5" s="1"/>
  <c r="AP95" i="5"/>
  <c r="AX95" i="5" s="1"/>
  <c r="AO106" i="5"/>
  <c r="AW106" i="5" s="1"/>
  <c r="L112" i="5"/>
  <c r="M112" i="5" s="1"/>
  <c r="AP134" i="5"/>
  <c r="K134" i="5" s="1"/>
  <c r="AP137" i="5"/>
  <c r="K137" i="5" s="1"/>
  <c r="BD158" i="5"/>
  <c r="AS162" i="5"/>
  <c r="AO171" i="5"/>
  <c r="BH171" i="5" s="1"/>
  <c r="AD171" i="5" s="1"/>
  <c r="O178" i="5"/>
  <c r="BF178" i="5" s="1"/>
  <c r="L199" i="5"/>
  <c r="AK199" i="5" s="1"/>
  <c r="BJ203" i="5"/>
  <c r="AP219" i="5"/>
  <c r="AX219" i="5" s="1"/>
  <c r="O247" i="5"/>
  <c r="BF247" i="5" s="1"/>
  <c r="L272" i="5"/>
  <c r="AK272" i="5" s="1"/>
  <c r="BD305" i="5"/>
  <c r="AP319" i="5"/>
  <c r="K319" i="5" s="1"/>
  <c r="AP339" i="5"/>
  <c r="K339" i="5" s="1"/>
  <c r="BD354" i="5"/>
  <c r="BJ375" i="5"/>
  <c r="K433" i="5"/>
  <c r="L521" i="5"/>
  <c r="AK521" i="5" s="1"/>
  <c r="O581" i="5"/>
  <c r="BF581" i="5" s="1"/>
  <c r="L646" i="5"/>
  <c r="AK646" i="5" s="1"/>
  <c r="L19" i="1"/>
  <c r="L166" i="1"/>
  <c r="L203" i="1"/>
  <c r="L222" i="1"/>
  <c r="L386" i="1"/>
  <c r="L520" i="1"/>
  <c r="L573" i="1"/>
  <c r="L71" i="5"/>
  <c r="AK71" i="5" s="1"/>
  <c r="O86" i="5"/>
  <c r="BF86" i="5" s="1"/>
  <c r="BD95" i="5"/>
  <c r="BD106" i="5"/>
  <c r="O112" i="5"/>
  <c r="BF112" i="5" s="1"/>
  <c r="AW137" i="5"/>
  <c r="L144" i="5"/>
  <c r="M144" i="5" s="1"/>
  <c r="AP171" i="5"/>
  <c r="BI171" i="5" s="1"/>
  <c r="AE171" i="5" s="1"/>
  <c r="O199" i="5"/>
  <c r="BF199" i="5" s="1"/>
  <c r="AO211" i="5"/>
  <c r="BH211" i="5" s="1"/>
  <c r="AO228" i="5"/>
  <c r="AW228" i="5" s="1"/>
  <c r="O272" i="5"/>
  <c r="BF272" i="5" s="1"/>
  <c r="O646" i="5"/>
  <c r="BF646" i="5" s="1"/>
  <c r="BJ683" i="5"/>
  <c r="Z683" i="5" s="1"/>
  <c r="BD164" i="5"/>
  <c r="AP211" i="5"/>
  <c r="K211" i="5" s="1"/>
  <c r="J299" i="5"/>
  <c r="BD319" i="5"/>
  <c r="BI360" i="5"/>
  <c r="AE360" i="5" s="1"/>
  <c r="AW372" i="5"/>
  <c r="L378" i="5"/>
  <c r="M378" i="5" s="1"/>
  <c r="BJ438" i="5"/>
  <c r="AS509" i="5"/>
  <c r="AS551" i="5"/>
  <c r="BH638" i="5"/>
  <c r="AB638" i="5" s="1"/>
  <c r="L660" i="5"/>
  <c r="M660" i="5" s="1"/>
  <c r="L65" i="1"/>
  <c r="L167" i="1"/>
  <c r="L185" i="1"/>
  <c r="L195" i="1"/>
  <c r="L224" i="1"/>
  <c r="L284" i="1"/>
  <c r="L317" i="1"/>
  <c r="L326" i="1"/>
  <c r="L347" i="1"/>
  <c r="L429" i="1"/>
  <c r="L522" i="1"/>
  <c r="BD26" i="5"/>
  <c r="AS37" i="5"/>
  <c r="AP98" i="5"/>
  <c r="AX98" i="5" s="1"/>
  <c r="AP101" i="5"/>
  <c r="AX101" i="5" s="1"/>
  <c r="AO109" i="5"/>
  <c r="J109" i="5" s="1"/>
  <c r="L141" i="5"/>
  <c r="M141" i="5" s="1"/>
  <c r="BD208" i="5"/>
  <c r="BJ211" i="5"/>
  <c r="Z211" i="5" s="1"/>
  <c r="AP248" i="5"/>
  <c r="K248" i="5" s="1"/>
  <c r="AS342" i="5"/>
  <c r="O512" i="5"/>
  <c r="BF512" i="5" s="1"/>
  <c r="AP518" i="5"/>
  <c r="K518" i="5" s="1"/>
  <c r="K517" i="5" s="1"/>
  <c r="BD603" i="5"/>
  <c r="O683" i="5"/>
  <c r="BF683" i="5" s="1"/>
  <c r="AS694" i="5"/>
  <c r="L116" i="5"/>
  <c r="AK116" i="5" s="1"/>
  <c r="BD109" i="5"/>
  <c r="AO205" i="5"/>
  <c r="J205" i="5" s="1"/>
  <c r="BD258" i="5"/>
  <c r="AO269" i="5"/>
  <c r="BH269" i="5" s="1"/>
  <c r="AD269" i="5" s="1"/>
  <c r="AW274" i="5"/>
  <c r="BD278" i="5"/>
  <c r="BJ320" i="5"/>
  <c r="AO376" i="5"/>
  <c r="AO439" i="5"/>
  <c r="AW439" i="5" s="1"/>
  <c r="L443" i="5"/>
  <c r="M443" i="5" s="1"/>
  <c r="K460" i="5"/>
  <c r="AP482" i="5"/>
  <c r="BI482" i="5" s="1"/>
  <c r="BJ488" i="5"/>
  <c r="BD522" i="5"/>
  <c r="AO614" i="5"/>
  <c r="J614" i="5" s="1"/>
  <c r="J613" i="5" s="1"/>
  <c r="L618" i="5"/>
  <c r="M618" i="5" s="1"/>
  <c r="J635" i="5"/>
  <c r="BJ652" i="5"/>
  <c r="L55" i="1"/>
  <c r="L107" i="1"/>
  <c r="L129" i="1"/>
  <c r="L139" i="1"/>
  <c r="L272" i="1"/>
  <c r="L358" i="1"/>
  <c r="L370" i="1"/>
  <c r="L388" i="1"/>
  <c r="L430" i="1"/>
  <c r="L452" i="1"/>
  <c r="L463" i="1"/>
  <c r="L513" i="1"/>
  <c r="AO38" i="5"/>
  <c r="AX69" i="5"/>
  <c r="L85" i="5"/>
  <c r="AK85" i="5" s="1"/>
  <c r="L93" i="5"/>
  <c r="M93" i="5" s="1"/>
  <c r="AO197" i="5"/>
  <c r="J197" i="5" s="1"/>
  <c r="BD202" i="5"/>
  <c r="AP240" i="5"/>
  <c r="BI240" i="5" s="1"/>
  <c r="AE240" i="5" s="1"/>
  <c r="BD346" i="5"/>
  <c r="AO449" i="5"/>
  <c r="AW449" i="5" s="1"/>
  <c r="AP501" i="5"/>
  <c r="AX501" i="5" s="1"/>
  <c r="BD518" i="5"/>
  <c r="O635" i="5"/>
  <c r="BF635" i="5" s="1"/>
  <c r="AU641" i="5"/>
  <c r="BD72" i="5"/>
  <c r="AO75" i="5"/>
  <c r="AW75" i="5" s="1"/>
  <c r="AO136" i="5"/>
  <c r="J136" i="5" s="1"/>
  <c r="L230" i="5"/>
  <c r="AK230" i="5" s="1"/>
  <c r="BD240" i="5"/>
  <c r="J312" i="5"/>
  <c r="BJ325" i="5"/>
  <c r="AX350" i="5"/>
  <c r="BD501" i="5"/>
  <c r="AO585" i="5"/>
  <c r="AW585" i="5" s="1"/>
  <c r="AP609" i="5"/>
  <c r="AX609" i="5" s="1"/>
  <c r="AO642" i="5"/>
  <c r="AW642" i="5" s="1"/>
  <c r="AW152" i="5"/>
  <c r="O318" i="5"/>
  <c r="BF318" i="5" s="1"/>
  <c r="L349" i="5"/>
  <c r="AK349" i="5" s="1"/>
  <c r="L256" i="1"/>
  <c r="L274" i="1"/>
  <c r="L464" i="1"/>
  <c r="BD38" i="5"/>
  <c r="AP97" i="5"/>
  <c r="AX97" i="5" s="1"/>
  <c r="L107" i="5"/>
  <c r="M107" i="5" s="1"/>
  <c r="BJ111" i="5"/>
  <c r="AW177" i="5"/>
  <c r="BD194" i="5"/>
  <c r="O226" i="5"/>
  <c r="BF226" i="5" s="1"/>
  <c r="O274" i="5"/>
  <c r="BF274" i="5" s="1"/>
  <c r="AU303" i="5"/>
  <c r="BH307" i="5"/>
  <c r="AP318" i="5"/>
  <c r="K318" i="5" s="1"/>
  <c r="L332" i="5"/>
  <c r="AK332" i="5" s="1"/>
  <c r="AO379" i="5"/>
  <c r="AW379" i="5" s="1"/>
  <c r="AX387" i="5"/>
  <c r="L429" i="5"/>
  <c r="AK429" i="5" s="1"/>
  <c r="AO461" i="5"/>
  <c r="AW461" i="5" s="1"/>
  <c r="AO473" i="5"/>
  <c r="J473" i="5" s="1"/>
  <c r="BD609" i="5"/>
  <c r="AP642" i="5"/>
  <c r="AX642" i="5" s="1"/>
  <c r="AS63" i="5"/>
  <c r="L473" i="5"/>
  <c r="AK473" i="5" s="1"/>
  <c r="L68" i="1"/>
  <c r="L79" i="1"/>
  <c r="L90" i="1"/>
  <c r="L109" i="1"/>
  <c r="L197" i="1"/>
  <c r="L319" i="1"/>
  <c r="BJ24" i="5"/>
  <c r="BD53" i="5"/>
  <c r="AX75" i="5"/>
  <c r="O107" i="5"/>
  <c r="BF107" i="5" s="1"/>
  <c r="L143" i="5"/>
  <c r="AK143" i="5" s="1"/>
  <c r="AO207" i="5"/>
  <c r="AW207" i="5" s="1"/>
  <c r="AO215" i="5"/>
  <c r="J215" i="5" s="1"/>
  <c r="O259" i="5"/>
  <c r="BF259" i="5" s="1"/>
  <c r="BD333" i="5"/>
  <c r="AO349" i="5"/>
  <c r="L374" i="5"/>
  <c r="AK374" i="5" s="1"/>
  <c r="AP379" i="5"/>
  <c r="BI379" i="5" s="1"/>
  <c r="AE379" i="5" s="1"/>
  <c r="BD461" i="5"/>
  <c r="AU469" i="5"/>
  <c r="BD473" i="5"/>
  <c r="AO478" i="5"/>
  <c r="AW478" i="5" s="1"/>
  <c r="AO481" i="5"/>
  <c r="AW481" i="5" s="1"/>
  <c r="AO565" i="5"/>
  <c r="AW565" i="5" s="1"/>
  <c r="AP570" i="5"/>
  <c r="K570" i="5" s="1"/>
  <c r="AS645" i="5"/>
  <c r="AW684" i="5"/>
  <c r="L23" i="1"/>
  <c r="L35" i="1"/>
  <c r="L33" i="1" s="1"/>
  <c r="L100" i="1"/>
  <c r="L160" i="1"/>
  <c r="L207" i="1"/>
  <c r="L350" i="1"/>
  <c r="L360" i="1"/>
  <c r="L381" i="1"/>
  <c r="L443" i="1"/>
  <c r="L494" i="1"/>
  <c r="AO25" i="5"/>
  <c r="BH25" i="5" s="1"/>
  <c r="AD25" i="5" s="1"/>
  <c r="O125" i="5"/>
  <c r="BF125" i="5" s="1"/>
  <c r="AP178" i="5"/>
  <c r="K178" i="5" s="1"/>
  <c r="AP341" i="5"/>
  <c r="BI341" i="5" s="1"/>
  <c r="L354" i="5"/>
  <c r="M354" i="5" s="1"/>
  <c r="AP478" i="5"/>
  <c r="AX478" i="5" s="1"/>
  <c r="BD481" i="5"/>
  <c r="L511" i="5"/>
  <c r="M511" i="5" s="1"/>
  <c r="AW581" i="5"/>
  <c r="AO628" i="5"/>
  <c r="AW628" i="5" s="1"/>
  <c r="AU645" i="5"/>
  <c r="AP62" i="5"/>
  <c r="K62" i="5" s="1"/>
  <c r="AP74" i="5"/>
  <c r="BI74" i="5" s="1"/>
  <c r="AE74" i="5" s="1"/>
  <c r="O90" i="5"/>
  <c r="BF90" i="5" s="1"/>
  <c r="AP272" i="5"/>
  <c r="AX272" i="5" s="1"/>
  <c r="AP282" i="5"/>
  <c r="AX282" i="5" s="1"/>
  <c r="BD292" i="5"/>
  <c r="AO345" i="5"/>
  <c r="AW345" i="5" s="1"/>
  <c r="AP543" i="5"/>
  <c r="K543" i="5" s="1"/>
  <c r="AO550" i="5"/>
  <c r="BH550" i="5" s="1"/>
  <c r="AB550" i="5" s="1"/>
  <c r="BD581" i="5"/>
  <c r="AP602" i="5"/>
  <c r="K602" i="5" s="1"/>
  <c r="AP628" i="5"/>
  <c r="AX628" i="5" s="1"/>
  <c r="L670" i="5"/>
  <c r="M670" i="5" s="1"/>
  <c r="M669" i="5" s="1"/>
  <c r="O25" i="5"/>
  <c r="BF25" i="5" s="1"/>
  <c r="AX33" i="5"/>
  <c r="AO26" i="5"/>
  <c r="BH26" i="5" s="1"/>
  <c r="AD26" i="5" s="1"/>
  <c r="AP17" i="5"/>
  <c r="BI17" i="5" s="1"/>
  <c r="AE17" i="5" s="1"/>
  <c r="AP30" i="5"/>
  <c r="AX30" i="5" s="1"/>
  <c r="AX26" i="5"/>
  <c r="AP24" i="5"/>
  <c r="BI24" i="5" s="1"/>
  <c r="AE24" i="5" s="1"/>
  <c r="AX31" i="5"/>
  <c r="BD24" i="5"/>
  <c r="AU29" i="5"/>
  <c r="BD15" i="5"/>
  <c r="AO15" i="5"/>
  <c r="BH15" i="5" s="1"/>
  <c r="AD15" i="5" s="1"/>
  <c r="AO48" i="5"/>
  <c r="BD48" i="5"/>
  <c r="AO56" i="5"/>
  <c r="BD56" i="5"/>
  <c r="BD190" i="5"/>
  <c r="BJ190" i="5"/>
  <c r="BD241" i="5"/>
  <c r="AO241" i="5"/>
  <c r="J241" i="5" s="1"/>
  <c r="L22" i="1"/>
  <c r="L39" i="1"/>
  <c r="L46" i="1"/>
  <c r="L85" i="1"/>
  <c r="L103" i="1"/>
  <c r="L106" i="1"/>
  <c r="L116" i="1"/>
  <c r="L120" i="1"/>
  <c r="L141" i="1"/>
  <c r="L155" i="1"/>
  <c r="L201" i="1"/>
  <c r="L205" i="1"/>
  <c r="L231" i="1"/>
  <c r="L267" i="1"/>
  <c r="L292" i="1"/>
  <c r="L335" i="1"/>
  <c r="L372" i="1"/>
  <c r="L379" i="1"/>
  <c r="L461" i="1"/>
  <c r="L485" i="1"/>
  <c r="L491" i="1"/>
  <c r="L556" i="1"/>
  <c r="L599" i="1"/>
  <c r="L598" i="1" s="1"/>
  <c r="BH105" i="5"/>
  <c r="AD105" i="5" s="1"/>
  <c r="AO133" i="5"/>
  <c r="BH133" i="5" s="1"/>
  <c r="AD133" i="5" s="1"/>
  <c r="AP133" i="5"/>
  <c r="BI133" i="5" s="1"/>
  <c r="AE133" i="5" s="1"/>
  <c r="BD179" i="5"/>
  <c r="L179" i="5"/>
  <c r="AW253" i="5"/>
  <c r="BH253" i="5"/>
  <c r="AD253" i="5" s="1"/>
  <c r="J253" i="5"/>
  <c r="L314" i="5"/>
  <c r="M314" i="5" s="1"/>
  <c r="AP314" i="5"/>
  <c r="BI314" i="5" s="1"/>
  <c r="AE314" i="5" s="1"/>
  <c r="AO323" i="5"/>
  <c r="AW323" i="5" s="1"/>
  <c r="BD323" i="5"/>
  <c r="AP323" i="5"/>
  <c r="K323" i="5" s="1"/>
  <c r="BD115" i="5"/>
  <c r="AP115" i="5"/>
  <c r="AX115" i="5" s="1"/>
  <c r="AO115" i="5"/>
  <c r="J115" i="5" s="1"/>
  <c r="BD154" i="5"/>
  <c r="AP154" i="5"/>
  <c r="K154" i="5" s="1"/>
  <c r="AO154" i="5"/>
  <c r="AW154" i="5" s="1"/>
  <c r="AX186" i="5"/>
  <c r="BI186" i="5"/>
  <c r="AE186" i="5" s="1"/>
  <c r="K186" i="5"/>
  <c r="J191" i="5"/>
  <c r="BH191" i="5"/>
  <c r="AD191" i="5" s="1"/>
  <c r="AW191" i="5"/>
  <c r="AP200" i="5"/>
  <c r="AX200" i="5" s="1"/>
  <c r="BD200" i="5"/>
  <c r="BJ200" i="5"/>
  <c r="L200" i="5"/>
  <c r="AK200" i="5" s="1"/>
  <c r="BI15" i="5"/>
  <c r="AE15" i="5" s="1"/>
  <c r="K15" i="5"/>
  <c r="L43" i="1"/>
  <c r="L69" i="1"/>
  <c r="L246" i="1"/>
  <c r="L264" i="1"/>
  <c r="L318" i="1"/>
  <c r="L328" i="1"/>
  <c r="L566" i="1"/>
  <c r="BD19" i="5"/>
  <c r="AP19" i="5"/>
  <c r="AX19" i="5" s="1"/>
  <c r="AO19" i="5"/>
  <c r="J19" i="5" s="1"/>
  <c r="AO47" i="5"/>
  <c r="AW47" i="5" s="1"/>
  <c r="AP47" i="5"/>
  <c r="AX47" i="5" s="1"/>
  <c r="L47" i="5"/>
  <c r="AK47" i="5" s="1"/>
  <c r="AO55" i="5"/>
  <c r="J55" i="5" s="1"/>
  <c r="AP55" i="5"/>
  <c r="AX55" i="5" s="1"/>
  <c r="L55" i="5"/>
  <c r="AK55" i="5" s="1"/>
  <c r="AP66" i="5"/>
  <c r="AX66" i="5" s="1"/>
  <c r="L66" i="5"/>
  <c r="AK66" i="5" s="1"/>
  <c r="L17" i="1"/>
  <c r="L20" i="1"/>
  <c r="L30" i="1"/>
  <c r="L44" i="1"/>
  <c r="L51" i="1"/>
  <c r="L62" i="1"/>
  <c r="L66" i="1"/>
  <c r="L82" i="1"/>
  <c r="L94" i="1"/>
  <c r="L97" i="1"/>
  <c r="L114" i="1"/>
  <c r="L127" i="1"/>
  <c r="L153" i="1"/>
  <c r="L210" i="1"/>
  <c r="L220" i="1"/>
  <c r="L243" i="1"/>
  <c r="L297" i="1"/>
  <c r="L332" i="1"/>
  <c r="L406" i="1"/>
  <c r="L440" i="1"/>
  <c r="L474" i="1"/>
  <c r="L473" i="1" s="1"/>
  <c r="L525" i="1"/>
  <c r="L524" i="1" s="1"/>
  <c r="L538" i="1"/>
  <c r="AS29" i="5"/>
  <c r="BD44" i="5"/>
  <c r="AO44" i="5"/>
  <c r="BD47" i="5"/>
  <c r="BD52" i="5"/>
  <c r="AO52" i="5"/>
  <c r="BD55" i="5"/>
  <c r="AS267" i="5"/>
  <c r="AO87" i="5"/>
  <c r="AW87" i="5" s="1"/>
  <c r="AP87" i="5"/>
  <c r="BI87" i="5" s="1"/>
  <c r="AE87" i="5" s="1"/>
  <c r="BD87" i="5"/>
  <c r="AP65" i="5"/>
  <c r="AO65" i="5"/>
  <c r="BH65" i="5" s="1"/>
  <c r="AD65" i="5" s="1"/>
  <c r="AP127" i="5"/>
  <c r="BI127" i="5" s="1"/>
  <c r="AE127" i="5" s="1"/>
  <c r="BD127" i="5"/>
  <c r="AO127" i="5"/>
  <c r="BH127" i="5" s="1"/>
  <c r="AD127" i="5" s="1"/>
  <c r="BD377" i="5"/>
  <c r="L377" i="5"/>
  <c r="AK377" i="5" s="1"/>
  <c r="AP14" i="5"/>
  <c r="AX14" i="5" s="1"/>
  <c r="BD14" i="5"/>
  <c r="AP76" i="5"/>
  <c r="BI76" i="5" s="1"/>
  <c r="AE76" i="5" s="1"/>
  <c r="BD76" i="5"/>
  <c r="AO76" i="5"/>
  <c r="J76" i="5" s="1"/>
  <c r="L74" i="1"/>
  <c r="L294" i="1"/>
  <c r="L384" i="1"/>
  <c r="L396" i="1"/>
  <c r="AP35" i="5"/>
  <c r="K35" i="5" s="1"/>
  <c r="BD35" i="5"/>
  <c r="L65" i="5"/>
  <c r="BJ66" i="5"/>
  <c r="BD142" i="5"/>
  <c r="AP142" i="5"/>
  <c r="AX142" i="5" s="1"/>
  <c r="AO142" i="5"/>
  <c r="J142" i="5" s="1"/>
  <c r="AU13" i="5"/>
  <c r="C29" i="3"/>
  <c r="F29" i="3" s="1"/>
  <c r="L28" i="1"/>
  <c r="L38" i="1"/>
  <c r="L49" i="1"/>
  <c r="L60" i="1"/>
  <c r="L88" i="1"/>
  <c r="L92" i="1"/>
  <c r="L102" i="1"/>
  <c r="L140" i="1"/>
  <c r="L158" i="1"/>
  <c r="L162" i="1"/>
  <c r="L193" i="1"/>
  <c r="L208" i="1"/>
  <c r="L226" i="1"/>
  <c r="L291" i="1"/>
  <c r="L307" i="1"/>
  <c r="L316" i="1"/>
  <c r="AO42" i="5"/>
  <c r="AW42" i="5" s="1"/>
  <c r="BJ42" i="5"/>
  <c r="AP42" i="5"/>
  <c r="AX42" i="5" s="1"/>
  <c r="L42" i="5"/>
  <c r="AK42" i="5" s="1"/>
  <c r="AO51" i="5"/>
  <c r="BH51" i="5" s="1"/>
  <c r="AD51" i="5" s="1"/>
  <c r="BJ51" i="5"/>
  <c r="AP51" i="5"/>
  <c r="AX51" i="5" s="1"/>
  <c r="L51" i="5"/>
  <c r="AK51" i="5" s="1"/>
  <c r="BD65" i="5"/>
  <c r="AO250" i="5"/>
  <c r="J250" i="5" s="1"/>
  <c r="L250" i="5"/>
  <c r="AK250" i="5" s="1"/>
  <c r="BJ250" i="5"/>
  <c r="BD250" i="5"/>
  <c r="AP250" i="5"/>
  <c r="BI250" i="5" s="1"/>
  <c r="AE250" i="5" s="1"/>
  <c r="AP105" i="5"/>
  <c r="K105" i="5" s="1"/>
  <c r="AP121" i="5"/>
  <c r="K121" i="5" s="1"/>
  <c r="AO121" i="5"/>
  <c r="AO135" i="5"/>
  <c r="AW135" i="5" s="1"/>
  <c r="AO158" i="5"/>
  <c r="BH158" i="5" s="1"/>
  <c r="AD158" i="5" s="1"/>
  <c r="AO166" i="5"/>
  <c r="BH166" i="5" s="1"/>
  <c r="AD166" i="5" s="1"/>
  <c r="BD182" i="5"/>
  <c r="AP182" i="5"/>
  <c r="BD224" i="5"/>
  <c r="AP224" i="5"/>
  <c r="K224" i="5" s="1"/>
  <c r="AO225" i="5"/>
  <c r="AW225" i="5" s="1"/>
  <c r="BJ225" i="5"/>
  <c r="L225" i="5"/>
  <c r="AK225" i="5" s="1"/>
  <c r="BD245" i="5"/>
  <c r="AO245" i="5"/>
  <c r="BH245" i="5" s="1"/>
  <c r="AD245" i="5" s="1"/>
  <c r="AP422" i="5"/>
  <c r="BI422" i="5" s="1"/>
  <c r="AE422" i="5" s="1"/>
  <c r="AO422" i="5"/>
  <c r="J422" i="5" s="1"/>
  <c r="AS21" i="5"/>
  <c r="L42" i="1"/>
  <c r="L89" i="1"/>
  <c r="L136" i="1"/>
  <c r="L146" i="1"/>
  <c r="L156" i="1"/>
  <c r="L175" i="1"/>
  <c r="L189" i="1"/>
  <c r="L202" i="1"/>
  <c r="L206" i="1"/>
  <c r="L213" i="1"/>
  <c r="L227" i="1"/>
  <c r="L234" i="1"/>
  <c r="L247" i="1"/>
  <c r="L261" i="1"/>
  <c r="L265" i="1"/>
  <c r="L270" i="1"/>
  <c r="L275" i="1"/>
  <c r="L298" i="1"/>
  <c r="L333" i="1"/>
  <c r="L336" i="1"/>
  <c r="L345" i="1"/>
  <c r="L355" i="1"/>
  <c r="L375" i="1"/>
  <c r="L389" i="1"/>
  <c r="L401" i="1"/>
  <c r="L413" i="1"/>
  <c r="L425" i="1"/>
  <c r="L435" i="1"/>
  <c r="L441" i="1"/>
  <c r="L495" i="1"/>
  <c r="L504" i="1"/>
  <c r="L511" i="1"/>
  <c r="L535" i="1"/>
  <c r="L548" i="1"/>
  <c r="L558" i="1"/>
  <c r="L557" i="1" s="1"/>
  <c r="L563" i="1"/>
  <c r="L568" i="1"/>
  <c r="L583" i="1"/>
  <c r="L594" i="1"/>
  <c r="L593" i="1" s="1"/>
  <c r="BJ16" i="5"/>
  <c r="BD31" i="5"/>
  <c r="AS40" i="5"/>
  <c r="AO45" i="5"/>
  <c r="AW45" i="5" s="1"/>
  <c r="BJ48" i="5"/>
  <c r="AO53" i="5"/>
  <c r="J53" i="5" s="1"/>
  <c r="BJ56" i="5"/>
  <c r="BD68" i="5"/>
  <c r="AO69" i="5"/>
  <c r="J69" i="5" s="1"/>
  <c r="AO72" i="5"/>
  <c r="J72" i="5" s="1"/>
  <c r="AP89" i="5"/>
  <c r="AX89" i="5" s="1"/>
  <c r="L89" i="5"/>
  <c r="M89" i="5" s="1"/>
  <c r="BJ93" i="5"/>
  <c r="BD105" i="5"/>
  <c r="AO111" i="5"/>
  <c r="AO112" i="5"/>
  <c r="AP116" i="5"/>
  <c r="BI116" i="5" s="1"/>
  <c r="AE116" i="5" s="1"/>
  <c r="BJ116" i="5"/>
  <c r="L121" i="5"/>
  <c r="AK121" i="5" s="1"/>
  <c r="BJ136" i="5"/>
  <c r="AO150" i="5"/>
  <c r="BH150" i="5" s="1"/>
  <c r="AD150" i="5" s="1"/>
  <c r="AP155" i="5"/>
  <c r="K155" i="5" s="1"/>
  <c r="BD155" i="5"/>
  <c r="AP166" i="5"/>
  <c r="K166" i="5" s="1"/>
  <c r="BD185" i="5"/>
  <c r="AP185" i="5"/>
  <c r="K185" i="5" s="1"/>
  <c r="L185" i="5"/>
  <c r="BD199" i="5"/>
  <c r="AP199" i="5"/>
  <c r="BI199" i="5" s="1"/>
  <c r="AE199" i="5" s="1"/>
  <c r="BD207" i="5"/>
  <c r="BJ207" i="5"/>
  <c r="L207" i="5"/>
  <c r="AK207" i="5" s="1"/>
  <c r="AO216" i="5"/>
  <c r="AW216" i="5" s="1"/>
  <c r="BJ216" i="5"/>
  <c r="AP216" i="5"/>
  <c r="AX216" i="5" s="1"/>
  <c r="L216" i="5"/>
  <c r="AK216" i="5" s="1"/>
  <c r="AO221" i="5"/>
  <c r="AW221" i="5" s="1"/>
  <c r="BD221" i="5"/>
  <c r="L221" i="5"/>
  <c r="M221" i="5" s="1"/>
  <c r="AP225" i="5"/>
  <c r="AX225" i="5" s="1"/>
  <c r="BJ241" i="5"/>
  <c r="AP258" i="5"/>
  <c r="AX258" i="5" s="1"/>
  <c r="AO260" i="5"/>
  <c r="BH260" i="5" s="1"/>
  <c r="BD260" i="5"/>
  <c r="AP260" i="5"/>
  <c r="AX260" i="5" s="1"/>
  <c r="AP353" i="5"/>
  <c r="AX353" i="5" s="1"/>
  <c r="BJ353" i="5"/>
  <c r="AO353" i="5"/>
  <c r="L353" i="5"/>
  <c r="AU63" i="5"/>
  <c r="AP78" i="5"/>
  <c r="BI78" i="5" s="1"/>
  <c r="AO78" i="5"/>
  <c r="AW78" i="5" s="1"/>
  <c r="BJ112" i="5"/>
  <c r="BD121" i="5"/>
  <c r="BD150" i="5"/>
  <c r="BD205" i="5"/>
  <c r="BI221" i="5"/>
  <c r="AE221" i="5" s="1"/>
  <c r="K221" i="5"/>
  <c r="BD225" i="5"/>
  <c r="BD287" i="5"/>
  <c r="BJ287" i="5"/>
  <c r="AO287" i="5"/>
  <c r="L287" i="5"/>
  <c r="AK287" i="5" s="1"/>
  <c r="AO327" i="5"/>
  <c r="AW327" i="5" s="1"/>
  <c r="BD327" i="5"/>
  <c r="AP327" i="5"/>
  <c r="K327" i="5" s="1"/>
  <c r="AP397" i="5"/>
  <c r="BI397" i="5" s="1"/>
  <c r="AO397" i="5"/>
  <c r="BD397" i="5"/>
  <c r="L176" i="1"/>
  <c r="L240" i="1"/>
  <c r="L376" i="1"/>
  <c r="C19" i="3"/>
  <c r="BD18" i="5"/>
  <c r="BD64" i="5"/>
  <c r="BH116" i="5"/>
  <c r="AD116" i="5" s="1"/>
  <c r="AW116" i="5"/>
  <c r="AO117" i="5"/>
  <c r="AW117" i="5" s="1"/>
  <c r="AP119" i="5"/>
  <c r="K119" i="5" s="1"/>
  <c r="BJ121" i="5"/>
  <c r="AO139" i="5"/>
  <c r="J139" i="5" s="1"/>
  <c r="L177" i="5"/>
  <c r="AK177" i="5" s="1"/>
  <c r="AO182" i="5"/>
  <c r="BH182" i="5" s="1"/>
  <c r="AD182" i="5" s="1"/>
  <c r="AP184" i="5"/>
  <c r="AX184" i="5" s="1"/>
  <c r="AO184" i="5"/>
  <c r="AW184" i="5" s="1"/>
  <c r="BD186" i="5"/>
  <c r="AO186" i="5"/>
  <c r="BJ186" i="5"/>
  <c r="AP189" i="5"/>
  <c r="BI189" i="5" s="1"/>
  <c r="AE189" i="5" s="1"/>
  <c r="AO189" i="5"/>
  <c r="AW189" i="5" s="1"/>
  <c r="BD195" i="5"/>
  <c r="AP195" i="5"/>
  <c r="BI195" i="5" s="1"/>
  <c r="AE195" i="5" s="1"/>
  <c r="AP204" i="5"/>
  <c r="AX204" i="5" s="1"/>
  <c r="BJ204" i="5"/>
  <c r="BD204" i="5"/>
  <c r="AS213" i="5"/>
  <c r="AO218" i="5"/>
  <c r="AW218" i="5" s="1"/>
  <c r="AP218" i="5"/>
  <c r="BI218" i="5" s="1"/>
  <c r="AE218" i="5" s="1"/>
  <c r="AO252" i="5"/>
  <c r="J252" i="5" s="1"/>
  <c r="BD252" i="5"/>
  <c r="BD266" i="5"/>
  <c r="AP266" i="5"/>
  <c r="AX266" i="5" s="1"/>
  <c r="AO266" i="5"/>
  <c r="AW266" i="5" s="1"/>
  <c r="J274" i="5"/>
  <c r="BD293" i="5"/>
  <c r="AP293" i="5"/>
  <c r="K293" i="5" s="1"/>
  <c r="AO293" i="5"/>
  <c r="L147" i="1"/>
  <c r="L250" i="1"/>
  <c r="L262" i="1"/>
  <c r="L276" i="1"/>
  <c r="L286" i="1"/>
  <c r="L320" i="1"/>
  <c r="L334" i="1"/>
  <c r="L356" i="1"/>
  <c r="L436" i="1"/>
  <c r="L517" i="1"/>
  <c r="L536" i="1"/>
  <c r="L542" i="1"/>
  <c r="L564" i="1"/>
  <c r="C20" i="3"/>
  <c r="L14" i="1"/>
  <c r="L31" i="1"/>
  <c r="L91" i="1"/>
  <c r="L117" i="1"/>
  <c r="L133" i="1"/>
  <c r="L148" i="1"/>
  <c r="L168" i="1"/>
  <c r="L177" i="1"/>
  <c r="L181" i="1"/>
  <c r="L191" i="1"/>
  <c r="L194" i="1"/>
  <c r="L232" i="1"/>
  <c r="L241" i="1"/>
  <c r="L259" i="1"/>
  <c r="L263" i="1"/>
  <c r="L300" i="1"/>
  <c r="L308" i="1"/>
  <c r="L324" i="1"/>
  <c r="L331" i="1"/>
  <c r="L387" i="1"/>
  <c r="L399" i="1"/>
  <c r="L411" i="1"/>
  <c r="L437" i="1"/>
  <c r="L518" i="1"/>
  <c r="L533" i="1"/>
  <c r="L537" i="1"/>
  <c r="L551" i="1"/>
  <c r="L561" i="1"/>
  <c r="L565" i="1"/>
  <c r="L580" i="1"/>
  <c r="L585" i="1"/>
  <c r="L589" i="1"/>
  <c r="AX15" i="5"/>
  <c r="AS13" i="5"/>
  <c r="L24" i="5"/>
  <c r="AK24" i="5" s="1"/>
  <c r="L33" i="5"/>
  <c r="AK33" i="5" s="1"/>
  <c r="AO39" i="5"/>
  <c r="J39" i="5" s="1"/>
  <c r="BJ44" i="5"/>
  <c r="AO49" i="5"/>
  <c r="AW49" i="5" s="1"/>
  <c r="BJ52" i="5"/>
  <c r="L61" i="5"/>
  <c r="AK61" i="5" s="1"/>
  <c r="BJ75" i="5"/>
  <c r="BD75" i="5"/>
  <c r="BD78" i="5"/>
  <c r="AP82" i="5"/>
  <c r="BI82" i="5" s="1"/>
  <c r="AE82" i="5" s="1"/>
  <c r="BD82" i="5"/>
  <c r="AP91" i="5"/>
  <c r="BI91" i="5" s="1"/>
  <c r="AE91" i="5" s="1"/>
  <c r="BD116" i="5"/>
  <c r="BJ117" i="5"/>
  <c r="BD119" i="5"/>
  <c r="L136" i="5"/>
  <c r="M136" i="5" s="1"/>
  <c r="BD139" i="5"/>
  <c r="BJ169" i="5"/>
  <c r="Z169" i="5" s="1"/>
  <c r="AU170" i="5"/>
  <c r="BJ174" i="5"/>
  <c r="AO178" i="5"/>
  <c r="J178" i="5" s="1"/>
  <c r="AP181" i="5"/>
  <c r="K181" i="5" s="1"/>
  <c r="L181" i="5"/>
  <c r="M181" i="5" s="1"/>
  <c r="BD184" i="5"/>
  <c r="L195" i="5"/>
  <c r="AK195" i="5" s="1"/>
  <c r="BD196" i="5"/>
  <c r="AO199" i="5"/>
  <c r="L204" i="5"/>
  <c r="AK204" i="5" s="1"/>
  <c r="BD216" i="5"/>
  <c r="BD223" i="5"/>
  <c r="AP246" i="5"/>
  <c r="BI246" i="5" s="1"/>
  <c r="AE246" i="5" s="1"/>
  <c r="AP252" i="5"/>
  <c r="AX252" i="5" s="1"/>
  <c r="BJ263" i="5"/>
  <c r="AX264" i="5"/>
  <c r="BI264" i="5"/>
  <c r="AE264" i="5" s="1"/>
  <c r="AW384" i="5"/>
  <c r="AO153" i="5"/>
  <c r="AW153" i="5" s="1"/>
  <c r="BD153" i="5"/>
  <c r="J172" i="5"/>
  <c r="BH172" i="5"/>
  <c r="AD172" i="5" s="1"/>
  <c r="BD191" i="5"/>
  <c r="AP191" i="5"/>
  <c r="AX191" i="5" s="1"/>
  <c r="BJ191" i="5"/>
  <c r="BJ196" i="5"/>
  <c r="AP202" i="5"/>
  <c r="AX202" i="5" s="1"/>
  <c r="AO202" i="5"/>
  <c r="AW202" i="5" s="1"/>
  <c r="BH249" i="5"/>
  <c r="AD249" i="5" s="1"/>
  <c r="AW249" i="5"/>
  <c r="AP309" i="5"/>
  <c r="K309" i="5" s="1"/>
  <c r="L309" i="5"/>
  <c r="AK309" i="5" s="1"/>
  <c r="BJ317" i="5"/>
  <c r="L317" i="5"/>
  <c r="M317" i="5" s="1"/>
  <c r="BJ361" i="5"/>
  <c r="AP361" i="5"/>
  <c r="BD382" i="5"/>
  <c r="AO382" i="5"/>
  <c r="AW382" i="5" s="1"/>
  <c r="BJ382" i="5"/>
  <c r="L382" i="5"/>
  <c r="AK382" i="5" s="1"/>
  <c r="AU84" i="5"/>
  <c r="AP111" i="5"/>
  <c r="K111" i="5" s="1"/>
  <c r="L111" i="5"/>
  <c r="M111" i="5" s="1"/>
  <c r="AS110" i="5"/>
  <c r="AP147" i="5"/>
  <c r="K147" i="5" s="1"/>
  <c r="BD147" i="5"/>
  <c r="BJ153" i="5"/>
  <c r="L156" i="5"/>
  <c r="M156" i="5" s="1"/>
  <c r="L166" i="5"/>
  <c r="AK166" i="5" s="1"/>
  <c r="AW172" i="5"/>
  <c r="AP201" i="5"/>
  <c r="AX201" i="5" s="1"/>
  <c r="BD201" i="5"/>
  <c r="AO201" i="5"/>
  <c r="AW201" i="5" s="1"/>
  <c r="L202" i="5"/>
  <c r="M202" i="5" s="1"/>
  <c r="BJ245" i="5"/>
  <c r="AP254" i="5"/>
  <c r="K254" i="5" s="1"/>
  <c r="AO256" i="5"/>
  <c r="AW256" i="5" s="1"/>
  <c r="AP256" i="5"/>
  <c r="BI256" i="5" s="1"/>
  <c r="AE256" i="5" s="1"/>
  <c r="AW299" i="5"/>
  <c r="AS308" i="5"/>
  <c r="AU337" i="5"/>
  <c r="AP340" i="5"/>
  <c r="BI340" i="5" s="1"/>
  <c r="AE340" i="5" s="1"/>
  <c r="L340" i="5"/>
  <c r="BJ356" i="5"/>
  <c r="K360" i="5"/>
  <c r="L375" i="5"/>
  <c r="AK375" i="5" s="1"/>
  <c r="AP375" i="5"/>
  <c r="BI375" i="5" s="1"/>
  <c r="AE375" i="5" s="1"/>
  <c r="AU371" i="5"/>
  <c r="AP414" i="5"/>
  <c r="AX414" i="5" s="1"/>
  <c r="BD414" i="5"/>
  <c r="BD416" i="5"/>
  <c r="AO416" i="5"/>
  <c r="AW416" i="5" s="1"/>
  <c r="AO467" i="5"/>
  <c r="BJ467" i="5"/>
  <c r="Z467" i="5" s="1"/>
  <c r="L467" i="5"/>
  <c r="M467" i="5" s="1"/>
  <c r="BH492" i="5"/>
  <c r="AD492" i="5" s="1"/>
  <c r="AW492" i="5"/>
  <c r="J492" i="5"/>
  <c r="BJ97" i="5"/>
  <c r="BI106" i="5"/>
  <c r="AE106" i="5" s="1"/>
  <c r="BJ107" i="5"/>
  <c r="BD137" i="5"/>
  <c r="AO234" i="5"/>
  <c r="AW234" i="5" s="1"/>
  <c r="BJ234" i="5"/>
  <c r="BJ238" i="5"/>
  <c r="AW255" i="5"/>
  <c r="BH255" i="5"/>
  <c r="AD255" i="5" s="1"/>
  <c r="AP286" i="5"/>
  <c r="AX286" i="5" s="1"/>
  <c r="AO286" i="5"/>
  <c r="J286" i="5" s="1"/>
  <c r="BD299" i="5"/>
  <c r="AP306" i="5"/>
  <c r="K306" i="5" s="1"/>
  <c r="J393" i="5"/>
  <c r="BH393" i="5"/>
  <c r="AD393" i="5" s="1"/>
  <c r="AO451" i="5"/>
  <c r="AW451" i="5" s="1"/>
  <c r="L451" i="5"/>
  <c r="BJ451" i="5"/>
  <c r="Z451" i="5" s="1"/>
  <c r="AP451" i="5"/>
  <c r="AP455" i="5"/>
  <c r="AX455" i="5" s="1"/>
  <c r="AO455" i="5"/>
  <c r="J455" i="5" s="1"/>
  <c r="BJ455" i="5"/>
  <c r="L455" i="5"/>
  <c r="AP505" i="5"/>
  <c r="AX505" i="5" s="1"/>
  <c r="BJ505" i="5"/>
  <c r="L505" i="5"/>
  <c r="M505" i="5" s="1"/>
  <c r="BJ639" i="5"/>
  <c r="BD639" i="5"/>
  <c r="AP639" i="5"/>
  <c r="BI639" i="5" s="1"/>
  <c r="AC639" i="5" s="1"/>
  <c r="L639" i="5"/>
  <c r="AK639" i="5" s="1"/>
  <c r="AO639" i="5"/>
  <c r="BH639" i="5" s="1"/>
  <c r="AB639" i="5" s="1"/>
  <c r="AO311" i="5"/>
  <c r="AW311" i="5" s="1"/>
  <c r="AP311" i="5"/>
  <c r="AX311" i="5" s="1"/>
  <c r="AO316" i="5"/>
  <c r="J316" i="5" s="1"/>
  <c r="AP326" i="5"/>
  <c r="AU330" i="5"/>
  <c r="AO332" i="5"/>
  <c r="AO375" i="5"/>
  <c r="AW375" i="5" s="1"/>
  <c r="AO414" i="5"/>
  <c r="J414" i="5" s="1"/>
  <c r="AX472" i="5"/>
  <c r="BD491" i="5"/>
  <c r="AO491" i="5"/>
  <c r="AW491" i="5" s="1"/>
  <c r="AP637" i="5"/>
  <c r="K637" i="5" s="1"/>
  <c r="AO637" i="5"/>
  <c r="J637" i="5" s="1"/>
  <c r="BD637" i="5"/>
  <c r="L637" i="5"/>
  <c r="M637" i="5" s="1"/>
  <c r="BJ98" i="5"/>
  <c r="BC101" i="5"/>
  <c r="BJ101" i="5"/>
  <c r="Z101" i="5" s="1"/>
  <c r="AS103" i="5"/>
  <c r="BJ135" i="5"/>
  <c r="AO140" i="5"/>
  <c r="AW140" i="5" s="1"/>
  <c r="AS170" i="5"/>
  <c r="BJ177" i="5"/>
  <c r="BJ188" i="5"/>
  <c r="BD209" i="5"/>
  <c r="L211" i="5"/>
  <c r="AK211" i="5" s="1"/>
  <c r="BD234" i="5"/>
  <c r="BD238" i="5"/>
  <c r="BD247" i="5"/>
  <c r="AO247" i="5"/>
  <c r="AW247" i="5" s="1"/>
  <c r="AS262" i="5"/>
  <c r="BH272" i="5"/>
  <c r="AD272" i="5" s="1"/>
  <c r="J272" i="5"/>
  <c r="AW282" i="5"/>
  <c r="BJ290" i="5"/>
  <c r="AP292" i="5"/>
  <c r="BI292" i="5" s="1"/>
  <c r="AE292" i="5" s="1"/>
  <c r="BJ300" i="5"/>
  <c r="BJ310" i="5"/>
  <c r="BD311" i="5"/>
  <c r="AO320" i="5"/>
  <c r="BH320" i="5" s="1"/>
  <c r="AD320" i="5" s="1"/>
  <c r="BJ324" i="5"/>
  <c r="L325" i="5"/>
  <c r="AK325" i="5" s="1"/>
  <c r="AP332" i="5"/>
  <c r="AO340" i="5"/>
  <c r="BH340" i="5" s="1"/>
  <c r="AD340" i="5" s="1"/>
  <c r="AU342" i="5"/>
  <c r="AO350" i="5"/>
  <c r="AW350" i="5" s="1"/>
  <c r="L350" i="5"/>
  <c r="M350" i="5" s="1"/>
  <c r="BD350" i="5"/>
  <c r="AP352" i="5"/>
  <c r="AX352" i="5" s="1"/>
  <c r="AO359" i="5"/>
  <c r="BH359" i="5" s="1"/>
  <c r="AD359" i="5" s="1"/>
  <c r="BD375" i="5"/>
  <c r="AP380" i="5"/>
  <c r="AX380" i="5" s="1"/>
  <c r="AO380" i="5"/>
  <c r="BD380" i="5"/>
  <c r="BD400" i="5"/>
  <c r="L400" i="5"/>
  <c r="AK400" i="5" s="1"/>
  <c r="BJ400" i="5"/>
  <c r="AP400" i="5"/>
  <c r="AX400" i="5" s="1"/>
  <c r="AO400" i="5"/>
  <c r="BH400" i="5" s="1"/>
  <c r="AD400" i="5" s="1"/>
  <c r="BJ442" i="5"/>
  <c r="L442" i="5"/>
  <c r="AK442" i="5" s="1"/>
  <c r="BH445" i="5"/>
  <c r="AD445" i="5" s="1"/>
  <c r="AP491" i="5"/>
  <c r="K491" i="5" s="1"/>
  <c r="AU509" i="5"/>
  <c r="AO315" i="5"/>
  <c r="J315" i="5" s="1"/>
  <c r="BD315" i="5"/>
  <c r="BD324" i="5"/>
  <c r="AO324" i="5"/>
  <c r="J324" i="5" s="1"/>
  <c r="AP345" i="5"/>
  <c r="K345" i="5" s="1"/>
  <c r="L345" i="5"/>
  <c r="AK345" i="5" s="1"/>
  <c r="AW365" i="5"/>
  <c r="J365" i="5"/>
  <c r="AP388" i="5"/>
  <c r="BI388" i="5" s="1"/>
  <c r="AE388" i="5" s="1"/>
  <c r="AO388" i="5"/>
  <c r="BH388" i="5" s="1"/>
  <c r="AD388" i="5" s="1"/>
  <c r="BD388" i="5"/>
  <c r="AP413" i="5"/>
  <c r="K413" i="5" s="1"/>
  <c r="AO413" i="5"/>
  <c r="BH413" i="5" s="1"/>
  <c r="AD413" i="5" s="1"/>
  <c r="BD413" i="5"/>
  <c r="AP421" i="5"/>
  <c r="K421" i="5" s="1"/>
  <c r="BD421" i="5"/>
  <c r="AO421" i="5"/>
  <c r="AW421" i="5" s="1"/>
  <c r="L421" i="5"/>
  <c r="AK421" i="5" s="1"/>
  <c r="AP315" i="5"/>
  <c r="K315" i="5" s="1"/>
  <c r="BJ332" i="5"/>
  <c r="AX360" i="5"/>
  <c r="AO369" i="5"/>
  <c r="BH369" i="5" s="1"/>
  <c r="AP369" i="5"/>
  <c r="K369" i="5" s="1"/>
  <c r="BD369" i="5"/>
  <c r="BD456" i="5"/>
  <c r="AP456" i="5"/>
  <c r="AX456" i="5" s="1"/>
  <c r="BJ456" i="5"/>
  <c r="AO456" i="5"/>
  <c r="AW456" i="5" s="1"/>
  <c r="L456" i="5"/>
  <c r="M456" i="5" s="1"/>
  <c r="BD503" i="5"/>
  <c r="L503" i="5"/>
  <c r="M503" i="5" s="1"/>
  <c r="AP503" i="5"/>
  <c r="BI503" i="5" s="1"/>
  <c r="AC503" i="5" s="1"/>
  <c r="AO503" i="5"/>
  <c r="J503" i="5" s="1"/>
  <c r="BJ503" i="5"/>
  <c r="AP594" i="5"/>
  <c r="K594" i="5" s="1"/>
  <c r="BJ594" i="5"/>
  <c r="AO594" i="5"/>
  <c r="BH594" i="5" s="1"/>
  <c r="AD594" i="5" s="1"/>
  <c r="BD594" i="5"/>
  <c r="AO306" i="5"/>
  <c r="BH306" i="5" s="1"/>
  <c r="AD306" i="5" s="1"/>
  <c r="L306" i="5"/>
  <c r="BD306" i="5"/>
  <c r="AO310" i="5"/>
  <c r="AX366" i="5"/>
  <c r="AO368" i="5"/>
  <c r="J368" i="5" s="1"/>
  <c r="AP368" i="5"/>
  <c r="L401" i="5"/>
  <c r="AK401" i="5" s="1"/>
  <c r="BJ401" i="5"/>
  <c r="BD403" i="5"/>
  <c r="AP403" i="5"/>
  <c r="AX403" i="5" s="1"/>
  <c r="AO403" i="5"/>
  <c r="BH403" i="5" s="1"/>
  <c r="AD403" i="5" s="1"/>
  <c r="BD424" i="5"/>
  <c r="AP424" i="5"/>
  <c r="AX424" i="5" s="1"/>
  <c r="AO435" i="5"/>
  <c r="J435" i="5" s="1"/>
  <c r="AP435" i="5"/>
  <c r="BI435" i="5" s="1"/>
  <c r="AE435" i="5" s="1"/>
  <c r="BJ454" i="5"/>
  <c r="BD454" i="5"/>
  <c r="AP454" i="5"/>
  <c r="BI454" i="5" s="1"/>
  <c r="AE454" i="5" s="1"/>
  <c r="AO454" i="5"/>
  <c r="AW454" i="5" s="1"/>
  <c r="L454" i="5"/>
  <c r="AK454" i="5" s="1"/>
  <c r="AO203" i="5"/>
  <c r="BH203" i="5" s="1"/>
  <c r="AD203" i="5" s="1"/>
  <c r="AP215" i="5"/>
  <c r="AU220" i="5"/>
  <c r="BJ246" i="5"/>
  <c r="BD248" i="5"/>
  <c r="AU296" i="5"/>
  <c r="AS303" i="5"/>
  <c r="BJ314" i="5"/>
  <c r="BD341" i="5"/>
  <c r="BH352" i="5"/>
  <c r="AD352" i="5" s="1"/>
  <c r="AP354" i="5"/>
  <c r="K354" i="5" s="1"/>
  <c r="BD366" i="5"/>
  <c r="AO366" i="5"/>
  <c r="BJ366" i="5"/>
  <c r="BD383" i="5"/>
  <c r="AP391" i="5"/>
  <c r="AX391" i="5" s="1"/>
  <c r="AO391" i="5"/>
  <c r="BH391" i="5" s="1"/>
  <c r="AD391" i="5" s="1"/>
  <c r="BD404" i="5"/>
  <c r="AP404" i="5"/>
  <c r="AX404" i="5" s="1"/>
  <c r="AO404" i="5"/>
  <c r="BJ404" i="5"/>
  <c r="AP409" i="5"/>
  <c r="AX409" i="5" s="1"/>
  <c r="AO409" i="5"/>
  <c r="J409" i="5" s="1"/>
  <c r="BJ421" i="5"/>
  <c r="BD433" i="5"/>
  <c r="BJ433" i="5"/>
  <c r="BD437" i="5"/>
  <c r="AP437" i="5"/>
  <c r="AP445" i="5"/>
  <c r="AX445" i="5" s="1"/>
  <c r="AP449" i="5"/>
  <c r="BI449" i="5" s="1"/>
  <c r="AE449" i="5" s="1"/>
  <c r="AX460" i="5"/>
  <c r="AP461" i="5"/>
  <c r="K461" i="5" s="1"/>
  <c r="AO471" i="5"/>
  <c r="AW471" i="5" s="1"/>
  <c r="AP471" i="5"/>
  <c r="AX471" i="5" s="1"/>
  <c r="BD472" i="5"/>
  <c r="BD515" i="5"/>
  <c r="BJ515" i="5"/>
  <c r="L515" i="5"/>
  <c r="M515" i="5" s="1"/>
  <c r="AP515" i="5"/>
  <c r="BI515" i="5" s="1"/>
  <c r="AE515" i="5" s="1"/>
  <c r="AO515" i="5"/>
  <c r="AW515" i="5" s="1"/>
  <c r="BD557" i="5"/>
  <c r="AO557" i="5"/>
  <c r="BJ557" i="5"/>
  <c r="AP557" i="5"/>
  <c r="L557" i="5"/>
  <c r="BD577" i="5"/>
  <c r="AO577" i="5"/>
  <c r="AP577" i="5"/>
  <c r="L577" i="5"/>
  <c r="AK577" i="5" s="1"/>
  <c r="AS601" i="5"/>
  <c r="AS617" i="5"/>
  <c r="AP407" i="5"/>
  <c r="BI407" i="5" s="1"/>
  <c r="AE407" i="5" s="1"/>
  <c r="BD407" i="5"/>
  <c r="AO407" i="5"/>
  <c r="J407" i="5" s="1"/>
  <c r="AP418" i="5"/>
  <c r="AX418" i="5" s="1"/>
  <c r="BD418" i="5"/>
  <c r="BD447" i="5"/>
  <c r="L447" i="5"/>
  <c r="BD470" i="5"/>
  <c r="BJ470" i="5"/>
  <c r="K480" i="5"/>
  <c r="BI480" i="5"/>
  <c r="AE480" i="5" s="1"/>
  <c r="AX490" i="5"/>
  <c r="BI490" i="5"/>
  <c r="AE490" i="5" s="1"/>
  <c r="AW510" i="5"/>
  <c r="J510" i="5"/>
  <c r="AP629" i="5"/>
  <c r="AX629" i="5" s="1"/>
  <c r="BD629" i="5"/>
  <c r="AO629" i="5"/>
  <c r="J629" i="5" s="1"/>
  <c r="AO677" i="5"/>
  <c r="J677" i="5" s="1"/>
  <c r="BD677" i="5"/>
  <c r="AP677" i="5"/>
  <c r="K677" i="5" s="1"/>
  <c r="AP365" i="5"/>
  <c r="K365" i="5" s="1"/>
  <c r="BD365" i="5"/>
  <c r="BJ405" i="5"/>
  <c r="L405" i="5"/>
  <c r="AK405" i="5" s="1"/>
  <c r="AO418" i="5"/>
  <c r="AW418" i="5" s="1"/>
  <c r="AP464" i="5"/>
  <c r="AX464" i="5" s="1"/>
  <c r="L470" i="5"/>
  <c r="M470" i="5" s="1"/>
  <c r="K490" i="5"/>
  <c r="AO495" i="5"/>
  <c r="AW495" i="5" s="1"/>
  <c r="BH510" i="5"/>
  <c r="AB510" i="5" s="1"/>
  <c r="AP606" i="5"/>
  <c r="K606" i="5" s="1"/>
  <c r="BD606" i="5"/>
  <c r="AO606" i="5"/>
  <c r="AW606" i="5" s="1"/>
  <c r="AS220" i="5"/>
  <c r="AP228" i="5"/>
  <c r="AX228" i="5" s="1"/>
  <c r="BJ230" i="5"/>
  <c r="BJ249" i="5"/>
  <c r="BJ273" i="5"/>
  <c r="BJ280" i="5"/>
  <c r="AS296" i="5"/>
  <c r="AS337" i="5"/>
  <c r="AP346" i="5"/>
  <c r="BD360" i="5"/>
  <c r="AO360" i="5"/>
  <c r="AU364" i="5"/>
  <c r="AS364" i="5"/>
  <c r="AP381" i="5"/>
  <c r="AX381" i="5" s="1"/>
  <c r="L381" i="5"/>
  <c r="M381" i="5" s="1"/>
  <c r="AO383" i="5"/>
  <c r="AW383" i="5" s="1"/>
  <c r="AO387" i="5"/>
  <c r="AW387" i="5" s="1"/>
  <c r="M404" i="5"/>
  <c r="AP410" i="5"/>
  <c r="BI410" i="5" s="1"/>
  <c r="AE410" i="5" s="1"/>
  <c r="BD410" i="5"/>
  <c r="BD420" i="5"/>
  <c r="L420" i="5"/>
  <c r="AK420" i="5" s="1"/>
  <c r="BD429" i="5"/>
  <c r="AP429" i="5"/>
  <c r="AO431" i="5"/>
  <c r="AW431" i="5" s="1"/>
  <c r="AP431" i="5"/>
  <c r="AO433" i="5"/>
  <c r="AW433" i="5" s="1"/>
  <c r="AO488" i="5"/>
  <c r="AW488" i="5" s="1"/>
  <c r="AP495" i="5"/>
  <c r="AX495" i="5" s="1"/>
  <c r="AO563" i="5"/>
  <c r="BH563" i="5" s="1"/>
  <c r="BJ563" i="5"/>
  <c r="Z563" i="5" s="1"/>
  <c r="AP563" i="5"/>
  <c r="AX563" i="5" s="1"/>
  <c r="L563" i="5"/>
  <c r="AK563" i="5" s="1"/>
  <c r="K585" i="5"/>
  <c r="BI585" i="5"/>
  <c r="AC585" i="5" s="1"/>
  <c r="AP589" i="5"/>
  <c r="K589" i="5" s="1"/>
  <c r="BD589" i="5"/>
  <c r="AO589" i="5"/>
  <c r="AW589" i="5" s="1"/>
  <c r="AU587" i="5"/>
  <c r="BI604" i="5"/>
  <c r="AE604" i="5" s="1"/>
  <c r="K604" i="5"/>
  <c r="AX604" i="5"/>
  <c r="L622" i="5"/>
  <c r="M622" i="5" s="1"/>
  <c r="BD387" i="5"/>
  <c r="AO402" i="5"/>
  <c r="AW402" i="5" s="1"/>
  <c r="BD402" i="5"/>
  <c r="AU399" i="5"/>
  <c r="J410" i="5"/>
  <c r="BJ417" i="5"/>
  <c r="BD417" i="5"/>
  <c r="BD441" i="5"/>
  <c r="AP441" i="5"/>
  <c r="AX441" i="5" s="1"/>
  <c r="AO441" i="5"/>
  <c r="BH441" i="5" s="1"/>
  <c r="AD441" i="5" s="1"/>
  <c r="AO447" i="5"/>
  <c r="AP463" i="5"/>
  <c r="AX463" i="5" s="1"/>
  <c r="BD464" i="5"/>
  <c r="AO470" i="5"/>
  <c r="AW470" i="5" s="1"/>
  <c r="AO472" i="5"/>
  <c r="BH472" i="5" s="1"/>
  <c r="AD472" i="5" s="1"/>
  <c r="AP516" i="5"/>
  <c r="AX516" i="5" s="1"/>
  <c r="L516" i="5"/>
  <c r="AK516" i="5" s="1"/>
  <c r="AO555" i="5"/>
  <c r="J555" i="5" s="1"/>
  <c r="L555" i="5"/>
  <c r="AK555" i="5" s="1"/>
  <c r="BJ555" i="5"/>
  <c r="AP555" i="5"/>
  <c r="AX555" i="5" s="1"/>
  <c r="BD599" i="5"/>
  <c r="AP599" i="5"/>
  <c r="BI599" i="5" s="1"/>
  <c r="AE599" i="5" s="1"/>
  <c r="AO599" i="5"/>
  <c r="BH599" i="5" s="1"/>
  <c r="AD599" i="5" s="1"/>
  <c r="L599" i="5"/>
  <c r="M599" i="5" s="1"/>
  <c r="BI665" i="5"/>
  <c r="K665" i="5"/>
  <c r="AX665" i="5"/>
  <c r="AP385" i="5"/>
  <c r="AX385" i="5" s="1"/>
  <c r="L385" i="5"/>
  <c r="M385" i="5" s="1"/>
  <c r="BI387" i="5"/>
  <c r="AE387" i="5" s="1"/>
  <c r="AP402" i="5"/>
  <c r="AX402" i="5" s="1"/>
  <c r="AO417" i="5"/>
  <c r="AW417" i="5" s="1"/>
  <c r="AP447" i="5"/>
  <c r="AX447" i="5" s="1"/>
  <c r="BD463" i="5"/>
  <c r="AO595" i="5"/>
  <c r="AW595" i="5" s="1"/>
  <c r="BD595" i="5"/>
  <c r="AP595" i="5"/>
  <c r="BI595" i="5" s="1"/>
  <c r="AE595" i="5" s="1"/>
  <c r="L595" i="5"/>
  <c r="M595" i="5" s="1"/>
  <c r="AO657" i="5"/>
  <c r="BH657" i="5" s="1"/>
  <c r="AD657" i="5" s="1"/>
  <c r="BD657" i="5"/>
  <c r="BD542" i="5"/>
  <c r="AP542" i="5"/>
  <c r="K542" i="5" s="1"/>
  <c r="AO552" i="5"/>
  <c r="BH552" i="5" s="1"/>
  <c r="AB552" i="5" s="1"/>
  <c r="BD552" i="5"/>
  <c r="AO559" i="5"/>
  <c r="AW559" i="5" s="1"/>
  <c r="AP559" i="5"/>
  <c r="AX559" i="5" s="1"/>
  <c r="AP571" i="5"/>
  <c r="AU593" i="5"/>
  <c r="AS593" i="5"/>
  <c r="AP598" i="5"/>
  <c r="AX598" i="5" s="1"/>
  <c r="BD598" i="5"/>
  <c r="AP625" i="5"/>
  <c r="BI625" i="5" s="1"/>
  <c r="AO625" i="5"/>
  <c r="AP626" i="5"/>
  <c r="BI626" i="5" s="1"/>
  <c r="L626" i="5"/>
  <c r="M626" i="5" s="1"/>
  <c r="AP654" i="5"/>
  <c r="BI654" i="5" s="1"/>
  <c r="AE654" i="5" s="1"/>
  <c r="BD654" i="5"/>
  <c r="AS530" i="5"/>
  <c r="AP552" i="5"/>
  <c r="AX552" i="5" s="1"/>
  <c r="BJ581" i="5"/>
  <c r="AO612" i="5"/>
  <c r="BH612" i="5" s="1"/>
  <c r="AD612" i="5" s="1"/>
  <c r="AO654" i="5"/>
  <c r="BH654" i="5" s="1"/>
  <c r="AD654" i="5" s="1"/>
  <c r="AP656" i="5"/>
  <c r="AX656" i="5" s="1"/>
  <c r="BJ656" i="5"/>
  <c r="AO679" i="5"/>
  <c r="AW679" i="5" s="1"/>
  <c r="BJ679" i="5"/>
  <c r="L679" i="5"/>
  <c r="AK679" i="5" s="1"/>
  <c r="BJ482" i="5"/>
  <c r="Z482" i="5" s="1"/>
  <c r="AU499" i="5"/>
  <c r="AU513" i="5"/>
  <c r="AS519" i="5"/>
  <c r="AU530" i="5"/>
  <c r="L535" i="5"/>
  <c r="BJ542" i="5"/>
  <c r="AO567" i="5"/>
  <c r="AW567" i="5" s="1"/>
  <c r="AP567" i="5"/>
  <c r="BI567" i="5" s="1"/>
  <c r="BJ571" i="5"/>
  <c r="Z571" i="5" s="1"/>
  <c r="BD580" i="5"/>
  <c r="L580" i="5"/>
  <c r="M580" i="5" s="1"/>
  <c r="BJ580" i="5"/>
  <c r="AS587" i="5"/>
  <c r="AX590" i="5"/>
  <c r="AO598" i="5"/>
  <c r="BH598" i="5" s="1"/>
  <c r="AD598" i="5" s="1"/>
  <c r="BJ604" i="5"/>
  <c r="AO604" i="5"/>
  <c r="AW604" i="5" s="1"/>
  <c r="AP612" i="5"/>
  <c r="K612" i="5" s="1"/>
  <c r="K611" i="5" s="1"/>
  <c r="L656" i="5"/>
  <c r="AK656" i="5" s="1"/>
  <c r="AS659" i="5"/>
  <c r="AU659" i="5"/>
  <c r="BD678" i="5"/>
  <c r="AP678" i="5"/>
  <c r="AO678" i="5"/>
  <c r="AS399" i="5"/>
  <c r="AU426" i="5"/>
  <c r="BJ439" i="5"/>
  <c r="AP443" i="5"/>
  <c r="BJ458" i="5"/>
  <c r="BH465" i="5"/>
  <c r="AD465" i="5" s="1"/>
  <c r="AO476" i="5"/>
  <c r="BH476" i="5" s="1"/>
  <c r="AD476" i="5" s="1"/>
  <c r="L477" i="5"/>
  <c r="BD510" i="5"/>
  <c r="AP510" i="5"/>
  <c r="BI510" i="5" s="1"/>
  <c r="AC510" i="5" s="1"/>
  <c r="AO514" i="5"/>
  <c r="J514" i="5" s="1"/>
  <c r="AU519" i="5"/>
  <c r="BJ522" i="5"/>
  <c r="L571" i="5"/>
  <c r="L581" i="5"/>
  <c r="AK581" i="5" s="1"/>
  <c r="AX585" i="5"/>
  <c r="BD590" i="5"/>
  <c r="AO590" i="5"/>
  <c r="BH590" i="5" s="1"/>
  <c r="L609" i="5"/>
  <c r="M609" i="5" s="1"/>
  <c r="AS608" i="5"/>
  <c r="AO619" i="5"/>
  <c r="AW619" i="5" s="1"/>
  <c r="BJ644" i="5"/>
  <c r="Z644" i="5" s="1"/>
  <c r="L644" i="5"/>
  <c r="AK644" i="5" s="1"/>
  <c r="AP644" i="5"/>
  <c r="AO412" i="5"/>
  <c r="AW412" i="5" s="1"/>
  <c r="AX433" i="5"/>
  <c r="AP476" i="5"/>
  <c r="BI476" i="5" s="1"/>
  <c r="AE476" i="5" s="1"/>
  <c r="BJ478" i="5"/>
  <c r="L482" i="5"/>
  <c r="M482" i="5" s="1"/>
  <c r="L489" i="5"/>
  <c r="M489" i="5" s="1"/>
  <c r="AO502" i="5"/>
  <c r="J502" i="5" s="1"/>
  <c r="BD514" i="5"/>
  <c r="AO520" i="5"/>
  <c r="BH520" i="5" s="1"/>
  <c r="AD520" i="5" s="1"/>
  <c r="AP529" i="5"/>
  <c r="AX529" i="5" s="1"/>
  <c r="AO540" i="5"/>
  <c r="J540" i="5" s="1"/>
  <c r="AS541" i="5"/>
  <c r="AO546" i="5"/>
  <c r="BH546" i="5" s="1"/>
  <c r="AD546" i="5" s="1"/>
  <c r="AU551" i="5"/>
  <c r="BD567" i="5"/>
  <c r="AO580" i="5"/>
  <c r="AW580" i="5" s="1"/>
  <c r="AP582" i="5"/>
  <c r="BI582" i="5" s="1"/>
  <c r="BD582" i="5"/>
  <c r="BD585" i="5"/>
  <c r="L585" i="5"/>
  <c r="M585" i="5" s="1"/>
  <c r="BD588" i="5"/>
  <c r="BD592" i="5"/>
  <c r="AP597" i="5"/>
  <c r="BI597" i="5" s="1"/>
  <c r="AE597" i="5" s="1"/>
  <c r="BJ598" i="5"/>
  <c r="BH602" i="5"/>
  <c r="AD602" i="5" s="1"/>
  <c r="L604" i="5"/>
  <c r="M604" i="5" s="1"/>
  <c r="BD619" i="5"/>
  <c r="BD621" i="5"/>
  <c r="L621" i="5"/>
  <c r="AK621" i="5" s="1"/>
  <c r="AP624" i="5"/>
  <c r="BI624" i="5" s="1"/>
  <c r="AC624" i="5" s="1"/>
  <c r="BD625" i="5"/>
  <c r="AO626" i="5"/>
  <c r="BH626" i="5" s="1"/>
  <c r="AS633" i="5"/>
  <c r="BD653" i="5"/>
  <c r="AP653" i="5"/>
  <c r="AX653" i="5" s="1"/>
  <c r="AO653" i="5"/>
  <c r="J653" i="5" s="1"/>
  <c r="BJ655" i="5"/>
  <c r="BD655" i="5"/>
  <c r="AP655" i="5"/>
  <c r="BI655" i="5" s="1"/>
  <c r="AE655" i="5" s="1"/>
  <c r="AO655" i="5"/>
  <c r="BH655" i="5" s="1"/>
  <c r="AD655" i="5" s="1"/>
  <c r="BJ693" i="5"/>
  <c r="AP695" i="5"/>
  <c r="AX695" i="5" s="1"/>
  <c r="AO695" i="5"/>
  <c r="J695" i="5" s="1"/>
  <c r="L478" i="5"/>
  <c r="AK478" i="5" s="1"/>
  <c r="BJ496" i="5"/>
  <c r="AO496" i="5"/>
  <c r="AW496" i="5" s="1"/>
  <c r="AP508" i="5"/>
  <c r="BI508" i="5" s="1"/>
  <c r="AO508" i="5"/>
  <c r="J508" i="5" s="1"/>
  <c r="AP535" i="5"/>
  <c r="BJ540" i="5"/>
  <c r="Z540" i="5" s="1"/>
  <c r="AP580" i="5"/>
  <c r="AP581" i="5"/>
  <c r="AO586" i="5"/>
  <c r="BH586" i="5" s="1"/>
  <c r="BD586" i="5"/>
  <c r="L586" i="5"/>
  <c r="BD597" i="5"/>
  <c r="AO609" i="5"/>
  <c r="BH609" i="5" s="1"/>
  <c r="AD609" i="5" s="1"/>
  <c r="L616" i="5"/>
  <c r="L615" i="5" s="1"/>
  <c r="BD616" i="5"/>
  <c r="BD626" i="5"/>
  <c r="BD687" i="5"/>
  <c r="AP687" i="5"/>
  <c r="K687" i="5" s="1"/>
  <c r="AS499" i="5"/>
  <c r="BI511" i="5"/>
  <c r="AC511" i="5" s="1"/>
  <c r="AU561" i="5"/>
  <c r="BJ570" i="5"/>
  <c r="Z570" i="5" s="1"/>
  <c r="BH572" i="5"/>
  <c r="AO647" i="5"/>
  <c r="AW647" i="5" s="1"/>
  <c r="BD648" i="5"/>
  <c r="BJ650" i="5"/>
  <c r="BD658" i="5"/>
  <c r="L662" i="5"/>
  <c r="AP667" i="5"/>
  <c r="K667" i="5" s="1"/>
  <c r="AO668" i="5"/>
  <c r="AP670" i="5"/>
  <c r="BI670" i="5" s="1"/>
  <c r="AE670" i="5" s="1"/>
  <c r="AP674" i="5"/>
  <c r="AX674" i="5" s="1"/>
  <c r="BJ687" i="5"/>
  <c r="Z687" i="5" s="1"/>
  <c r="BD660" i="5"/>
  <c r="BD662" i="5"/>
  <c r="BD537" i="5"/>
  <c r="AX546" i="5"/>
  <c r="AP565" i="5"/>
  <c r="BI586" i="5"/>
  <c r="AX588" i="5"/>
  <c r="BJ630" i="5"/>
  <c r="Z630" i="5" s="1"/>
  <c r="AU633" i="5"/>
  <c r="BD636" i="5"/>
  <c r="AS641" i="5"/>
  <c r="AO650" i="5"/>
  <c r="AW650" i="5" s="1"/>
  <c r="BJ662" i="5"/>
  <c r="BJ668" i="5"/>
  <c r="BJ672" i="5"/>
  <c r="BH674" i="5"/>
  <c r="AB674" i="5" s="1"/>
  <c r="BJ676" i="5"/>
  <c r="BJ685" i="5"/>
  <c r="Z685" i="5" s="1"/>
  <c r="AU694" i="5"/>
  <c r="AO698" i="5"/>
  <c r="J698" i="5" s="1"/>
  <c r="J697" i="5" s="1"/>
  <c r="AP650" i="5"/>
  <c r="BI650" i="5" s="1"/>
  <c r="AE650" i="5" s="1"/>
  <c r="AS675" i="5"/>
  <c r="AU651" i="5"/>
  <c r="BJ663" i="5"/>
  <c r="BJ678" i="5"/>
  <c r="AX18" i="5"/>
  <c r="O18" i="5"/>
  <c r="BF18" i="5" s="1"/>
  <c r="BJ18" i="5"/>
  <c r="L18" i="5"/>
  <c r="BI18" i="5"/>
  <c r="AE18" i="5" s="1"/>
  <c r="K18" i="5"/>
  <c r="BI16" i="5"/>
  <c r="AE16" i="5" s="1"/>
  <c r="AW17" i="5"/>
  <c r="BH24" i="5"/>
  <c r="AD24" i="5" s="1"/>
  <c r="AW34" i="5"/>
  <c r="AX39" i="5"/>
  <c r="AW62" i="5"/>
  <c r="AX64" i="5"/>
  <c r="L251" i="1"/>
  <c r="L281" i="1"/>
  <c r="L295" i="1"/>
  <c r="L329" i="1"/>
  <c r="L385" i="1"/>
  <c r="L397" i="1"/>
  <c r="L412" i="1"/>
  <c r="L466" i="1"/>
  <c r="L503" i="1"/>
  <c r="L586" i="1"/>
  <c r="L597" i="1"/>
  <c r="BI33" i="5"/>
  <c r="AE33" i="5" s="1"/>
  <c r="AX49" i="5"/>
  <c r="AX58" i="5"/>
  <c r="O14" i="5"/>
  <c r="BJ14" i="5"/>
  <c r="L14" i="5"/>
  <c r="BI61" i="5"/>
  <c r="AE61" i="5" s="1"/>
  <c r="K61" i="5"/>
  <c r="AX61" i="5"/>
  <c r="L235" i="1"/>
  <c r="L277" i="1"/>
  <c r="L341" i="1"/>
  <c r="L357" i="1"/>
  <c r="L369" i="1"/>
  <c r="L450" i="1"/>
  <c r="L515" i="1"/>
  <c r="L534" i="1"/>
  <c r="L543" i="1"/>
  <c r="F22" i="3"/>
  <c r="L98" i="1"/>
  <c r="L287" i="1"/>
  <c r="L303" i="1"/>
  <c r="L321" i="1"/>
  <c r="L337" i="1"/>
  <c r="L380" i="1"/>
  <c r="L417" i="1"/>
  <c r="L460" i="1"/>
  <c r="L469" i="1"/>
  <c r="L484" i="1"/>
  <c r="L571" i="1"/>
  <c r="L601" i="1"/>
  <c r="L600" i="1" s="1"/>
  <c r="I18" i="4"/>
  <c r="I19" i="3"/>
  <c r="I22" i="3" s="1"/>
  <c r="I27" i="4"/>
  <c r="L72" i="1"/>
  <c r="L257" i="1"/>
  <c r="L271" i="1"/>
  <c r="L365" i="1"/>
  <c r="L377" i="1"/>
  <c r="L432" i="1"/>
  <c r="L444" i="1"/>
  <c r="L539" i="1"/>
  <c r="L552" i="1"/>
  <c r="AX22" i="5"/>
  <c r="AW30" i="5"/>
  <c r="AW67" i="5"/>
  <c r="BI72" i="5"/>
  <c r="AE72" i="5" s="1"/>
  <c r="K72" i="5"/>
  <c r="BI131" i="5"/>
  <c r="AE131" i="5" s="1"/>
  <c r="AX131" i="5"/>
  <c r="K131" i="5"/>
  <c r="BI139" i="5"/>
  <c r="AE139" i="5" s="1"/>
  <c r="K139" i="5"/>
  <c r="AX139" i="5"/>
  <c r="O139" i="5"/>
  <c r="BF139" i="5" s="1"/>
  <c r="BJ139" i="5"/>
  <c r="L139" i="5"/>
  <c r="BH206" i="5"/>
  <c r="AD206" i="5" s="1"/>
  <c r="J206" i="5"/>
  <c r="AO23" i="5"/>
  <c r="AO27" i="5"/>
  <c r="AO41" i="5"/>
  <c r="AO46" i="5"/>
  <c r="AO50" i="5"/>
  <c r="AO54" i="5"/>
  <c r="AW54" i="5" s="1"/>
  <c r="BI73" i="5"/>
  <c r="AE73" i="5" s="1"/>
  <c r="K73" i="5"/>
  <c r="BI77" i="5"/>
  <c r="AE77" i="5" s="1"/>
  <c r="K77" i="5"/>
  <c r="BJ78" i="5"/>
  <c r="Z78" i="5" s="1"/>
  <c r="BF81" i="5"/>
  <c r="AO86" i="5"/>
  <c r="AW86" i="5" s="1"/>
  <c r="BD86" i="5"/>
  <c r="BD88" i="5"/>
  <c r="BJ88" i="5"/>
  <c r="L88" i="5"/>
  <c r="AP88" i="5"/>
  <c r="AX88" i="5" s="1"/>
  <c r="AO90" i="5"/>
  <c r="AW90" i="5" s="1"/>
  <c r="BD90" i="5"/>
  <c r="BD92" i="5"/>
  <c r="BJ92" i="5"/>
  <c r="L92" i="5"/>
  <c r="AP92" i="5"/>
  <c r="AO94" i="5"/>
  <c r="AW94" i="5" s="1"/>
  <c r="BD94" i="5"/>
  <c r="O99" i="5"/>
  <c r="BF99" i="5" s="1"/>
  <c r="AW99" i="5"/>
  <c r="BJ99" i="5"/>
  <c r="L99" i="5"/>
  <c r="K99" i="5"/>
  <c r="BH99" i="5"/>
  <c r="AD99" i="5" s="1"/>
  <c r="J99" i="5"/>
  <c r="BD100" i="5"/>
  <c r="BJ100" i="5"/>
  <c r="L100" i="5"/>
  <c r="AP100" i="5"/>
  <c r="BJ158" i="5"/>
  <c r="L158" i="5"/>
  <c r="O158" i="5"/>
  <c r="BF158" i="5" s="1"/>
  <c r="AX158" i="5"/>
  <c r="K158" i="5"/>
  <c r="BH167" i="5"/>
  <c r="AD167" i="5" s="1"/>
  <c r="J167" i="5"/>
  <c r="AW167" i="5"/>
  <c r="K198" i="5"/>
  <c r="BI198" i="5"/>
  <c r="AE198" i="5" s="1"/>
  <c r="AP222" i="5"/>
  <c r="AX222" i="5" s="1"/>
  <c r="AO222" i="5"/>
  <c r="BD222" i="5"/>
  <c r="AO14" i="5"/>
  <c r="AW14" i="5" s="1"/>
  <c r="L15" i="5"/>
  <c r="BJ15" i="5"/>
  <c r="BD17" i="5"/>
  <c r="AO18" i="5"/>
  <c r="BH18" i="5" s="1"/>
  <c r="AD18" i="5" s="1"/>
  <c r="L19" i="5"/>
  <c r="BJ19" i="5"/>
  <c r="Z19" i="5" s="1"/>
  <c r="AP23" i="5"/>
  <c r="AW24" i="5"/>
  <c r="AP27" i="5"/>
  <c r="BD30" i="5"/>
  <c r="AO31" i="5"/>
  <c r="J31" i="5" s="1"/>
  <c r="L32" i="5"/>
  <c r="BJ32" i="5"/>
  <c r="BD34" i="5"/>
  <c r="AO35" i="5"/>
  <c r="J35" i="5" s="1"/>
  <c r="AP41" i="5"/>
  <c r="AP46" i="5"/>
  <c r="AP50" i="5"/>
  <c r="AP54" i="5"/>
  <c r="BD62" i="5"/>
  <c r="AO64" i="5"/>
  <c r="BH64" i="5" s="1"/>
  <c r="AD64" i="5" s="1"/>
  <c r="BD67" i="5"/>
  <c r="AO68" i="5"/>
  <c r="J68" i="5" s="1"/>
  <c r="AO70" i="5"/>
  <c r="BH70" i="5" s="1"/>
  <c r="AD70" i="5" s="1"/>
  <c r="BJ70" i="5"/>
  <c r="AX73" i="5"/>
  <c r="AO74" i="5"/>
  <c r="BH74" i="5" s="1"/>
  <c r="AD74" i="5" s="1"/>
  <c r="BJ74" i="5"/>
  <c r="AX77" i="5"/>
  <c r="AW83" i="5"/>
  <c r="BH96" i="5"/>
  <c r="AD96" i="5" s="1"/>
  <c r="BJ146" i="5"/>
  <c r="L146" i="5"/>
  <c r="O146" i="5"/>
  <c r="BF146" i="5" s="1"/>
  <c r="BD152" i="5"/>
  <c r="L152" i="5"/>
  <c r="AO157" i="5"/>
  <c r="AW157" i="5" s="1"/>
  <c r="AP157" i="5"/>
  <c r="BJ157" i="5"/>
  <c r="BD157" i="5"/>
  <c r="L157" i="5"/>
  <c r="AP183" i="5"/>
  <c r="AX183" i="5" s="1"/>
  <c r="AO183" i="5"/>
  <c r="BH183" i="5" s="1"/>
  <c r="AD183" i="5" s="1"/>
  <c r="BD183" i="5"/>
  <c r="L183" i="5"/>
  <c r="O240" i="5"/>
  <c r="BF240" i="5" s="1"/>
  <c r="BH240" i="5"/>
  <c r="AD240" i="5" s="1"/>
  <c r="J240" i="5"/>
  <c r="BJ240" i="5"/>
  <c r="L240" i="5"/>
  <c r="AW240" i="5"/>
  <c r="L23" i="5"/>
  <c r="BJ23" i="5"/>
  <c r="O24" i="5"/>
  <c r="BF24" i="5" s="1"/>
  <c r="L27" i="5"/>
  <c r="BJ27" i="5"/>
  <c r="Z27" i="5" s="1"/>
  <c r="BF30" i="5"/>
  <c r="K31" i="5"/>
  <c r="BI31" i="5"/>
  <c r="AE31" i="5" s="1"/>
  <c r="L41" i="5"/>
  <c r="BJ41" i="5"/>
  <c r="O42" i="5"/>
  <c r="BF42" i="5" s="1"/>
  <c r="L46" i="5"/>
  <c r="BJ46" i="5"/>
  <c r="O47" i="5"/>
  <c r="BF47" i="5" s="1"/>
  <c r="L50" i="5"/>
  <c r="BJ50" i="5"/>
  <c r="O51" i="5"/>
  <c r="BF51" i="5" s="1"/>
  <c r="L54" i="5"/>
  <c r="BJ54" i="5"/>
  <c r="O55" i="5"/>
  <c r="BF55" i="5" s="1"/>
  <c r="K64" i="5"/>
  <c r="BI64" i="5"/>
  <c r="AE64" i="5" s="1"/>
  <c r="K68" i="5"/>
  <c r="BI68" i="5"/>
  <c r="AE68" i="5" s="1"/>
  <c r="L72" i="5"/>
  <c r="AX72" i="5"/>
  <c r="L76" i="5"/>
  <c r="O95" i="5"/>
  <c r="BF95" i="5" s="1"/>
  <c r="BJ95" i="5"/>
  <c r="L95" i="5"/>
  <c r="BH95" i="5"/>
  <c r="AD95" i="5" s="1"/>
  <c r="J95" i="5"/>
  <c r="AX109" i="5"/>
  <c r="BH119" i="5"/>
  <c r="AD119" i="5" s="1"/>
  <c r="BD131" i="5"/>
  <c r="BJ131" i="5"/>
  <c r="AO131" i="5"/>
  <c r="AW131" i="5" s="1"/>
  <c r="L131" i="5"/>
  <c r="O133" i="5"/>
  <c r="BF133" i="5" s="1"/>
  <c r="L133" i="5"/>
  <c r="O151" i="5"/>
  <c r="BF151" i="5" s="1"/>
  <c r="BJ151" i="5"/>
  <c r="L151" i="5"/>
  <c r="O168" i="5"/>
  <c r="BF168" i="5" s="1"/>
  <c r="BJ168" i="5"/>
  <c r="L168" i="5"/>
  <c r="K169" i="5"/>
  <c r="O15" i="5"/>
  <c r="BF15" i="5" s="1"/>
  <c r="BD16" i="5"/>
  <c r="J17" i="5"/>
  <c r="BH17" i="5"/>
  <c r="AD17" i="5" s="1"/>
  <c r="O19" i="5"/>
  <c r="BF19" i="5" s="1"/>
  <c r="K22" i="5"/>
  <c r="BI22" i="5"/>
  <c r="AE22" i="5" s="1"/>
  <c r="K26" i="5"/>
  <c r="BI26" i="5"/>
  <c r="AE26" i="5" s="1"/>
  <c r="J30" i="5"/>
  <c r="BH30" i="5"/>
  <c r="AD30" i="5" s="1"/>
  <c r="L31" i="5"/>
  <c r="BJ31" i="5"/>
  <c r="O32" i="5"/>
  <c r="BF32" i="5" s="1"/>
  <c r="BD33" i="5"/>
  <c r="J34" i="5"/>
  <c r="BH34" i="5"/>
  <c r="AD34" i="5" s="1"/>
  <c r="L35" i="5"/>
  <c r="BJ35" i="5"/>
  <c r="Z35" i="5" s="1"/>
  <c r="BF38" i="5"/>
  <c r="K39" i="5"/>
  <c r="BI39" i="5"/>
  <c r="K45" i="5"/>
  <c r="BI45" i="5"/>
  <c r="AE45" i="5" s="1"/>
  <c r="K49" i="5"/>
  <c r="BI49" i="5"/>
  <c r="AE49" i="5" s="1"/>
  <c r="K53" i="5"/>
  <c r="BI53" i="5"/>
  <c r="AE53" i="5" s="1"/>
  <c r="K58" i="5"/>
  <c r="BI58" i="5"/>
  <c r="BD61" i="5"/>
  <c r="J62" i="5"/>
  <c r="BH62" i="5"/>
  <c r="L64" i="5"/>
  <c r="BJ64" i="5"/>
  <c r="O65" i="5"/>
  <c r="BF65" i="5" s="1"/>
  <c r="BD66" i="5"/>
  <c r="J67" i="5"/>
  <c r="BH67" i="5"/>
  <c r="AD67" i="5" s="1"/>
  <c r="L68" i="5"/>
  <c r="BJ68" i="5"/>
  <c r="BD69" i="5"/>
  <c r="L73" i="5"/>
  <c r="BD73" i="5"/>
  <c r="L77" i="5"/>
  <c r="BD77" i="5"/>
  <c r="AP81" i="5"/>
  <c r="BI81" i="5" s="1"/>
  <c r="AE81" i="5" s="1"/>
  <c r="O82" i="5"/>
  <c r="BF82" i="5" s="1"/>
  <c r="BJ82" i="5"/>
  <c r="L82" i="5"/>
  <c r="AO82" i="5"/>
  <c r="BH82" i="5" s="1"/>
  <c r="AD82" i="5" s="1"/>
  <c r="BD83" i="5"/>
  <c r="BJ83" i="5"/>
  <c r="Z83" i="5" s="1"/>
  <c r="L83" i="5"/>
  <c r="AP83" i="5"/>
  <c r="AO85" i="5"/>
  <c r="AW85" i="5" s="1"/>
  <c r="BD85" i="5"/>
  <c r="O87" i="5"/>
  <c r="BJ87" i="5"/>
  <c r="L87" i="5"/>
  <c r="AO89" i="5"/>
  <c r="AW89" i="5" s="1"/>
  <c r="BD89" i="5"/>
  <c r="O91" i="5"/>
  <c r="BF91" i="5" s="1"/>
  <c r="BJ91" i="5"/>
  <c r="L91" i="5"/>
  <c r="BH91" i="5"/>
  <c r="AD91" i="5" s="1"/>
  <c r="J91" i="5"/>
  <c r="AO93" i="5"/>
  <c r="AW93" i="5" s="1"/>
  <c r="BD93" i="5"/>
  <c r="BH97" i="5"/>
  <c r="AD97" i="5" s="1"/>
  <c r="AO100" i="5"/>
  <c r="BI109" i="5"/>
  <c r="O118" i="5"/>
  <c r="BF118" i="5" s="1"/>
  <c r="BJ118" i="5"/>
  <c r="L118" i="5"/>
  <c r="BJ129" i="5"/>
  <c r="BJ145" i="5"/>
  <c r="O145" i="5"/>
  <c r="BF145" i="5" s="1"/>
  <c r="L145" i="5"/>
  <c r="AP151" i="5"/>
  <c r="BI151" i="5" s="1"/>
  <c r="AE151" i="5" s="1"/>
  <c r="AO151" i="5"/>
  <c r="BH151" i="5" s="1"/>
  <c r="AD151" i="5" s="1"/>
  <c r="BD151" i="5"/>
  <c r="J163" i="5"/>
  <c r="AW163" i="5"/>
  <c r="BH163" i="5"/>
  <c r="AD163" i="5" s="1"/>
  <c r="AO168" i="5"/>
  <c r="BH168" i="5" s="1"/>
  <c r="AD168" i="5" s="1"/>
  <c r="AP168" i="5"/>
  <c r="BI168" i="5" s="1"/>
  <c r="AE168" i="5" s="1"/>
  <c r="AO173" i="5"/>
  <c r="BH173" i="5" s="1"/>
  <c r="AD173" i="5" s="1"/>
  <c r="BD173" i="5"/>
  <c r="AP173" i="5"/>
  <c r="L173" i="5"/>
  <c r="BJ173" i="5"/>
  <c r="BI176" i="5"/>
  <c r="AE176" i="5" s="1"/>
  <c r="AX176" i="5"/>
  <c r="C27" i="3"/>
  <c r="L22" i="5"/>
  <c r="BJ22" i="5"/>
  <c r="L26" i="5"/>
  <c r="BJ26" i="5"/>
  <c r="L39" i="5"/>
  <c r="BJ39" i="5"/>
  <c r="Z39" i="5" s="1"/>
  <c r="L45" i="5"/>
  <c r="BJ45" i="5"/>
  <c r="L49" i="5"/>
  <c r="BJ49" i="5"/>
  <c r="L53" i="5"/>
  <c r="BJ53" i="5"/>
  <c r="L58" i="5"/>
  <c r="BJ58" i="5"/>
  <c r="Z58" i="5" s="1"/>
  <c r="L70" i="5"/>
  <c r="O72" i="5"/>
  <c r="BF72" i="5" s="1"/>
  <c r="O73" i="5"/>
  <c r="BF73" i="5" s="1"/>
  <c r="L74" i="5"/>
  <c r="O76" i="5"/>
  <c r="BF76" i="5" s="1"/>
  <c r="O77" i="5"/>
  <c r="BF77" i="5" s="1"/>
  <c r="L78" i="5"/>
  <c r="BJ81" i="5"/>
  <c r="L81" i="5"/>
  <c r="BH81" i="5"/>
  <c r="AD81" i="5" s="1"/>
  <c r="J81" i="5"/>
  <c r="AW81" i="5"/>
  <c r="J83" i="5"/>
  <c r="K85" i="5"/>
  <c r="BI85" i="5"/>
  <c r="AE85" i="5" s="1"/>
  <c r="AO88" i="5"/>
  <c r="AO92" i="5"/>
  <c r="K93" i="5"/>
  <c r="BI93" i="5"/>
  <c r="AE93" i="5" s="1"/>
  <c r="BD96" i="5"/>
  <c r="BJ96" i="5"/>
  <c r="L96" i="5"/>
  <c r="AP96" i="5"/>
  <c r="O108" i="5"/>
  <c r="BF108" i="5" s="1"/>
  <c r="BJ108" i="5"/>
  <c r="L108" i="5"/>
  <c r="O113" i="5"/>
  <c r="BF113" i="5" s="1"/>
  <c r="BJ113" i="5"/>
  <c r="L113" i="5"/>
  <c r="AP118" i="5"/>
  <c r="K118" i="5" s="1"/>
  <c r="AO118" i="5"/>
  <c r="BH118" i="5" s="1"/>
  <c r="AD118" i="5" s="1"/>
  <c r="AP129" i="5"/>
  <c r="K129" i="5" s="1"/>
  <c r="AO129" i="5"/>
  <c r="BD129" i="5"/>
  <c r="L129" i="5"/>
  <c r="AO145" i="5"/>
  <c r="AW145" i="5" s="1"/>
  <c r="BD145" i="5"/>
  <c r="BH152" i="5"/>
  <c r="AD152" i="5" s="1"/>
  <c r="J152" i="5"/>
  <c r="AO16" i="5"/>
  <c r="L17" i="5"/>
  <c r="BJ17" i="5"/>
  <c r="K25" i="5"/>
  <c r="BI25" i="5"/>
  <c r="AE25" i="5" s="1"/>
  <c r="L30" i="5"/>
  <c r="BJ30" i="5"/>
  <c r="O31" i="5"/>
  <c r="BF31" i="5" s="1"/>
  <c r="AO33" i="5"/>
  <c r="L34" i="5"/>
  <c r="BJ34" i="5"/>
  <c r="O35" i="5"/>
  <c r="BF35" i="5" s="1"/>
  <c r="K38" i="5"/>
  <c r="BI38" i="5"/>
  <c r="AE38" i="5" s="1"/>
  <c r="K44" i="5"/>
  <c r="BI44" i="5"/>
  <c r="AE44" i="5" s="1"/>
  <c r="K48" i="5"/>
  <c r="BI48" i="5"/>
  <c r="AE48" i="5" s="1"/>
  <c r="K52" i="5"/>
  <c r="BI52" i="5"/>
  <c r="AE52" i="5" s="1"/>
  <c r="K56" i="5"/>
  <c r="BI56" i="5"/>
  <c r="AE56" i="5" s="1"/>
  <c r="AO61" i="5"/>
  <c r="L62" i="5"/>
  <c r="BJ62" i="5"/>
  <c r="Z62" i="5" s="1"/>
  <c r="O64" i="5"/>
  <c r="AO66" i="5"/>
  <c r="L67" i="5"/>
  <c r="BJ67" i="5"/>
  <c r="O68" i="5"/>
  <c r="BF68" i="5" s="1"/>
  <c r="BI69" i="5"/>
  <c r="AE69" i="5" s="1"/>
  <c r="O70" i="5"/>
  <c r="BF70" i="5" s="1"/>
  <c r="O74" i="5"/>
  <c r="BF74" i="5" s="1"/>
  <c r="O78" i="5"/>
  <c r="BF78" i="5" s="1"/>
  <c r="AP86" i="5"/>
  <c r="AP90" i="5"/>
  <c r="AP94" i="5"/>
  <c r="J96" i="5"/>
  <c r="O104" i="5"/>
  <c r="BJ104" i="5"/>
  <c r="L104" i="5"/>
  <c r="AP108" i="5"/>
  <c r="BI108" i="5" s="1"/>
  <c r="AE108" i="5" s="1"/>
  <c r="AO108" i="5"/>
  <c r="J108" i="5" s="1"/>
  <c r="AP113" i="5"/>
  <c r="BI113" i="5" s="1"/>
  <c r="AE113" i="5" s="1"/>
  <c r="AO113" i="5"/>
  <c r="BH113" i="5" s="1"/>
  <c r="AD113" i="5" s="1"/>
  <c r="BJ133" i="5"/>
  <c r="AP152" i="5"/>
  <c r="L190" i="5"/>
  <c r="AP190" i="5"/>
  <c r="K190" i="5" s="1"/>
  <c r="AO190" i="5"/>
  <c r="K16" i="5"/>
  <c r="O22" i="5"/>
  <c r="J24" i="5"/>
  <c r="L25" i="5"/>
  <c r="O26" i="5"/>
  <c r="BF26" i="5" s="1"/>
  <c r="K33" i="5"/>
  <c r="L38" i="5"/>
  <c r="O39" i="5"/>
  <c r="BF39" i="5" s="1"/>
  <c r="L44" i="5"/>
  <c r="O45" i="5"/>
  <c r="BF45" i="5" s="1"/>
  <c r="L48" i="5"/>
  <c r="O49" i="5"/>
  <c r="BF49" i="5" s="1"/>
  <c r="L52" i="5"/>
  <c r="O53" i="5"/>
  <c r="BF53" i="5" s="1"/>
  <c r="L56" i="5"/>
  <c r="O58" i="5"/>
  <c r="BF58" i="5" s="1"/>
  <c r="BJ69" i="5"/>
  <c r="BJ72" i="5"/>
  <c r="BJ73" i="5"/>
  <c r="BJ76" i="5"/>
  <c r="BJ77" i="5"/>
  <c r="AS84" i="5"/>
  <c r="AP104" i="5"/>
  <c r="AX104" i="5" s="1"/>
  <c r="AO104" i="5"/>
  <c r="J104" i="5" s="1"/>
  <c r="AU110" i="5"/>
  <c r="BD118" i="5"/>
  <c r="AP145" i="5"/>
  <c r="K145" i="5" s="1"/>
  <c r="BJ152" i="5"/>
  <c r="BI158" i="5"/>
  <c r="AE158" i="5" s="1"/>
  <c r="AU162" i="5"/>
  <c r="BI169" i="5"/>
  <c r="AX194" i="5"/>
  <c r="O194" i="5"/>
  <c r="BF194" i="5" s="1"/>
  <c r="K194" i="5"/>
  <c r="BJ194" i="5"/>
  <c r="BI194" i="5"/>
  <c r="AE194" i="5" s="1"/>
  <c r="L194" i="5"/>
  <c r="BH195" i="5"/>
  <c r="AD195" i="5" s="1"/>
  <c r="AW195" i="5"/>
  <c r="J195" i="5"/>
  <c r="BI207" i="5"/>
  <c r="AE207" i="5" s="1"/>
  <c r="AX207" i="5"/>
  <c r="K207" i="5"/>
  <c r="L105" i="5"/>
  <c r="BJ105" i="5"/>
  <c r="O106" i="5"/>
  <c r="BF106" i="5" s="1"/>
  <c r="AX106" i="5"/>
  <c r="BD107" i="5"/>
  <c r="L109" i="5"/>
  <c r="BJ109" i="5"/>
  <c r="Z109" i="5" s="1"/>
  <c r="O111" i="5"/>
  <c r="BD112" i="5"/>
  <c r="L115" i="5"/>
  <c r="BJ115" i="5"/>
  <c r="O116" i="5"/>
  <c r="BF116" i="5" s="1"/>
  <c r="BD117" i="5"/>
  <c r="L119" i="5"/>
  <c r="BJ119" i="5"/>
  <c r="O121" i="5"/>
  <c r="BF121" i="5" s="1"/>
  <c r="AO123" i="5"/>
  <c r="AW123" i="5" s="1"/>
  <c r="BJ123" i="5"/>
  <c r="BI125" i="5"/>
  <c r="AE125" i="5" s="1"/>
  <c r="BJ134" i="5"/>
  <c r="L134" i="5"/>
  <c r="AP140" i="5"/>
  <c r="AO147" i="5"/>
  <c r="BH147" i="5" s="1"/>
  <c r="AD147" i="5" s="1"/>
  <c r="AX150" i="5"/>
  <c r="AP153" i="5"/>
  <c r="AX153" i="5" s="1"/>
  <c r="BI160" i="5"/>
  <c r="K160" i="5"/>
  <c r="AX160" i="5"/>
  <c r="O160" i="5"/>
  <c r="BF160" i="5" s="1"/>
  <c r="AO160" i="5"/>
  <c r="BD165" i="5"/>
  <c r="BD193" i="5"/>
  <c r="AO193" i="5"/>
  <c r="BD98" i="5"/>
  <c r="AW105" i="5"/>
  <c r="AW109" i="5"/>
  <c r="AW119" i="5"/>
  <c r="AP123" i="5"/>
  <c r="BI123" i="5" s="1"/>
  <c r="AE123" i="5" s="1"/>
  <c r="O137" i="5"/>
  <c r="BF137" i="5" s="1"/>
  <c r="BH141" i="5"/>
  <c r="AD141" i="5" s="1"/>
  <c r="J141" i="5"/>
  <c r="AP141" i="5"/>
  <c r="K141" i="5" s="1"/>
  <c r="O147" i="5"/>
  <c r="BF147" i="5" s="1"/>
  <c r="AO148" i="5"/>
  <c r="AW148" i="5" s="1"/>
  <c r="BJ148" i="5"/>
  <c r="O150" i="5"/>
  <c r="BF150" i="5" s="1"/>
  <c r="BJ154" i="5"/>
  <c r="L154" i="5"/>
  <c r="BJ155" i="5"/>
  <c r="BJ163" i="5"/>
  <c r="BJ164" i="5"/>
  <c r="BD167" i="5"/>
  <c r="BJ167" i="5"/>
  <c r="AP167" i="5"/>
  <c r="AX167" i="5" s="1"/>
  <c r="BJ180" i="5"/>
  <c r="L180" i="5"/>
  <c r="K180" i="5"/>
  <c r="AX180" i="5"/>
  <c r="BI180" i="5"/>
  <c r="AE180" i="5" s="1"/>
  <c r="O210" i="5"/>
  <c r="BF210" i="5" s="1"/>
  <c r="BJ210" i="5"/>
  <c r="L210" i="5"/>
  <c r="BI301" i="5"/>
  <c r="AX301" i="5"/>
  <c r="K301" i="5"/>
  <c r="O105" i="5"/>
  <c r="BF105" i="5" s="1"/>
  <c r="O109" i="5"/>
  <c r="BF109" i="5" s="1"/>
  <c r="O115" i="5"/>
  <c r="BF115" i="5" s="1"/>
  <c r="O119" i="5"/>
  <c r="BF119" i="5" s="1"/>
  <c r="BH125" i="5"/>
  <c r="AD125" i="5" s="1"/>
  <c r="J125" i="5"/>
  <c r="BI135" i="5"/>
  <c r="AE135" i="5" s="1"/>
  <c r="K135" i="5"/>
  <c r="AX135" i="5"/>
  <c r="O135" i="5"/>
  <c r="BF135" i="5" s="1"/>
  <c r="BJ142" i="5"/>
  <c r="L142" i="5"/>
  <c r="AP148" i="5"/>
  <c r="BJ149" i="5"/>
  <c r="AO155" i="5"/>
  <c r="AP164" i="5"/>
  <c r="BJ209" i="5"/>
  <c r="L209" i="5"/>
  <c r="BI209" i="5"/>
  <c r="AE209" i="5" s="1"/>
  <c r="K209" i="5"/>
  <c r="O209" i="5"/>
  <c r="BF209" i="5" s="1"/>
  <c r="AX209" i="5"/>
  <c r="AP210" i="5"/>
  <c r="K210" i="5" s="1"/>
  <c r="AO210" i="5"/>
  <c r="BH210" i="5" s="1"/>
  <c r="AD210" i="5" s="1"/>
  <c r="AX227" i="5"/>
  <c r="O83" i="5"/>
  <c r="BF83" i="5" s="1"/>
  <c r="O88" i="5"/>
  <c r="BF88" i="5" s="1"/>
  <c r="O92" i="5"/>
  <c r="BF92" i="5" s="1"/>
  <c r="O96" i="5"/>
  <c r="BF96" i="5" s="1"/>
  <c r="BD97" i="5"/>
  <c r="J98" i="5"/>
  <c r="BH98" i="5"/>
  <c r="AD98" i="5" s="1"/>
  <c r="O100" i="5"/>
  <c r="BF100" i="5" s="1"/>
  <c r="BD101" i="5"/>
  <c r="K107" i="5"/>
  <c r="BI107" i="5"/>
  <c r="AE107" i="5" s="1"/>
  <c r="K112" i="5"/>
  <c r="BI112" i="5"/>
  <c r="AE112" i="5" s="1"/>
  <c r="K117" i="5"/>
  <c r="BI117" i="5"/>
  <c r="AE117" i="5" s="1"/>
  <c r="BJ127" i="5"/>
  <c r="L127" i="5"/>
  <c r="BD133" i="5"/>
  <c r="AP136" i="5"/>
  <c r="L140" i="5"/>
  <c r="AW141" i="5"/>
  <c r="AO143" i="5"/>
  <c r="J143" i="5" s="1"/>
  <c r="BH149" i="5"/>
  <c r="AD149" i="5" s="1"/>
  <c r="J149" i="5"/>
  <c r="AP149" i="5"/>
  <c r="K149" i="5" s="1"/>
  <c r="L153" i="5"/>
  <c r="O155" i="5"/>
  <c r="BF155" i="5" s="1"/>
  <c r="AO156" i="5"/>
  <c r="BJ156" i="5"/>
  <c r="L160" i="5"/>
  <c r="BH164" i="5"/>
  <c r="AD164" i="5" s="1"/>
  <c r="J164" i="5"/>
  <c r="AW164" i="5"/>
  <c r="BJ165" i="5"/>
  <c r="L165" i="5"/>
  <c r="BI165" i="5"/>
  <c r="AE165" i="5" s="1"/>
  <c r="L167" i="5"/>
  <c r="BD172" i="5"/>
  <c r="BJ172" i="5"/>
  <c r="L172" i="5"/>
  <c r="AP172" i="5"/>
  <c r="AX172" i="5" s="1"/>
  <c r="AP174" i="5"/>
  <c r="AO174" i="5"/>
  <c r="BD174" i="5"/>
  <c r="BJ175" i="5"/>
  <c r="O175" i="5"/>
  <c r="BF175" i="5" s="1"/>
  <c r="L175" i="5"/>
  <c r="K176" i="5"/>
  <c r="O180" i="5"/>
  <c r="BF180" i="5" s="1"/>
  <c r="BJ184" i="5"/>
  <c r="L184" i="5"/>
  <c r="O184" i="5"/>
  <c r="BF184" i="5" s="1"/>
  <c r="AP193" i="5"/>
  <c r="BI196" i="5"/>
  <c r="AE196" i="5" s="1"/>
  <c r="K196" i="5"/>
  <c r="O196" i="5"/>
  <c r="BF196" i="5" s="1"/>
  <c r="L196" i="5"/>
  <c r="BJ198" i="5"/>
  <c r="BI208" i="5"/>
  <c r="AE208" i="5" s="1"/>
  <c r="K208" i="5"/>
  <c r="BJ208" i="5"/>
  <c r="L208" i="5"/>
  <c r="O218" i="5"/>
  <c r="BF218" i="5" s="1"/>
  <c r="BJ218" i="5"/>
  <c r="L218" i="5"/>
  <c r="BH137" i="5"/>
  <c r="AD137" i="5" s="1"/>
  <c r="J137" i="5"/>
  <c r="BI143" i="5"/>
  <c r="AE143" i="5" s="1"/>
  <c r="K143" i="5"/>
  <c r="AX143" i="5"/>
  <c r="O143" i="5"/>
  <c r="BF143" i="5" s="1"/>
  <c r="BJ150" i="5"/>
  <c r="L150" i="5"/>
  <c r="BI150" i="5"/>
  <c r="AE150" i="5" s="1"/>
  <c r="AP156" i="5"/>
  <c r="BD163" i="5"/>
  <c r="AP163" i="5"/>
  <c r="AX163" i="5" s="1"/>
  <c r="AO165" i="5"/>
  <c r="J165" i="5" s="1"/>
  <c r="AO176" i="5"/>
  <c r="AW176" i="5" s="1"/>
  <c r="BD176" i="5"/>
  <c r="O177" i="5"/>
  <c r="BF177" i="5" s="1"/>
  <c r="BH177" i="5"/>
  <c r="AD177" i="5" s="1"/>
  <c r="J177" i="5"/>
  <c r="L188" i="5"/>
  <c r="BD198" i="5"/>
  <c r="AO198" i="5"/>
  <c r="AW198" i="5" s="1"/>
  <c r="BD210" i="5"/>
  <c r="AO214" i="5"/>
  <c r="AW214" i="5" s="1"/>
  <c r="BD214" i="5"/>
  <c r="K227" i="5"/>
  <c r="BI227" i="5"/>
  <c r="AE227" i="5" s="1"/>
  <c r="AK234" i="5"/>
  <c r="BI239" i="5"/>
  <c r="AE239" i="5" s="1"/>
  <c r="K239" i="5"/>
  <c r="AX239" i="5"/>
  <c r="BD257" i="5"/>
  <c r="AP257" i="5"/>
  <c r="AO257" i="5"/>
  <c r="L86" i="5"/>
  <c r="L90" i="5"/>
  <c r="L94" i="5"/>
  <c r="J97" i="5"/>
  <c r="L98" i="5"/>
  <c r="J101" i="5"/>
  <c r="K106" i="5"/>
  <c r="O123" i="5"/>
  <c r="BF123" i="5" s="1"/>
  <c r="L125" i="5"/>
  <c r="AX125" i="5"/>
  <c r="O129" i="5"/>
  <c r="BF129" i="5" s="1"/>
  <c r="O134" i="5"/>
  <c r="BF134" i="5" s="1"/>
  <c r="L135" i="5"/>
  <c r="BD135" i="5"/>
  <c r="BJ138" i="5"/>
  <c r="L138" i="5"/>
  <c r="BD141" i="5"/>
  <c r="AP144" i="5"/>
  <c r="L148" i="5"/>
  <c r="AW149" i="5"/>
  <c r="O153" i="5"/>
  <c r="BF153" i="5" s="1"/>
  <c r="O166" i="5"/>
  <c r="AO169" i="5"/>
  <c r="BD169" i="5"/>
  <c r="O171" i="5"/>
  <c r="BJ171" i="5"/>
  <c r="L171" i="5"/>
  <c r="BD177" i="5"/>
  <c r="AP177" i="5"/>
  <c r="BI177" i="5" s="1"/>
  <c r="AE177" i="5" s="1"/>
  <c r="AP188" i="5"/>
  <c r="AX188" i="5" s="1"/>
  <c r="AO188" i="5"/>
  <c r="J188" i="5" s="1"/>
  <c r="BD188" i="5"/>
  <c r="AP206" i="5"/>
  <c r="K206" i="5" s="1"/>
  <c r="BJ206" i="5"/>
  <c r="L206" i="5"/>
  <c r="BD206" i="5"/>
  <c r="AW224" i="5"/>
  <c r="J224" i="5"/>
  <c r="O244" i="5"/>
  <c r="BF244" i="5" s="1"/>
  <c r="BH244" i="5"/>
  <c r="AD244" i="5" s="1"/>
  <c r="J244" i="5"/>
  <c r="L244" i="5"/>
  <c r="AW244" i="5"/>
  <c r="BJ244" i="5"/>
  <c r="AP175" i="5"/>
  <c r="AX175" i="5" s="1"/>
  <c r="AO175" i="5"/>
  <c r="AW175" i="5" s="1"/>
  <c r="O179" i="5"/>
  <c r="BF179" i="5" s="1"/>
  <c r="BJ179" i="5"/>
  <c r="BD181" i="5"/>
  <c r="O185" i="5"/>
  <c r="BF185" i="5" s="1"/>
  <c r="O189" i="5"/>
  <c r="BF189" i="5" s="1"/>
  <c r="BD189" i="5"/>
  <c r="O200" i="5"/>
  <c r="BF200" i="5" s="1"/>
  <c r="BJ201" i="5"/>
  <c r="L201" i="5"/>
  <c r="BD218" i="5"/>
  <c r="O223" i="5"/>
  <c r="BF223" i="5" s="1"/>
  <c r="AW223" i="5"/>
  <c r="BJ223" i="5"/>
  <c r="L223" i="5"/>
  <c r="BH223" i="5"/>
  <c r="AD223" i="5" s="1"/>
  <c r="J223" i="5"/>
  <c r="O173" i="5"/>
  <c r="BF173" i="5" s="1"/>
  <c r="AO185" i="5"/>
  <c r="BJ185" i="5"/>
  <c r="BJ193" i="5"/>
  <c r="L193" i="5"/>
  <c r="AX198" i="5"/>
  <c r="O198" i="5"/>
  <c r="BF198" i="5" s="1"/>
  <c r="O206" i="5"/>
  <c r="BF206" i="5" s="1"/>
  <c r="AW206" i="5"/>
  <c r="AU213" i="5"/>
  <c r="BJ222" i="5"/>
  <c r="AO231" i="5"/>
  <c r="J231" i="5" s="1"/>
  <c r="BD231" i="5"/>
  <c r="AP231" i="5"/>
  <c r="BI231" i="5" s="1"/>
  <c r="AE231" i="5" s="1"/>
  <c r="BD243" i="5"/>
  <c r="AO243" i="5"/>
  <c r="O256" i="5"/>
  <c r="BF256" i="5" s="1"/>
  <c r="BJ256" i="5"/>
  <c r="L256" i="5"/>
  <c r="BH251" i="5"/>
  <c r="AD251" i="5" s="1"/>
  <c r="J251" i="5"/>
  <c r="AW251" i="5"/>
  <c r="O181" i="5"/>
  <c r="BF181" i="5" s="1"/>
  <c r="AO194" i="5"/>
  <c r="AW194" i="5" s="1"/>
  <c r="BJ217" i="5"/>
  <c r="BD227" i="5"/>
  <c r="AO227" i="5"/>
  <c r="J227" i="5" s="1"/>
  <c r="BD239" i="5"/>
  <c r="AO239" i="5"/>
  <c r="AO181" i="5"/>
  <c r="J181" i="5" s="1"/>
  <c r="BJ181" i="5"/>
  <c r="BJ189" i="5"/>
  <c r="L189" i="5"/>
  <c r="AP192" i="5"/>
  <c r="AX192" i="5" s="1"/>
  <c r="AO192" i="5"/>
  <c r="AW192" i="5" s="1"/>
  <c r="BJ197" i="5"/>
  <c r="L197" i="5"/>
  <c r="BI197" i="5"/>
  <c r="AE197" i="5" s="1"/>
  <c r="K197" i="5"/>
  <c r="O202" i="5"/>
  <c r="BF202" i="5" s="1"/>
  <c r="AP217" i="5"/>
  <c r="AX217" i="5" s="1"/>
  <c r="AO217" i="5"/>
  <c r="AW217" i="5" s="1"/>
  <c r="BD217" i="5"/>
  <c r="AO242" i="5"/>
  <c r="AW242" i="5" s="1"/>
  <c r="BJ242" i="5"/>
  <c r="BD242" i="5"/>
  <c r="AX243" i="5"/>
  <c r="K243" i="5"/>
  <c r="O252" i="5"/>
  <c r="BF252" i="5" s="1"/>
  <c r="BJ252" i="5"/>
  <c r="L252" i="5"/>
  <c r="L169" i="5"/>
  <c r="L174" i="5"/>
  <c r="BJ176" i="5"/>
  <c r="L176" i="5"/>
  <c r="AP179" i="5"/>
  <c r="BI179" i="5" s="1"/>
  <c r="AE179" i="5" s="1"/>
  <c r="AO179" i="5"/>
  <c r="AW179" i="5" s="1"/>
  <c r="O183" i="5"/>
  <c r="BF183" i="5" s="1"/>
  <c r="BJ183" i="5"/>
  <c r="O190" i="5"/>
  <c r="BF190" i="5" s="1"/>
  <c r="L192" i="5"/>
  <c r="BD192" i="5"/>
  <c r="O193" i="5"/>
  <c r="BF193" i="5" s="1"/>
  <c r="BD197" i="5"/>
  <c r="L198" i="5"/>
  <c r="O204" i="5"/>
  <c r="BF204" i="5" s="1"/>
  <c r="BJ205" i="5"/>
  <c r="L205" i="5"/>
  <c r="BI205" i="5"/>
  <c r="AE205" i="5" s="1"/>
  <c r="K205" i="5"/>
  <c r="AX214" i="5"/>
  <c r="O214" i="5"/>
  <c r="BJ214" i="5"/>
  <c r="L214" i="5"/>
  <c r="BI214" i="5"/>
  <c r="AE214" i="5" s="1"/>
  <c r="AP223" i="5"/>
  <c r="K223" i="5" s="1"/>
  <c r="AP226" i="5"/>
  <c r="AX226" i="5" s="1"/>
  <c r="AO226" i="5"/>
  <c r="BD226" i="5"/>
  <c r="AO238" i="5"/>
  <c r="AW238" i="5" s="1"/>
  <c r="AP238" i="5"/>
  <c r="BI238" i="5" s="1"/>
  <c r="AE238" i="5" s="1"/>
  <c r="AP242" i="5"/>
  <c r="K242" i="5" s="1"/>
  <c r="BI243" i="5"/>
  <c r="AE243" i="5" s="1"/>
  <c r="J255" i="5"/>
  <c r="L215" i="5"/>
  <c r="BJ215" i="5"/>
  <c r="L219" i="5"/>
  <c r="BJ219" i="5"/>
  <c r="Z219" i="5" s="1"/>
  <c r="O221" i="5"/>
  <c r="AX221" i="5"/>
  <c r="L224" i="5"/>
  <c r="BJ224" i="5"/>
  <c r="O225" i="5"/>
  <c r="BF225" i="5" s="1"/>
  <c r="L228" i="5"/>
  <c r="BJ228" i="5"/>
  <c r="O230" i="5"/>
  <c r="BF230" i="5" s="1"/>
  <c r="L236" i="5"/>
  <c r="BD236" i="5"/>
  <c r="AP241" i="5"/>
  <c r="O242" i="5"/>
  <c r="BF242" i="5" s="1"/>
  <c r="BJ243" i="5"/>
  <c r="AP244" i="5"/>
  <c r="K244" i="5" s="1"/>
  <c r="BH254" i="5"/>
  <c r="AD254" i="5" s="1"/>
  <c r="J254" i="5"/>
  <c r="O254" i="5"/>
  <c r="BF254" i="5" s="1"/>
  <c r="AW254" i="5"/>
  <c r="AP259" i="5"/>
  <c r="BD259" i="5"/>
  <c r="BJ268" i="5"/>
  <c r="BI269" i="5"/>
  <c r="AE269" i="5" s="1"/>
  <c r="AP300" i="5"/>
  <c r="K300" i="5" s="1"/>
  <c r="AO300" i="5"/>
  <c r="BD300" i="5"/>
  <c r="AP268" i="5"/>
  <c r="K268" i="5" s="1"/>
  <c r="AO268" i="5"/>
  <c r="AW268" i="5" s="1"/>
  <c r="BD268" i="5"/>
  <c r="L227" i="5"/>
  <c r="BJ227" i="5"/>
  <c r="AP245" i="5"/>
  <c r="BH246" i="5"/>
  <c r="AD246" i="5" s="1"/>
  <c r="J246" i="5"/>
  <c r="O246" i="5"/>
  <c r="BF246" i="5" s="1"/>
  <c r="BH258" i="5"/>
  <c r="AD258" i="5" s="1"/>
  <c r="J258" i="5"/>
  <c r="O258" i="5"/>
  <c r="BF258" i="5" s="1"/>
  <c r="AW258" i="5"/>
  <c r="AP263" i="5"/>
  <c r="K263" i="5" s="1"/>
  <c r="AO263" i="5"/>
  <c r="AW263" i="5" s="1"/>
  <c r="BD263" i="5"/>
  <c r="K264" i="5"/>
  <c r="AU267" i="5"/>
  <c r="AO196" i="5"/>
  <c r="AW196" i="5" s="1"/>
  <c r="AO200" i="5"/>
  <c r="AW200" i="5" s="1"/>
  <c r="AO204" i="5"/>
  <c r="AW204" i="5" s="1"/>
  <c r="AO208" i="5"/>
  <c r="BH208" i="5" s="1"/>
  <c r="AD208" i="5" s="1"/>
  <c r="BJ232" i="5"/>
  <c r="AO232" i="5"/>
  <c r="AP234" i="5"/>
  <c r="AX234" i="5" s="1"/>
  <c r="L242" i="5"/>
  <c r="AW246" i="5"/>
  <c r="AP247" i="5"/>
  <c r="O248" i="5"/>
  <c r="BF248" i="5" s="1"/>
  <c r="BH248" i="5"/>
  <c r="AD248" i="5" s="1"/>
  <c r="J248" i="5"/>
  <c r="BD249" i="5"/>
  <c r="AP249" i="5"/>
  <c r="BJ251" i="5"/>
  <c r="L254" i="5"/>
  <c r="BJ254" i="5"/>
  <c r="O260" i="5"/>
  <c r="BF260" i="5" s="1"/>
  <c r="BD270" i="5"/>
  <c r="L270" i="5"/>
  <c r="AP270" i="5"/>
  <c r="AX270" i="5" s="1"/>
  <c r="AO270" i="5"/>
  <c r="AW270" i="5" s="1"/>
  <c r="BD284" i="5"/>
  <c r="AP284" i="5"/>
  <c r="AX284" i="5" s="1"/>
  <c r="BH292" i="5"/>
  <c r="AD292" i="5" s="1"/>
  <c r="J292" i="5"/>
  <c r="BJ292" i="5"/>
  <c r="O292" i="5"/>
  <c r="BF292" i="5" s="1"/>
  <c r="L292" i="5"/>
  <c r="AW292" i="5"/>
  <c r="O315" i="5"/>
  <c r="BF315" i="5" s="1"/>
  <c r="BJ315" i="5"/>
  <c r="L315" i="5"/>
  <c r="BH344" i="5"/>
  <c r="AD344" i="5" s="1"/>
  <c r="J344" i="5"/>
  <c r="O344" i="5"/>
  <c r="BF344" i="5" s="1"/>
  <c r="AW344" i="5"/>
  <c r="BJ344" i="5"/>
  <c r="L344" i="5"/>
  <c r="L217" i="5"/>
  <c r="L222" i="5"/>
  <c r="L226" i="5"/>
  <c r="O227" i="5"/>
  <c r="BF227" i="5" s="1"/>
  <c r="J230" i="5"/>
  <c r="BH230" i="5"/>
  <c r="AD230" i="5" s="1"/>
  <c r="L231" i="5"/>
  <c r="AP232" i="5"/>
  <c r="O234" i="5"/>
  <c r="BF234" i="5" s="1"/>
  <c r="BJ235" i="5"/>
  <c r="AO235" i="5"/>
  <c r="AP236" i="5"/>
  <c r="AX236" i="5" s="1"/>
  <c r="AV236" i="5" s="1"/>
  <c r="BD244" i="5"/>
  <c r="AW248" i="5"/>
  <c r="J249" i="5"/>
  <c r="AP251" i="5"/>
  <c r="BD251" i="5"/>
  <c r="BJ253" i="5"/>
  <c r="BJ260" i="5"/>
  <c r="Z260" i="5" s="1"/>
  <c r="BD265" i="5"/>
  <c r="AP265" i="5"/>
  <c r="K265" i="5" s="1"/>
  <c r="AO265" i="5"/>
  <c r="AW265" i="5" s="1"/>
  <c r="BD276" i="5"/>
  <c r="BJ276" i="5"/>
  <c r="L276" i="5"/>
  <c r="AP276" i="5"/>
  <c r="AX276" i="5" s="1"/>
  <c r="AO276" i="5"/>
  <c r="AW276" i="5" s="1"/>
  <c r="BD301" i="5"/>
  <c r="BJ301" i="5"/>
  <c r="Z301" i="5" s="1"/>
  <c r="AO301" i="5"/>
  <c r="L301" i="5"/>
  <c r="AP235" i="5"/>
  <c r="O236" i="5"/>
  <c r="BF236" i="5" s="1"/>
  <c r="BH236" i="5"/>
  <c r="AD236" i="5" s="1"/>
  <c r="J236" i="5"/>
  <c r="BJ237" i="5"/>
  <c r="AO237" i="5"/>
  <c r="L246" i="5"/>
  <c r="BD253" i="5"/>
  <c r="AP253" i="5"/>
  <c r="BJ255" i="5"/>
  <c r="L258" i="5"/>
  <c r="BJ258" i="5"/>
  <c r="AO259" i="5"/>
  <c r="BI349" i="5"/>
  <c r="AE349" i="5" s="1"/>
  <c r="K349" i="5"/>
  <c r="AX349" i="5"/>
  <c r="AP237" i="5"/>
  <c r="O238" i="5"/>
  <c r="BF238" i="5" s="1"/>
  <c r="BJ239" i="5"/>
  <c r="O250" i="5"/>
  <c r="BF250" i="5" s="1"/>
  <c r="AP255" i="5"/>
  <c r="BD255" i="5"/>
  <c r="BJ257" i="5"/>
  <c r="AO284" i="5"/>
  <c r="AW284" i="5" s="1"/>
  <c r="AW312" i="5"/>
  <c r="BH312" i="5"/>
  <c r="AD312" i="5" s="1"/>
  <c r="O263" i="5"/>
  <c r="L266" i="5"/>
  <c r="BJ266" i="5"/>
  <c r="Z266" i="5" s="1"/>
  <c r="O268" i="5"/>
  <c r="BJ272" i="5"/>
  <c r="O273" i="5"/>
  <c r="BF273" i="5" s="1"/>
  <c r="AX273" i="5"/>
  <c r="BJ278" i="5"/>
  <c r="O280" i="5"/>
  <c r="BF280" i="5" s="1"/>
  <c r="AX280" i="5"/>
  <c r="O286" i="5"/>
  <c r="BF286" i="5" s="1"/>
  <c r="O289" i="5"/>
  <c r="BF289" i="5" s="1"/>
  <c r="L290" i="5"/>
  <c r="BD290" i="5"/>
  <c r="BJ293" i="5"/>
  <c r="L293" i="5"/>
  <c r="O298" i="5"/>
  <c r="AU308" i="5"/>
  <c r="AP313" i="5"/>
  <c r="AO313" i="5"/>
  <c r="AW313" i="5" s="1"/>
  <c r="BD313" i="5"/>
  <c r="AX333" i="5"/>
  <c r="O333" i="5"/>
  <c r="BF333" i="5" s="1"/>
  <c r="BJ333" i="5"/>
  <c r="L333" i="5"/>
  <c r="BI333" i="5"/>
  <c r="AE333" i="5" s="1"/>
  <c r="K333" i="5"/>
  <c r="L232" i="5"/>
  <c r="L237" i="5"/>
  <c r="L241" i="5"/>
  <c r="L245" i="5"/>
  <c r="L249" i="5"/>
  <c r="L253" i="5"/>
  <c r="L257" i="5"/>
  <c r="AP287" i="5"/>
  <c r="L291" i="5"/>
  <c r="AO297" i="5"/>
  <c r="BJ297" i="5"/>
  <c r="L300" i="5"/>
  <c r="AP304" i="5"/>
  <c r="K304" i="5" s="1"/>
  <c r="L313" i="5"/>
  <c r="O319" i="5"/>
  <c r="BF319" i="5" s="1"/>
  <c r="BJ319" i="5"/>
  <c r="L319" i="5"/>
  <c r="BH319" i="5"/>
  <c r="AD319" i="5" s="1"/>
  <c r="J319" i="5"/>
  <c r="AS330" i="5"/>
  <c r="AW341" i="5"/>
  <c r="BD347" i="5"/>
  <c r="AP347" i="5"/>
  <c r="AX347" i="5" s="1"/>
  <c r="AO347" i="5"/>
  <c r="J347" i="5" s="1"/>
  <c r="AP411" i="5"/>
  <c r="AX411" i="5" s="1"/>
  <c r="AO411" i="5"/>
  <c r="AW411" i="5" s="1"/>
  <c r="BJ411" i="5"/>
  <c r="BD411" i="5"/>
  <c r="L265" i="5"/>
  <c r="BJ265" i="5"/>
  <c r="BJ270" i="5"/>
  <c r="BD273" i="5"/>
  <c r="BD280" i="5"/>
  <c r="BH288" i="5"/>
  <c r="AD288" i="5" s="1"/>
  <c r="J288" i="5"/>
  <c r="AP288" i="5"/>
  <c r="K288" i="5" s="1"/>
  <c r="BI295" i="5"/>
  <c r="K295" i="5"/>
  <c r="AX295" i="5"/>
  <c r="O295" i="5"/>
  <c r="BF295" i="5" s="1"/>
  <c r="AO295" i="5"/>
  <c r="BH295" i="5" s="1"/>
  <c r="AP297" i="5"/>
  <c r="BH304" i="5"/>
  <c r="AD304" i="5" s="1"/>
  <c r="J304" i="5"/>
  <c r="AW304" i="5"/>
  <c r="BJ305" i="5"/>
  <c r="L305" i="5"/>
  <c r="BI305" i="5"/>
  <c r="AE305" i="5" s="1"/>
  <c r="AP317" i="5"/>
  <c r="AX317" i="5" s="1"/>
  <c r="AO317" i="5"/>
  <c r="BH317" i="5" s="1"/>
  <c r="AD317" i="5" s="1"/>
  <c r="BD317" i="5"/>
  <c r="AP335" i="5"/>
  <c r="AX335" i="5" s="1"/>
  <c r="AO335" i="5"/>
  <c r="BH335" i="5" s="1"/>
  <c r="BD335" i="5"/>
  <c r="O339" i="5"/>
  <c r="BF339" i="5" s="1"/>
  <c r="BJ339" i="5"/>
  <c r="L339" i="5"/>
  <c r="BD343" i="5"/>
  <c r="AP343" i="5"/>
  <c r="AX343" i="5" s="1"/>
  <c r="AO343" i="5"/>
  <c r="AW343" i="5" s="1"/>
  <c r="AO358" i="5"/>
  <c r="AW358" i="5" s="1"/>
  <c r="AP358" i="5"/>
  <c r="AX358" i="5" s="1"/>
  <c r="BD358" i="5"/>
  <c r="BJ289" i="5"/>
  <c r="L289" i="5"/>
  <c r="BI289" i="5"/>
  <c r="AE289" i="5" s="1"/>
  <c r="BH298" i="5"/>
  <c r="AD298" i="5" s="1"/>
  <c r="J298" i="5"/>
  <c r="AO305" i="5"/>
  <c r="BH305" i="5" s="1"/>
  <c r="AD305" i="5" s="1"/>
  <c r="O323" i="5"/>
  <c r="BF323" i="5" s="1"/>
  <c r="BJ323" i="5"/>
  <c r="L323" i="5"/>
  <c r="AP331" i="5"/>
  <c r="AX331" i="5" s="1"/>
  <c r="AO331" i="5"/>
  <c r="BH331" i="5" s="1"/>
  <c r="AD331" i="5" s="1"/>
  <c r="BD331" i="5"/>
  <c r="BI363" i="5"/>
  <c r="K363" i="5"/>
  <c r="L264" i="5"/>
  <c r="BJ264" i="5"/>
  <c r="O265" i="5"/>
  <c r="BF265" i="5" s="1"/>
  <c r="L269" i="5"/>
  <c r="BJ269" i="5"/>
  <c r="O270" i="5"/>
  <c r="BF270" i="5" s="1"/>
  <c r="AO273" i="5"/>
  <c r="AW273" i="5" s="1"/>
  <c r="L274" i="5"/>
  <c r="BJ274" i="5"/>
  <c r="O276" i="5"/>
  <c r="BF276" i="5" s="1"/>
  <c r="AO280" i="5"/>
  <c r="AW280" i="5" s="1"/>
  <c r="L282" i="5"/>
  <c r="BJ282" i="5"/>
  <c r="M286" i="5"/>
  <c r="AW288" i="5"/>
  <c r="AO290" i="5"/>
  <c r="BJ299" i="5"/>
  <c r="L299" i="5"/>
  <c r="O306" i="5"/>
  <c r="O309" i="5"/>
  <c r="O311" i="5"/>
  <c r="BF311" i="5" s="1"/>
  <c r="BJ311" i="5"/>
  <c r="L311" i="5"/>
  <c r="BJ313" i="5"/>
  <c r="AP321" i="5"/>
  <c r="AX321" i="5" s="1"/>
  <c r="AO321" i="5"/>
  <c r="BH321" i="5" s="1"/>
  <c r="AD321" i="5" s="1"/>
  <c r="BD321" i="5"/>
  <c r="L331" i="5"/>
  <c r="AO357" i="5"/>
  <c r="AW357" i="5" s="1"/>
  <c r="BD357" i="5"/>
  <c r="AP357" i="5"/>
  <c r="BJ357" i="5"/>
  <c r="L357" i="5"/>
  <c r="L235" i="5"/>
  <c r="L239" i="5"/>
  <c r="L243" i="5"/>
  <c r="L247" i="5"/>
  <c r="L251" i="5"/>
  <c r="L255" i="5"/>
  <c r="L259" i="5"/>
  <c r="K273" i="5"/>
  <c r="BI273" i="5"/>
  <c r="AE273" i="5" s="1"/>
  <c r="K280" i="5"/>
  <c r="BI280" i="5"/>
  <c r="AE280" i="5" s="1"/>
  <c r="L288" i="5"/>
  <c r="BI290" i="5"/>
  <c r="AE290" i="5" s="1"/>
  <c r="K290" i="5"/>
  <c r="AX290" i="5"/>
  <c r="O290" i="5"/>
  <c r="BF290" i="5" s="1"/>
  <c r="AO291" i="5"/>
  <c r="AW291" i="5" s="1"/>
  <c r="BJ291" i="5"/>
  <c r="O293" i="5"/>
  <c r="BF293" i="5" s="1"/>
  <c r="L295" i="5"/>
  <c r="L297" i="5"/>
  <c r="AW298" i="5"/>
  <c r="L304" i="5"/>
  <c r="BD304" i="5"/>
  <c r="K305" i="5"/>
  <c r="BD307" i="5"/>
  <c r="L307" i="5"/>
  <c r="AP307" i="5"/>
  <c r="AO309" i="5"/>
  <c r="J309" i="5" s="1"/>
  <c r="BD309" i="5"/>
  <c r="BJ309" i="5"/>
  <c r="BJ312" i="5"/>
  <c r="L321" i="5"/>
  <c r="O327" i="5"/>
  <c r="BF327" i="5" s="1"/>
  <c r="BJ327" i="5"/>
  <c r="L327" i="5"/>
  <c r="BD338" i="5"/>
  <c r="AP338" i="5"/>
  <c r="AX338" i="5" s="1"/>
  <c r="AO338" i="5"/>
  <c r="AW338" i="5" s="1"/>
  <c r="BF343" i="5"/>
  <c r="AW346" i="5"/>
  <c r="BD351" i="5"/>
  <c r="AP351" i="5"/>
  <c r="AX351" i="5" s="1"/>
  <c r="AO351" i="5"/>
  <c r="J351" i="5" s="1"/>
  <c r="BI359" i="5"/>
  <c r="AE359" i="5" s="1"/>
  <c r="L263" i="5"/>
  <c r="L268" i="5"/>
  <c r="L273" i="5"/>
  <c r="L280" i="5"/>
  <c r="BJ284" i="5"/>
  <c r="L284" i="5"/>
  <c r="BD288" i="5"/>
  <c r="K289" i="5"/>
  <c r="AP291" i="5"/>
  <c r="BD295" i="5"/>
  <c r="L298" i="5"/>
  <c r="O300" i="5"/>
  <c r="BF300" i="5" s="1"/>
  <c r="BD312" i="5"/>
  <c r="AP312" i="5"/>
  <c r="AP325" i="5"/>
  <c r="AX325" i="5" s="1"/>
  <c r="AO325" i="5"/>
  <c r="AW325" i="5" s="1"/>
  <c r="BD325" i="5"/>
  <c r="BI355" i="5"/>
  <c r="AE355" i="5" s="1"/>
  <c r="O403" i="5"/>
  <c r="BF403" i="5" s="1"/>
  <c r="BJ403" i="5"/>
  <c r="L403" i="5"/>
  <c r="AP316" i="5"/>
  <c r="AP320" i="5"/>
  <c r="AP324" i="5"/>
  <c r="AP329" i="5"/>
  <c r="AP334" i="5"/>
  <c r="L348" i="5"/>
  <c r="BJ348" i="5"/>
  <c r="L352" i="5"/>
  <c r="BJ352" i="5"/>
  <c r="BJ354" i="5"/>
  <c r="BH354" i="5"/>
  <c r="AD354" i="5" s="1"/>
  <c r="BD359" i="5"/>
  <c r="O373" i="5"/>
  <c r="BF373" i="5" s="1"/>
  <c r="L373" i="5"/>
  <c r="AX386" i="5"/>
  <c r="K386" i="5"/>
  <c r="BD390" i="5"/>
  <c r="AO390" i="5"/>
  <c r="AW390" i="5" s="1"/>
  <c r="AP390" i="5"/>
  <c r="BJ390" i="5"/>
  <c r="L390" i="5"/>
  <c r="BD394" i="5"/>
  <c r="AO394" i="5"/>
  <c r="AW394" i="5" s="1"/>
  <c r="BJ394" i="5"/>
  <c r="L394" i="5"/>
  <c r="AP415" i="5"/>
  <c r="AX415" i="5" s="1"/>
  <c r="AO415" i="5"/>
  <c r="BH415" i="5" s="1"/>
  <c r="AD415" i="5" s="1"/>
  <c r="L312" i="5"/>
  <c r="O313" i="5"/>
  <c r="BF313" i="5" s="1"/>
  <c r="BD314" i="5"/>
  <c r="L316" i="5"/>
  <c r="O317" i="5"/>
  <c r="BF317" i="5" s="1"/>
  <c r="BD318" i="5"/>
  <c r="L320" i="5"/>
  <c r="O321" i="5"/>
  <c r="BF321" i="5" s="1"/>
  <c r="BD322" i="5"/>
  <c r="L324" i="5"/>
  <c r="O325" i="5"/>
  <c r="BF325" i="5" s="1"/>
  <c r="BD326" i="5"/>
  <c r="L329" i="5"/>
  <c r="BJ329" i="5"/>
  <c r="Z329" i="5" s="1"/>
  <c r="O331" i="5"/>
  <c r="AO333" i="5"/>
  <c r="J333" i="5" s="1"/>
  <c r="L334" i="5"/>
  <c r="BJ334" i="5"/>
  <c r="O335" i="5"/>
  <c r="BF335" i="5" s="1"/>
  <c r="AW352" i="5"/>
  <c r="BJ363" i="5"/>
  <c r="Z363" i="5" s="1"/>
  <c r="L363" i="5"/>
  <c r="O363" i="5"/>
  <c r="BF363" i="5" s="1"/>
  <c r="AX363" i="5"/>
  <c r="O365" i="5"/>
  <c r="BJ365" i="5"/>
  <c r="L365" i="5"/>
  <c r="BH365" i="5"/>
  <c r="AD365" i="5" s="1"/>
  <c r="K366" i="5"/>
  <c r="O369" i="5"/>
  <c r="BF369" i="5" s="1"/>
  <c r="BJ369" i="5"/>
  <c r="Z369" i="5" s="1"/>
  <c r="L369" i="5"/>
  <c r="AP373" i="5"/>
  <c r="AX373" i="5" s="1"/>
  <c r="AO373" i="5"/>
  <c r="BH373" i="5" s="1"/>
  <c r="AD373" i="5" s="1"/>
  <c r="AS371" i="5"/>
  <c r="BJ376" i="5"/>
  <c r="L376" i="5"/>
  <c r="AP393" i="5"/>
  <c r="AX393" i="5" s="1"/>
  <c r="BD393" i="5"/>
  <c r="L393" i="5"/>
  <c r="BJ402" i="5"/>
  <c r="L402" i="5"/>
  <c r="O402" i="5"/>
  <c r="BF402" i="5" s="1"/>
  <c r="L415" i="5"/>
  <c r="L338" i="5"/>
  <c r="BJ338" i="5"/>
  <c r="BD340" i="5"/>
  <c r="J341" i="5"/>
  <c r="BH341" i="5"/>
  <c r="L343" i="5"/>
  <c r="BJ343" i="5"/>
  <c r="BD345" i="5"/>
  <c r="J346" i="5"/>
  <c r="BH346" i="5"/>
  <c r="AD346" i="5" s="1"/>
  <c r="L347" i="5"/>
  <c r="BJ347" i="5"/>
  <c r="O348" i="5"/>
  <c r="BF348" i="5" s="1"/>
  <c r="BD349" i="5"/>
  <c r="L351" i="5"/>
  <c r="BJ351" i="5"/>
  <c r="O352" i="5"/>
  <c r="BF352" i="5" s="1"/>
  <c r="BD353" i="5"/>
  <c r="J354" i="5"/>
  <c r="O358" i="5"/>
  <c r="BF358" i="5" s="1"/>
  <c r="AO363" i="5"/>
  <c r="AW363" i="5" s="1"/>
  <c r="BD363" i="5"/>
  <c r="BH381" i="5"/>
  <c r="AD381" i="5" s="1"/>
  <c r="BI386" i="5"/>
  <c r="AE386" i="5" s="1"/>
  <c r="AP389" i="5"/>
  <c r="K389" i="5" s="1"/>
  <c r="BD389" i="5"/>
  <c r="L389" i="5"/>
  <c r="BJ389" i="5"/>
  <c r="AP394" i="5"/>
  <c r="BD408" i="5"/>
  <c r="AP408" i="5"/>
  <c r="K408" i="5" s="1"/>
  <c r="AO408" i="5"/>
  <c r="BH408" i="5" s="1"/>
  <c r="AD408" i="5" s="1"/>
  <c r="BD415" i="5"/>
  <c r="AP423" i="5"/>
  <c r="BI423" i="5" s="1"/>
  <c r="AE423" i="5" s="1"/>
  <c r="AO423" i="5"/>
  <c r="J423" i="5" s="1"/>
  <c r="L423" i="5"/>
  <c r="BD423" i="5"/>
  <c r="BD457" i="5"/>
  <c r="AP457" i="5"/>
  <c r="K457" i="5" s="1"/>
  <c r="AO457" i="5"/>
  <c r="AO314" i="5"/>
  <c r="AO318" i="5"/>
  <c r="AO322" i="5"/>
  <c r="AO326" i="5"/>
  <c r="AX355" i="5"/>
  <c r="O355" i="5"/>
  <c r="BF355" i="5" s="1"/>
  <c r="BJ355" i="5"/>
  <c r="L355" i="5"/>
  <c r="AO355" i="5"/>
  <c r="BH355" i="5" s="1"/>
  <c r="AD355" i="5" s="1"/>
  <c r="L407" i="5"/>
  <c r="BJ407" i="5"/>
  <c r="O412" i="5"/>
  <c r="BF412" i="5" s="1"/>
  <c r="L412" i="5"/>
  <c r="BJ412" i="5"/>
  <c r="AX412" i="5"/>
  <c r="O440" i="5"/>
  <c r="BF440" i="5" s="1"/>
  <c r="BJ440" i="5"/>
  <c r="L440" i="5"/>
  <c r="L310" i="5"/>
  <c r="L322" i="5"/>
  <c r="L326" i="5"/>
  <c r="AP356" i="5"/>
  <c r="AX356" i="5" s="1"/>
  <c r="AX359" i="5"/>
  <c r="O359" i="5"/>
  <c r="BF359" i="5" s="1"/>
  <c r="BJ359" i="5"/>
  <c r="L359" i="5"/>
  <c r="AO361" i="5"/>
  <c r="BD361" i="5"/>
  <c r="L361" i="5"/>
  <c r="AP367" i="5"/>
  <c r="AO367" i="5"/>
  <c r="BD367" i="5"/>
  <c r="BJ367" i="5"/>
  <c r="BD373" i="5"/>
  <c r="AP377" i="5"/>
  <c r="K377" i="5" s="1"/>
  <c r="AO377" i="5"/>
  <c r="AW377" i="5" s="1"/>
  <c r="BJ377" i="5"/>
  <c r="BD386" i="5"/>
  <c r="L386" i="5"/>
  <c r="AO386" i="5"/>
  <c r="L387" i="5"/>
  <c r="K387" i="5"/>
  <c r="BJ387" i="5"/>
  <c r="BH389" i="5"/>
  <c r="AD389" i="5" s="1"/>
  <c r="BJ393" i="5"/>
  <c r="BJ395" i="5"/>
  <c r="L395" i="5"/>
  <c r="AX395" i="5"/>
  <c r="K395" i="5"/>
  <c r="BI395" i="5"/>
  <c r="AE395" i="5" s="1"/>
  <c r="BJ406" i="5"/>
  <c r="L406" i="5"/>
  <c r="O406" i="5"/>
  <c r="BF406" i="5" s="1"/>
  <c r="O407" i="5"/>
  <c r="BF407" i="5" s="1"/>
  <c r="K417" i="5"/>
  <c r="O432" i="5"/>
  <c r="BF432" i="5" s="1"/>
  <c r="BJ432" i="5"/>
  <c r="L432" i="5"/>
  <c r="J352" i="5"/>
  <c r="BJ358" i="5"/>
  <c r="L358" i="5"/>
  <c r="BJ372" i="5"/>
  <c r="L372" i="5"/>
  <c r="BH372" i="5"/>
  <c r="AD372" i="5" s="1"/>
  <c r="O372" i="5"/>
  <c r="J372" i="5"/>
  <c r="BJ391" i="5"/>
  <c r="L391" i="5"/>
  <c r="AO406" i="5"/>
  <c r="BH406" i="5" s="1"/>
  <c r="AD406" i="5" s="1"/>
  <c r="AP406" i="5"/>
  <c r="AX406" i="5" s="1"/>
  <c r="BJ409" i="5"/>
  <c r="L409" i="5"/>
  <c r="O409" i="5"/>
  <c r="BF409" i="5" s="1"/>
  <c r="AW427" i="5"/>
  <c r="BJ427" i="5"/>
  <c r="L427" i="5"/>
  <c r="BH427" i="5"/>
  <c r="AD427" i="5" s="1"/>
  <c r="J427" i="5"/>
  <c r="O427" i="5"/>
  <c r="AP432" i="5"/>
  <c r="K432" i="5" s="1"/>
  <c r="AO432" i="5"/>
  <c r="AW432" i="5" s="1"/>
  <c r="BJ392" i="5"/>
  <c r="L392" i="5"/>
  <c r="O392" i="5"/>
  <c r="BF392" i="5" s="1"/>
  <c r="AW392" i="5"/>
  <c r="AS426" i="5"/>
  <c r="AP438" i="5"/>
  <c r="AX438" i="5" s="1"/>
  <c r="AO438" i="5"/>
  <c r="AW438" i="5" s="1"/>
  <c r="BD438" i="5"/>
  <c r="AP440" i="5"/>
  <c r="BI440" i="5" s="1"/>
  <c r="AE440" i="5" s="1"/>
  <c r="AO440" i="5"/>
  <c r="J440" i="5" s="1"/>
  <c r="BD440" i="5"/>
  <c r="BD486" i="5"/>
  <c r="AP486" i="5"/>
  <c r="AO486" i="5"/>
  <c r="BJ506" i="5"/>
  <c r="L506" i="5"/>
  <c r="BI506" i="5"/>
  <c r="AC506" i="5" s="1"/>
  <c r="K506" i="5"/>
  <c r="BH506" i="5"/>
  <c r="AB506" i="5" s="1"/>
  <c r="J506" i="5"/>
  <c r="O506" i="5"/>
  <c r="BF506" i="5" s="1"/>
  <c r="AX506" i="5"/>
  <c r="AP401" i="5"/>
  <c r="AO401" i="5"/>
  <c r="BD401" i="5"/>
  <c r="O411" i="5"/>
  <c r="BF411" i="5" s="1"/>
  <c r="BJ435" i="5"/>
  <c r="L435" i="5"/>
  <c r="L438" i="5"/>
  <c r="AX514" i="5"/>
  <c r="O514" i="5"/>
  <c r="BJ514" i="5"/>
  <c r="L514" i="5"/>
  <c r="BI514" i="5"/>
  <c r="AE514" i="5" s="1"/>
  <c r="K514" i="5"/>
  <c r="AP444" i="5"/>
  <c r="BI444" i="5" s="1"/>
  <c r="AE444" i="5" s="1"/>
  <c r="AO444" i="5"/>
  <c r="AW444" i="5" s="1"/>
  <c r="BD444" i="5"/>
  <c r="BJ368" i="5"/>
  <c r="L368" i="5"/>
  <c r="BJ374" i="5"/>
  <c r="AO378" i="5"/>
  <c r="AP382" i="5"/>
  <c r="O385" i="5"/>
  <c r="BF385" i="5" s="1"/>
  <c r="AW385" i="5"/>
  <c r="BJ388" i="5"/>
  <c r="L388" i="5"/>
  <c r="BH392" i="5"/>
  <c r="AD392" i="5" s="1"/>
  <c r="L411" i="5"/>
  <c r="L413" i="5"/>
  <c r="BJ413" i="5"/>
  <c r="AP436" i="5"/>
  <c r="K436" i="5" s="1"/>
  <c r="AO436" i="5"/>
  <c r="J437" i="5"/>
  <c r="BH437" i="5"/>
  <c r="AD437" i="5" s="1"/>
  <c r="O552" i="5"/>
  <c r="BJ552" i="5"/>
  <c r="L552" i="5"/>
  <c r="BD368" i="5"/>
  <c r="AO374" i="5"/>
  <c r="AW374" i="5" s="1"/>
  <c r="AP378" i="5"/>
  <c r="O381" i="5"/>
  <c r="BF381" i="5" s="1"/>
  <c r="AW381" i="5"/>
  <c r="BJ384" i="5"/>
  <c r="L384" i="5"/>
  <c r="BD385" i="5"/>
  <c r="BJ397" i="5"/>
  <c r="Z397" i="5" s="1"/>
  <c r="L397" i="5"/>
  <c r="O397" i="5"/>
  <c r="BF397" i="5" s="1"/>
  <c r="BJ418" i="5"/>
  <c r="L418" i="5"/>
  <c r="O418" i="5"/>
  <c r="BF418" i="5" s="1"/>
  <c r="BH429" i="5"/>
  <c r="AD429" i="5" s="1"/>
  <c r="J429" i="5"/>
  <c r="O435" i="5"/>
  <c r="BF435" i="5" s="1"/>
  <c r="BD436" i="5"/>
  <c r="AP374" i="5"/>
  <c r="O377" i="5"/>
  <c r="BF377" i="5" s="1"/>
  <c r="BJ380" i="5"/>
  <c r="L380" i="5"/>
  <c r="BD381" i="5"/>
  <c r="AP405" i="5"/>
  <c r="AO405" i="5"/>
  <c r="BD405" i="5"/>
  <c r="O408" i="5"/>
  <c r="BF408" i="5" s="1"/>
  <c r="L408" i="5"/>
  <c r="BJ408" i="5"/>
  <c r="O415" i="5"/>
  <c r="BF415" i="5" s="1"/>
  <c r="BJ415" i="5"/>
  <c r="AX419" i="5"/>
  <c r="O419" i="5"/>
  <c r="BF419" i="5" s="1"/>
  <c r="BI419" i="5"/>
  <c r="AE419" i="5" s="1"/>
  <c r="K419" i="5"/>
  <c r="BJ419" i="5"/>
  <c r="BJ422" i="5"/>
  <c r="L422" i="5"/>
  <c r="O422" i="5"/>
  <c r="BF422" i="5" s="1"/>
  <c r="AP416" i="5"/>
  <c r="BD419" i="5"/>
  <c r="AP450" i="5"/>
  <c r="AO450" i="5"/>
  <c r="BD450" i="5"/>
  <c r="BD494" i="5"/>
  <c r="AO494" i="5"/>
  <c r="AW494" i="5" s="1"/>
  <c r="AP494" i="5"/>
  <c r="AW501" i="5"/>
  <c r="BJ501" i="5"/>
  <c r="L501" i="5"/>
  <c r="BH501" i="5"/>
  <c r="AB501" i="5" s="1"/>
  <c r="J501" i="5"/>
  <c r="O501" i="5"/>
  <c r="AO525" i="5"/>
  <c r="AW525" i="5" s="1"/>
  <c r="BD525" i="5"/>
  <c r="AP525" i="5"/>
  <c r="K525" i="5" s="1"/>
  <c r="O356" i="5"/>
  <c r="BF356" i="5" s="1"/>
  <c r="O360" i="5"/>
  <c r="BF360" i="5" s="1"/>
  <c r="O366" i="5"/>
  <c r="BF366" i="5" s="1"/>
  <c r="O400" i="5"/>
  <c r="O404" i="5"/>
  <c r="BF404" i="5" s="1"/>
  <c r="L410" i="5"/>
  <c r="BJ414" i="5"/>
  <c r="L414" i="5"/>
  <c r="L416" i="5"/>
  <c r="L417" i="5"/>
  <c r="O421" i="5"/>
  <c r="BF421" i="5" s="1"/>
  <c r="O423" i="5"/>
  <c r="BF423" i="5" s="1"/>
  <c r="BJ423" i="5"/>
  <c r="AO424" i="5"/>
  <c r="AO428" i="5"/>
  <c r="AP430" i="5"/>
  <c r="AO430" i="5"/>
  <c r="AW430" i="5" s="1"/>
  <c r="BD430" i="5"/>
  <c r="BJ430" i="5"/>
  <c r="O436" i="5"/>
  <c r="BF436" i="5" s="1"/>
  <c r="BJ436" i="5"/>
  <c r="L436" i="5"/>
  <c r="AP446" i="5"/>
  <c r="AX446" i="5" s="1"/>
  <c r="AO446" i="5"/>
  <c r="BD446" i="5"/>
  <c r="O448" i="5"/>
  <c r="BF448" i="5" s="1"/>
  <c r="BJ448" i="5"/>
  <c r="L448" i="5"/>
  <c r="O454" i="5"/>
  <c r="AP458" i="5"/>
  <c r="K458" i="5" s="1"/>
  <c r="BD458" i="5"/>
  <c r="L458" i="5"/>
  <c r="AO458" i="5"/>
  <c r="BJ459" i="5"/>
  <c r="BH460" i="5"/>
  <c r="AD460" i="5" s="1"/>
  <c r="AW463" i="5"/>
  <c r="BH463" i="5"/>
  <c r="AD463" i="5" s="1"/>
  <c r="J463" i="5"/>
  <c r="BJ463" i="5"/>
  <c r="L463" i="5"/>
  <c r="BJ476" i="5"/>
  <c r="L476" i="5"/>
  <c r="O476" i="5"/>
  <c r="BF476" i="5" s="1"/>
  <c r="AP500" i="5"/>
  <c r="AX500" i="5" s="1"/>
  <c r="AO500" i="5"/>
  <c r="AW500" i="5" s="1"/>
  <c r="BD500" i="5"/>
  <c r="BJ500" i="5"/>
  <c r="AP448" i="5"/>
  <c r="K448" i="5" s="1"/>
  <c r="AO448" i="5"/>
  <c r="AW448" i="5" s="1"/>
  <c r="AU453" i="5"/>
  <c r="AO459" i="5"/>
  <c r="AW459" i="5" s="1"/>
  <c r="BD459" i="5"/>
  <c r="L459" i="5"/>
  <c r="AP459" i="5"/>
  <c r="BJ464" i="5"/>
  <c r="L464" i="5"/>
  <c r="O464" i="5"/>
  <c r="BF464" i="5" s="1"/>
  <c r="AW464" i="5"/>
  <c r="J464" i="5"/>
  <c r="BJ475" i="5"/>
  <c r="BI475" i="5"/>
  <c r="AE475" i="5" s="1"/>
  <c r="AX475" i="5"/>
  <c r="L475" i="5"/>
  <c r="K475" i="5"/>
  <c r="O491" i="5"/>
  <c r="BF491" i="5" s="1"/>
  <c r="BJ491" i="5"/>
  <c r="L491" i="5"/>
  <c r="AP493" i="5"/>
  <c r="K493" i="5" s="1"/>
  <c r="AO493" i="5"/>
  <c r="AW493" i="5" s="1"/>
  <c r="BD493" i="5"/>
  <c r="BJ493" i="5"/>
  <c r="AK522" i="5"/>
  <c r="BJ523" i="5"/>
  <c r="L523" i="5"/>
  <c r="BI523" i="5"/>
  <c r="AE523" i="5" s="1"/>
  <c r="K523" i="5"/>
  <c r="O523" i="5"/>
  <c r="BF523" i="5" s="1"/>
  <c r="AX523" i="5"/>
  <c r="AW389" i="5"/>
  <c r="AW393" i="5"/>
  <c r="O410" i="5"/>
  <c r="BF410" i="5" s="1"/>
  <c r="O417" i="5"/>
  <c r="BF417" i="5" s="1"/>
  <c r="AO419" i="5"/>
  <c r="J419" i="5" s="1"/>
  <c r="AO420" i="5"/>
  <c r="AX428" i="5"/>
  <c r="O428" i="5"/>
  <c r="BF428" i="5" s="1"/>
  <c r="BJ428" i="5"/>
  <c r="L428" i="5"/>
  <c r="BI428" i="5"/>
  <c r="AE428" i="5" s="1"/>
  <c r="K428" i="5"/>
  <c r="BD428" i="5"/>
  <c r="BJ431" i="5"/>
  <c r="L431" i="5"/>
  <c r="AP434" i="5"/>
  <c r="AO434" i="5"/>
  <c r="AW434" i="5" s="1"/>
  <c r="BD434" i="5"/>
  <c r="BJ434" i="5"/>
  <c r="O456" i="5"/>
  <c r="BF456" i="5" s="1"/>
  <c r="AO475" i="5"/>
  <c r="AW475" i="5" s="1"/>
  <c r="BD475" i="5"/>
  <c r="L493" i="5"/>
  <c r="O495" i="5"/>
  <c r="BF495" i="5" s="1"/>
  <c r="BJ495" i="5"/>
  <c r="L495" i="5"/>
  <c r="O559" i="5"/>
  <c r="BF559" i="5" s="1"/>
  <c r="BJ559" i="5"/>
  <c r="L559" i="5"/>
  <c r="O389" i="5"/>
  <c r="BF389" i="5" s="1"/>
  <c r="O393" i="5"/>
  <c r="BF393" i="5" s="1"/>
  <c r="BH410" i="5"/>
  <c r="AD410" i="5" s="1"/>
  <c r="BJ416" i="5"/>
  <c r="BI417" i="5"/>
  <c r="AE417" i="5" s="1"/>
  <c r="AP420" i="5"/>
  <c r="AP442" i="5"/>
  <c r="AX442" i="5" s="1"/>
  <c r="AO442" i="5"/>
  <c r="AW442" i="5" s="1"/>
  <c r="BD442" i="5"/>
  <c r="O444" i="5"/>
  <c r="BF444" i="5" s="1"/>
  <c r="BJ444" i="5"/>
  <c r="L444" i="5"/>
  <c r="BJ450" i="5"/>
  <c r="AS453" i="5"/>
  <c r="BH462" i="5"/>
  <c r="AD462" i="5" s="1"/>
  <c r="J462" i="5"/>
  <c r="AW462" i="5"/>
  <c r="O475" i="5"/>
  <c r="BF475" i="5" s="1"/>
  <c r="AU484" i="5"/>
  <c r="AP497" i="5"/>
  <c r="K497" i="5" s="1"/>
  <c r="AO497" i="5"/>
  <c r="J497" i="5" s="1"/>
  <c r="BD497" i="5"/>
  <c r="L497" i="5"/>
  <c r="AW527" i="5"/>
  <c r="J527" i="5"/>
  <c r="BH527" i="5"/>
  <c r="AD527" i="5" s="1"/>
  <c r="L437" i="5"/>
  <c r="BJ437" i="5"/>
  <c r="O438" i="5"/>
  <c r="BF438" i="5" s="1"/>
  <c r="L441" i="5"/>
  <c r="BJ441" i="5"/>
  <c r="O442" i="5"/>
  <c r="BF442" i="5" s="1"/>
  <c r="L445" i="5"/>
  <c r="BJ445" i="5"/>
  <c r="O446" i="5"/>
  <c r="BF446" i="5" s="1"/>
  <c r="L449" i="5"/>
  <c r="BJ449" i="5"/>
  <c r="O450" i="5"/>
  <c r="BF450" i="5" s="1"/>
  <c r="BD451" i="5"/>
  <c r="BJ457" i="5"/>
  <c r="L461" i="5"/>
  <c r="AP462" i="5"/>
  <c r="AX462" i="5" s="1"/>
  <c r="BD462" i="5"/>
  <c r="AP470" i="5"/>
  <c r="L474" i="5"/>
  <c r="AO477" i="5"/>
  <c r="AW477" i="5" s="1"/>
  <c r="AW518" i="5"/>
  <c r="BJ518" i="5"/>
  <c r="L518" i="5"/>
  <c r="BH518" i="5"/>
  <c r="AD518" i="5" s="1"/>
  <c r="J518" i="5"/>
  <c r="J517" i="5" s="1"/>
  <c r="BD422" i="5"/>
  <c r="L424" i="5"/>
  <c r="BJ424" i="5"/>
  <c r="Z424" i="5" s="1"/>
  <c r="AW429" i="5"/>
  <c r="AW437" i="5"/>
  <c r="BD455" i="5"/>
  <c r="L457" i="5"/>
  <c r="O465" i="5"/>
  <c r="BF465" i="5" s="1"/>
  <c r="AX477" i="5"/>
  <c r="O477" i="5"/>
  <c r="BF477" i="5" s="1"/>
  <c r="BI477" i="5"/>
  <c r="AE477" i="5" s="1"/>
  <c r="K477" i="5"/>
  <c r="AX481" i="5"/>
  <c r="O481" i="5"/>
  <c r="BF481" i="5" s="1"/>
  <c r="BJ481" i="5"/>
  <c r="L481" i="5"/>
  <c r="BI481" i="5"/>
  <c r="AE481" i="5" s="1"/>
  <c r="K481" i="5"/>
  <c r="O508" i="5"/>
  <c r="BF508" i="5" s="1"/>
  <c r="BJ508" i="5"/>
  <c r="Z508" i="5" s="1"/>
  <c r="L508" i="5"/>
  <c r="BJ512" i="5"/>
  <c r="Z512" i="5" s="1"/>
  <c r="L512" i="5"/>
  <c r="BI512" i="5"/>
  <c r="K512" i="5"/>
  <c r="O540" i="5"/>
  <c r="BF540" i="5" s="1"/>
  <c r="L540" i="5"/>
  <c r="O567" i="5"/>
  <c r="BF567" i="5" s="1"/>
  <c r="BJ567" i="5"/>
  <c r="Z567" i="5" s="1"/>
  <c r="L567" i="5"/>
  <c r="O433" i="5"/>
  <c r="BF433" i="5" s="1"/>
  <c r="O437" i="5"/>
  <c r="BF437" i="5" s="1"/>
  <c r="O441" i="5"/>
  <c r="BF441" i="5" s="1"/>
  <c r="O445" i="5"/>
  <c r="BF445" i="5" s="1"/>
  <c r="O449" i="5"/>
  <c r="BF449" i="5" s="1"/>
  <c r="BJ460" i="5"/>
  <c r="L460" i="5"/>
  <c r="BI460" i="5"/>
  <c r="AE460" i="5" s="1"/>
  <c r="BJ465" i="5"/>
  <c r="BJ472" i="5"/>
  <c r="L472" i="5"/>
  <c r="BI472" i="5"/>
  <c r="AE472" i="5" s="1"/>
  <c r="AP479" i="5"/>
  <c r="AX479" i="5" s="1"/>
  <c r="AO479" i="5"/>
  <c r="AW479" i="5" s="1"/>
  <c r="BD479" i="5"/>
  <c r="BJ479" i="5"/>
  <c r="AX502" i="5"/>
  <c r="O502" i="5"/>
  <c r="BF502" i="5" s="1"/>
  <c r="BJ502" i="5"/>
  <c r="L502" i="5"/>
  <c r="BI502" i="5"/>
  <c r="AC502" i="5" s="1"/>
  <c r="K502" i="5"/>
  <c r="O518" i="5"/>
  <c r="BF531" i="5"/>
  <c r="BH543" i="5"/>
  <c r="AD543" i="5" s="1"/>
  <c r="J543" i="5"/>
  <c r="BJ543" i="5"/>
  <c r="O543" i="5"/>
  <c r="L543" i="5"/>
  <c r="BD548" i="5"/>
  <c r="AP548" i="5"/>
  <c r="AX548" i="5" s="1"/>
  <c r="AO548" i="5"/>
  <c r="J548" i="5" s="1"/>
  <c r="J547" i="5" s="1"/>
  <c r="L548" i="5"/>
  <c r="O485" i="5"/>
  <c r="BJ485" i="5"/>
  <c r="O487" i="5"/>
  <c r="BF487" i="5" s="1"/>
  <c r="BJ487" i="5"/>
  <c r="O520" i="5"/>
  <c r="L520" i="5"/>
  <c r="O461" i="5"/>
  <c r="BF461" i="5" s="1"/>
  <c r="AX473" i="5"/>
  <c r="O473" i="5"/>
  <c r="BF473" i="5" s="1"/>
  <c r="BI473" i="5"/>
  <c r="AE473" i="5" s="1"/>
  <c r="K473" i="5"/>
  <c r="AO474" i="5"/>
  <c r="BJ474" i="5"/>
  <c r="M479" i="5"/>
  <c r="BJ480" i="5"/>
  <c r="L480" i="5"/>
  <c r="AX480" i="5"/>
  <c r="AP485" i="5"/>
  <c r="K485" i="5" s="1"/>
  <c r="AO485" i="5"/>
  <c r="AW485" i="5" s="1"/>
  <c r="AS484" i="5"/>
  <c r="O545" i="5"/>
  <c r="BF546" i="5"/>
  <c r="AP467" i="5"/>
  <c r="AX467" i="5" s="1"/>
  <c r="BD467" i="5"/>
  <c r="AS469" i="5"/>
  <c r="AP474" i="5"/>
  <c r="L485" i="5"/>
  <c r="BJ486" i="5"/>
  <c r="AP489" i="5"/>
  <c r="BI489" i="5" s="1"/>
  <c r="AE489" i="5" s="1"/>
  <c r="AO489" i="5"/>
  <c r="J489" i="5" s="1"/>
  <c r="BD489" i="5"/>
  <c r="BD490" i="5"/>
  <c r="AO490" i="5"/>
  <c r="BD527" i="5"/>
  <c r="L527" i="5"/>
  <c r="AP527" i="5"/>
  <c r="BH537" i="5"/>
  <c r="AD537" i="5" s="1"/>
  <c r="J537" i="5"/>
  <c r="BJ537" i="5"/>
  <c r="BI537" i="5"/>
  <c r="AE537" i="5" s="1"/>
  <c r="O537" i="5"/>
  <c r="BF537" i="5" s="1"/>
  <c r="L537" i="5"/>
  <c r="AP539" i="5"/>
  <c r="AX539" i="5" s="1"/>
  <c r="BD539" i="5"/>
  <c r="AW543" i="5"/>
  <c r="BJ548" i="5"/>
  <c r="BJ539" i="5"/>
  <c r="L539" i="5"/>
  <c r="AW539" i="5"/>
  <c r="AP540" i="5"/>
  <c r="K540" i="5" s="1"/>
  <c r="AO542" i="5"/>
  <c r="BF588" i="5"/>
  <c r="L486" i="5"/>
  <c r="BD488" i="5"/>
  <c r="L490" i="5"/>
  <c r="BJ490" i="5"/>
  <c r="BD492" i="5"/>
  <c r="L494" i="5"/>
  <c r="BJ494" i="5"/>
  <c r="BD496" i="5"/>
  <c r="AP520" i="5"/>
  <c r="BI520" i="5" s="1"/>
  <c r="AE520" i="5" s="1"/>
  <c r="BD523" i="5"/>
  <c r="L525" i="5"/>
  <c r="AO531" i="5"/>
  <c r="BH531" i="5" s="1"/>
  <c r="AD531" i="5" s="1"/>
  <c r="O533" i="5"/>
  <c r="BF533" i="5" s="1"/>
  <c r="AO533" i="5"/>
  <c r="BJ533" i="5"/>
  <c r="J539" i="5"/>
  <c r="BD554" i="5"/>
  <c r="AP554" i="5"/>
  <c r="AX554" i="5" s="1"/>
  <c r="BD562" i="5"/>
  <c r="AP562" i="5"/>
  <c r="AX562" i="5" s="1"/>
  <c r="AW576" i="5"/>
  <c r="AX603" i="5"/>
  <c r="O603" i="5"/>
  <c r="BI603" i="5"/>
  <c r="AE603" i="5" s="1"/>
  <c r="K603" i="5"/>
  <c r="BJ603" i="5"/>
  <c r="L603" i="5"/>
  <c r="BD505" i="5"/>
  <c r="BD511" i="5"/>
  <c r="BD516" i="5"/>
  <c r="O522" i="5"/>
  <c r="BF522" i="5" s="1"/>
  <c r="BH529" i="5"/>
  <c r="J529" i="5"/>
  <c r="BJ529" i="5"/>
  <c r="Z529" i="5" s="1"/>
  <c r="BJ531" i="5"/>
  <c r="L531" i="5"/>
  <c r="BI531" i="5"/>
  <c r="AE531" i="5" s="1"/>
  <c r="K531" i="5"/>
  <c r="AP533" i="5"/>
  <c r="BI533" i="5" s="1"/>
  <c r="AE533" i="5" s="1"/>
  <c r="L542" i="5"/>
  <c r="AS561" i="5"/>
  <c r="BD569" i="5"/>
  <c r="AP569" i="5"/>
  <c r="AX569" i="5" s="1"/>
  <c r="BD576" i="5"/>
  <c r="AP576" i="5"/>
  <c r="BI576" i="5" s="1"/>
  <c r="AC576" i="5" s="1"/>
  <c r="AO521" i="5"/>
  <c r="BJ521" i="5"/>
  <c r="O539" i="5"/>
  <c r="BF539" i="5" s="1"/>
  <c r="BJ546" i="5"/>
  <c r="L546" i="5"/>
  <c r="BI546" i="5"/>
  <c r="AE546" i="5" s="1"/>
  <c r="K546" i="5"/>
  <c r="K545" i="5" s="1"/>
  <c r="O549" i="5"/>
  <c r="BF550" i="5"/>
  <c r="BH576" i="5"/>
  <c r="AB576" i="5" s="1"/>
  <c r="J576" i="5"/>
  <c r="AP488" i="5"/>
  <c r="AX488" i="5" s="1"/>
  <c r="AP492" i="5"/>
  <c r="AX492" i="5" s="1"/>
  <c r="AP496" i="5"/>
  <c r="AX496" i="5" s="1"/>
  <c r="AO505" i="5"/>
  <c r="AW505" i="5" s="1"/>
  <c r="AO511" i="5"/>
  <c r="AW511" i="5" s="1"/>
  <c r="AO516" i="5"/>
  <c r="AW516" i="5" s="1"/>
  <c r="AP521" i="5"/>
  <c r="AO535" i="5"/>
  <c r="BJ535" i="5"/>
  <c r="BH539" i="5"/>
  <c r="AD539" i="5" s="1"/>
  <c r="BD546" i="5"/>
  <c r="AO554" i="5"/>
  <c r="AO562" i="5"/>
  <c r="AW562" i="5" s="1"/>
  <c r="BJ576" i="5"/>
  <c r="L488" i="5"/>
  <c r="O489" i="5"/>
  <c r="BF489" i="5" s="1"/>
  <c r="L492" i="5"/>
  <c r="O493" i="5"/>
  <c r="BF493" i="5" s="1"/>
  <c r="L496" i="5"/>
  <c r="O497" i="5"/>
  <c r="BF497" i="5" s="1"/>
  <c r="K511" i="5"/>
  <c r="BH522" i="5"/>
  <c r="AD522" i="5" s="1"/>
  <c r="J522" i="5"/>
  <c r="AO523" i="5"/>
  <c r="AW523" i="5" s="1"/>
  <c r="O525" i="5"/>
  <c r="BF525" i="5" s="1"/>
  <c r="BJ525" i="5"/>
  <c r="L529" i="5"/>
  <c r="AW529" i="5"/>
  <c r="BD531" i="5"/>
  <c r="L533" i="5"/>
  <c r="O548" i="5"/>
  <c r="AO569" i="5"/>
  <c r="AW569" i="5" s="1"/>
  <c r="AP596" i="5"/>
  <c r="AX596" i="5" s="1"/>
  <c r="AO596" i="5"/>
  <c r="BH596" i="5" s="1"/>
  <c r="AD596" i="5" s="1"/>
  <c r="BD596" i="5"/>
  <c r="AP607" i="5"/>
  <c r="AX607" i="5" s="1"/>
  <c r="AO607" i="5"/>
  <c r="AW607" i="5" s="1"/>
  <c r="BD607" i="5"/>
  <c r="AW570" i="5"/>
  <c r="BJ578" i="5"/>
  <c r="L578" i="5"/>
  <c r="AO584" i="5"/>
  <c r="J584" i="5" s="1"/>
  <c r="AK590" i="5"/>
  <c r="M590" i="5"/>
  <c r="L596" i="5"/>
  <c r="L554" i="5"/>
  <c r="BJ554" i="5"/>
  <c r="O555" i="5"/>
  <c r="BF555" i="5" s="1"/>
  <c r="L562" i="5"/>
  <c r="BJ562" i="5"/>
  <c r="O563" i="5"/>
  <c r="BF563" i="5" s="1"/>
  <c r="L569" i="5"/>
  <c r="BJ569" i="5"/>
  <c r="Z569" i="5" s="1"/>
  <c r="O570" i="5"/>
  <c r="BF570" i="5" s="1"/>
  <c r="J572" i="5"/>
  <c r="AP572" i="5"/>
  <c r="BI572" i="5" s="1"/>
  <c r="BJ572" i="5"/>
  <c r="Z572" i="5" s="1"/>
  <c r="L576" i="5"/>
  <c r="AP578" i="5"/>
  <c r="AX578" i="5" s="1"/>
  <c r="AO578" i="5"/>
  <c r="J578" i="5" s="1"/>
  <c r="BD578" i="5"/>
  <c r="BD584" i="5"/>
  <c r="AX584" i="5"/>
  <c r="O584" i="5"/>
  <c r="BJ584" i="5"/>
  <c r="L584" i="5"/>
  <c r="BI584" i="5"/>
  <c r="AC584" i="5" s="1"/>
  <c r="K584" i="5"/>
  <c r="O592" i="5"/>
  <c r="AX592" i="5"/>
  <c r="L592" i="5"/>
  <c r="K592" i="5"/>
  <c r="K591" i="5" s="1"/>
  <c r="BJ592" i="5"/>
  <c r="BJ600" i="5"/>
  <c r="Z600" i="5" s="1"/>
  <c r="O554" i="5"/>
  <c r="BF554" i="5" s="1"/>
  <c r="BD555" i="5"/>
  <c r="O562" i="5"/>
  <c r="BD563" i="5"/>
  <c r="O569" i="5"/>
  <c r="BF569" i="5" s="1"/>
  <c r="BD570" i="5"/>
  <c r="L572" i="5"/>
  <c r="AW572" i="5"/>
  <c r="AO579" i="5"/>
  <c r="AW579" i="5" s="1"/>
  <c r="O589" i="5"/>
  <c r="BF589" i="5" s="1"/>
  <c r="BJ589" i="5"/>
  <c r="L589" i="5"/>
  <c r="AP600" i="5"/>
  <c r="AX600" i="5" s="1"/>
  <c r="AO600" i="5"/>
  <c r="BH600" i="5" s="1"/>
  <c r="BD600" i="5"/>
  <c r="AP605" i="5"/>
  <c r="AX605" i="5" s="1"/>
  <c r="AO605" i="5"/>
  <c r="BH605" i="5" s="1"/>
  <c r="AD605" i="5" s="1"/>
  <c r="BD605" i="5"/>
  <c r="O579" i="5"/>
  <c r="BF579" i="5" s="1"/>
  <c r="BJ579" i="5"/>
  <c r="L579" i="5"/>
  <c r="BJ588" i="5"/>
  <c r="L588" i="5"/>
  <c r="BI588" i="5"/>
  <c r="AE588" i="5" s="1"/>
  <c r="K588" i="5"/>
  <c r="L600" i="5"/>
  <c r="O629" i="5"/>
  <c r="BF629" i="5" s="1"/>
  <c r="BJ629" i="5"/>
  <c r="Z629" i="5" s="1"/>
  <c r="L629" i="5"/>
  <c r="J570" i="5"/>
  <c r="O572" i="5"/>
  <c r="BF572" i="5" s="1"/>
  <c r="O576" i="5"/>
  <c r="AU575" i="5"/>
  <c r="BJ582" i="5"/>
  <c r="Z582" i="5" s="1"/>
  <c r="L582" i="5"/>
  <c r="BI592" i="5"/>
  <c r="AE592" i="5" s="1"/>
  <c r="AW597" i="5"/>
  <c r="BH597" i="5"/>
  <c r="AD597" i="5" s="1"/>
  <c r="O597" i="5"/>
  <c r="BF597" i="5" s="1"/>
  <c r="L597" i="5"/>
  <c r="BJ597" i="5"/>
  <c r="BJ605" i="5"/>
  <c r="O607" i="5"/>
  <c r="BF607" i="5" s="1"/>
  <c r="BJ607" i="5"/>
  <c r="Z607" i="5" s="1"/>
  <c r="L607" i="5"/>
  <c r="BJ612" i="5"/>
  <c r="L612" i="5"/>
  <c r="BJ619" i="5"/>
  <c r="L619" i="5"/>
  <c r="AX619" i="5"/>
  <c r="AO631" i="5"/>
  <c r="AW631" i="5" s="1"/>
  <c r="AP631" i="5"/>
  <c r="AX631" i="5" s="1"/>
  <c r="BJ631" i="5"/>
  <c r="Z631" i="5" s="1"/>
  <c r="BD631" i="5"/>
  <c r="AX614" i="5"/>
  <c r="O614" i="5"/>
  <c r="BJ614" i="5"/>
  <c r="L614" i="5"/>
  <c r="BI614" i="5"/>
  <c r="AC614" i="5" s="1"/>
  <c r="K614" i="5"/>
  <c r="K613" i="5" s="1"/>
  <c r="BI636" i="5"/>
  <c r="AC636" i="5" s="1"/>
  <c r="K636" i="5"/>
  <c r="BJ636" i="5"/>
  <c r="AX636" i="5"/>
  <c r="AO592" i="5"/>
  <c r="J592" i="5" s="1"/>
  <c r="J591" i="5" s="1"/>
  <c r="L605" i="5"/>
  <c r="AP610" i="5"/>
  <c r="AX610" i="5" s="1"/>
  <c r="AO610" i="5"/>
  <c r="AW610" i="5" s="1"/>
  <c r="BD610" i="5"/>
  <c r="BJ610" i="5"/>
  <c r="BD614" i="5"/>
  <c r="AU617" i="5"/>
  <c r="K619" i="5"/>
  <c r="BI619" i="5"/>
  <c r="AC619" i="5" s="1"/>
  <c r="AW624" i="5"/>
  <c r="BJ624" i="5"/>
  <c r="L624" i="5"/>
  <c r="BH624" i="5"/>
  <c r="AB624" i="5" s="1"/>
  <c r="J624" i="5"/>
  <c r="AP627" i="5"/>
  <c r="AX627" i="5" s="1"/>
  <c r="AO627" i="5"/>
  <c r="AW627" i="5" s="1"/>
  <c r="BD627" i="5"/>
  <c r="O580" i="5"/>
  <c r="BF580" i="5" s="1"/>
  <c r="AO582" i="5"/>
  <c r="BH582" i="5" s="1"/>
  <c r="O585" i="5"/>
  <c r="BF585" i="5" s="1"/>
  <c r="AO588" i="5"/>
  <c r="BH588" i="5" s="1"/>
  <c r="AD588" i="5" s="1"/>
  <c r="O590" i="5"/>
  <c r="BF590" i="5" s="1"/>
  <c r="O596" i="5"/>
  <c r="O600" i="5"/>
  <c r="BF600" i="5" s="1"/>
  <c r="BJ606" i="5"/>
  <c r="L606" i="5"/>
  <c r="L610" i="5"/>
  <c r="O612" i="5"/>
  <c r="O619" i="5"/>
  <c r="BF619" i="5" s="1"/>
  <c r="L627" i="5"/>
  <c r="BJ628" i="5"/>
  <c r="Z628" i="5" s="1"/>
  <c r="L628" i="5"/>
  <c r="L636" i="5"/>
  <c r="BJ595" i="5"/>
  <c r="BJ599" i="5"/>
  <c r="O605" i="5"/>
  <c r="BF605" i="5" s="1"/>
  <c r="AX620" i="5"/>
  <c r="O620" i="5"/>
  <c r="BF620" i="5" s="1"/>
  <c r="BJ620" i="5"/>
  <c r="L620" i="5"/>
  <c r="BI620" i="5"/>
  <c r="AC620" i="5" s="1"/>
  <c r="K620" i="5"/>
  <c r="O636" i="5"/>
  <c r="BF636" i="5" s="1"/>
  <c r="BJ657" i="5"/>
  <c r="L657" i="5"/>
  <c r="BI657" i="5"/>
  <c r="AE657" i="5" s="1"/>
  <c r="K657" i="5"/>
  <c r="AX657" i="5"/>
  <c r="BI590" i="5"/>
  <c r="L594" i="5"/>
  <c r="L598" i="5"/>
  <c r="AW602" i="5"/>
  <c r="BJ602" i="5"/>
  <c r="K616" i="5"/>
  <c r="K615" i="5" s="1"/>
  <c r="O624" i="5"/>
  <c r="AS623" i="5"/>
  <c r="AU623" i="5"/>
  <c r="AP634" i="5"/>
  <c r="AX634" i="5" s="1"/>
  <c r="BD634" i="5"/>
  <c r="AP638" i="5"/>
  <c r="BI638" i="5" s="1"/>
  <c r="AC638" i="5" s="1"/>
  <c r="BD638" i="5"/>
  <c r="AO603" i="5"/>
  <c r="BH603" i="5" s="1"/>
  <c r="AD603" i="5" s="1"/>
  <c r="O606" i="5"/>
  <c r="BF606" i="5" s="1"/>
  <c r="BI616" i="5"/>
  <c r="AC616" i="5" s="1"/>
  <c r="AP618" i="5"/>
  <c r="AX618" i="5" s="1"/>
  <c r="AO618" i="5"/>
  <c r="AW618" i="5" s="1"/>
  <c r="BD618" i="5"/>
  <c r="BJ618" i="5"/>
  <c r="AP622" i="5"/>
  <c r="AX622" i="5" s="1"/>
  <c r="AO622" i="5"/>
  <c r="AW622" i="5" s="1"/>
  <c r="BD622" i="5"/>
  <c r="O625" i="5"/>
  <c r="BF625" i="5" s="1"/>
  <c r="BJ625" i="5"/>
  <c r="Z625" i="5" s="1"/>
  <c r="L625" i="5"/>
  <c r="O628" i="5"/>
  <c r="BF628" i="5" s="1"/>
  <c r="BJ653" i="5"/>
  <c r="L653" i="5"/>
  <c r="O657" i="5"/>
  <c r="BF657" i="5" s="1"/>
  <c r="BJ634" i="5"/>
  <c r="BJ638" i="5"/>
  <c r="BJ642" i="5"/>
  <c r="L642" i="5"/>
  <c r="BI646" i="5"/>
  <c r="AE646" i="5" s="1"/>
  <c r="BJ647" i="5"/>
  <c r="Z647" i="5" s="1"/>
  <c r="L647" i="5"/>
  <c r="O654" i="5"/>
  <c r="BF654" i="5" s="1"/>
  <c r="BJ654" i="5"/>
  <c r="L654" i="5"/>
  <c r="AX658" i="5"/>
  <c r="O658" i="5"/>
  <c r="BF658" i="5" s="1"/>
  <c r="BJ658" i="5"/>
  <c r="Z658" i="5" s="1"/>
  <c r="L658" i="5"/>
  <c r="BI658" i="5"/>
  <c r="K658" i="5"/>
  <c r="AO664" i="5"/>
  <c r="AW664" i="5" s="1"/>
  <c r="AP664" i="5"/>
  <c r="BJ664" i="5"/>
  <c r="BO696" i="5"/>
  <c r="L696" i="5"/>
  <c r="AO696" i="5"/>
  <c r="AW696" i="5" s="1"/>
  <c r="BD696" i="5"/>
  <c r="AP696" i="5"/>
  <c r="J634" i="5"/>
  <c r="BJ635" i="5"/>
  <c r="J638" i="5"/>
  <c r="O642" i="5"/>
  <c r="O647" i="5"/>
  <c r="BF647" i="5" s="1"/>
  <c r="AX648" i="5"/>
  <c r="O648" i="5"/>
  <c r="BF648" i="5" s="1"/>
  <c r="BJ648" i="5"/>
  <c r="L648" i="5"/>
  <c r="BI648" i="5"/>
  <c r="AE648" i="5" s="1"/>
  <c r="K648" i="5"/>
  <c r="L634" i="5"/>
  <c r="AW634" i="5"/>
  <c r="L638" i="5"/>
  <c r="AW638" i="5"/>
  <c r="AP640" i="5"/>
  <c r="AX640" i="5" s="1"/>
  <c r="AO640" i="5"/>
  <c r="AW640" i="5" s="1"/>
  <c r="BD640" i="5"/>
  <c r="BJ640" i="5"/>
  <c r="Z640" i="5" s="1"/>
  <c r="AX643" i="5"/>
  <c r="O643" i="5"/>
  <c r="BF643" i="5" s="1"/>
  <c r="BJ643" i="5"/>
  <c r="L643" i="5"/>
  <c r="BI643" i="5"/>
  <c r="AC643" i="5" s="1"/>
  <c r="K643" i="5"/>
  <c r="BD664" i="5"/>
  <c r="L640" i="5"/>
  <c r="AO682" i="5"/>
  <c r="J682" i="5" s="1"/>
  <c r="BD682" i="5"/>
  <c r="AP682" i="5"/>
  <c r="K682" i="5" s="1"/>
  <c r="O634" i="5"/>
  <c r="AO636" i="5"/>
  <c r="BH636" i="5" s="1"/>
  <c r="AB636" i="5" s="1"/>
  <c r="O638" i="5"/>
  <c r="BF638" i="5" s="1"/>
  <c r="AK655" i="5"/>
  <c r="AP630" i="5"/>
  <c r="O631" i="5"/>
  <c r="BF631" i="5" s="1"/>
  <c r="L635" i="5"/>
  <c r="BJ637" i="5"/>
  <c r="O640" i="5"/>
  <c r="BF640" i="5" s="1"/>
  <c r="BD665" i="5"/>
  <c r="AO665" i="5"/>
  <c r="AP689" i="5"/>
  <c r="AO689" i="5"/>
  <c r="BD689" i="5"/>
  <c r="L630" i="5"/>
  <c r="AP676" i="5"/>
  <c r="AO676" i="5"/>
  <c r="BD676" i="5"/>
  <c r="O677" i="5"/>
  <c r="BF677" i="5" s="1"/>
  <c r="BJ677" i="5"/>
  <c r="L677" i="5"/>
  <c r="BD646" i="5"/>
  <c r="BD652" i="5"/>
  <c r="BD656" i="5"/>
  <c r="BJ680" i="5"/>
  <c r="AU681" i="5"/>
  <c r="AX686" i="5"/>
  <c r="AO661" i="5"/>
  <c r="BH661" i="5" s="1"/>
  <c r="AD661" i="5" s="1"/>
  <c r="O670" i="5"/>
  <c r="BJ670" i="5"/>
  <c r="BH670" i="5"/>
  <c r="AD670" i="5" s="1"/>
  <c r="J670" i="5"/>
  <c r="J669" i="5" s="1"/>
  <c r="AW670" i="5"/>
  <c r="AP680" i="5"/>
  <c r="AO680" i="5"/>
  <c r="BD680" i="5"/>
  <c r="AP685" i="5"/>
  <c r="AO685" i="5"/>
  <c r="BD685" i="5"/>
  <c r="L686" i="5"/>
  <c r="AO686" i="5"/>
  <c r="AW686" i="5" s="1"/>
  <c r="BD686" i="5"/>
  <c r="AP693" i="5"/>
  <c r="AO693" i="5"/>
  <c r="BD693" i="5"/>
  <c r="BM693" i="5"/>
  <c r="F35" i="4" s="1"/>
  <c r="I35" i="4" s="1"/>
  <c r="AX698" i="5"/>
  <c r="AO646" i="5"/>
  <c r="AW646" i="5" s="1"/>
  <c r="AO652" i="5"/>
  <c r="AW652" i="5" s="1"/>
  <c r="AO656" i="5"/>
  <c r="AW656" i="5" s="1"/>
  <c r="AP661" i="5"/>
  <c r="AX661" i="5" s="1"/>
  <c r="BH662" i="5"/>
  <c r="AD662" i="5" s="1"/>
  <c r="J662" i="5"/>
  <c r="O662" i="5"/>
  <c r="BF662" i="5" s="1"/>
  <c r="BH667" i="5"/>
  <c r="AD667" i="5" s="1"/>
  <c r="J667" i="5"/>
  <c r="O667" i="5"/>
  <c r="BO695" i="5"/>
  <c r="BJ695" i="5"/>
  <c r="L695" i="5"/>
  <c r="O695" i="5"/>
  <c r="K646" i="5"/>
  <c r="K652" i="5"/>
  <c r="AW662" i="5"/>
  <c r="AP663" i="5"/>
  <c r="O664" i="5"/>
  <c r="BF664" i="5" s="1"/>
  <c r="BJ665" i="5"/>
  <c r="Z665" i="5" s="1"/>
  <c r="AW667" i="5"/>
  <c r="AP668" i="5"/>
  <c r="BD670" i="5"/>
  <c r="AO672" i="5"/>
  <c r="O682" i="5"/>
  <c r="BJ682" i="5"/>
  <c r="L682" i="5"/>
  <c r="AS681" i="5"/>
  <c r="BH688" i="5"/>
  <c r="BJ689" i="5"/>
  <c r="Z689" i="5" s="1"/>
  <c r="AP679" i="5"/>
  <c r="AP684" i="5"/>
  <c r="AP688" i="5"/>
  <c r="AX688" i="5" s="1"/>
  <c r="AO683" i="5"/>
  <c r="L684" i="5"/>
  <c r="BJ684" i="5"/>
  <c r="Z684" i="5" s="1"/>
  <c r="AO687" i="5"/>
  <c r="L688" i="5"/>
  <c r="BJ688" i="5"/>
  <c r="Z688" i="5" s="1"/>
  <c r="AO700" i="5"/>
  <c r="J700" i="5" s="1"/>
  <c r="J699" i="5" s="1"/>
  <c r="AP700" i="5"/>
  <c r="BI700" i="5" s="1"/>
  <c r="L665" i="5"/>
  <c r="L672" i="5"/>
  <c r="O674" i="5"/>
  <c r="L678" i="5"/>
  <c r="O679" i="5"/>
  <c r="BF679" i="5" s="1"/>
  <c r="L683" i="5"/>
  <c r="O684" i="5"/>
  <c r="BF684" i="5" s="1"/>
  <c r="L687" i="5"/>
  <c r="O688" i="5"/>
  <c r="BF688" i="5" s="1"/>
  <c r="K698" i="5"/>
  <c r="K697" i="5" s="1"/>
  <c r="BI698" i="5"/>
  <c r="L700" i="5"/>
  <c r="BJ700" i="5"/>
  <c r="BU700" i="5"/>
  <c r="F43" i="4" s="1"/>
  <c r="I43" i="4" s="1"/>
  <c r="BD674" i="5"/>
  <c r="BD679" i="5"/>
  <c r="BD684" i="5"/>
  <c r="BJ686" i="5"/>
  <c r="Z686" i="5" s="1"/>
  <c r="BD688" i="5"/>
  <c r="BJ696" i="5"/>
  <c r="BS698" i="5"/>
  <c r="F41" i="4" s="1"/>
  <c r="I41" i="4" s="1"/>
  <c r="O700" i="5"/>
  <c r="O698" i="5"/>
  <c r="L663" i="5"/>
  <c r="L668" i="5"/>
  <c r="J674" i="5"/>
  <c r="J673" i="5" s="1"/>
  <c r="L676" i="5"/>
  <c r="L680" i="5"/>
  <c r="J684" i="5"/>
  <c r="L685" i="5"/>
  <c r="O686" i="5"/>
  <c r="BF686" i="5" s="1"/>
  <c r="J688" i="5"/>
  <c r="L689" i="5"/>
  <c r="L693" i="5"/>
  <c r="O696" i="5"/>
  <c r="BF696" i="5" s="1"/>
  <c r="AW648" i="5" l="1"/>
  <c r="AW658" i="5"/>
  <c r="BH418" i="5"/>
  <c r="AD418" i="5" s="1"/>
  <c r="L697" i="5"/>
  <c r="AK698" i="5"/>
  <c r="AT697" i="5" s="1"/>
  <c r="BI465" i="5"/>
  <c r="AE465" i="5" s="1"/>
  <c r="AX344" i="5"/>
  <c r="M182" i="5"/>
  <c r="AX465" i="5"/>
  <c r="BC465" i="5" s="1"/>
  <c r="AV125" i="5"/>
  <c r="AW58" i="5"/>
  <c r="AV58" i="5" s="1"/>
  <c r="AK366" i="5"/>
  <c r="J73" i="5"/>
  <c r="BH138" i="5"/>
  <c r="AD138" i="5" s="1"/>
  <c r="J146" i="5"/>
  <c r="AK570" i="5"/>
  <c r="AW289" i="5"/>
  <c r="AV289" i="5" s="1"/>
  <c r="AW146" i="5"/>
  <c r="AX639" i="5"/>
  <c r="AW264" i="5"/>
  <c r="BC264" i="5" s="1"/>
  <c r="AX248" i="5"/>
  <c r="BC248" i="5" s="1"/>
  <c r="AW138" i="5"/>
  <c r="BI99" i="5"/>
  <c r="AE99" i="5" s="1"/>
  <c r="AK346" i="5"/>
  <c r="AV395" i="5"/>
  <c r="BH407" i="5"/>
  <c r="AD407" i="5" s="1"/>
  <c r="AW482" i="5"/>
  <c r="K487" i="5"/>
  <c r="BH395" i="5"/>
  <c r="AD395" i="5" s="1"/>
  <c r="AK661" i="5"/>
  <c r="K344" i="5"/>
  <c r="BC95" i="5"/>
  <c r="K407" i="5"/>
  <c r="K388" i="5"/>
  <c r="AW677" i="5"/>
  <c r="J647" i="5"/>
  <c r="M287" i="5"/>
  <c r="AX625" i="5"/>
  <c r="M238" i="5"/>
  <c r="AK602" i="5"/>
  <c r="AK430" i="5"/>
  <c r="BH32" i="5"/>
  <c r="AD32" i="5" s="1"/>
  <c r="BI427" i="5"/>
  <c r="AE427" i="5" s="1"/>
  <c r="AX487" i="5"/>
  <c r="BC487" i="5" s="1"/>
  <c r="AX35" i="5"/>
  <c r="BH58" i="5"/>
  <c r="BC272" i="5"/>
  <c r="BH356" i="5"/>
  <c r="AD356" i="5" s="1"/>
  <c r="BH449" i="5"/>
  <c r="AD449" i="5" s="1"/>
  <c r="J323" i="5"/>
  <c r="AW356" i="5"/>
  <c r="AV356" i="5" s="1"/>
  <c r="J460" i="5"/>
  <c r="M374" i="5"/>
  <c r="AX410" i="5"/>
  <c r="AV410" i="5" s="1"/>
  <c r="M433" i="5"/>
  <c r="BH443" i="5"/>
  <c r="AD443" i="5" s="1"/>
  <c r="AX323" i="5"/>
  <c r="AV323" i="5" s="1"/>
  <c r="AK550" i="5"/>
  <c r="AT549" i="5" s="1"/>
  <c r="M510" i="5"/>
  <c r="AK341" i="5"/>
  <c r="AK419" i="5"/>
  <c r="M650" i="5"/>
  <c r="M649" i="5" s="1"/>
  <c r="AV97" i="5"/>
  <c r="AK650" i="5"/>
  <c r="AT649" i="5" s="1"/>
  <c r="J616" i="5"/>
  <c r="J615" i="5" s="1"/>
  <c r="BH286" i="5"/>
  <c r="AD286" i="5" s="1"/>
  <c r="K522" i="5"/>
  <c r="AK123" i="5"/>
  <c r="BH139" i="5"/>
  <c r="AD139" i="5" s="1"/>
  <c r="K482" i="5"/>
  <c r="AV101" i="5"/>
  <c r="AX482" i="5"/>
  <c r="J658" i="5"/>
  <c r="BH339" i="5"/>
  <c r="AD339" i="5" s="1"/>
  <c r="J648" i="5"/>
  <c r="BH480" i="5"/>
  <c r="AD480" i="5" s="1"/>
  <c r="J211" i="5"/>
  <c r="BI662" i="5"/>
  <c r="AE662" i="5" s="1"/>
  <c r="AW480" i="5"/>
  <c r="AV480" i="5" s="1"/>
  <c r="AW329" i="5"/>
  <c r="J166" i="5"/>
  <c r="AX146" i="5"/>
  <c r="BH384" i="5"/>
  <c r="AD384" i="5" s="1"/>
  <c r="BH473" i="5"/>
  <c r="AD473" i="5" s="1"/>
  <c r="J400" i="5"/>
  <c r="J387" i="5"/>
  <c r="K116" i="5"/>
  <c r="AK631" i="5"/>
  <c r="J256" i="5"/>
  <c r="M639" i="5"/>
  <c r="AX87" i="5"/>
  <c r="AV87" i="5" s="1"/>
  <c r="L12" i="1"/>
  <c r="BH289" i="5"/>
  <c r="AD289" i="5" s="1"/>
  <c r="AX606" i="5"/>
  <c r="AV606" i="5" s="1"/>
  <c r="K567" i="5"/>
  <c r="BI606" i="5"/>
  <c r="AE606" i="5" s="1"/>
  <c r="M16" i="5"/>
  <c r="AK664" i="5"/>
  <c r="L498" i="1"/>
  <c r="BC278" i="5"/>
  <c r="AX579" i="5"/>
  <c r="BC579" i="5" s="1"/>
  <c r="M177" i="5"/>
  <c r="K464" i="5"/>
  <c r="AX542" i="5"/>
  <c r="BH323" i="5"/>
  <c r="AD323" i="5" s="1"/>
  <c r="J431" i="5"/>
  <c r="AX376" i="5"/>
  <c r="AV98" i="5"/>
  <c r="K376" i="5"/>
  <c r="K642" i="5"/>
  <c r="M149" i="5"/>
  <c r="AW269" i="5"/>
  <c r="AV269" i="5" s="1"/>
  <c r="K624" i="5"/>
  <c r="BH311" i="5"/>
  <c r="AD311" i="5" s="1"/>
  <c r="M656" i="5"/>
  <c r="AK378" i="5"/>
  <c r="AV418" i="5"/>
  <c r="M565" i="5"/>
  <c r="K412" i="5"/>
  <c r="AX315" i="5"/>
  <c r="K501" i="5"/>
  <c r="K204" i="5"/>
  <c r="K439" i="5"/>
  <c r="AK354" i="5"/>
  <c r="BI278" i="5"/>
  <c r="AE278" i="5" s="1"/>
  <c r="J269" i="5"/>
  <c r="M652" i="5"/>
  <c r="K278" i="5"/>
  <c r="M71" i="5"/>
  <c r="J225" i="5"/>
  <c r="BH478" i="5"/>
  <c r="AD478" i="5" s="1"/>
  <c r="AX612" i="5"/>
  <c r="K138" i="5"/>
  <c r="J133" i="5"/>
  <c r="M51" i="5"/>
  <c r="M471" i="5"/>
  <c r="M550" i="5"/>
  <c r="M549" i="5" s="1"/>
  <c r="M69" i="5"/>
  <c r="AK585" i="5"/>
  <c r="AW472" i="5"/>
  <c r="BC472" i="5" s="1"/>
  <c r="AX298" i="5"/>
  <c r="AV298" i="5" s="1"/>
  <c r="AW69" i="5"/>
  <c r="BC69" i="5" s="1"/>
  <c r="AX138" i="5"/>
  <c r="K71" i="5"/>
  <c r="K656" i="5"/>
  <c r="J472" i="5"/>
  <c r="M644" i="5"/>
  <c r="K625" i="5"/>
  <c r="M75" i="5"/>
  <c r="M521" i="5"/>
  <c r="J660" i="5"/>
  <c r="J482" i="5"/>
  <c r="M500" i="5"/>
  <c r="BI647" i="5"/>
  <c r="K639" i="5"/>
  <c r="AX667" i="5"/>
  <c r="AV667" i="5" s="1"/>
  <c r="J589" i="5"/>
  <c r="AK622" i="5"/>
  <c r="AK599" i="5"/>
  <c r="M563" i="5"/>
  <c r="BI298" i="5"/>
  <c r="AE298" i="5" s="1"/>
  <c r="AK604" i="5"/>
  <c r="AK202" i="5"/>
  <c r="BH178" i="5"/>
  <c r="AD178" i="5" s="1"/>
  <c r="M200" i="5"/>
  <c r="J478" i="5"/>
  <c r="AX369" i="5"/>
  <c r="J449" i="5"/>
  <c r="M186" i="5"/>
  <c r="J657" i="5"/>
  <c r="K435" i="5"/>
  <c r="J391" i="5"/>
  <c r="M278" i="5"/>
  <c r="BI155" i="5"/>
  <c r="AE155" i="5" s="1"/>
  <c r="AK89" i="5"/>
  <c r="AK164" i="5"/>
  <c r="K647" i="5"/>
  <c r="K645" i="5" s="1"/>
  <c r="AW391" i="5"/>
  <c r="AV391" i="5" s="1"/>
  <c r="AW178" i="5"/>
  <c r="BI414" i="5"/>
  <c r="AE414" i="5" s="1"/>
  <c r="BI219" i="5"/>
  <c r="M85" i="5"/>
  <c r="J571" i="5"/>
  <c r="M383" i="5"/>
  <c r="AW629" i="5"/>
  <c r="AV629" i="5" s="1"/>
  <c r="BH515" i="5"/>
  <c r="AD515" i="5" s="1"/>
  <c r="J655" i="5"/>
  <c r="BI612" i="5"/>
  <c r="AE612" i="5" s="1"/>
  <c r="AX537" i="5"/>
  <c r="BC537" i="5" s="1"/>
  <c r="M473" i="5"/>
  <c r="AW413" i="5"/>
  <c r="J395" i="5"/>
  <c r="J350" i="5"/>
  <c r="AW205" i="5"/>
  <c r="AV205" i="5" s="1"/>
  <c r="M199" i="5"/>
  <c r="AW133" i="5"/>
  <c r="AW571" i="5"/>
  <c r="BH106" i="5"/>
  <c r="AD106" i="5" s="1"/>
  <c r="M335" i="5"/>
  <c r="M101" i="5"/>
  <c r="BH616" i="5"/>
  <c r="AB616" i="5" s="1"/>
  <c r="M191" i="5"/>
  <c r="AK360" i="5"/>
  <c r="AW305" i="5"/>
  <c r="AV305" i="5" s="1"/>
  <c r="K191" i="5"/>
  <c r="M106" i="5"/>
  <c r="J78" i="5"/>
  <c r="M487" i="5"/>
  <c r="AW657" i="5"/>
  <c r="AV657" i="5" s="1"/>
  <c r="BH629" i="5"/>
  <c r="BI167" i="5"/>
  <c r="AE167" i="5" s="1"/>
  <c r="AK117" i="5"/>
  <c r="AX105" i="5"/>
  <c r="BC105" i="5" s="1"/>
  <c r="AX240" i="5"/>
  <c r="BC240" i="5" s="1"/>
  <c r="J140" i="5"/>
  <c r="J630" i="5"/>
  <c r="J219" i="5"/>
  <c r="AW166" i="5"/>
  <c r="K629" i="5"/>
  <c r="BI282" i="5"/>
  <c r="AE282" i="5" s="1"/>
  <c r="AX654" i="5"/>
  <c r="BI629" i="5"/>
  <c r="AW546" i="5"/>
  <c r="AV546" i="5" s="1"/>
  <c r="J451" i="5"/>
  <c r="AW286" i="5"/>
  <c r="AV286" i="5" s="1"/>
  <c r="J228" i="5"/>
  <c r="K353" i="5"/>
  <c r="M166" i="5"/>
  <c r="AK674" i="5"/>
  <c r="AT673" i="5" s="1"/>
  <c r="BI602" i="5"/>
  <c r="AE602" i="5" s="1"/>
  <c r="BI501" i="5"/>
  <c r="AC501" i="5" s="1"/>
  <c r="AW368" i="5"/>
  <c r="BI327" i="5"/>
  <c r="AE327" i="5" s="1"/>
  <c r="BI315" i="5"/>
  <c r="AE315" i="5" s="1"/>
  <c r="BC153" i="5"/>
  <c r="BI105" i="5"/>
  <c r="AE105" i="5" s="1"/>
  <c r="K341" i="5"/>
  <c r="L521" i="1"/>
  <c r="K414" i="5"/>
  <c r="AW22" i="5"/>
  <c r="BC22" i="5" s="1"/>
  <c r="AV274" i="5"/>
  <c r="K456" i="5"/>
  <c r="M516" i="5"/>
  <c r="AK670" i="5"/>
  <c r="AT669" i="5" s="1"/>
  <c r="BI485" i="5"/>
  <c r="AE485" i="5" s="1"/>
  <c r="BI542" i="5"/>
  <c r="AE542" i="5" s="1"/>
  <c r="BH276" i="5"/>
  <c r="AD276" i="5" s="1"/>
  <c r="J87" i="5"/>
  <c r="BH22" i="5"/>
  <c r="AD22" i="5" s="1"/>
  <c r="BH461" i="5"/>
  <c r="AD461" i="5" s="1"/>
  <c r="J594" i="5"/>
  <c r="M309" i="5"/>
  <c r="BI392" i="5"/>
  <c r="AE392" i="5" s="1"/>
  <c r="BI95" i="5"/>
  <c r="AE95" i="5" s="1"/>
  <c r="BI464" i="5"/>
  <c r="AE464" i="5" s="1"/>
  <c r="J311" i="5"/>
  <c r="K97" i="5"/>
  <c r="BI121" i="5"/>
  <c r="AE121" i="5" s="1"/>
  <c r="BI628" i="5"/>
  <c r="BI266" i="5"/>
  <c r="BH78" i="5"/>
  <c r="J335" i="5"/>
  <c r="L673" i="5"/>
  <c r="K628" i="5"/>
  <c r="AW620" i="5"/>
  <c r="BC620" i="5" s="1"/>
  <c r="BI300" i="5"/>
  <c r="AE300" i="5" s="1"/>
  <c r="K266" i="5"/>
  <c r="K262" i="5" s="1"/>
  <c r="AW443" i="5"/>
  <c r="M439" i="5"/>
  <c r="BH329" i="5"/>
  <c r="M379" i="5"/>
  <c r="AW660" i="5"/>
  <c r="AV660" i="5" s="1"/>
  <c r="J520" i="5"/>
  <c r="BI380" i="5"/>
  <c r="AE380" i="5" s="1"/>
  <c r="BH247" i="5"/>
  <c r="AD247" i="5" s="1"/>
  <c r="M55" i="5"/>
  <c r="BC418" i="5"/>
  <c r="BH620" i="5"/>
  <c r="AB620" i="5" s="1"/>
  <c r="AW335" i="5"/>
  <c r="BC335" i="5" s="1"/>
  <c r="J327" i="5"/>
  <c r="AK314" i="5"/>
  <c r="M163" i="5"/>
  <c r="AW473" i="5"/>
  <c r="BC473" i="5" s="1"/>
  <c r="M332" i="5"/>
  <c r="M155" i="5"/>
  <c r="K661" i="5"/>
  <c r="AK136" i="5"/>
  <c r="K583" i="5"/>
  <c r="AK467" i="5"/>
  <c r="M272" i="5"/>
  <c r="AK181" i="5"/>
  <c r="BH73" i="5"/>
  <c r="AD73" i="5" s="1"/>
  <c r="M47" i="5"/>
  <c r="BH19" i="5"/>
  <c r="BI456" i="5"/>
  <c r="AE456" i="5" s="1"/>
  <c r="J154" i="5"/>
  <c r="BI653" i="5"/>
  <c r="AE653" i="5" s="1"/>
  <c r="BI543" i="5"/>
  <c r="AE543" i="5" s="1"/>
  <c r="BH508" i="5"/>
  <c r="M446" i="5"/>
  <c r="J418" i="5"/>
  <c r="AX439" i="5"/>
  <c r="AV439" i="5" s="1"/>
  <c r="K424" i="5"/>
  <c r="AW407" i="5"/>
  <c r="AW315" i="5"/>
  <c r="K322" i="5"/>
  <c r="K200" i="5"/>
  <c r="BI181" i="5"/>
  <c r="AE181" i="5" s="1"/>
  <c r="BI134" i="5"/>
  <c r="AE134" i="5" s="1"/>
  <c r="BH228" i="5"/>
  <c r="AD228" i="5" s="1"/>
  <c r="BH154" i="5"/>
  <c r="AD154" i="5" s="1"/>
  <c r="M616" i="5"/>
  <c r="M615" i="5" s="1"/>
  <c r="M204" i="5"/>
  <c r="M137" i="5"/>
  <c r="AK616" i="5"/>
  <c r="AT615" i="5" s="1"/>
  <c r="AX454" i="5"/>
  <c r="AV454" i="5" s="1"/>
  <c r="AX322" i="5"/>
  <c r="J192" i="5"/>
  <c r="AW598" i="5"/>
  <c r="AV598" i="5" s="1"/>
  <c r="J459" i="5"/>
  <c r="AW508" i="5"/>
  <c r="AW445" i="5"/>
  <c r="BC445" i="5" s="1"/>
  <c r="BH368" i="5"/>
  <c r="AD368" i="5" s="1"/>
  <c r="BI424" i="5"/>
  <c r="J339" i="5"/>
  <c r="BH315" i="5"/>
  <c r="AD315" i="5" s="1"/>
  <c r="BH284" i="5"/>
  <c r="AD284" i="5" s="1"/>
  <c r="BI200" i="5"/>
  <c r="AE200" i="5" s="1"/>
  <c r="BH39" i="5"/>
  <c r="BH589" i="5"/>
  <c r="AD589" i="5" s="1"/>
  <c r="AX299" i="5"/>
  <c r="BC299" i="5" s="1"/>
  <c r="AK260" i="5"/>
  <c r="AV75" i="5"/>
  <c r="AX181" i="5"/>
  <c r="BH523" i="5"/>
  <c r="AD523" i="5" s="1"/>
  <c r="BH653" i="5"/>
  <c r="AD653" i="5" s="1"/>
  <c r="K609" i="5"/>
  <c r="AK456" i="5"/>
  <c r="K397" i="5"/>
  <c r="BH343" i="5"/>
  <c r="AD343" i="5" s="1"/>
  <c r="J247" i="5"/>
  <c r="BC274" i="5"/>
  <c r="BC282" i="5"/>
  <c r="L249" i="1"/>
  <c r="L470" i="1"/>
  <c r="AX397" i="5"/>
  <c r="BH647" i="5"/>
  <c r="BH614" i="5"/>
  <c r="AB614" i="5" s="1"/>
  <c r="J441" i="5"/>
  <c r="AW653" i="5"/>
  <c r="AV653" i="5" s="1"/>
  <c r="AK580" i="5"/>
  <c r="K410" i="5"/>
  <c r="M382" i="5"/>
  <c r="BH179" i="5"/>
  <c r="AD179" i="5" s="1"/>
  <c r="AW134" i="5"/>
  <c r="BH71" i="5"/>
  <c r="AD71" i="5" s="1"/>
  <c r="AK515" i="5"/>
  <c r="J70" i="5"/>
  <c r="BH422" i="5"/>
  <c r="AD422" i="5" s="1"/>
  <c r="L477" i="1"/>
  <c r="M462" i="5"/>
  <c r="L595" i="1"/>
  <c r="L592" i="1" s="1"/>
  <c r="K274" i="5"/>
  <c r="L669" i="5"/>
  <c r="AW594" i="5"/>
  <c r="AX582" i="5"/>
  <c r="AW422" i="5"/>
  <c r="BI384" i="5"/>
  <c r="AE384" i="5" s="1"/>
  <c r="BH387" i="5"/>
  <c r="AD387" i="5" s="1"/>
  <c r="M405" i="5"/>
  <c r="K310" i="5"/>
  <c r="BI272" i="5"/>
  <c r="AE272" i="5" s="1"/>
  <c r="BH231" i="5"/>
  <c r="AD231" i="5" s="1"/>
  <c r="L60" i="5"/>
  <c r="AW26" i="5"/>
  <c r="BC26" i="5" s="1"/>
  <c r="BH345" i="5"/>
  <c r="AD345" i="5" s="1"/>
  <c r="L451" i="1"/>
  <c r="AX134" i="5"/>
  <c r="J487" i="5"/>
  <c r="AK505" i="5"/>
  <c r="BI377" i="5"/>
  <c r="AE377" i="5" s="1"/>
  <c r="AX116" i="5"/>
  <c r="AV116" i="5" s="1"/>
  <c r="AX178" i="5"/>
  <c r="BI274" i="5"/>
  <c r="AE274" i="5" s="1"/>
  <c r="AV635" i="5"/>
  <c r="BH459" i="5"/>
  <c r="AD459" i="5" s="1"/>
  <c r="K384" i="5"/>
  <c r="AX493" i="5"/>
  <c r="BC493" i="5" s="1"/>
  <c r="BH487" i="5"/>
  <c r="AD487" i="5" s="1"/>
  <c r="AX354" i="5"/>
  <c r="BC354" i="5" s="1"/>
  <c r="J403" i="5"/>
  <c r="AX293" i="5"/>
  <c r="J270" i="5"/>
  <c r="BI642" i="5"/>
  <c r="AC642" i="5" s="1"/>
  <c r="M581" i="5"/>
  <c r="AW400" i="5"/>
  <c r="BC400" i="5" s="1"/>
  <c r="AW403" i="5"/>
  <c r="BC403" i="5" s="1"/>
  <c r="AX327" i="5"/>
  <c r="BC327" i="5" s="1"/>
  <c r="K314" i="5"/>
  <c r="AV272" i="5"/>
  <c r="K87" i="5"/>
  <c r="AX602" i="5"/>
  <c r="AV602" i="5" s="1"/>
  <c r="AX383" i="5"/>
  <c r="BC383" i="5" s="1"/>
  <c r="K622" i="5"/>
  <c r="AK626" i="5"/>
  <c r="BH485" i="5"/>
  <c r="AD485" i="5" s="1"/>
  <c r="K272" i="5"/>
  <c r="AW419" i="5"/>
  <c r="AV419" i="5" s="1"/>
  <c r="AK112" i="5"/>
  <c r="L572" i="1"/>
  <c r="M465" i="5"/>
  <c r="AV311" i="5"/>
  <c r="M646" i="5"/>
  <c r="BI518" i="5"/>
  <c r="AE518" i="5" s="1"/>
  <c r="J622" i="5"/>
  <c r="J619" i="5"/>
  <c r="M577" i="5"/>
  <c r="BI497" i="5"/>
  <c r="BI323" i="5"/>
  <c r="AE323" i="5" s="1"/>
  <c r="J147" i="5"/>
  <c r="AW55" i="5"/>
  <c r="BC55" i="5" s="1"/>
  <c r="BI493" i="5"/>
  <c r="AE493" i="5" s="1"/>
  <c r="AX543" i="5"/>
  <c r="BC543" i="5" s="1"/>
  <c r="M454" i="5"/>
  <c r="K393" i="5"/>
  <c r="AK350" i="5"/>
  <c r="AV106" i="5"/>
  <c r="J47" i="5"/>
  <c r="BH69" i="5"/>
  <c r="AD69" i="5" s="1"/>
  <c r="J49" i="5"/>
  <c r="K146" i="5"/>
  <c r="AW139" i="5"/>
  <c r="AV139" i="5" s="1"/>
  <c r="L549" i="1"/>
  <c r="BH637" i="5"/>
  <c r="AB637" i="5" s="1"/>
  <c r="J612" i="5"/>
  <c r="J611" i="5" s="1"/>
  <c r="AW423" i="5"/>
  <c r="K454" i="5"/>
  <c r="K391" i="5"/>
  <c r="AW51" i="5"/>
  <c r="AV51" i="5" s="1"/>
  <c r="J334" i="5"/>
  <c r="L553" i="1"/>
  <c r="BH454" i="5"/>
  <c r="AD454" i="5" s="1"/>
  <c r="BI365" i="5"/>
  <c r="AE365" i="5" s="1"/>
  <c r="AX345" i="5"/>
  <c r="BC345" i="5" s="1"/>
  <c r="K17" i="5"/>
  <c r="J107" i="5"/>
  <c r="L509" i="5"/>
  <c r="AX17" i="5"/>
  <c r="AV17" i="5" s="1"/>
  <c r="AX662" i="5"/>
  <c r="BC662" i="5" s="1"/>
  <c r="AX677" i="5"/>
  <c r="J531" i="5"/>
  <c r="AK144" i="5"/>
  <c r="M42" i="5"/>
  <c r="BH136" i="5"/>
  <c r="AD136" i="5" s="1"/>
  <c r="BC75" i="5"/>
  <c r="AX372" i="5"/>
  <c r="AV372" i="5" s="1"/>
  <c r="AW440" i="5"/>
  <c r="M375" i="5"/>
  <c r="K463" i="5"/>
  <c r="BI610" i="5"/>
  <c r="AE610" i="5" s="1"/>
  <c r="BI570" i="5"/>
  <c r="K381" i="5"/>
  <c r="BI411" i="5"/>
  <c r="AE411" i="5" s="1"/>
  <c r="BH451" i="5"/>
  <c r="AW317" i="5"/>
  <c r="BC317" i="5" s="1"/>
  <c r="J214" i="5"/>
  <c r="J51" i="5"/>
  <c r="BH348" i="5"/>
  <c r="AD348" i="5" s="1"/>
  <c r="AW512" i="5"/>
  <c r="AV512" i="5" s="1"/>
  <c r="K638" i="5"/>
  <c r="K597" i="5"/>
  <c r="K505" i="5"/>
  <c r="K372" i="5"/>
  <c r="BI309" i="5"/>
  <c r="AE309" i="5" s="1"/>
  <c r="K276" i="5"/>
  <c r="AW151" i="5"/>
  <c r="BH76" i="5"/>
  <c r="AD76" i="5" s="1"/>
  <c r="M349" i="5"/>
  <c r="AW334" i="5"/>
  <c r="L126" i="1"/>
  <c r="AW630" i="5"/>
  <c r="BC522" i="5"/>
  <c r="J454" i="5"/>
  <c r="BI589" i="5"/>
  <c r="AE589" i="5" s="1"/>
  <c r="AX309" i="5"/>
  <c r="BI293" i="5"/>
  <c r="AE293" i="5" s="1"/>
  <c r="J26" i="5"/>
  <c r="M434" i="5"/>
  <c r="AX32" i="5"/>
  <c r="BC32" i="5" s="1"/>
  <c r="AX570" i="5"/>
  <c r="AV570" i="5" s="1"/>
  <c r="AX670" i="5"/>
  <c r="BC670" i="5" s="1"/>
  <c r="BI594" i="5"/>
  <c r="AE594" i="5" s="1"/>
  <c r="AX567" i="5"/>
  <c r="AV567" i="5" s="1"/>
  <c r="J491" i="5"/>
  <c r="AX388" i="5"/>
  <c r="M356" i="5"/>
  <c r="K403" i="5"/>
  <c r="BH309" i="5"/>
  <c r="AD309" i="5" s="1"/>
  <c r="AK317" i="5"/>
  <c r="BC125" i="5"/>
  <c r="BI191" i="5"/>
  <c r="AE191" i="5" s="1"/>
  <c r="K95" i="5"/>
  <c r="J158" i="5"/>
  <c r="AW19" i="5"/>
  <c r="AV19" i="5" s="1"/>
  <c r="BI306" i="5"/>
  <c r="AE306" i="5" s="1"/>
  <c r="BI178" i="5"/>
  <c r="AE178" i="5" s="1"/>
  <c r="L53" i="1"/>
  <c r="K67" i="5"/>
  <c r="AW612" i="5"/>
  <c r="AW476" i="5"/>
  <c r="BH696" i="5"/>
  <c r="J559" i="5"/>
  <c r="BH491" i="5"/>
  <c r="AD491" i="5" s="1"/>
  <c r="BI403" i="5"/>
  <c r="AE403" i="5" s="1"/>
  <c r="AX70" i="5"/>
  <c r="BI70" i="5"/>
  <c r="AE70" i="5" s="1"/>
  <c r="BC216" i="5"/>
  <c r="J434" i="5"/>
  <c r="AW540" i="5"/>
  <c r="BH559" i="5"/>
  <c r="AB559" i="5" s="1"/>
  <c r="J481" i="5"/>
  <c r="J412" i="5"/>
  <c r="J305" i="5"/>
  <c r="BI319" i="5"/>
  <c r="AE319" i="5" s="1"/>
  <c r="J173" i="5"/>
  <c r="BI204" i="5"/>
  <c r="AE204" i="5" s="1"/>
  <c r="AW211" i="5"/>
  <c r="J93" i="5"/>
  <c r="J42" i="5"/>
  <c r="M66" i="5"/>
  <c r="L447" i="1"/>
  <c r="BH42" i="5"/>
  <c r="AD42" i="5" s="1"/>
  <c r="M61" i="5"/>
  <c r="J32" i="5"/>
  <c r="K383" i="5"/>
  <c r="AX589" i="5"/>
  <c r="BC589" i="5" s="1"/>
  <c r="BH686" i="5"/>
  <c r="K653" i="5"/>
  <c r="AK595" i="5"/>
  <c r="AW520" i="5"/>
  <c r="J512" i="5"/>
  <c r="BH438" i="5"/>
  <c r="AD438" i="5" s="1"/>
  <c r="K385" i="5"/>
  <c r="M420" i="5"/>
  <c r="J348" i="5"/>
  <c r="AX155" i="5"/>
  <c r="AK97" i="5"/>
  <c r="AK443" i="5"/>
  <c r="J264" i="5"/>
  <c r="BH481" i="5"/>
  <c r="AD481" i="5" s="1"/>
  <c r="BI677" i="5"/>
  <c r="AC677" i="5" s="1"/>
  <c r="AX408" i="5"/>
  <c r="BI385" i="5"/>
  <c r="AE385" i="5" s="1"/>
  <c r="BH412" i="5"/>
  <c r="AD412" i="5" s="1"/>
  <c r="BI369" i="5"/>
  <c r="BH263" i="5"/>
  <c r="AD263" i="5" s="1"/>
  <c r="BI185" i="5"/>
  <c r="AE185" i="5" s="1"/>
  <c r="BI89" i="5"/>
  <c r="AE89" i="5" s="1"/>
  <c r="AX319" i="5"/>
  <c r="AX76" i="5"/>
  <c r="AV384" i="5"/>
  <c r="K476" i="5"/>
  <c r="M450" i="5"/>
  <c r="AX638" i="5"/>
  <c r="BC638" i="5" s="1"/>
  <c r="AK511" i="5"/>
  <c r="AX624" i="5"/>
  <c r="BC624" i="5" s="1"/>
  <c r="BI598" i="5"/>
  <c r="AE598" i="5" s="1"/>
  <c r="BI455" i="5"/>
  <c r="AE455" i="5" s="1"/>
  <c r="K392" i="5"/>
  <c r="J340" i="5"/>
  <c r="M377" i="5"/>
  <c r="BH273" i="5"/>
  <c r="AD273" i="5" s="1"/>
  <c r="BH250" i="5"/>
  <c r="AD250" i="5" s="1"/>
  <c r="AX256" i="5"/>
  <c r="BC256" i="5" s="1"/>
  <c r="BI203" i="5"/>
  <c r="AE203" i="5" s="1"/>
  <c r="AW115" i="5"/>
  <c r="BC115" i="5" s="1"/>
  <c r="AK93" i="5"/>
  <c r="AW68" i="5"/>
  <c r="BC68" i="5" s="1"/>
  <c r="BI119" i="5"/>
  <c r="AE119" i="5" s="1"/>
  <c r="AW158" i="5"/>
  <c r="AV158" i="5" s="1"/>
  <c r="BI66" i="5"/>
  <c r="AE66" i="5" s="1"/>
  <c r="BI505" i="5"/>
  <c r="AC505" i="5" s="1"/>
  <c r="M367" i="5"/>
  <c r="M147" i="5"/>
  <c r="K695" i="5"/>
  <c r="J144" i="5"/>
  <c r="AX71" i="5"/>
  <c r="BC71" i="5" s="1"/>
  <c r="BH514" i="5"/>
  <c r="AD514" i="5" s="1"/>
  <c r="BI154" i="5"/>
  <c r="AE154" i="5" s="1"/>
  <c r="L528" i="1"/>
  <c r="BH695" i="5"/>
  <c r="BH643" i="5"/>
  <c r="AB643" i="5" s="1"/>
  <c r="J417" i="5"/>
  <c r="J355" i="5"/>
  <c r="K347" i="5"/>
  <c r="AX230" i="5"/>
  <c r="AV230" i="5" s="1"/>
  <c r="AK203" i="5"/>
  <c r="BH252" i="5"/>
  <c r="AD252" i="5" s="1"/>
  <c r="AX119" i="5"/>
  <c r="BC119" i="5" s="1"/>
  <c r="BI695" i="5"/>
  <c r="AK667" i="5"/>
  <c r="AW654" i="5"/>
  <c r="K634" i="5"/>
  <c r="BH592" i="5"/>
  <c r="AD592" i="5" s="1"/>
  <c r="BI461" i="5"/>
  <c r="AE461" i="5" s="1"/>
  <c r="BI491" i="5"/>
  <c r="AE491" i="5" s="1"/>
  <c r="AX449" i="5"/>
  <c r="AV449" i="5" s="1"/>
  <c r="BH417" i="5"/>
  <c r="AD417" i="5" s="1"/>
  <c r="J415" i="5"/>
  <c r="J375" i="5"/>
  <c r="AK385" i="5"/>
  <c r="BI343" i="5"/>
  <c r="AE343" i="5" s="1"/>
  <c r="BI373" i="5"/>
  <c r="AE373" i="5" s="1"/>
  <c r="AW321" i="5"/>
  <c r="AV321" i="5" s="1"/>
  <c r="AX339" i="5"/>
  <c r="BC339" i="5" s="1"/>
  <c r="AX310" i="5"/>
  <c r="AW252" i="5"/>
  <c r="AV252" i="5" s="1"/>
  <c r="AW197" i="5"/>
  <c r="BC197" i="5" s="1"/>
  <c r="K218" i="5"/>
  <c r="J86" i="5"/>
  <c r="K203" i="5"/>
  <c r="J461" i="5"/>
  <c r="J106" i="5"/>
  <c r="BI62" i="5"/>
  <c r="BH205" i="5"/>
  <c r="AD205" i="5" s="1"/>
  <c r="BH144" i="5"/>
  <c r="AD144" i="5" s="1"/>
  <c r="K101" i="5"/>
  <c r="M421" i="5"/>
  <c r="AX687" i="5"/>
  <c r="J636" i="5"/>
  <c r="K533" i="5"/>
  <c r="AW502" i="5"/>
  <c r="BC502" i="5" s="1"/>
  <c r="K444" i="5"/>
  <c r="BH375" i="5"/>
  <c r="AD375" i="5" s="1"/>
  <c r="AX421" i="5"/>
  <c r="BC421" i="5" s="1"/>
  <c r="AX340" i="5"/>
  <c r="BI206" i="5"/>
  <c r="AE206" i="5" s="1"/>
  <c r="J218" i="5"/>
  <c r="BH77" i="5"/>
  <c r="AD77" i="5" s="1"/>
  <c r="L490" i="1"/>
  <c r="BI458" i="5"/>
  <c r="AE458" i="5" s="1"/>
  <c r="K455" i="5"/>
  <c r="BI421" i="5"/>
  <c r="AE421" i="5" s="1"/>
  <c r="K340" i="5"/>
  <c r="BI137" i="5"/>
  <c r="AE137" i="5" s="1"/>
  <c r="L567" i="1"/>
  <c r="J679" i="5"/>
  <c r="BH502" i="5"/>
  <c r="AB502" i="5" s="1"/>
  <c r="BI525" i="5"/>
  <c r="AE525" i="5" s="1"/>
  <c r="K495" i="5"/>
  <c r="AW171" i="5"/>
  <c r="AW695" i="5"/>
  <c r="BC695" i="5" s="1"/>
  <c r="AK637" i="5"/>
  <c r="K582" i="5"/>
  <c r="K587" i="5"/>
  <c r="K529" i="5"/>
  <c r="J523" i="5"/>
  <c r="AW514" i="5"/>
  <c r="BC514" i="5" s="1"/>
  <c r="BI265" i="5"/>
  <c r="AE265" i="5" s="1"/>
  <c r="J260" i="5"/>
  <c r="BI226" i="5"/>
  <c r="AE226" i="5" s="1"/>
  <c r="J171" i="5"/>
  <c r="M211" i="5"/>
  <c r="BH197" i="5"/>
  <c r="AD197" i="5" s="1"/>
  <c r="BH108" i="5"/>
  <c r="AD108" i="5" s="1"/>
  <c r="AW76" i="5"/>
  <c r="L480" i="1"/>
  <c r="BH644" i="5"/>
  <c r="L394" i="1"/>
  <c r="L393" i="1" s="1"/>
  <c r="AX491" i="5"/>
  <c r="BC491" i="5" s="1"/>
  <c r="AK470" i="5"/>
  <c r="K226" i="5"/>
  <c r="AX206" i="5"/>
  <c r="BC206" i="5" s="1"/>
  <c r="BI529" i="5"/>
  <c r="J644" i="5"/>
  <c r="K230" i="5"/>
  <c r="K516" i="5"/>
  <c r="BI516" i="5"/>
  <c r="J643" i="5"/>
  <c r="BH628" i="5"/>
  <c r="AW614" i="5"/>
  <c r="BC614" i="5" s="1"/>
  <c r="K520" i="5"/>
  <c r="BI463" i="5"/>
  <c r="AE463" i="5" s="1"/>
  <c r="AX448" i="5"/>
  <c r="AV448" i="5" s="1"/>
  <c r="AW414" i="5"/>
  <c r="AV414" i="5" s="1"/>
  <c r="J408" i="5"/>
  <c r="K260" i="5"/>
  <c r="BI260" i="5"/>
  <c r="BH221" i="5"/>
  <c r="AD221" i="5" s="1"/>
  <c r="BH180" i="5"/>
  <c r="AD180" i="5" s="1"/>
  <c r="K500" i="5"/>
  <c r="AX444" i="5"/>
  <c r="BC444" i="5" s="1"/>
  <c r="BI381" i="5"/>
  <c r="AE381" i="5" s="1"/>
  <c r="J321" i="5"/>
  <c r="M401" i="5"/>
  <c r="K358" i="5"/>
  <c r="J234" i="5"/>
  <c r="AW260" i="5"/>
  <c r="AV260" i="5" s="1"/>
  <c r="K222" i="5"/>
  <c r="M250" i="5"/>
  <c r="BI228" i="5"/>
  <c r="AE228" i="5" s="1"/>
  <c r="AX123" i="5"/>
  <c r="AV123" i="5" s="1"/>
  <c r="AX147" i="5"/>
  <c r="BH72" i="5"/>
  <c r="AD72" i="5" s="1"/>
  <c r="J77" i="5"/>
  <c r="BH49" i="5"/>
  <c r="AD49" i="5" s="1"/>
  <c r="BI656" i="5"/>
  <c r="AE656" i="5" s="1"/>
  <c r="BC97" i="5"/>
  <c r="BH47" i="5"/>
  <c r="AD47" i="5" s="1"/>
  <c r="AX34" i="5"/>
  <c r="BC34" i="5" s="1"/>
  <c r="BI661" i="5"/>
  <c r="AE661" i="5" s="1"/>
  <c r="AW409" i="5"/>
  <c r="BC409" i="5" s="1"/>
  <c r="BH234" i="5"/>
  <c r="AD234" i="5" s="1"/>
  <c r="AX246" i="5"/>
  <c r="BC246" i="5" s="1"/>
  <c r="BI190" i="5"/>
  <c r="AE190" i="5" s="1"/>
  <c r="K175" i="5"/>
  <c r="J180" i="5"/>
  <c r="BI147" i="5"/>
  <c r="AE147" i="5" s="1"/>
  <c r="AX318" i="5"/>
  <c r="BH142" i="5"/>
  <c r="AD142" i="5" s="1"/>
  <c r="BI683" i="5"/>
  <c r="AW142" i="5"/>
  <c r="AV142" i="5" s="1"/>
  <c r="K34" i="5"/>
  <c r="BI672" i="5"/>
  <c r="AC672" i="5" s="1"/>
  <c r="BI129" i="5"/>
  <c r="AE129" i="5" s="1"/>
  <c r="AX74" i="5"/>
  <c r="K240" i="5"/>
  <c r="AX137" i="5"/>
  <c r="J134" i="5"/>
  <c r="AX672" i="5"/>
  <c r="BI609" i="5"/>
  <c r="AE609" i="5" s="1"/>
  <c r="J599" i="5"/>
  <c r="BH500" i="5"/>
  <c r="AB500" i="5" s="1"/>
  <c r="AK482" i="5"/>
  <c r="BH488" i="5"/>
  <c r="AD488" i="5" s="1"/>
  <c r="M429" i="5"/>
  <c r="AW408" i="5"/>
  <c r="AX422" i="5"/>
  <c r="BH409" i="5"/>
  <c r="AD409" i="5" s="1"/>
  <c r="BH440" i="5"/>
  <c r="AD440" i="5" s="1"/>
  <c r="BH350" i="5"/>
  <c r="AD350" i="5" s="1"/>
  <c r="BI311" i="5"/>
  <c r="AE311" i="5" s="1"/>
  <c r="M143" i="5"/>
  <c r="AW72" i="5"/>
  <c r="BC72" i="5" s="1"/>
  <c r="L134" i="1"/>
  <c r="K635" i="5"/>
  <c r="J273" i="5"/>
  <c r="K142" i="5"/>
  <c r="M116" i="5"/>
  <c r="J598" i="5"/>
  <c r="J421" i="5"/>
  <c r="J488" i="5"/>
  <c r="J379" i="5"/>
  <c r="BH414" i="5"/>
  <c r="AD414" i="5" s="1"/>
  <c r="AK318" i="5"/>
  <c r="AW215" i="5"/>
  <c r="K74" i="5"/>
  <c r="AW621" i="5"/>
  <c r="K683" i="5"/>
  <c r="BH618" i="5"/>
  <c r="AB618" i="5" s="1"/>
  <c r="AK660" i="5"/>
  <c r="AX594" i="5"/>
  <c r="BH421" i="5"/>
  <c r="AD421" i="5" s="1"/>
  <c r="J515" i="5"/>
  <c r="K422" i="5"/>
  <c r="K418" i="5"/>
  <c r="BH379" i="5"/>
  <c r="AD379" i="5" s="1"/>
  <c r="BH357" i="5"/>
  <c r="AD357" i="5" s="1"/>
  <c r="M442" i="5"/>
  <c r="BI353" i="5"/>
  <c r="AE353" i="5" s="1"/>
  <c r="AW250" i="5"/>
  <c r="M325" i="5"/>
  <c r="K250" i="5"/>
  <c r="BH256" i="5"/>
  <c r="AD256" i="5" s="1"/>
  <c r="BH215" i="5"/>
  <c r="AD215" i="5" s="1"/>
  <c r="AV172" i="5"/>
  <c r="BH153" i="5"/>
  <c r="AD153" i="5" s="1"/>
  <c r="BH45" i="5"/>
  <c r="AD45" i="5" s="1"/>
  <c r="AV522" i="5"/>
  <c r="BI635" i="5"/>
  <c r="AC635" i="5" s="1"/>
  <c r="L36" i="1"/>
  <c r="L32" i="1" s="1"/>
  <c r="J71" i="5"/>
  <c r="J646" i="5"/>
  <c r="BH679" i="5"/>
  <c r="AB679" i="5" s="1"/>
  <c r="BH610" i="5"/>
  <c r="AD610" i="5" s="1"/>
  <c r="J642" i="5"/>
  <c r="BI418" i="5"/>
  <c r="AE418" i="5" s="1"/>
  <c r="BC98" i="5"/>
  <c r="M178" i="5"/>
  <c r="BH642" i="5"/>
  <c r="AB642" i="5" s="1"/>
  <c r="K598" i="5"/>
  <c r="AK618" i="5"/>
  <c r="J563" i="5"/>
  <c r="AX572" i="5"/>
  <c r="BC572" i="5" s="1"/>
  <c r="K572" i="5"/>
  <c r="J546" i="5"/>
  <c r="J545" i="5" s="1"/>
  <c r="K462" i="5"/>
  <c r="BI345" i="5"/>
  <c r="AE345" i="5" s="1"/>
  <c r="BH217" i="5"/>
  <c r="AD217" i="5" s="1"/>
  <c r="AW209" i="5"/>
  <c r="AV209" i="5" s="1"/>
  <c r="BH109" i="5"/>
  <c r="L83" i="1"/>
  <c r="K66" i="5"/>
  <c r="BI579" i="5"/>
  <c r="AC579" i="5" s="1"/>
  <c r="BI522" i="5"/>
  <c r="AE522" i="5" s="1"/>
  <c r="BH585" i="5"/>
  <c r="AB585" i="5" s="1"/>
  <c r="M345" i="5"/>
  <c r="AX211" i="5"/>
  <c r="BI318" i="5"/>
  <c r="AE318" i="5" s="1"/>
  <c r="K32" i="5"/>
  <c r="BH207" i="5"/>
  <c r="AD207" i="5" s="1"/>
  <c r="AW208" i="5"/>
  <c r="BC208" i="5" s="1"/>
  <c r="J208" i="5"/>
  <c r="J209" i="5"/>
  <c r="AV350" i="5"/>
  <c r="BC350" i="5"/>
  <c r="BC117" i="5"/>
  <c r="AV117" i="5"/>
  <c r="BC219" i="5"/>
  <c r="AV219" i="5"/>
  <c r="AV585" i="5"/>
  <c r="BC585" i="5"/>
  <c r="AV225" i="5"/>
  <c r="BC225" i="5"/>
  <c r="AX508" i="5"/>
  <c r="AK381" i="5"/>
  <c r="BH700" i="5"/>
  <c r="AX682" i="5"/>
  <c r="AK609" i="5"/>
  <c r="BH619" i="5"/>
  <c r="AB619" i="5" s="1"/>
  <c r="AX597" i="5"/>
  <c r="BC597" i="5" s="1"/>
  <c r="BC471" i="5"/>
  <c r="BH540" i="5"/>
  <c r="BH431" i="5"/>
  <c r="AD431" i="5" s="1"/>
  <c r="BH423" i="5"/>
  <c r="AD423" i="5" s="1"/>
  <c r="AX348" i="5"/>
  <c r="BC348" i="5" s="1"/>
  <c r="K311" i="5"/>
  <c r="J217" i="5"/>
  <c r="BC221" i="5"/>
  <c r="J153" i="5"/>
  <c r="BH140" i="5"/>
  <c r="AD140" i="5" s="1"/>
  <c r="J550" i="5"/>
  <c r="J549" i="5" s="1"/>
  <c r="BH216" i="5"/>
  <c r="AD216" i="5" s="1"/>
  <c r="M216" i="5"/>
  <c r="BC384" i="5"/>
  <c r="M230" i="5"/>
  <c r="J345" i="5"/>
  <c r="AK111" i="5"/>
  <c r="L223" i="1"/>
  <c r="AW376" i="5"/>
  <c r="J376" i="5"/>
  <c r="K670" i="5"/>
  <c r="K669" i="5" s="1"/>
  <c r="M679" i="5"/>
  <c r="AX461" i="5"/>
  <c r="AV461" i="5" s="1"/>
  <c r="K447" i="5"/>
  <c r="K559" i="5"/>
  <c r="BI447" i="5"/>
  <c r="AE447" i="5" s="1"/>
  <c r="AX250" i="5"/>
  <c r="AW231" i="5"/>
  <c r="AX81" i="5"/>
  <c r="AV81" i="5" s="1"/>
  <c r="AX82" i="5"/>
  <c r="J168" i="5"/>
  <c r="L457" i="1"/>
  <c r="BH55" i="5"/>
  <c r="AD55" i="5" s="1"/>
  <c r="K550" i="5"/>
  <c r="K549" i="5" s="1"/>
  <c r="AX518" i="5"/>
  <c r="AV518" i="5" s="1"/>
  <c r="AW700" i="5"/>
  <c r="BH349" i="5"/>
  <c r="AD349" i="5" s="1"/>
  <c r="J349" i="5"/>
  <c r="J663" i="5"/>
  <c r="BI660" i="5"/>
  <c r="AE660" i="5" s="1"/>
  <c r="K627" i="5"/>
  <c r="J609" i="5"/>
  <c r="J438" i="5"/>
  <c r="AW441" i="5"/>
  <c r="BC441" i="5" s="1"/>
  <c r="J388" i="5"/>
  <c r="BH280" i="5"/>
  <c r="AD280" i="5" s="1"/>
  <c r="BI276" i="5"/>
  <c r="AE276" i="5" s="1"/>
  <c r="BI242" i="5"/>
  <c r="AE242" i="5" s="1"/>
  <c r="K228" i="5"/>
  <c r="BI175" i="5"/>
  <c r="AE175" i="5" s="1"/>
  <c r="BI142" i="5"/>
  <c r="AE142" i="5" s="1"/>
  <c r="K82" i="5"/>
  <c r="AW53" i="5"/>
  <c r="BC53" i="5" s="1"/>
  <c r="K89" i="5"/>
  <c r="AX78" i="5"/>
  <c r="AV78" i="5" s="1"/>
  <c r="AW550" i="5"/>
  <c r="AW663" i="5"/>
  <c r="J585" i="5"/>
  <c r="L180" i="1"/>
  <c r="K282" i="5"/>
  <c r="BC492" i="5"/>
  <c r="AX242" i="5"/>
  <c r="AV242" i="5" s="1"/>
  <c r="J183" i="5"/>
  <c r="AX111" i="5"/>
  <c r="K81" i="5"/>
  <c r="K78" i="5"/>
  <c r="L516" i="1"/>
  <c r="K60" i="5"/>
  <c r="K660" i="5"/>
  <c r="BI687" i="5"/>
  <c r="BH456" i="5"/>
  <c r="AD456" i="5" s="1"/>
  <c r="BH376" i="5"/>
  <c r="AD376" i="5" s="1"/>
  <c r="AX151" i="5"/>
  <c r="BH219" i="5"/>
  <c r="AX62" i="5"/>
  <c r="AV62" i="5" s="1"/>
  <c r="AW25" i="5"/>
  <c r="BI98" i="5"/>
  <c r="AE98" i="5" s="1"/>
  <c r="K98" i="5"/>
  <c r="J456" i="5"/>
  <c r="J606" i="5"/>
  <c r="AX268" i="5"/>
  <c r="BC268" i="5" s="1"/>
  <c r="O659" i="5"/>
  <c r="BH606" i="5"/>
  <c r="AD606" i="5" s="1"/>
  <c r="BH411" i="5"/>
  <c r="AD411" i="5" s="1"/>
  <c r="AX365" i="5"/>
  <c r="AV365" i="5" s="1"/>
  <c r="BI270" i="5"/>
  <c r="AE270" i="5" s="1"/>
  <c r="BH225" i="5"/>
  <c r="AD225" i="5" s="1"/>
  <c r="AX185" i="5"/>
  <c r="AX171" i="5"/>
  <c r="K113" i="5"/>
  <c r="BH87" i="5"/>
  <c r="AD87" i="5" s="1"/>
  <c r="K151" i="5"/>
  <c r="J45" i="5"/>
  <c r="L439" i="1"/>
  <c r="J25" i="5"/>
  <c r="K219" i="5"/>
  <c r="BI248" i="5"/>
  <c r="AE248" i="5" s="1"/>
  <c r="BI348" i="5"/>
  <c r="AE348" i="5" s="1"/>
  <c r="AW552" i="5"/>
  <c r="AV552" i="5" s="1"/>
  <c r="AV282" i="5"/>
  <c r="J245" i="5"/>
  <c r="K133" i="5"/>
  <c r="BC495" i="5"/>
  <c r="BI559" i="5"/>
  <c r="AC559" i="5" s="1"/>
  <c r="K202" i="5"/>
  <c r="AX550" i="5"/>
  <c r="L559" i="1"/>
  <c r="J567" i="5"/>
  <c r="BC481" i="5"/>
  <c r="J552" i="5"/>
  <c r="AW245" i="5"/>
  <c r="J184" i="5"/>
  <c r="J639" i="5"/>
  <c r="J628" i="5"/>
  <c r="BH567" i="5"/>
  <c r="BI495" i="5"/>
  <c r="AE495" i="5" s="1"/>
  <c r="BH475" i="5"/>
  <c r="AD475" i="5" s="1"/>
  <c r="AW415" i="5"/>
  <c r="BC415" i="5" s="1"/>
  <c r="J383" i="5"/>
  <c r="BI391" i="5"/>
  <c r="AE391" i="5" s="1"/>
  <c r="BI268" i="5"/>
  <c r="AE268" i="5" s="1"/>
  <c r="AW340" i="5"/>
  <c r="AX306" i="5"/>
  <c r="BH265" i="5"/>
  <c r="AD265" i="5" s="1"/>
  <c r="J221" i="5"/>
  <c r="BI254" i="5"/>
  <c r="AE254" i="5" s="1"/>
  <c r="BI202" i="5"/>
  <c r="AE202" i="5" s="1"/>
  <c r="J179" i="5"/>
  <c r="BH218" i="5"/>
  <c r="AD218" i="5" s="1"/>
  <c r="AK107" i="5"/>
  <c r="BH115" i="5"/>
  <c r="AD115" i="5" s="1"/>
  <c r="L280" i="1"/>
  <c r="BH621" i="5"/>
  <c r="AB621" i="5" s="1"/>
  <c r="BI211" i="5"/>
  <c r="L218" i="1"/>
  <c r="BI97" i="5"/>
  <c r="AE97" i="5" s="1"/>
  <c r="AX133" i="5"/>
  <c r="AW107" i="5"/>
  <c r="L582" i="1"/>
  <c r="J686" i="5"/>
  <c r="J640" i="5"/>
  <c r="K576" i="5"/>
  <c r="K449" i="5"/>
  <c r="J265" i="5"/>
  <c r="AW698" i="5"/>
  <c r="BC698" i="5" s="1"/>
  <c r="K508" i="5"/>
  <c r="BI432" i="5"/>
  <c r="AE432" i="5" s="1"/>
  <c r="J216" i="5"/>
  <c r="J157" i="5"/>
  <c r="AK156" i="5"/>
  <c r="BH75" i="5"/>
  <c r="AD75" i="5" s="1"/>
  <c r="BH698" i="5"/>
  <c r="BH656" i="5"/>
  <c r="AD656" i="5" s="1"/>
  <c r="BH677" i="5"/>
  <c r="AB677" i="5" s="1"/>
  <c r="K654" i="5"/>
  <c r="BC635" i="5"/>
  <c r="AX576" i="5"/>
  <c r="BC576" i="5" s="1"/>
  <c r="AW563" i="5"/>
  <c r="BC563" i="5" s="1"/>
  <c r="AX525" i="5"/>
  <c r="AV525" i="5" s="1"/>
  <c r="BH442" i="5"/>
  <c r="AD442" i="5" s="1"/>
  <c r="J470" i="5"/>
  <c r="AX413" i="5"/>
  <c r="BC395" i="5"/>
  <c r="BI354" i="5"/>
  <c r="AE354" i="5" s="1"/>
  <c r="BI299" i="5"/>
  <c r="AE299" i="5" s="1"/>
  <c r="K246" i="5"/>
  <c r="K256" i="5"/>
  <c r="K172" i="5"/>
  <c r="BH157" i="5"/>
  <c r="AD157" i="5" s="1"/>
  <c r="AX121" i="5"/>
  <c r="J207" i="5"/>
  <c r="AW39" i="5"/>
  <c r="AV39" i="5" s="1"/>
  <c r="K76" i="5"/>
  <c r="L57" i="1"/>
  <c r="L541" i="1"/>
  <c r="BI478" i="5"/>
  <c r="AE478" i="5" s="1"/>
  <c r="M195" i="5"/>
  <c r="AX67" i="5"/>
  <c r="AV67" i="5" s="1"/>
  <c r="BI101" i="5"/>
  <c r="AX621" i="5"/>
  <c r="K621" i="5"/>
  <c r="K552" i="5"/>
  <c r="K292" i="5"/>
  <c r="BH184" i="5"/>
  <c r="AD184" i="5" s="1"/>
  <c r="AW639" i="5"/>
  <c r="M478" i="5"/>
  <c r="AX154" i="5"/>
  <c r="BC154" i="5" s="1"/>
  <c r="AW108" i="5"/>
  <c r="AW31" i="5"/>
  <c r="AV31" i="5" s="1"/>
  <c r="BH53" i="5"/>
  <c r="AD53" i="5" s="1"/>
  <c r="BI35" i="5"/>
  <c r="K478" i="5"/>
  <c r="J439" i="5"/>
  <c r="AK141" i="5"/>
  <c r="J75" i="5"/>
  <c r="AK248" i="5"/>
  <c r="M248" i="5"/>
  <c r="O509" i="5"/>
  <c r="BH383" i="5"/>
  <c r="AD383" i="5" s="1"/>
  <c r="J605" i="5"/>
  <c r="BI552" i="5"/>
  <c r="AC552" i="5" s="1"/>
  <c r="AX389" i="5"/>
  <c r="AV389" i="5" s="1"/>
  <c r="BI284" i="5"/>
  <c r="AE284" i="5" s="1"/>
  <c r="BI682" i="5"/>
  <c r="AC682" i="5" s="1"/>
  <c r="AW555" i="5"/>
  <c r="BC555" i="5" s="1"/>
  <c r="M555" i="5"/>
  <c r="BH470" i="5"/>
  <c r="AD470" i="5" s="1"/>
  <c r="AK489" i="5"/>
  <c r="J413" i="5"/>
  <c r="AX427" i="5"/>
  <c r="BC427" i="5" s="1"/>
  <c r="AX292" i="5"/>
  <c r="BC292" i="5" s="1"/>
  <c r="BH227" i="5"/>
  <c r="AD227" i="5" s="1"/>
  <c r="K167" i="5"/>
  <c r="BH682" i="5"/>
  <c r="AB682" i="5" s="1"/>
  <c r="J654" i="5"/>
  <c r="J471" i="5"/>
  <c r="AV465" i="5"/>
  <c r="BI393" i="5"/>
  <c r="AE393" i="5" s="1"/>
  <c r="AX435" i="5"/>
  <c r="AX314" i="5"/>
  <c r="BH268" i="5"/>
  <c r="AD268" i="5" s="1"/>
  <c r="BI339" i="5"/>
  <c r="AE339" i="5" s="1"/>
  <c r="M225" i="5"/>
  <c r="J200" i="5"/>
  <c r="AX218" i="5"/>
  <c r="BC218" i="5" s="1"/>
  <c r="AW182" i="5"/>
  <c r="L508" i="1"/>
  <c r="BH439" i="5"/>
  <c r="AD439" i="5" s="1"/>
  <c r="AW136" i="5"/>
  <c r="K379" i="5"/>
  <c r="BH565" i="5"/>
  <c r="J565" i="5"/>
  <c r="AW388" i="5"/>
  <c r="BH646" i="5"/>
  <c r="AD646" i="5" s="1"/>
  <c r="BH627" i="5"/>
  <c r="M621" i="5"/>
  <c r="BH471" i="5"/>
  <c r="AD471" i="5" s="1"/>
  <c r="AK221" i="5"/>
  <c r="J182" i="5"/>
  <c r="BH68" i="5"/>
  <c r="AD68" i="5" s="1"/>
  <c r="BI111" i="5"/>
  <c r="AE111" i="5" s="1"/>
  <c r="AX379" i="5"/>
  <c r="BC379" i="5" s="1"/>
  <c r="AW349" i="5"/>
  <c r="AV349" i="5" s="1"/>
  <c r="J627" i="5"/>
  <c r="BI389" i="5"/>
  <c r="AE389" i="5" s="1"/>
  <c r="K402" i="5"/>
  <c r="AX254" i="5"/>
  <c r="BC254" i="5" s="1"/>
  <c r="AW599" i="5"/>
  <c r="L15" i="1"/>
  <c r="L76" i="1"/>
  <c r="BH38" i="5"/>
  <c r="AD38" i="5" s="1"/>
  <c r="AW38" i="5"/>
  <c r="J38" i="5"/>
  <c r="J37" i="5" s="1"/>
  <c r="AX341" i="5"/>
  <c r="BC341" i="5" s="1"/>
  <c r="J444" i="5"/>
  <c r="AW435" i="5"/>
  <c r="BI402" i="5"/>
  <c r="AE402" i="5" s="1"/>
  <c r="BI338" i="5"/>
  <c r="AE338" i="5" s="1"/>
  <c r="J90" i="5"/>
  <c r="BC172" i="5"/>
  <c r="L579" i="1"/>
  <c r="AW609" i="5"/>
  <c r="K171" i="5"/>
  <c r="L173" i="1"/>
  <c r="K14" i="5"/>
  <c r="BI14" i="5"/>
  <c r="AE14" i="5" s="1"/>
  <c r="M33" i="5"/>
  <c r="AX24" i="5"/>
  <c r="BC24" i="5" s="1"/>
  <c r="K24" i="5"/>
  <c r="BI30" i="5"/>
  <c r="AE30" i="5" s="1"/>
  <c r="K30" i="5"/>
  <c r="K29" i="5" s="1"/>
  <c r="K28" i="5" s="1"/>
  <c r="M24" i="5"/>
  <c r="L424" i="1"/>
  <c r="L423" i="1" s="1"/>
  <c r="BC228" i="5"/>
  <c r="AV228" i="5"/>
  <c r="AV234" i="5"/>
  <c r="BC234" i="5"/>
  <c r="AV266" i="5"/>
  <c r="BC266" i="5"/>
  <c r="AV604" i="5"/>
  <c r="BC604" i="5"/>
  <c r="AX700" i="5"/>
  <c r="AX190" i="5"/>
  <c r="K183" i="5"/>
  <c r="K201" i="5"/>
  <c r="AW173" i="5"/>
  <c r="AX129" i="5"/>
  <c r="J89" i="5"/>
  <c r="BH188" i="5"/>
  <c r="AD188" i="5" s="1"/>
  <c r="AW147" i="5"/>
  <c r="K104" i="5"/>
  <c r="AX145" i="5"/>
  <c r="BC145" i="5" s="1"/>
  <c r="AW183" i="5"/>
  <c r="BC183" i="5" s="1"/>
  <c r="L254" i="1"/>
  <c r="BI674" i="5"/>
  <c r="AC674" i="5" s="1"/>
  <c r="K674" i="5"/>
  <c r="K673" i="5" s="1"/>
  <c r="K580" i="5"/>
  <c r="BI580" i="5"/>
  <c r="AC580" i="5" s="1"/>
  <c r="AX626" i="5"/>
  <c r="K626" i="5"/>
  <c r="K429" i="5"/>
  <c r="BI429" i="5"/>
  <c r="AE429" i="5" s="1"/>
  <c r="BI346" i="5"/>
  <c r="AE346" i="5" s="1"/>
  <c r="K346" i="5"/>
  <c r="AX346" i="5"/>
  <c r="BC346" i="5" s="1"/>
  <c r="AK447" i="5"/>
  <c r="M447" i="5"/>
  <c r="BH557" i="5"/>
  <c r="AB557" i="5" s="1"/>
  <c r="AW557" i="5"/>
  <c r="J557" i="5"/>
  <c r="BI437" i="5"/>
  <c r="AE437" i="5" s="1"/>
  <c r="K437" i="5"/>
  <c r="AW404" i="5"/>
  <c r="BH404" i="5"/>
  <c r="AD404" i="5" s="1"/>
  <c r="J404" i="5"/>
  <c r="BI400" i="5"/>
  <c r="AE400" i="5" s="1"/>
  <c r="K400" i="5"/>
  <c r="AW359" i="5"/>
  <c r="AV359" i="5" s="1"/>
  <c r="J359" i="5"/>
  <c r="J189" i="5"/>
  <c r="BH189" i="5"/>
  <c r="AD189" i="5" s="1"/>
  <c r="BH397" i="5"/>
  <c r="AW397" i="5"/>
  <c r="J397" i="5"/>
  <c r="BH287" i="5"/>
  <c r="AD287" i="5" s="1"/>
  <c r="J287" i="5"/>
  <c r="BH44" i="5"/>
  <c r="AD44" i="5" s="1"/>
  <c r="AW44" i="5"/>
  <c r="J44" i="5"/>
  <c r="BI47" i="5"/>
  <c r="AE47" i="5" s="1"/>
  <c r="K47" i="5"/>
  <c r="BH241" i="5"/>
  <c r="AD241" i="5" s="1"/>
  <c r="AW241" i="5"/>
  <c r="F37" i="4"/>
  <c r="I37" i="4" s="1"/>
  <c r="I45" i="4" s="1"/>
  <c r="I24" i="3" s="1"/>
  <c r="AW605" i="5"/>
  <c r="BC605" i="5" s="1"/>
  <c r="K600" i="5"/>
  <c r="J580" i="5"/>
  <c r="K489" i="5"/>
  <c r="BH493" i="5"/>
  <c r="AD493" i="5" s="1"/>
  <c r="BI488" i="5"/>
  <c r="AE488" i="5" s="1"/>
  <c r="J495" i="5"/>
  <c r="BI436" i="5"/>
  <c r="AE436" i="5" s="1"/>
  <c r="AK503" i="5"/>
  <c r="AX377" i="5"/>
  <c r="BC377" i="5" s="1"/>
  <c r="BI413" i="5"/>
  <c r="AE413" i="5" s="1"/>
  <c r="BH435" i="5"/>
  <c r="AD435" i="5" s="1"/>
  <c r="BI409" i="5"/>
  <c r="AE409" i="5" s="1"/>
  <c r="BH358" i="5"/>
  <c r="AD358" i="5" s="1"/>
  <c r="J402" i="5"/>
  <c r="BH347" i="5"/>
  <c r="AD347" i="5" s="1"/>
  <c r="AW331" i="5"/>
  <c r="AV331" i="5" s="1"/>
  <c r="AW333" i="5"/>
  <c r="BC333" i="5" s="1"/>
  <c r="K286" i="5"/>
  <c r="AX238" i="5"/>
  <c r="AV238" i="5" s="1"/>
  <c r="K700" i="5"/>
  <c r="K699" i="5" s="1"/>
  <c r="AW636" i="5"/>
  <c r="AV636" i="5" s="1"/>
  <c r="BI600" i="5"/>
  <c r="J626" i="5"/>
  <c r="K562" i="5"/>
  <c r="K479" i="5"/>
  <c r="BH516" i="5"/>
  <c r="BH479" i="5"/>
  <c r="AD479" i="5" s="1"/>
  <c r="AW531" i="5"/>
  <c r="BC531" i="5" s="1"/>
  <c r="J493" i="5"/>
  <c r="AX489" i="5"/>
  <c r="J442" i="5"/>
  <c r="AX520" i="5"/>
  <c r="L469" i="5"/>
  <c r="L468" i="5" s="1"/>
  <c r="AX497" i="5"/>
  <c r="BH495" i="5"/>
  <c r="AD495" i="5" s="1"/>
  <c r="K415" i="5"/>
  <c r="K380" i="5"/>
  <c r="BH419" i="5"/>
  <c r="AD419" i="5" s="1"/>
  <c r="J406" i="5"/>
  <c r="AX407" i="5"/>
  <c r="BH402" i="5"/>
  <c r="AD402" i="5" s="1"/>
  <c r="BH363" i="5"/>
  <c r="BI347" i="5"/>
  <c r="AE347" i="5" s="1"/>
  <c r="K373" i="5"/>
  <c r="BH333" i="5"/>
  <c r="AD333" i="5" s="1"/>
  <c r="BI286" i="5"/>
  <c r="AE286" i="5" s="1"/>
  <c r="BH270" i="5"/>
  <c r="AD270" i="5" s="1"/>
  <c r="BH313" i="5"/>
  <c r="AD313" i="5" s="1"/>
  <c r="AX231" i="5"/>
  <c r="BH214" i="5"/>
  <c r="AD214" i="5" s="1"/>
  <c r="AX179" i="5"/>
  <c r="AV179" i="5" s="1"/>
  <c r="BI183" i="5"/>
  <c r="AE183" i="5" s="1"/>
  <c r="BI201" i="5"/>
  <c r="AE201" i="5" s="1"/>
  <c r="BI166" i="5"/>
  <c r="AE166" i="5" s="1"/>
  <c r="M207" i="5"/>
  <c r="BI104" i="5"/>
  <c r="AE104" i="5" s="1"/>
  <c r="AW113" i="5"/>
  <c r="BH93" i="5"/>
  <c r="AD93" i="5" s="1"/>
  <c r="AX195" i="5"/>
  <c r="BC195" i="5" s="1"/>
  <c r="BI565" i="5"/>
  <c r="K565" i="5"/>
  <c r="AX565" i="5"/>
  <c r="BH625" i="5"/>
  <c r="AW625" i="5"/>
  <c r="J625" i="5"/>
  <c r="AX599" i="5"/>
  <c r="K599" i="5"/>
  <c r="BI404" i="5"/>
  <c r="AE404" i="5" s="1"/>
  <c r="K404" i="5"/>
  <c r="BH366" i="5"/>
  <c r="AD366" i="5" s="1"/>
  <c r="AW366" i="5"/>
  <c r="J366" i="5"/>
  <c r="J369" i="5"/>
  <c r="AW369" i="5"/>
  <c r="BI352" i="5"/>
  <c r="AE352" i="5" s="1"/>
  <c r="K352" i="5"/>
  <c r="BI332" i="5"/>
  <c r="AE332" i="5" s="1"/>
  <c r="AX332" i="5"/>
  <c r="K332" i="5"/>
  <c r="BI326" i="5"/>
  <c r="AE326" i="5" s="1"/>
  <c r="AX326" i="5"/>
  <c r="K326" i="5"/>
  <c r="BI451" i="5"/>
  <c r="AX451" i="5"/>
  <c r="AV451" i="5" s="1"/>
  <c r="K451" i="5"/>
  <c r="BH416" i="5"/>
  <c r="AD416" i="5" s="1"/>
  <c r="J416" i="5"/>
  <c r="J382" i="5"/>
  <c r="BH382" i="5"/>
  <c r="AD382" i="5" s="1"/>
  <c r="AX189" i="5"/>
  <c r="AV189" i="5" s="1"/>
  <c r="K189" i="5"/>
  <c r="BI216" i="5"/>
  <c r="AE216" i="5" s="1"/>
  <c r="K216" i="5"/>
  <c r="K199" i="5"/>
  <c r="AX199" i="5"/>
  <c r="AX127" i="5"/>
  <c r="K127" i="5"/>
  <c r="BI115" i="5"/>
  <c r="AE115" i="5" s="1"/>
  <c r="K115" i="5"/>
  <c r="BH56" i="5"/>
  <c r="AD56" i="5" s="1"/>
  <c r="J56" i="5"/>
  <c r="AW56" i="5"/>
  <c r="J85" i="5"/>
  <c r="J175" i="5"/>
  <c r="BI145" i="5"/>
  <c r="AE145" i="5" s="1"/>
  <c r="BI118" i="5"/>
  <c r="AE118" i="5" s="1"/>
  <c r="BH85" i="5"/>
  <c r="AD85" i="5" s="1"/>
  <c r="K195" i="5"/>
  <c r="L313" i="1"/>
  <c r="L312" i="1" s="1"/>
  <c r="L367" i="1"/>
  <c r="L366" i="1" s="1"/>
  <c r="J14" i="5"/>
  <c r="AW655" i="5"/>
  <c r="J668" i="5"/>
  <c r="J666" i="5" s="1"/>
  <c r="BH668" i="5"/>
  <c r="AD668" i="5" s="1"/>
  <c r="AW668" i="5"/>
  <c r="AW590" i="5"/>
  <c r="J590" i="5"/>
  <c r="BI443" i="5"/>
  <c r="AE443" i="5" s="1"/>
  <c r="AX443" i="5"/>
  <c r="K443" i="5"/>
  <c r="AX595" i="5"/>
  <c r="K595" i="5"/>
  <c r="K563" i="5"/>
  <c r="BI563" i="5"/>
  <c r="BI577" i="5"/>
  <c r="AC577" i="5" s="1"/>
  <c r="AX577" i="5"/>
  <c r="K577" i="5"/>
  <c r="BI471" i="5"/>
  <c r="AE471" i="5" s="1"/>
  <c r="K471" i="5"/>
  <c r="BI368" i="5"/>
  <c r="AE368" i="5" s="1"/>
  <c r="AX368" i="5"/>
  <c r="K368" i="5"/>
  <c r="AW316" i="5"/>
  <c r="BH316" i="5"/>
  <c r="AD316" i="5" s="1"/>
  <c r="AK340" i="5"/>
  <c r="M340" i="5"/>
  <c r="BH293" i="5"/>
  <c r="AD293" i="5" s="1"/>
  <c r="AW293" i="5"/>
  <c r="J293" i="5"/>
  <c r="AK353" i="5"/>
  <c r="M353" i="5"/>
  <c r="J150" i="5"/>
  <c r="AW150" i="5"/>
  <c r="BC150" i="5" s="1"/>
  <c r="BH112" i="5"/>
  <c r="AD112" i="5" s="1"/>
  <c r="J112" i="5"/>
  <c r="BI42" i="5"/>
  <c r="AE42" i="5" s="1"/>
  <c r="K42" i="5"/>
  <c r="AW65" i="5"/>
  <c r="J65" i="5"/>
  <c r="L242" i="1"/>
  <c r="J479" i="5"/>
  <c r="J631" i="5"/>
  <c r="BH607" i="5"/>
  <c r="BI554" i="5"/>
  <c r="AC554" i="5" s="1"/>
  <c r="BI467" i="5"/>
  <c r="J411" i="5"/>
  <c r="K409" i="5"/>
  <c r="J317" i="5"/>
  <c r="BH338" i="5"/>
  <c r="AD338" i="5" s="1"/>
  <c r="BH327" i="5"/>
  <c r="AD327" i="5" s="1"/>
  <c r="BI258" i="5"/>
  <c r="AE258" i="5" s="1"/>
  <c r="K231" i="5"/>
  <c r="K163" i="5"/>
  <c r="AX166" i="5"/>
  <c r="K177" i="5"/>
  <c r="BH175" i="5"/>
  <c r="AD175" i="5" s="1"/>
  <c r="K91" i="5"/>
  <c r="M121" i="5"/>
  <c r="AX535" i="5"/>
  <c r="K535" i="5"/>
  <c r="BI535" i="5"/>
  <c r="AE535" i="5" s="1"/>
  <c r="AX510" i="5"/>
  <c r="AV510" i="5" s="1"/>
  <c r="K510" i="5"/>
  <c r="K509" i="5" s="1"/>
  <c r="AK535" i="5"/>
  <c r="M535" i="5"/>
  <c r="BI555" i="5"/>
  <c r="AC555" i="5" s="1"/>
  <c r="K555" i="5"/>
  <c r="BC478" i="5"/>
  <c r="AV478" i="5"/>
  <c r="BH447" i="5"/>
  <c r="AD447" i="5" s="1"/>
  <c r="J447" i="5"/>
  <c r="AW447" i="5"/>
  <c r="AV447" i="5" s="1"/>
  <c r="BH577" i="5"/>
  <c r="AB577" i="5" s="1"/>
  <c r="J577" i="5"/>
  <c r="AW577" i="5"/>
  <c r="BH310" i="5"/>
  <c r="AD310" i="5" s="1"/>
  <c r="J310" i="5"/>
  <c r="AW310" i="5"/>
  <c r="BI637" i="5"/>
  <c r="AC637" i="5" s="1"/>
  <c r="AX637" i="5"/>
  <c r="AK451" i="5"/>
  <c r="M451" i="5"/>
  <c r="AX361" i="5"/>
  <c r="K361" i="5"/>
  <c r="BI361" i="5"/>
  <c r="AE361" i="5" s="1"/>
  <c r="BH199" i="5"/>
  <c r="AD199" i="5" s="1"/>
  <c r="AW199" i="5"/>
  <c r="J199" i="5"/>
  <c r="J186" i="5"/>
  <c r="BH186" i="5"/>
  <c r="AD186" i="5" s="1"/>
  <c r="AW186" i="5"/>
  <c r="BH353" i="5"/>
  <c r="AD353" i="5" s="1"/>
  <c r="AW353" i="5"/>
  <c r="J353" i="5"/>
  <c r="M185" i="5"/>
  <c r="AK185" i="5"/>
  <c r="BH111" i="5"/>
  <c r="AD111" i="5" s="1"/>
  <c r="AW111" i="5"/>
  <c r="J111" i="5"/>
  <c r="J135" i="5"/>
  <c r="BH135" i="5"/>
  <c r="AD135" i="5" s="1"/>
  <c r="BI65" i="5"/>
  <c r="AE65" i="5" s="1"/>
  <c r="K65" i="5"/>
  <c r="AX65" i="5"/>
  <c r="BH48" i="5"/>
  <c r="AD48" i="5" s="1"/>
  <c r="J48" i="5"/>
  <c r="AW48" i="5"/>
  <c r="BH652" i="5"/>
  <c r="AD652" i="5" s="1"/>
  <c r="BH622" i="5"/>
  <c r="AB622" i="5" s="1"/>
  <c r="K640" i="5"/>
  <c r="J607" i="5"/>
  <c r="BH580" i="5"/>
  <c r="AB580" i="5" s="1"/>
  <c r="K554" i="5"/>
  <c r="BH497" i="5"/>
  <c r="BI539" i="5"/>
  <c r="AE539" i="5" s="1"/>
  <c r="BI500" i="5"/>
  <c r="AC500" i="5" s="1"/>
  <c r="J430" i="5"/>
  <c r="J485" i="5"/>
  <c r="J476" i="5"/>
  <c r="K423" i="5"/>
  <c r="BH430" i="5"/>
  <c r="AD430" i="5" s="1"/>
  <c r="J313" i="5"/>
  <c r="K343" i="5"/>
  <c r="J338" i="5"/>
  <c r="AX300" i="5"/>
  <c r="J263" i="5"/>
  <c r="K258" i="5"/>
  <c r="AX265" i="5"/>
  <c r="AV265" i="5" s="1"/>
  <c r="AW227" i="5"/>
  <c r="BC227" i="5" s="1"/>
  <c r="K238" i="5"/>
  <c r="K179" i="5"/>
  <c r="AX223" i="5"/>
  <c r="BC223" i="5" s="1"/>
  <c r="BI163" i="5"/>
  <c r="AE163" i="5" s="1"/>
  <c r="BH90" i="5"/>
  <c r="AD90" i="5" s="1"/>
  <c r="AW104" i="5"/>
  <c r="BC104" i="5" s="1"/>
  <c r="AX91" i="5"/>
  <c r="AV91" i="5" s="1"/>
  <c r="AW168" i="5"/>
  <c r="AV95" i="5"/>
  <c r="L285" i="1"/>
  <c r="L502" i="1"/>
  <c r="BI667" i="5"/>
  <c r="AE667" i="5" s="1"/>
  <c r="AK662" i="5"/>
  <c r="M662" i="5"/>
  <c r="AW637" i="5"/>
  <c r="AK586" i="5"/>
  <c r="M586" i="5"/>
  <c r="AX644" i="5"/>
  <c r="BC644" i="5" s="1"/>
  <c r="BI644" i="5"/>
  <c r="K644" i="5"/>
  <c r="AX580" i="5"/>
  <c r="AV580" i="5" s="1"/>
  <c r="BH595" i="5"/>
  <c r="AD595" i="5" s="1"/>
  <c r="J595" i="5"/>
  <c r="AW287" i="5"/>
  <c r="AX429" i="5"/>
  <c r="AV429" i="5" s="1"/>
  <c r="AW503" i="5"/>
  <c r="BH503" i="5"/>
  <c r="AB503" i="5" s="1"/>
  <c r="AW320" i="5"/>
  <c r="J320" i="5"/>
  <c r="BH201" i="5"/>
  <c r="AD201" i="5" s="1"/>
  <c r="J201" i="5"/>
  <c r="AW112" i="5"/>
  <c r="BH117" i="5"/>
  <c r="AD117" i="5" s="1"/>
  <c r="J117" i="5"/>
  <c r="BI225" i="5"/>
  <c r="AE225" i="5" s="1"/>
  <c r="K225" i="5"/>
  <c r="BH121" i="5"/>
  <c r="AD121" i="5" s="1"/>
  <c r="J121" i="5"/>
  <c r="AW121" i="5"/>
  <c r="AK65" i="5"/>
  <c r="M65" i="5"/>
  <c r="L273" i="1"/>
  <c r="AK477" i="5"/>
  <c r="M477" i="5"/>
  <c r="BI441" i="5"/>
  <c r="AE441" i="5" s="1"/>
  <c r="K441" i="5"/>
  <c r="BH555" i="5"/>
  <c r="AB555" i="5" s="1"/>
  <c r="BH433" i="5"/>
  <c r="AD433" i="5" s="1"/>
  <c r="J433" i="5"/>
  <c r="AK557" i="5"/>
  <c r="M557" i="5"/>
  <c r="AX515" i="5"/>
  <c r="BC515" i="5" s="1"/>
  <c r="K515" i="5"/>
  <c r="M306" i="5"/>
  <c r="AK306" i="5"/>
  <c r="AX503" i="5"/>
  <c r="K503" i="5"/>
  <c r="AW380" i="5"/>
  <c r="J380" i="5"/>
  <c r="BH380" i="5"/>
  <c r="AD380" i="5" s="1"/>
  <c r="AK455" i="5"/>
  <c r="M455" i="5"/>
  <c r="AX224" i="5"/>
  <c r="BC224" i="5" s="1"/>
  <c r="BI224" i="5"/>
  <c r="AE224" i="5" s="1"/>
  <c r="BH52" i="5"/>
  <c r="AD52" i="5" s="1"/>
  <c r="AW52" i="5"/>
  <c r="J52" i="5"/>
  <c r="BI55" i="5"/>
  <c r="AE55" i="5" s="1"/>
  <c r="K55" i="5"/>
  <c r="AW15" i="5"/>
  <c r="J15" i="5"/>
  <c r="BI51" i="5"/>
  <c r="AE51" i="5" s="1"/>
  <c r="K51" i="5"/>
  <c r="BI19" i="5"/>
  <c r="K19" i="5"/>
  <c r="AK179" i="5"/>
  <c r="M179" i="5"/>
  <c r="BH664" i="5"/>
  <c r="AD664" i="5" s="1"/>
  <c r="J432" i="5"/>
  <c r="AX177" i="5"/>
  <c r="BC177" i="5" s="1"/>
  <c r="AX650" i="5"/>
  <c r="BC650" i="5" s="1"/>
  <c r="K650" i="5"/>
  <c r="K649" i="5" s="1"/>
  <c r="AW586" i="5"/>
  <c r="J586" i="5"/>
  <c r="J496" i="5"/>
  <c r="BH496" i="5"/>
  <c r="AD496" i="5" s="1"/>
  <c r="AK571" i="5"/>
  <c r="M571" i="5"/>
  <c r="AW678" i="5"/>
  <c r="BH678" i="5"/>
  <c r="AB678" i="5" s="1"/>
  <c r="J678" i="5"/>
  <c r="BH604" i="5"/>
  <c r="AD604" i="5" s="1"/>
  <c r="J604" i="5"/>
  <c r="AX431" i="5"/>
  <c r="AV431" i="5" s="1"/>
  <c r="K431" i="5"/>
  <c r="BI431" i="5"/>
  <c r="AE431" i="5" s="1"/>
  <c r="BH360" i="5"/>
  <c r="AD360" i="5" s="1"/>
  <c r="AW360" i="5"/>
  <c r="J360" i="5"/>
  <c r="BI557" i="5"/>
  <c r="AC557" i="5" s="1"/>
  <c r="K557" i="5"/>
  <c r="AX557" i="5"/>
  <c r="AX215" i="5"/>
  <c r="BI215" i="5"/>
  <c r="AE215" i="5" s="1"/>
  <c r="K215" i="5"/>
  <c r="AW306" i="5"/>
  <c r="J306" i="5"/>
  <c r="AW324" i="5"/>
  <c r="BH324" i="5"/>
  <c r="AD324" i="5" s="1"/>
  <c r="AW626" i="5"/>
  <c r="BH467" i="5"/>
  <c r="AW467" i="5"/>
  <c r="AV467" i="5" s="1"/>
  <c r="J467" i="5"/>
  <c r="AX375" i="5"/>
  <c r="BC375" i="5" s="1"/>
  <c r="K375" i="5"/>
  <c r="J202" i="5"/>
  <c r="BH202" i="5"/>
  <c r="AD202" i="5" s="1"/>
  <c r="K252" i="5"/>
  <c r="BI252" i="5"/>
  <c r="AE252" i="5" s="1"/>
  <c r="BH266" i="5"/>
  <c r="J266" i="5"/>
  <c r="K184" i="5"/>
  <c r="BI184" i="5"/>
  <c r="AE184" i="5" s="1"/>
  <c r="K610" i="5"/>
  <c r="J618" i="5"/>
  <c r="L645" i="5"/>
  <c r="BI622" i="5"/>
  <c r="AC622" i="5" s="1"/>
  <c r="AX458" i="5"/>
  <c r="BH444" i="5"/>
  <c r="AD444" i="5" s="1"/>
  <c r="AV495" i="5"/>
  <c r="J475" i="5"/>
  <c r="AX476" i="5"/>
  <c r="BI448" i="5"/>
  <c r="AE448" i="5" s="1"/>
  <c r="AX423" i="5"/>
  <c r="J358" i="5"/>
  <c r="BH432" i="5"/>
  <c r="AD432" i="5" s="1"/>
  <c r="J331" i="5"/>
  <c r="K351" i="5"/>
  <c r="J268" i="5"/>
  <c r="BI222" i="5"/>
  <c r="AE222" i="5" s="1"/>
  <c r="BI244" i="5"/>
  <c r="AE244" i="5" s="1"/>
  <c r="AW188" i="5"/>
  <c r="BC188" i="5" s="1"/>
  <c r="BH86" i="5"/>
  <c r="AD86" i="5" s="1"/>
  <c r="BI210" i="5"/>
  <c r="AE210" i="5" s="1"/>
  <c r="BH104" i="5"/>
  <c r="AD104" i="5" s="1"/>
  <c r="L110" i="5"/>
  <c r="L531" i="1"/>
  <c r="L409" i="1"/>
  <c r="L408" i="1" s="1"/>
  <c r="BH650" i="5"/>
  <c r="AD650" i="5" s="1"/>
  <c r="J650" i="5"/>
  <c r="J649" i="5" s="1"/>
  <c r="BI581" i="5"/>
  <c r="AC581" i="5" s="1"/>
  <c r="AX581" i="5"/>
  <c r="K581" i="5"/>
  <c r="AX655" i="5"/>
  <c r="K655" i="5"/>
  <c r="AX678" i="5"/>
  <c r="K678" i="5"/>
  <c r="BI678" i="5"/>
  <c r="AC678" i="5" s="1"/>
  <c r="BI571" i="5"/>
  <c r="K571" i="5"/>
  <c r="AX571" i="5"/>
  <c r="M400" i="5"/>
  <c r="K445" i="5"/>
  <c r="BI445" i="5"/>
  <c r="AE445" i="5" s="1"/>
  <c r="AW203" i="5"/>
  <c r="BC203" i="5" s="1"/>
  <c r="J203" i="5"/>
  <c r="AX437" i="5"/>
  <c r="AV437" i="5" s="1"/>
  <c r="BH332" i="5"/>
  <c r="AD332" i="5" s="1"/>
  <c r="J332" i="5"/>
  <c r="AW332" i="5"/>
  <c r="AW455" i="5"/>
  <c r="BH455" i="5"/>
  <c r="AD455" i="5" s="1"/>
  <c r="BI182" i="5"/>
  <c r="AE182" i="5" s="1"/>
  <c r="AX182" i="5"/>
  <c r="K182" i="5"/>
  <c r="L306" i="1"/>
  <c r="J127" i="5"/>
  <c r="AW127" i="5"/>
  <c r="AV688" i="5"/>
  <c r="BC688" i="5"/>
  <c r="AV358" i="5"/>
  <c r="BC358" i="5"/>
  <c r="BC204" i="5"/>
  <c r="AV204" i="5"/>
  <c r="BC14" i="5"/>
  <c r="AV14" i="5"/>
  <c r="BC200" i="5"/>
  <c r="AV200" i="5"/>
  <c r="AV284" i="5"/>
  <c r="BC284" i="5"/>
  <c r="BC325" i="5"/>
  <c r="AV325" i="5"/>
  <c r="BC194" i="5"/>
  <c r="AV194" i="5"/>
  <c r="BC338" i="5"/>
  <c r="AV338" i="5"/>
  <c r="BC475" i="5"/>
  <c r="AV475" i="5"/>
  <c r="BC343" i="5"/>
  <c r="AV343" i="5"/>
  <c r="AV642" i="5"/>
  <c r="BC642" i="5"/>
  <c r="BH578" i="5"/>
  <c r="AB578" i="5" s="1"/>
  <c r="O547" i="5"/>
  <c r="BF548" i="5"/>
  <c r="AK488" i="5"/>
  <c r="M488" i="5"/>
  <c r="J554" i="5"/>
  <c r="BH554" i="5"/>
  <c r="AB554" i="5" s="1"/>
  <c r="K521" i="5"/>
  <c r="BI521" i="5"/>
  <c r="AE521" i="5" s="1"/>
  <c r="AX521" i="5"/>
  <c r="BF603" i="5"/>
  <c r="O601" i="5"/>
  <c r="M525" i="5"/>
  <c r="AK525" i="5"/>
  <c r="AK486" i="5"/>
  <c r="M486" i="5"/>
  <c r="K474" i="5"/>
  <c r="AX474" i="5"/>
  <c r="BI474" i="5"/>
  <c r="AE474" i="5" s="1"/>
  <c r="M502" i="5"/>
  <c r="AK502" i="5"/>
  <c r="M540" i="5"/>
  <c r="AK540" i="5"/>
  <c r="O530" i="5"/>
  <c r="AV433" i="5"/>
  <c r="BC433" i="5"/>
  <c r="AK474" i="5"/>
  <c r="M474" i="5"/>
  <c r="M559" i="5"/>
  <c r="AK559" i="5"/>
  <c r="AK495" i="5"/>
  <c r="M495" i="5"/>
  <c r="M431" i="5"/>
  <c r="AK431" i="5"/>
  <c r="M428" i="5"/>
  <c r="AK428" i="5"/>
  <c r="M463" i="5"/>
  <c r="AK463" i="5"/>
  <c r="J458" i="5"/>
  <c r="BH458" i="5"/>
  <c r="AD458" i="5" s="1"/>
  <c r="AW458" i="5"/>
  <c r="BI430" i="5"/>
  <c r="AE430" i="5" s="1"/>
  <c r="K430" i="5"/>
  <c r="AX430" i="5"/>
  <c r="BC430" i="5" s="1"/>
  <c r="AK422" i="5"/>
  <c r="M422" i="5"/>
  <c r="BH405" i="5"/>
  <c r="AD405" i="5" s="1"/>
  <c r="J405" i="5"/>
  <c r="AW405" i="5"/>
  <c r="AK397" i="5"/>
  <c r="M397" i="5"/>
  <c r="AV506" i="5"/>
  <c r="BC506" i="5"/>
  <c r="AK310" i="5"/>
  <c r="M310" i="5"/>
  <c r="AK412" i="5"/>
  <c r="M412" i="5"/>
  <c r="BH457" i="5"/>
  <c r="AD457" i="5" s="1"/>
  <c r="J457" i="5"/>
  <c r="M402" i="5"/>
  <c r="AK402" i="5"/>
  <c r="AK329" i="5"/>
  <c r="M329" i="5"/>
  <c r="AK320" i="5"/>
  <c r="M320" i="5"/>
  <c r="AK312" i="5"/>
  <c r="M312" i="5"/>
  <c r="AX324" i="5"/>
  <c r="BI324" i="5"/>
  <c r="AE324" i="5" s="1"/>
  <c r="K324" i="5"/>
  <c r="AK321" i="5"/>
  <c r="M321" i="5"/>
  <c r="M295" i="5"/>
  <c r="AK295" i="5"/>
  <c r="AK251" i="5"/>
  <c r="M251" i="5"/>
  <c r="AK299" i="5"/>
  <c r="M299" i="5"/>
  <c r="M269" i="5"/>
  <c r="AK269" i="5"/>
  <c r="M291" i="5"/>
  <c r="AK291" i="5"/>
  <c r="AK245" i="5"/>
  <c r="M245" i="5"/>
  <c r="AK333" i="5"/>
  <c r="M333" i="5"/>
  <c r="BI313" i="5"/>
  <c r="AE313" i="5" s="1"/>
  <c r="K313" i="5"/>
  <c r="M293" i="5"/>
  <c r="AK293" i="5"/>
  <c r="AK266" i="5"/>
  <c r="M266" i="5"/>
  <c r="BI237" i="5"/>
  <c r="AE237" i="5" s="1"/>
  <c r="AX237" i="5"/>
  <c r="K237" i="5"/>
  <c r="BH301" i="5"/>
  <c r="J301" i="5"/>
  <c r="BI236" i="5"/>
  <c r="AE236" i="5" s="1"/>
  <c r="K236" i="5"/>
  <c r="M254" i="5"/>
  <c r="AK254" i="5"/>
  <c r="AX247" i="5"/>
  <c r="K247" i="5"/>
  <c r="BI247" i="5"/>
  <c r="AE247" i="5" s="1"/>
  <c r="BI241" i="5"/>
  <c r="AE241" i="5" s="1"/>
  <c r="AX241" i="5"/>
  <c r="K241" i="5"/>
  <c r="AK224" i="5"/>
  <c r="M224" i="5"/>
  <c r="M176" i="5"/>
  <c r="AK176" i="5"/>
  <c r="L170" i="5"/>
  <c r="AK171" i="5"/>
  <c r="M171" i="5"/>
  <c r="AK138" i="5"/>
  <c r="M138" i="5"/>
  <c r="AK86" i="5"/>
  <c r="M86" i="5"/>
  <c r="K193" i="5"/>
  <c r="AX193" i="5"/>
  <c r="AK172" i="5"/>
  <c r="M172" i="5"/>
  <c r="M209" i="5"/>
  <c r="AK209" i="5"/>
  <c r="BC236" i="5"/>
  <c r="M134" i="5"/>
  <c r="AK134" i="5"/>
  <c r="AK48" i="5"/>
  <c r="M48" i="5"/>
  <c r="BC207" i="5"/>
  <c r="AV207" i="5"/>
  <c r="BH61" i="5"/>
  <c r="AD61" i="5" s="1"/>
  <c r="J61" i="5"/>
  <c r="J60" i="5" s="1"/>
  <c r="AW61" i="5"/>
  <c r="M108" i="5"/>
  <c r="AK108" i="5"/>
  <c r="K173" i="5"/>
  <c r="BI173" i="5"/>
  <c r="AE173" i="5" s="1"/>
  <c r="AK145" i="5"/>
  <c r="M145" i="5"/>
  <c r="BI83" i="5"/>
  <c r="K83" i="5"/>
  <c r="AK50" i="5"/>
  <c r="M50" i="5"/>
  <c r="AK240" i="5"/>
  <c r="M240" i="5"/>
  <c r="BC42" i="5"/>
  <c r="AV42" i="5"/>
  <c r="AK15" i="5"/>
  <c r="M15" i="5"/>
  <c r="AK88" i="5"/>
  <c r="M88" i="5"/>
  <c r="BH50" i="5"/>
  <c r="AD50" i="5" s="1"/>
  <c r="J50" i="5"/>
  <c r="AK139" i="5"/>
  <c r="M139" i="5"/>
  <c r="BC505" i="5"/>
  <c r="AV505" i="5"/>
  <c r="BI679" i="5"/>
  <c r="AC679" i="5" s="1"/>
  <c r="K679" i="5"/>
  <c r="BH693" i="5"/>
  <c r="J693" i="5"/>
  <c r="J692" i="5" s="1"/>
  <c r="AW693" i="5"/>
  <c r="BC634" i="5"/>
  <c r="AV634" i="5"/>
  <c r="BH640" i="5"/>
  <c r="M657" i="5"/>
  <c r="AK657" i="5"/>
  <c r="AK636" i="5"/>
  <c r="M636" i="5"/>
  <c r="AK627" i="5"/>
  <c r="M627" i="5"/>
  <c r="M624" i="5"/>
  <c r="L623" i="5"/>
  <c r="AK624" i="5"/>
  <c r="AK614" i="5"/>
  <c r="AT613" i="5" s="1"/>
  <c r="M614" i="5"/>
  <c r="M613" i="5" s="1"/>
  <c r="L613" i="5"/>
  <c r="M619" i="5"/>
  <c r="AK619" i="5"/>
  <c r="AW582" i="5"/>
  <c r="M592" i="5"/>
  <c r="M591" i="5" s="1"/>
  <c r="L591" i="5"/>
  <c r="AK592" i="5"/>
  <c r="AT591" i="5" s="1"/>
  <c r="M584" i="5"/>
  <c r="L583" i="5"/>
  <c r="AK584" i="5"/>
  <c r="BC562" i="5"/>
  <c r="AV562" i="5"/>
  <c r="AK569" i="5"/>
  <c r="M569" i="5"/>
  <c r="AK554" i="5"/>
  <c r="M554" i="5"/>
  <c r="K578" i="5"/>
  <c r="BI569" i="5"/>
  <c r="J505" i="5"/>
  <c r="K492" i="5"/>
  <c r="J603" i="5"/>
  <c r="AK539" i="5"/>
  <c r="M539" i="5"/>
  <c r="BI548" i="5"/>
  <c r="AC548" i="5" s="1"/>
  <c r="K548" i="5"/>
  <c r="K547" i="5" s="1"/>
  <c r="AX470" i="5"/>
  <c r="BC470" i="5" s="1"/>
  <c r="K470" i="5"/>
  <c r="BI470" i="5"/>
  <c r="AE470" i="5" s="1"/>
  <c r="AK441" i="5"/>
  <c r="M441" i="5"/>
  <c r="BC462" i="5"/>
  <c r="AV462" i="5"/>
  <c r="K459" i="5"/>
  <c r="BI459" i="5"/>
  <c r="AE459" i="5" s="1"/>
  <c r="AX459" i="5"/>
  <c r="BC459" i="5" s="1"/>
  <c r="AK458" i="5"/>
  <c r="M458" i="5"/>
  <c r="AK436" i="5"/>
  <c r="M436" i="5"/>
  <c r="BH428" i="5"/>
  <c r="AD428" i="5" s="1"/>
  <c r="AW428" i="5"/>
  <c r="J428" i="5"/>
  <c r="BH525" i="5"/>
  <c r="AD525" i="5" s="1"/>
  <c r="J525" i="5"/>
  <c r="BH450" i="5"/>
  <c r="AD450" i="5" s="1"/>
  <c r="J450" i="5"/>
  <c r="AW450" i="5"/>
  <c r="BI416" i="5"/>
  <c r="AE416" i="5" s="1"/>
  <c r="AX416" i="5"/>
  <c r="K416" i="5"/>
  <c r="BI405" i="5"/>
  <c r="AE405" i="5" s="1"/>
  <c r="K405" i="5"/>
  <c r="AX405" i="5"/>
  <c r="AK418" i="5"/>
  <c r="M418" i="5"/>
  <c r="BC381" i="5"/>
  <c r="AV381" i="5"/>
  <c r="O551" i="5"/>
  <c r="BF552" i="5"/>
  <c r="AK388" i="5"/>
  <c r="M388" i="5"/>
  <c r="M368" i="5"/>
  <c r="AK368" i="5"/>
  <c r="M514" i="5"/>
  <c r="L513" i="5"/>
  <c r="AK514" i="5"/>
  <c r="BC411" i="5"/>
  <c r="AV411" i="5"/>
  <c r="AW486" i="5"/>
  <c r="BH486" i="5"/>
  <c r="AD486" i="5" s="1"/>
  <c r="J486" i="5"/>
  <c r="AK392" i="5"/>
  <c r="M392" i="5"/>
  <c r="AK432" i="5"/>
  <c r="M432" i="5"/>
  <c r="K406" i="5"/>
  <c r="AW406" i="5"/>
  <c r="J386" i="5"/>
  <c r="BH386" i="5"/>
  <c r="AD386" i="5" s="1"/>
  <c r="J377" i="5"/>
  <c r="BH377" i="5"/>
  <c r="AD377" i="5" s="1"/>
  <c r="BH367" i="5"/>
  <c r="AD367" i="5" s="1"/>
  <c r="J367" i="5"/>
  <c r="AW367" i="5"/>
  <c r="AX440" i="5"/>
  <c r="L399" i="5"/>
  <c r="AX457" i="5"/>
  <c r="BI457" i="5"/>
  <c r="AE457" i="5" s="1"/>
  <c r="M389" i="5"/>
  <c r="AK389" i="5"/>
  <c r="AK347" i="5"/>
  <c r="M347" i="5"/>
  <c r="AK365" i="5"/>
  <c r="M365" i="5"/>
  <c r="L364" i="5"/>
  <c r="M363" i="5"/>
  <c r="AK363" i="5"/>
  <c r="BI462" i="5"/>
  <c r="AE462" i="5" s="1"/>
  <c r="BH394" i="5"/>
  <c r="AD394" i="5" s="1"/>
  <c r="J394" i="5"/>
  <c r="AK284" i="5"/>
  <c r="M284" i="5"/>
  <c r="AK247" i="5"/>
  <c r="M247" i="5"/>
  <c r="AK357" i="5"/>
  <c r="M357" i="5"/>
  <c r="AK319" i="5"/>
  <c r="M319" i="5"/>
  <c r="AK313" i="5"/>
  <c r="M313" i="5"/>
  <c r="AX287" i="5"/>
  <c r="K287" i="5"/>
  <c r="BI287" i="5"/>
  <c r="AE287" i="5" s="1"/>
  <c r="AK241" i="5"/>
  <c r="M241" i="5"/>
  <c r="L308" i="5"/>
  <c r="M246" i="5"/>
  <c r="AK246" i="5"/>
  <c r="BI235" i="5"/>
  <c r="AE235" i="5" s="1"/>
  <c r="AX235" i="5"/>
  <c r="K235" i="5"/>
  <c r="AW235" i="5"/>
  <c r="J235" i="5"/>
  <c r="BH235" i="5"/>
  <c r="AD235" i="5" s="1"/>
  <c r="M231" i="5"/>
  <c r="AK231" i="5"/>
  <c r="M217" i="5"/>
  <c r="AK217" i="5"/>
  <c r="AK315" i="5"/>
  <c r="M315" i="5"/>
  <c r="BC258" i="5"/>
  <c r="AV258" i="5"/>
  <c r="BH200" i="5"/>
  <c r="AD200" i="5" s="1"/>
  <c r="BC192" i="5"/>
  <c r="AV192" i="5"/>
  <c r="BH192" i="5"/>
  <c r="AD192" i="5" s="1"/>
  <c r="AW185" i="5"/>
  <c r="BH185" i="5"/>
  <c r="AD185" i="5" s="1"/>
  <c r="J185" i="5"/>
  <c r="M148" i="5"/>
  <c r="AK148" i="5"/>
  <c r="K188" i="5"/>
  <c r="AK150" i="5"/>
  <c r="M150" i="5"/>
  <c r="M218" i="5"/>
  <c r="AK218" i="5"/>
  <c r="AX164" i="5"/>
  <c r="BC164" i="5" s="1"/>
  <c r="BI164" i="5"/>
  <c r="AE164" i="5" s="1"/>
  <c r="AW210" i="5"/>
  <c r="AK119" i="5"/>
  <c r="M119" i="5"/>
  <c r="BH194" i="5"/>
  <c r="AD194" i="5" s="1"/>
  <c r="AK25" i="5"/>
  <c r="M25" i="5"/>
  <c r="BH190" i="5"/>
  <c r="AD190" i="5" s="1"/>
  <c r="AW190" i="5"/>
  <c r="J190" i="5"/>
  <c r="AW64" i="5"/>
  <c r="M45" i="5"/>
  <c r="AK45" i="5"/>
  <c r="M22" i="5"/>
  <c r="L21" i="5"/>
  <c r="AK22" i="5"/>
  <c r="M118" i="5"/>
  <c r="AK118" i="5"/>
  <c r="AK83" i="5"/>
  <c r="M83" i="5"/>
  <c r="M73" i="5"/>
  <c r="AK73" i="5"/>
  <c r="AK183" i="5"/>
  <c r="M183" i="5"/>
  <c r="J64" i="5"/>
  <c r="AK32" i="5"/>
  <c r="M32" i="5"/>
  <c r="AV167" i="5"/>
  <c r="BC167" i="5"/>
  <c r="BI100" i="5"/>
  <c r="AE100" i="5" s="1"/>
  <c r="K100" i="5"/>
  <c r="M99" i="5"/>
  <c r="AK99" i="5"/>
  <c r="BI92" i="5"/>
  <c r="AE92" i="5" s="1"/>
  <c r="K92" i="5"/>
  <c r="BC73" i="5"/>
  <c r="AV73" i="5"/>
  <c r="BH46" i="5"/>
  <c r="AD46" i="5" s="1"/>
  <c r="J46" i="5"/>
  <c r="BH14" i="5"/>
  <c r="AD14" i="5" s="1"/>
  <c r="M18" i="5"/>
  <c r="AK18" i="5"/>
  <c r="AV628" i="5"/>
  <c r="BC628" i="5"/>
  <c r="AK672" i="5"/>
  <c r="AT671" i="5" s="1"/>
  <c r="M672" i="5"/>
  <c r="M671" i="5" s="1"/>
  <c r="L671" i="5"/>
  <c r="BI668" i="5"/>
  <c r="AE668" i="5" s="1"/>
  <c r="AX668" i="5"/>
  <c r="K668" i="5"/>
  <c r="K666" i="5" s="1"/>
  <c r="BH676" i="5"/>
  <c r="AB676" i="5" s="1"/>
  <c r="J676" i="5"/>
  <c r="AW676" i="5"/>
  <c r="AK640" i="5"/>
  <c r="M640" i="5"/>
  <c r="BF698" i="5"/>
  <c r="O697" i="5"/>
  <c r="AK665" i="5"/>
  <c r="M665" i="5"/>
  <c r="J652" i="5"/>
  <c r="BI676" i="5"/>
  <c r="AC676" i="5" s="1"/>
  <c r="K676" i="5"/>
  <c r="AX676" i="5"/>
  <c r="M635" i="5"/>
  <c r="AK635" i="5"/>
  <c r="K618" i="5"/>
  <c r="M634" i="5"/>
  <c r="L633" i="5"/>
  <c r="AK634" i="5"/>
  <c r="K607" i="5"/>
  <c r="K605" i="5"/>
  <c r="M588" i="5"/>
  <c r="L587" i="5"/>
  <c r="AK588" i="5"/>
  <c r="AW600" i="5"/>
  <c r="J600" i="5"/>
  <c r="AW554" i="5"/>
  <c r="AK576" i="5"/>
  <c r="M576" i="5"/>
  <c r="L575" i="5"/>
  <c r="BI578" i="5"/>
  <c r="AC578" i="5" s="1"/>
  <c r="K569" i="5"/>
  <c r="BH548" i="5"/>
  <c r="AB548" i="5" s="1"/>
  <c r="BC516" i="5"/>
  <c r="AV516" i="5"/>
  <c r="AW489" i="5"/>
  <c r="J521" i="5"/>
  <c r="BH521" i="5"/>
  <c r="AD521" i="5" s="1"/>
  <c r="AW521" i="5"/>
  <c r="M531" i="5"/>
  <c r="AK531" i="5"/>
  <c r="L530" i="5"/>
  <c r="AW603" i="5"/>
  <c r="O587" i="5"/>
  <c r="BF485" i="5"/>
  <c r="O484" i="5"/>
  <c r="BC479" i="5"/>
  <c r="AV479" i="5"/>
  <c r="AK460" i="5"/>
  <c r="M460" i="5"/>
  <c r="M567" i="5"/>
  <c r="AK567" i="5"/>
  <c r="BI540" i="5"/>
  <c r="AK457" i="5"/>
  <c r="M457" i="5"/>
  <c r="AK449" i="5"/>
  <c r="M449" i="5"/>
  <c r="BC442" i="5"/>
  <c r="AV442" i="5"/>
  <c r="AV559" i="5"/>
  <c r="BC559" i="5"/>
  <c r="BC393" i="5"/>
  <c r="AV393" i="5"/>
  <c r="AK491" i="5"/>
  <c r="M491" i="5"/>
  <c r="M459" i="5"/>
  <c r="AK459" i="5"/>
  <c r="J448" i="5"/>
  <c r="BH424" i="5"/>
  <c r="J424" i="5"/>
  <c r="M414" i="5"/>
  <c r="AK414" i="5"/>
  <c r="M501" i="5"/>
  <c r="AK501" i="5"/>
  <c r="BI450" i="5"/>
  <c r="AE450" i="5" s="1"/>
  <c r="K450" i="5"/>
  <c r="AK380" i="5"/>
  <c r="M380" i="5"/>
  <c r="M411" i="5"/>
  <c r="AK411" i="5"/>
  <c r="AX382" i="5"/>
  <c r="K382" i="5"/>
  <c r="BI382" i="5"/>
  <c r="AE382" i="5" s="1"/>
  <c r="M435" i="5"/>
  <c r="AK435" i="5"/>
  <c r="BI486" i="5"/>
  <c r="AE486" i="5" s="1"/>
  <c r="K486" i="5"/>
  <c r="AX486" i="5"/>
  <c r="BC438" i="5"/>
  <c r="AV438" i="5"/>
  <c r="AK372" i="5"/>
  <c r="L371" i="5"/>
  <c r="M372" i="5"/>
  <c r="BI406" i="5"/>
  <c r="AE406" i="5" s="1"/>
  <c r="AK386" i="5"/>
  <c r="M386" i="5"/>
  <c r="BI367" i="5"/>
  <c r="AE367" i="5" s="1"/>
  <c r="K367" i="5"/>
  <c r="AX367" i="5"/>
  <c r="M326" i="5"/>
  <c r="AK326" i="5"/>
  <c r="AV363" i="5"/>
  <c r="BC363" i="5"/>
  <c r="AK351" i="5"/>
  <c r="M351" i="5"/>
  <c r="AV402" i="5"/>
  <c r="BC402" i="5"/>
  <c r="AK376" i="5"/>
  <c r="M376" i="5"/>
  <c r="AK369" i="5"/>
  <c r="M369" i="5"/>
  <c r="AW373" i="5"/>
  <c r="AK348" i="5"/>
  <c r="M348" i="5"/>
  <c r="AX320" i="5"/>
  <c r="BI320" i="5"/>
  <c r="AE320" i="5" s="1"/>
  <c r="K320" i="5"/>
  <c r="AX312" i="5"/>
  <c r="AV312" i="5" s="1"/>
  <c r="BI312" i="5"/>
  <c r="AE312" i="5" s="1"/>
  <c r="K312" i="5"/>
  <c r="AK298" i="5"/>
  <c r="M298" i="5"/>
  <c r="AK327" i="5"/>
  <c r="M327" i="5"/>
  <c r="AK243" i="5"/>
  <c r="M243" i="5"/>
  <c r="AW295" i="5"/>
  <c r="M274" i="5"/>
  <c r="AK274" i="5"/>
  <c r="BI331" i="5"/>
  <c r="AE331" i="5" s="1"/>
  <c r="K331" i="5"/>
  <c r="M339" i="5"/>
  <c r="AK339" i="5"/>
  <c r="M305" i="5"/>
  <c r="AK305" i="5"/>
  <c r="AX304" i="5"/>
  <c r="BC304" i="5" s="1"/>
  <c r="BI304" i="5"/>
  <c r="AE304" i="5" s="1"/>
  <c r="K270" i="5"/>
  <c r="AK237" i="5"/>
  <c r="M237" i="5"/>
  <c r="J284" i="5"/>
  <c r="BI251" i="5"/>
  <c r="AE251" i="5" s="1"/>
  <c r="K251" i="5"/>
  <c r="AX251" i="5"/>
  <c r="AV251" i="5" s="1"/>
  <c r="AK292" i="5"/>
  <c r="M292" i="5"/>
  <c r="BI249" i="5"/>
  <c r="AE249" i="5" s="1"/>
  <c r="K249" i="5"/>
  <c r="AX249" i="5"/>
  <c r="AK242" i="5"/>
  <c r="M242" i="5"/>
  <c r="AV196" i="5"/>
  <c r="BC196" i="5"/>
  <c r="BH300" i="5"/>
  <c r="AD300" i="5" s="1"/>
  <c r="AW300" i="5"/>
  <c r="BI259" i="5"/>
  <c r="AE259" i="5" s="1"/>
  <c r="K259" i="5"/>
  <c r="AX259" i="5"/>
  <c r="AK228" i="5"/>
  <c r="M228" i="5"/>
  <c r="BF221" i="5"/>
  <c r="O220" i="5"/>
  <c r="M198" i="5"/>
  <c r="AK198" i="5"/>
  <c r="AV176" i="5"/>
  <c r="BC176" i="5"/>
  <c r="M252" i="5"/>
  <c r="AK252" i="5"/>
  <c r="K192" i="5"/>
  <c r="M256" i="5"/>
  <c r="AK256" i="5"/>
  <c r="BC198" i="5"/>
  <c r="AV198" i="5"/>
  <c r="M201" i="5"/>
  <c r="AK201" i="5"/>
  <c r="M206" i="5"/>
  <c r="AK206" i="5"/>
  <c r="O170" i="5"/>
  <c r="BF171" i="5"/>
  <c r="K164" i="5"/>
  <c r="BI144" i="5"/>
  <c r="AE144" i="5" s="1"/>
  <c r="K144" i="5"/>
  <c r="AX144" i="5"/>
  <c r="AK98" i="5"/>
  <c r="M98" i="5"/>
  <c r="AW257" i="5"/>
  <c r="BH257" i="5"/>
  <c r="AD257" i="5" s="1"/>
  <c r="J257" i="5"/>
  <c r="BI188" i="5"/>
  <c r="AE188" i="5" s="1"/>
  <c r="BH176" i="5"/>
  <c r="AD176" i="5" s="1"/>
  <c r="J176" i="5"/>
  <c r="AK196" i="5"/>
  <c r="M196" i="5"/>
  <c r="J155" i="5"/>
  <c r="AW155" i="5"/>
  <c r="BH155" i="5"/>
  <c r="AD155" i="5" s="1"/>
  <c r="AV216" i="5"/>
  <c r="AW160" i="5"/>
  <c r="J160" i="5"/>
  <c r="BH160" i="5"/>
  <c r="BC106" i="5"/>
  <c r="AK56" i="5"/>
  <c r="M56" i="5"/>
  <c r="K94" i="5"/>
  <c r="BI94" i="5"/>
  <c r="AE94" i="5" s="1"/>
  <c r="AX94" i="5"/>
  <c r="AV94" i="5" s="1"/>
  <c r="BI86" i="5"/>
  <c r="AE86" i="5" s="1"/>
  <c r="K86" i="5"/>
  <c r="AX86" i="5"/>
  <c r="AV86" i="5" s="1"/>
  <c r="AV45" i="5"/>
  <c r="BC45" i="5"/>
  <c r="M34" i="5"/>
  <c r="AK34" i="5"/>
  <c r="M91" i="5"/>
  <c r="AK91" i="5"/>
  <c r="M87" i="5"/>
  <c r="AK87" i="5"/>
  <c r="M31" i="5"/>
  <c r="AK31" i="5"/>
  <c r="AX168" i="5"/>
  <c r="AK54" i="5"/>
  <c r="M54" i="5"/>
  <c r="AX157" i="5"/>
  <c r="BC157" i="5" s="1"/>
  <c r="K157" i="5"/>
  <c r="AX50" i="5"/>
  <c r="BI50" i="5"/>
  <c r="AE50" i="5" s="1"/>
  <c r="K50" i="5"/>
  <c r="AX41" i="5"/>
  <c r="BI41" i="5"/>
  <c r="AE41" i="5" s="1"/>
  <c r="K41" i="5"/>
  <c r="BH31" i="5"/>
  <c r="AD31" i="5" s="1"/>
  <c r="AX23" i="5"/>
  <c r="BI23" i="5"/>
  <c r="AE23" i="5" s="1"/>
  <c r="K23" i="5"/>
  <c r="AK100" i="5"/>
  <c r="M100" i="5"/>
  <c r="AK92" i="5"/>
  <c r="M92" i="5"/>
  <c r="BH41" i="5"/>
  <c r="AD41" i="5" s="1"/>
  <c r="J41" i="5"/>
  <c r="AX92" i="5"/>
  <c r="O37" i="5"/>
  <c r="AK668" i="5"/>
  <c r="M668" i="5"/>
  <c r="M666" i="5" s="1"/>
  <c r="BI684" i="5"/>
  <c r="K684" i="5"/>
  <c r="M638" i="5"/>
  <c r="AK638" i="5"/>
  <c r="BI664" i="5"/>
  <c r="AE664" i="5" s="1"/>
  <c r="K664" i="5"/>
  <c r="M606" i="5"/>
  <c r="AK606" i="5"/>
  <c r="BC616" i="5"/>
  <c r="AV616" i="5"/>
  <c r="AX684" i="5"/>
  <c r="M682" i="5"/>
  <c r="L681" i="5"/>
  <c r="AK682" i="5"/>
  <c r="O645" i="5"/>
  <c r="BH680" i="5"/>
  <c r="AB680" i="5" s="1"/>
  <c r="J680" i="5"/>
  <c r="AW680" i="5"/>
  <c r="BH665" i="5"/>
  <c r="AW665" i="5"/>
  <c r="J665" i="5"/>
  <c r="O623" i="5"/>
  <c r="BF624" i="5"/>
  <c r="O611" i="5"/>
  <c r="BF612" i="5"/>
  <c r="O699" i="5"/>
  <c r="BF700" i="5"/>
  <c r="J696" i="5"/>
  <c r="J694" i="5" s="1"/>
  <c r="BH687" i="5"/>
  <c r="J687" i="5"/>
  <c r="AW687" i="5"/>
  <c r="AW682" i="5"/>
  <c r="M677" i="5"/>
  <c r="AK677" i="5"/>
  <c r="M696" i="5"/>
  <c r="AK696" i="5"/>
  <c r="AK610" i="5"/>
  <c r="M610" i="5"/>
  <c r="M608" i="5" s="1"/>
  <c r="L608" i="5"/>
  <c r="O613" i="5"/>
  <c r="BF614" i="5"/>
  <c r="BI607" i="5"/>
  <c r="J582" i="5"/>
  <c r="J516" i="5"/>
  <c r="AX485" i="5"/>
  <c r="BC485" i="5" s="1"/>
  <c r="AK481" i="5"/>
  <c r="M481" i="5"/>
  <c r="AK424" i="5"/>
  <c r="M424" i="5"/>
  <c r="M518" i="5"/>
  <c r="M517" i="5" s="1"/>
  <c r="L517" i="5"/>
  <c r="AK518" i="5"/>
  <c r="AT517" i="5" s="1"/>
  <c r="BI442" i="5"/>
  <c r="AE442" i="5" s="1"/>
  <c r="K442" i="5"/>
  <c r="L499" i="5"/>
  <c r="BC464" i="5"/>
  <c r="AV464" i="5"/>
  <c r="BH448" i="5"/>
  <c r="AD448" i="5" s="1"/>
  <c r="BH446" i="5"/>
  <c r="AD446" i="5" s="1"/>
  <c r="J446" i="5"/>
  <c r="AW446" i="5"/>
  <c r="M408" i="5"/>
  <c r="AK408" i="5"/>
  <c r="K374" i="5"/>
  <c r="BI374" i="5"/>
  <c r="AE374" i="5" s="1"/>
  <c r="AX374" i="5"/>
  <c r="BC374" i="5" s="1"/>
  <c r="J378" i="5"/>
  <c r="BH378" i="5"/>
  <c r="AD378" i="5" s="1"/>
  <c r="BH401" i="5"/>
  <c r="AD401" i="5" s="1"/>
  <c r="J401" i="5"/>
  <c r="AW401" i="5"/>
  <c r="BI438" i="5"/>
  <c r="AE438" i="5" s="1"/>
  <c r="K438" i="5"/>
  <c r="M427" i="5"/>
  <c r="L426" i="5"/>
  <c r="AK427" i="5"/>
  <c r="AK361" i="5"/>
  <c r="M361" i="5"/>
  <c r="BI356" i="5"/>
  <c r="AE356" i="5" s="1"/>
  <c r="K356" i="5"/>
  <c r="J325" i="5"/>
  <c r="BC412" i="5"/>
  <c r="AV412" i="5"/>
  <c r="AK338" i="5"/>
  <c r="M338" i="5"/>
  <c r="L337" i="5"/>
  <c r="M393" i="5"/>
  <c r="AK393" i="5"/>
  <c r="O364" i="5"/>
  <c r="BF365" i="5"/>
  <c r="AK334" i="5"/>
  <c r="M334" i="5"/>
  <c r="AK390" i="5"/>
  <c r="M390" i="5"/>
  <c r="AX334" i="5"/>
  <c r="BI334" i="5"/>
  <c r="AE334" i="5" s="1"/>
  <c r="K334" i="5"/>
  <c r="AK403" i="5"/>
  <c r="M403" i="5"/>
  <c r="O337" i="5"/>
  <c r="AK280" i="5"/>
  <c r="M280" i="5"/>
  <c r="AX288" i="5"/>
  <c r="BC288" i="5" s="1"/>
  <c r="AK239" i="5"/>
  <c r="M239" i="5"/>
  <c r="BI357" i="5"/>
  <c r="AE357" i="5" s="1"/>
  <c r="AX357" i="5"/>
  <c r="AV357" i="5" s="1"/>
  <c r="K357" i="5"/>
  <c r="BF306" i="5"/>
  <c r="O303" i="5"/>
  <c r="J295" i="5"/>
  <c r="AK289" i="5"/>
  <c r="M289" i="5"/>
  <c r="BI335" i="5"/>
  <c r="K335" i="5"/>
  <c r="AK300" i="5"/>
  <c r="M300" i="5"/>
  <c r="AK232" i="5"/>
  <c r="M232" i="5"/>
  <c r="AW347" i="5"/>
  <c r="AK290" i="5"/>
  <c r="M290" i="5"/>
  <c r="AX263" i="5"/>
  <c r="AV263" i="5" s="1"/>
  <c r="AW259" i="5"/>
  <c r="BH259" i="5"/>
  <c r="AD259" i="5" s="1"/>
  <c r="J259" i="5"/>
  <c r="BH237" i="5"/>
  <c r="AD237" i="5" s="1"/>
  <c r="J237" i="5"/>
  <c r="AW237" i="5"/>
  <c r="BC276" i="5"/>
  <c r="AV276" i="5"/>
  <c r="AX245" i="5"/>
  <c r="K245" i="5"/>
  <c r="BI245" i="5"/>
  <c r="AE245" i="5" s="1"/>
  <c r="AK236" i="5"/>
  <c r="M236" i="5"/>
  <c r="AW226" i="5"/>
  <c r="BH226" i="5"/>
  <c r="AD226" i="5" s="1"/>
  <c r="J226" i="5"/>
  <c r="M205" i="5"/>
  <c r="AK205" i="5"/>
  <c r="AK174" i="5"/>
  <c r="M174" i="5"/>
  <c r="M189" i="5"/>
  <c r="AK189" i="5"/>
  <c r="BI192" i="5"/>
  <c r="AE192" i="5" s="1"/>
  <c r="BH243" i="5"/>
  <c r="AD243" i="5" s="1"/>
  <c r="AW243" i="5"/>
  <c r="J243" i="5"/>
  <c r="AW143" i="5"/>
  <c r="AK135" i="5"/>
  <c r="M135" i="5"/>
  <c r="AK125" i="5"/>
  <c r="M125" i="5"/>
  <c r="BI257" i="5"/>
  <c r="AE257" i="5" s="1"/>
  <c r="K257" i="5"/>
  <c r="AX257" i="5"/>
  <c r="J198" i="5"/>
  <c r="BH198" i="5"/>
  <c r="AD198" i="5" s="1"/>
  <c r="BH165" i="5"/>
  <c r="AD165" i="5" s="1"/>
  <c r="AW165" i="5"/>
  <c r="AK167" i="5"/>
  <c r="M167" i="5"/>
  <c r="M160" i="5"/>
  <c r="AK160" i="5"/>
  <c r="J210" i="5"/>
  <c r="AX210" i="5"/>
  <c r="M154" i="5"/>
  <c r="AK154" i="5"/>
  <c r="J193" i="5"/>
  <c r="BH193" i="5"/>
  <c r="AD193" i="5" s="1"/>
  <c r="BF111" i="5"/>
  <c r="O110" i="5"/>
  <c r="AK105" i="5"/>
  <c r="M105" i="5"/>
  <c r="J194" i="5"/>
  <c r="AK44" i="5"/>
  <c r="M44" i="5"/>
  <c r="O21" i="5"/>
  <c r="BF22" i="5"/>
  <c r="AK190" i="5"/>
  <c r="M190" i="5"/>
  <c r="M104" i="5"/>
  <c r="L103" i="5"/>
  <c r="AK104" i="5"/>
  <c r="M67" i="5"/>
  <c r="AK67" i="5"/>
  <c r="BH33" i="5"/>
  <c r="AD33" i="5" s="1"/>
  <c r="J33" i="5"/>
  <c r="AW33" i="5"/>
  <c r="AK129" i="5"/>
  <c r="M129" i="5"/>
  <c r="J113" i="5"/>
  <c r="AX113" i="5"/>
  <c r="AW92" i="5"/>
  <c r="J92" i="5"/>
  <c r="BH92" i="5"/>
  <c r="AD92" i="5" s="1"/>
  <c r="M74" i="5"/>
  <c r="AK74" i="5"/>
  <c r="M58" i="5"/>
  <c r="AK58" i="5"/>
  <c r="M39" i="5"/>
  <c r="AK39" i="5"/>
  <c r="BI193" i="5"/>
  <c r="AE193" i="5" s="1"/>
  <c r="AW118" i="5"/>
  <c r="AW100" i="5"/>
  <c r="BH100" i="5"/>
  <c r="AD100" i="5" s="1"/>
  <c r="J100" i="5"/>
  <c r="M64" i="5"/>
  <c r="L63" i="5"/>
  <c r="AK64" i="5"/>
  <c r="AK76" i="5"/>
  <c r="M76" i="5"/>
  <c r="AK23" i="5"/>
  <c r="M23" i="5"/>
  <c r="AW222" i="5"/>
  <c r="BH222" i="5"/>
  <c r="AD222" i="5" s="1"/>
  <c r="J222" i="5"/>
  <c r="AV99" i="5"/>
  <c r="BC99" i="5"/>
  <c r="BC77" i="5"/>
  <c r="AV77" i="5"/>
  <c r="AW50" i="5"/>
  <c r="AW18" i="5"/>
  <c r="O694" i="5"/>
  <c r="BF695" i="5"/>
  <c r="L666" i="5"/>
  <c r="BC658" i="5"/>
  <c r="AV658" i="5"/>
  <c r="M572" i="5"/>
  <c r="AK572" i="5"/>
  <c r="BC569" i="5"/>
  <c r="AV569" i="5"/>
  <c r="AW596" i="5"/>
  <c r="J596" i="5"/>
  <c r="AK663" i="5"/>
  <c r="M663" i="5"/>
  <c r="L659" i="5"/>
  <c r="BC652" i="5"/>
  <c r="AV652" i="5"/>
  <c r="AK685" i="5"/>
  <c r="M685" i="5"/>
  <c r="AK688" i="5"/>
  <c r="M688" i="5"/>
  <c r="AW661" i="5"/>
  <c r="BI693" i="5"/>
  <c r="K693" i="5"/>
  <c r="K692" i="5" s="1"/>
  <c r="AX693" i="5"/>
  <c r="AK683" i="5"/>
  <c r="M683" i="5"/>
  <c r="O666" i="5"/>
  <c r="BF667" i="5"/>
  <c r="BI680" i="5"/>
  <c r="AC680" i="5" s="1"/>
  <c r="K680" i="5"/>
  <c r="AX680" i="5"/>
  <c r="BF670" i="5"/>
  <c r="O669" i="5"/>
  <c r="M648" i="5"/>
  <c r="AK648" i="5"/>
  <c r="BI640" i="5"/>
  <c r="BC622" i="5"/>
  <c r="AV622" i="5"/>
  <c r="K596" i="5"/>
  <c r="AK605" i="5"/>
  <c r="M605" i="5"/>
  <c r="AV619" i="5"/>
  <c r="BC619" i="5"/>
  <c r="BI605" i="5"/>
  <c r="AE605" i="5" s="1"/>
  <c r="M597" i="5"/>
  <c r="AK597" i="5"/>
  <c r="BF592" i="5"/>
  <c r="O591" i="5"/>
  <c r="AW584" i="5"/>
  <c r="AK596" i="5"/>
  <c r="M596" i="5"/>
  <c r="AK578" i="5"/>
  <c r="M578" i="5"/>
  <c r="J500" i="5"/>
  <c r="L601" i="5"/>
  <c r="AK603" i="5"/>
  <c r="M603" i="5"/>
  <c r="J533" i="5"/>
  <c r="BH533" i="5"/>
  <c r="AD533" i="5" s="1"/>
  <c r="AX527" i="5"/>
  <c r="BC527" i="5" s="1"/>
  <c r="K527" i="5"/>
  <c r="BI527" i="5"/>
  <c r="AE527" i="5" s="1"/>
  <c r="AK680" i="5"/>
  <c r="M680" i="5"/>
  <c r="AX679" i="5"/>
  <c r="O681" i="5"/>
  <c r="BF682" i="5"/>
  <c r="J664" i="5"/>
  <c r="M695" i="5"/>
  <c r="L694" i="5"/>
  <c r="AK695" i="5"/>
  <c r="J661" i="5"/>
  <c r="BC646" i="5"/>
  <c r="AV646" i="5"/>
  <c r="AV686" i="5"/>
  <c r="BC686" i="5"/>
  <c r="O675" i="5"/>
  <c r="BI596" i="5"/>
  <c r="AE596" i="5" s="1"/>
  <c r="AK620" i="5"/>
  <c r="M620" i="5"/>
  <c r="BC627" i="5"/>
  <c r="AV627" i="5"/>
  <c r="K631" i="5"/>
  <c r="BI631" i="5"/>
  <c r="AK607" i="5"/>
  <c r="M607" i="5"/>
  <c r="AK600" i="5"/>
  <c r="M600" i="5"/>
  <c r="AW588" i="5"/>
  <c r="BH584" i="5"/>
  <c r="AB584" i="5" s="1"/>
  <c r="O561" i="5"/>
  <c r="BF562" i="5"/>
  <c r="AW592" i="5"/>
  <c r="O583" i="5"/>
  <c r="BF584" i="5"/>
  <c r="BI562" i="5"/>
  <c r="AC562" i="5" s="1"/>
  <c r="BC607" i="5"/>
  <c r="AV607" i="5"/>
  <c r="M533" i="5"/>
  <c r="AK533" i="5"/>
  <c r="AK496" i="5"/>
  <c r="M496" i="5"/>
  <c r="J535" i="5"/>
  <c r="BH535" i="5"/>
  <c r="AD535" i="5" s="1"/>
  <c r="AW535" i="5"/>
  <c r="BH511" i="5"/>
  <c r="AB511" i="5" s="1"/>
  <c r="AW497" i="5"/>
  <c r="K488" i="5"/>
  <c r="AW533" i="5"/>
  <c r="AK490" i="5"/>
  <c r="M490" i="5"/>
  <c r="BH542" i="5"/>
  <c r="AD542" i="5" s="1"/>
  <c r="AW542" i="5"/>
  <c r="J542" i="5"/>
  <c r="J541" i="5" s="1"/>
  <c r="AK537" i="5"/>
  <c r="M537" i="5"/>
  <c r="AK527" i="5"/>
  <c r="M527" i="5"/>
  <c r="AW474" i="5"/>
  <c r="BH474" i="5"/>
  <c r="AD474" i="5" s="1"/>
  <c r="J474" i="5"/>
  <c r="AK543" i="5"/>
  <c r="M543" i="5"/>
  <c r="O517" i="5"/>
  <c r="BF518" i="5"/>
  <c r="BC477" i="5"/>
  <c r="AV477" i="5"/>
  <c r="AV492" i="5"/>
  <c r="M461" i="5"/>
  <c r="AK461" i="5"/>
  <c r="BC456" i="5"/>
  <c r="AV456" i="5"/>
  <c r="AW424" i="5"/>
  <c r="J357" i="5"/>
  <c r="AK523" i="5"/>
  <c r="M523" i="5"/>
  <c r="AK475" i="5"/>
  <c r="M475" i="5"/>
  <c r="M476" i="5"/>
  <c r="AK476" i="5"/>
  <c r="BI446" i="5"/>
  <c r="AE446" i="5" s="1"/>
  <c r="K446" i="5"/>
  <c r="AX436" i="5"/>
  <c r="BC417" i="5"/>
  <c r="AV417" i="5"/>
  <c r="AV501" i="5"/>
  <c r="BC501" i="5"/>
  <c r="BI415" i="5"/>
  <c r="AE415" i="5" s="1"/>
  <c r="AW378" i="5"/>
  <c r="AV471" i="5"/>
  <c r="O513" i="5"/>
  <c r="BF514" i="5"/>
  <c r="BI401" i="5"/>
  <c r="AE401" i="5" s="1"/>
  <c r="K401" i="5"/>
  <c r="AX401" i="5"/>
  <c r="BH434" i="5"/>
  <c r="AD434" i="5" s="1"/>
  <c r="AV392" i="5"/>
  <c r="BC392" i="5"/>
  <c r="AK409" i="5"/>
  <c r="M409" i="5"/>
  <c r="AX432" i="5"/>
  <c r="BC432" i="5" s="1"/>
  <c r="AW355" i="5"/>
  <c r="M322" i="5"/>
  <c r="AK322" i="5"/>
  <c r="K440" i="5"/>
  <c r="AW326" i="5"/>
  <c r="BH326" i="5"/>
  <c r="AD326" i="5" s="1"/>
  <c r="J326" i="5"/>
  <c r="AK324" i="5"/>
  <c r="M324" i="5"/>
  <c r="AK316" i="5"/>
  <c r="M316" i="5"/>
  <c r="AX316" i="5"/>
  <c r="BI316" i="5"/>
  <c r="AE316" i="5" s="1"/>
  <c r="K316" i="5"/>
  <c r="AW301" i="5"/>
  <c r="BI291" i="5"/>
  <c r="AE291" i="5" s="1"/>
  <c r="AX291" i="5"/>
  <c r="AV291" i="5" s="1"/>
  <c r="K291" i="5"/>
  <c r="AK273" i="5"/>
  <c r="M273" i="5"/>
  <c r="L303" i="5"/>
  <c r="M304" i="5"/>
  <c r="AK304" i="5"/>
  <c r="BH291" i="5"/>
  <c r="AD291" i="5" s="1"/>
  <c r="J291" i="5"/>
  <c r="M288" i="5"/>
  <c r="AK288" i="5"/>
  <c r="BI263" i="5"/>
  <c r="AE263" i="5" s="1"/>
  <c r="AK235" i="5"/>
  <c r="M235" i="5"/>
  <c r="L330" i="5"/>
  <c r="AK331" i="5"/>
  <c r="M331" i="5"/>
  <c r="AW309" i="5"/>
  <c r="M282" i="5"/>
  <c r="AK282" i="5"/>
  <c r="AV273" i="5"/>
  <c r="BC273" i="5"/>
  <c r="AK265" i="5"/>
  <c r="M265" i="5"/>
  <c r="K284" i="5"/>
  <c r="J300" i="5"/>
  <c r="O262" i="5"/>
  <c r="BF263" i="5"/>
  <c r="AV248" i="5"/>
  <c r="BC270" i="5"/>
  <c r="AV270" i="5"/>
  <c r="K234" i="5"/>
  <c r="BI234" i="5"/>
  <c r="AE234" i="5" s="1"/>
  <c r="AK219" i="5"/>
  <c r="M219" i="5"/>
  <c r="M214" i="5"/>
  <c r="L213" i="5"/>
  <c r="AK214" i="5"/>
  <c r="BC202" i="5"/>
  <c r="AV202" i="5"/>
  <c r="J204" i="5"/>
  <c r="BI223" i="5"/>
  <c r="AE223" i="5" s="1"/>
  <c r="AV201" i="5"/>
  <c r="BC201" i="5"/>
  <c r="AX244" i="5"/>
  <c r="AV244" i="5" s="1"/>
  <c r="AV221" i="5"/>
  <c r="AK94" i="5"/>
  <c r="M94" i="5"/>
  <c r="J196" i="5"/>
  <c r="AK127" i="5"/>
  <c r="M127" i="5"/>
  <c r="BH94" i="5"/>
  <c r="AD94" i="5" s="1"/>
  <c r="AX148" i="5"/>
  <c r="BC148" i="5" s="1"/>
  <c r="K148" i="5"/>
  <c r="BI148" i="5"/>
  <c r="AE148" i="5" s="1"/>
  <c r="J123" i="5"/>
  <c r="BH123" i="5"/>
  <c r="AD123" i="5" s="1"/>
  <c r="BH66" i="5"/>
  <c r="AD66" i="5" s="1"/>
  <c r="J66" i="5"/>
  <c r="AW66" i="5"/>
  <c r="M17" i="5"/>
  <c r="AK17" i="5"/>
  <c r="AX108" i="5"/>
  <c r="AW35" i="5"/>
  <c r="BF87" i="5"/>
  <c r="O84" i="5"/>
  <c r="AW82" i="5"/>
  <c r="J82" i="5"/>
  <c r="J80" i="5" s="1"/>
  <c r="M35" i="5"/>
  <c r="AK35" i="5"/>
  <c r="J29" i="5"/>
  <c r="K168" i="5"/>
  <c r="BH89" i="5"/>
  <c r="AD89" i="5" s="1"/>
  <c r="J74" i="5"/>
  <c r="AK41" i="5"/>
  <c r="M41" i="5"/>
  <c r="L40" i="5"/>
  <c r="AV153" i="5"/>
  <c r="BC47" i="5"/>
  <c r="AV47" i="5"/>
  <c r="BH35" i="5"/>
  <c r="AK19" i="5"/>
  <c r="M19" i="5"/>
  <c r="AK158" i="5"/>
  <c r="M158" i="5"/>
  <c r="AW70" i="5"/>
  <c r="BH27" i="5"/>
  <c r="J27" i="5"/>
  <c r="AW41" i="5"/>
  <c r="F29" i="4"/>
  <c r="M14" i="5"/>
  <c r="L13" i="5"/>
  <c r="AK14" i="5"/>
  <c r="O29" i="5"/>
  <c r="L465" i="1"/>
  <c r="AW27" i="5"/>
  <c r="BI663" i="5"/>
  <c r="AE663" i="5" s="1"/>
  <c r="AX663" i="5"/>
  <c r="K663" i="5"/>
  <c r="BI685" i="5"/>
  <c r="K685" i="5"/>
  <c r="AX685" i="5"/>
  <c r="BI618" i="5"/>
  <c r="AC618" i="5" s="1"/>
  <c r="BC631" i="5"/>
  <c r="AV631" i="5"/>
  <c r="BC511" i="5"/>
  <c r="AV511" i="5"/>
  <c r="M546" i="5"/>
  <c r="M545" i="5" s="1"/>
  <c r="AK546" i="5"/>
  <c r="AT545" i="5" s="1"/>
  <c r="L545" i="5"/>
  <c r="BF543" i="5"/>
  <c r="O541" i="5"/>
  <c r="AV496" i="5"/>
  <c r="BC496" i="5"/>
  <c r="AX540" i="5"/>
  <c r="M508" i="5"/>
  <c r="AK508" i="5"/>
  <c r="AK445" i="5"/>
  <c r="M445" i="5"/>
  <c r="AK437" i="5"/>
  <c r="M437" i="5"/>
  <c r="AK444" i="5"/>
  <c r="M444" i="5"/>
  <c r="BI434" i="5"/>
  <c r="AE434" i="5" s="1"/>
  <c r="K434" i="5"/>
  <c r="AX434" i="5"/>
  <c r="AV434" i="5" s="1"/>
  <c r="BH420" i="5"/>
  <c r="AD420" i="5" s="1"/>
  <c r="J420" i="5"/>
  <c r="AK464" i="5"/>
  <c r="M464" i="5"/>
  <c r="BC500" i="5"/>
  <c r="AV500" i="5"/>
  <c r="BC463" i="5"/>
  <c r="AV463" i="5"/>
  <c r="BF454" i="5"/>
  <c r="O453" i="5"/>
  <c r="AK417" i="5"/>
  <c r="M417" i="5"/>
  <c r="AK410" i="5"/>
  <c r="M410" i="5"/>
  <c r="BI494" i="5"/>
  <c r="AE494" i="5" s="1"/>
  <c r="AX494" i="5"/>
  <c r="AV494" i="5" s="1"/>
  <c r="K494" i="5"/>
  <c r="BC460" i="5"/>
  <c r="AV460" i="5"/>
  <c r="AK384" i="5"/>
  <c r="M384" i="5"/>
  <c r="AV481" i="5"/>
  <c r="J436" i="5"/>
  <c r="AW436" i="5"/>
  <c r="M413" i="5"/>
  <c r="AK413" i="5"/>
  <c r="BC385" i="5"/>
  <c r="AV385" i="5"/>
  <c r="O426" i="5"/>
  <c r="BF427" i="5"/>
  <c r="AK395" i="5"/>
  <c r="M395" i="5"/>
  <c r="AK387" i="5"/>
  <c r="M387" i="5"/>
  <c r="J361" i="5"/>
  <c r="AW361" i="5"/>
  <c r="AK407" i="5"/>
  <c r="M407" i="5"/>
  <c r="AW322" i="5"/>
  <c r="BH322" i="5"/>
  <c r="AD322" i="5" s="1"/>
  <c r="J322" i="5"/>
  <c r="AX390" i="5"/>
  <c r="BC390" i="5" s="1"/>
  <c r="BI390" i="5"/>
  <c r="AE390" i="5" s="1"/>
  <c r="K390" i="5"/>
  <c r="AK352" i="5"/>
  <c r="M352" i="5"/>
  <c r="L267" i="5"/>
  <c r="AK268" i="5"/>
  <c r="M268" i="5"/>
  <c r="BF309" i="5"/>
  <c r="O308" i="5"/>
  <c r="AW290" i="5"/>
  <c r="BH290" i="5"/>
  <c r="AD290" i="5" s="1"/>
  <c r="J290" i="5"/>
  <c r="M264" i="5"/>
  <c r="AK264" i="5"/>
  <c r="O342" i="5"/>
  <c r="AK257" i="5"/>
  <c r="M257" i="5"/>
  <c r="O296" i="5"/>
  <c r="BF298" i="5"/>
  <c r="BI288" i="5"/>
  <c r="AE288" i="5" s="1"/>
  <c r="BI255" i="5"/>
  <c r="AE255" i="5" s="1"/>
  <c r="K255" i="5"/>
  <c r="AX255" i="5"/>
  <c r="M258" i="5"/>
  <c r="AK258" i="5"/>
  <c r="AK276" i="5"/>
  <c r="M276" i="5"/>
  <c r="M226" i="5"/>
  <c r="AK226" i="5"/>
  <c r="M344" i="5"/>
  <c r="AK344" i="5"/>
  <c r="AW232" i="5"/>
  <c r="J232" i="5"/>
  <c r="BH232" i="5"/>
  <c r="AD232" i="5" s="1"/>
  <c r="BI217" i="5"/>
  <c r="AE217" i="5" s="1"/>
  <c r="AK227" i="5"/>
  <c r="M227" i="5"/>
  <c r="AK169" i="5"/>
  <c r="M169" i="5"/>
  <c r="BH204" i="5"/>
  <c r="AD204" i="5" s="1"/>
  <c r="M193" i="5"/>
  <c r="AK193" i="5"/>
  <c r="L220" i="5"/>
  <c r="BH169" i="5"/>
  <c r="AW169" i="5"/>
  <c r="J169" i="5"/>
  <c r="BC131" i="5"/>
  <c r="AV131" i="5"/>
  <c r="M188" i="5"/>
  <c r="AK188" i="5"/>
  <c r="BH196" i="5"/>
  <c r="AD196" i="5" s="1"/>
  <c r="M184" i="5"/>
  <c r="AK184" i="5"/>
  <c r="AK175" i="5"/>
  <c r="M175" i="5"/>
  <c r="BH174" i="5"/>
  <c r="AD174" i="5" s="1"/>
  <c r="J174" i="5"/>
  <c r="AW174" i="5"/>
  <c r="AK165" i="5"/>
  <c r="M165" i="5"/>
  <c r="L162" i="5"/>
  <c r="J156" i="5"/>
  <c r="BH156" i="5"/>
  <c r="AD156" i="5" s="1"/>
  <c r="M153" i="5"/>
  <c r="AK153" i="5"/>
  <c r="M140" i="5"/>
  <c r="AK140" i="5"/>
  <c r="J94" i="5"/>
  <c r="M210" i="5"/>
  <c r="AK210" i="5"/>
  <c r="M180" i="5"/>
  <c r="AK180" i="5"/>
  <c r="BH143" i="5"/>
  <c r="AD143" i="5" s="1"/>
  <c r="BC109" i="5"/>
  <c r="AV109" i="5"/>
  <c r="AK109" i="5"/>
  <c r="M109" i="5"/>
  <c r="AK52" i="5"/>
  <c r="M52" i="5"/>
  <c r="BI152" i="5"/>
  <c r="AE152" i="5" s="1"/>
  <c r="AX152" i="5"/>
  <c r="K152" i="5"/>
  <c r="L84" i="5"/>
  <c r="O63" i="5"/>
  <c r="BF64" i="5"/>
  <c r="BH16" i="5"/>
  <c r="AD16" i="5" s="1"/>
  <c r="J16" i="5"/>
  <c r="AW16" i="5"/>
  <c r="BH129" i="5"/>
  <c r="AD129" i="5" s="1"/>
  <c r="AW129" i="5"/>
  <c r="J129" i="5"/>
  <c r="BI96" i="5"/>
  <c r="AE96" i="5" s="1"/>
  <c r="K96" i="5"/>
  <c r="L80" i="5"/>
  <c r="AK81" i="5"/>
  <c r="M81" i="5"/>
  <c r="M53" i="5"/>
  <c r="AK53" i="5"/>
  <c r="J145" i="5"/>
  <c r="J118" i="5"/>
  <c r="AX118" i="5"/>
  <c r="AX96" i="5"/>
  <c r="M68" i="5"/>
  <c r="AK68" i="5"/>
  <c r="M168" i="5"/>
  <c r="AK168" i="5"/>
  <c r="J151" i="5"/>
  <c r="M131" i="5"/>
  <c r="AK131" i="5"/>
  <c r="AK27" i="5"/>
  <c r="M27" i="5"/>
  <c r="M146" i="5"/>
  <c r="AK146" i="5"/>
  <c r="BH23" i="5"/>
  <c r="AD23" i="5" s="1"/>
  <c r="J23" i="5"/>
  <c r="J21" i="5" s="1"/>
  <c r="AV30" i="5"/>
  <c r="BC30" i="5"/>
  <c r="AW46" i="5"/>
  <c r="J18" i="5"/>
  <c r="BF674" i="5"/>
  <c r="O673" i="5"/>
  <c r="BC643" i="5"/>
  <c r="AV643" i="5"/>
  <c r="AV647" i="5"/>
  <c r="BC647" i="5"/>
  <c r="AK684" i="5"/>
  <c r="M684" i="5"/>
  <c r="AK630" i="5"/>
  <c r="M630" i="5"/>
  <c r="BC648" i="5"/>
  <c r="AV648" i="5"/>
  <c r="M654" i="5"/>
  <c r="AK654" i="5"/>
  <c r="AK562" i="5"/>
  <c r="M562" i="5"/>
  <c r="L561" i="5"/>
  <c r="AW578" i="5"/>
  <c r="AK542" i="5"/>
  <c r="M542" i="5"/>
  <c r="L541" i="5"/>
  <c r="BH489" i="5"/>
  <c r="AD489" i="5" s="1"/>
  <c r="BH490" i="5"/>
  <c r="AD490" i="5" s="1"/>
  <c r="J490" i="5"/>
  <c r="L692" i="5"/>
  <c r="AK693" i="5"/>
  <c r="AT692" i="5" s="1"/>
  <c r="M693" i="5"/>
  <c r="M692" i="5" s="1"/>
  <c r="AK687" i="5"/>
  <c r="M687" i="5"/>
  <c r="BH683" i="5"/>
  <c r="J683" i="5"/>
  <c r="AW683" i="5"/>
  <c r="BC656" i="5"/>
  <c r="AV656" i="5"/>
  <c r="BH631" i="5"/>
  <c r="M647" i="5"/>
  <c r="AK647" i="5"/>
  <c r="BI634" i="5"/>
  <c r="AC634" i="5" s="1"/>
  <c r="AK625" i="5"/>
  <c r="M625" i="5"/>
  <c r="AV529" i="5"/>
  <c r="BC529" i="5"/>
  <c r="K496" i="5"/>
  <c r="AX533" i="5"/>
  <c r="AK472" i="5"/>
  <c r="M472" i="5"/>
  <c r="M512" i="5"/>
  <c r="AK512" i="5"/>
  <c r="K541" i="5"/>
  <c r="L453" i="5"/>
  <c r="BI420" i="5"/>
  <c r="AE420" i="5" s="1"/>
  <c r="AX420" i="5"/>
  <c r="K420" i="5"/>
  <c r="M493" i="5"/>
  <c r="AK493" i="5"/>
  <c r="AW420" i="5"/>
  <c r="AV523" i="5"/>
  <c r="BC523" i="5"/>
  <c r="AK448" i="5"/>
  <c r="M448" i="5"/>
  <c r="BH436" i="5"/>
  <c r="AD436" i="5" s="1"/>
  <c r="AK416" i="5"/>
  <c r="M416" i="5"/>
  <c r="BF501" i="5"/>
  <c r="O499" i="5"/>
  <c r="BH494" i="5"/>
  <c r="AD494" i="5" s="1"/>
  <c r="J494" i="5"/>
  <c r="AW457" i="5"/>
  <c r="BI378" i="5"/>
  <c r="AE378" i="5" s="1"/>
  <c r="K378" i="5"/>
  <c r="AX378" i="5"/>
  <c r="AK438" i="5"/>
  <c r="M438" i="5"/>
  <c r="M506" i="5"/>
  <c r="AK506" i="5"/>
  <c r="M391" i="5"/>
  <c r="AK391" i="5"/>
  <c r="O371" i="5"/>
  <c r="BF372" i="5"/>
  <c r="BC387" i="5"/>
  <c r="AV387" i="5"/>
  <c r="AK440" i="5"/>
  <c r="M440" i="5"/>
  <c r="AW318" i="5"/>
  <c r="BH318" i="5"/>
  <c r="AD318" i="5" s="1"/>
  <c r="J318" i="5"/>
  <c r="J373" i="5"/>
  <c r="AK343" i="5"/>
  <c r="M343" i="5"/>
  <c r="L342" i="5"/>
  <c r="M415" i="5"/>
  <c r="AK415" i="5"/>
  <c r="BC352" i="5"/>
  <c r="AV352" i="5"/>
  <c r="BF331" i="5"/>
  <c r="O330" i="5"/>
  <c r="AX313" i="5"/>
  <c r="BC313" i="5" s="1"/>
  <c r="BH390" i="5"/>
  <c r="AD390" i="5" s="1"/>
  <c r="J390" i="5"/>
  <c r="M373" i="5"/>
  <c r="AK373" i="5"/>
  <c r="BH351" i="5"/>
  <c r="AD351" i="5" s="1"/>
  <c r="AX329" i="5"/>
  <c r="BI329" i="5"/>
  <c r="K329" i="5"/>
  <c r="BI325" i="5"/>
  <c r="AE325" i="5" s="1"/>
  <c r="K325" i="5"/>
  <c r="L262" i="5"/>
  <c r="AK263" i="5"/>
  <c r="M263" i="5"/>
  <c r="BH325" i="5"/>
  <c r="AD325" i="5" s="1"/>
  <c r="BI307" i="5"/>
  <c r="K307" i="5"/>
  <c r="K303" i="5" s="1"/>
  <c r="AX307" i="5"/>
  <c r="AK259" i="5"/>
  <c r="M259" i="5"/>
  <c r="AW351" i="5"/>
  <c r="AV280" i="5"/>
  <c r="BC280" i="5"/>
  <c r="J297" i="5"/>
  <c r="BH297" i="5"/>
  <c r="AD297" i="5" s="1"/>
  <c r="AK253" i="5"/>
  <c r="M253" i="5"/>
  <c r="O267" i="5"/>
  <c r="BF268" i="5"/>
  <c r="J238" i="5"/>
  <c r="AK270" i="5"/>
  <c r="M270" i="5"/>
  <c r="K217" i="5"/>
  <c r="BC311" i="5"/>
  <c r="J242" i="5"/>
  <c r="BC214" i="5"/>
  <c r="AV214" i="5"/>
  <c r="AK192" i="5"/>
  <c r="M192" i="5"/>
  <c r="AV278" i="5"/>
  <c r="M197" i="5"/>
  <c r="AK197" i="5"/>
  <c r="AV175" i="5"/>
  <c r="BC175" i="5"/>
  <c r="AK90" i="5"/>
  <c r="M90" i="5"/>
  <c r="BI156" i="5"/>
  <c r="AE156" i="5" s="1"/>
  <c r="AX156" i="5"/>
  <c r="K156" i="5"/>
  <c r="M208" i="5"/>
  <c r="AK208" i="5"/>
  <c r="BI174" i="5"/>
  <c r="AE174" i="5" s="1"/>
  <c r="K174" i="5"/>
  <c r="AX174" i="5"/>
  <c r="AW156" i="5"/>
  <c r="BI149" i="5"/>
  <c r="AE149" i="5" s="1"/>
  <c r="AX149" i="5"/>
  <c r="AV149" i="5" s="1"/>
  <c r="AX136" i="5"/>
  <c r="K136" i="5"/>
  <c r="BI136" i="5"/>
  <c r="AE136" i="5" s="1"/>
  <c r="AX141" i="5"/>
  <c r="BC141" i="5" s="1"/>
  <c r="BI141" i="5"/>
  <c r="AE141" i="5" s="1"/>
  <c r="AX140" i="5"/>
  <c r="AV140" i="5" s="1"/>
  <c r="K140" i="5"/>
  <c r="BI140" i="5"/>
  <c r="AE140" i="5" s="1"/>
  <c r="AK194" i="5"/>
  <c r="M194" i="5"/>
  <c r="L37" i="5"/>
  <c r="AK38" i="5"/>
  <c r="M38" i="5"/>
  <c r="O103" i="5"/>
  <c r="BF104" i="5"/>
  <c r="BI90" i="5"/>
  <c r="AE90" i="5" s="1"/>
  <c r="K90" i="5"/>
  <c r="AX90" i="5"/>
  <c r="BC90" i="5" s="1"/>
  <c r="M30" i="5"/>
  <c r="L29" i="5"/>
  <c r="AK30" i="5"/>
  <c r="K108" i="5"/>
  <c r="AK96" i="5"/>
  <c r="M96" i="5"/>
  <c r="AW88" i="5"/>
  <c r="J88" i="5"/>
  <c r="BH88" i="5"/>
  <c r="AD88" i="5" s="1"/>
  <c r="AV163" i="5"/>
  <c r="BC163" i="5"/>
  <c r="BH145" i="5"/>
  <c r="AD145" i="5" s="1"/>
  <c r="AK82" i="5"/>
  <c r="M82" i="5"/>
  <c r="M77" i="5"/>
  <c r="AK77" i="5"/>
  <c r="AK151" i="5"/>
  <c r="M151" i="5"/>
  <c r="BH131" i="5"/>
  <c r="AD131" i="5" s="1"/>
  <c r="J131" i="5"/>
  <c r="AX83" i="5"/>
  <c r="AV83" i="5" s="1"/>
  <c r="AK46" i="5"/>
  <c r="M46" i="5"/>
  <c r="M152" i="5"/>
  <c r="AK152" i="5"/>
  <c r="AX54" i="5"/>
  <c r="BC54" i="5" s="1"/>
  <c r="BI54" i="5"/>
  <c r="AE54" i="5" s="1"/>
  <c r="K54" i="5"/>
  <c r="AX46" i="5"/>
  <c r="BI46" i="5"/>
  <c r="AE46" i="5" s="1"/>
  <c r="K46" i="5"/>
  <c r="AX27" i="5"/>
  <c r="BI27" i="5"/>
  <c r="K27" i="5"/>
  <c r="BI157" i="5"/>
  <c r="AE157" i="5" s="1"/>
  <c r="O80" i="5"/>
  <c r="AW74" i="5"/>
  <c r="AX100" i="5"/>
  <c r="AW23" i="5"/>
  <c r="O40" i="5"/>
  <c r="K696" i="5"/>
  <c r="BI696" i="5"/>
  <c r="M686" i="5"/>
  <c r="AK686" i="5"/>
  <c r="BH689" i="5"/>
  <c r="J689" i="5"/>
  <c r="AW689" i="5"/>
  <c r="BC640" i="5"/>
  <c r="AV640" i="5"/>
  <c r="M598" i="5"/>
  <c r="AK598" i="5"/>
  <c r="BF596" i="5"/>
  <c r="O593" i="5"/>
  <c r="BC610" i="5"/>
  <c r="AV610" i="5"/>
  <c r="BI627" i="5"/>
  <c r="BF576" i="5"/>
  <c r="O575" i="5"/>
  <c r="M485" i="5"/>
  <c r="L484" i="5"/>
  <c r="AK485" i="5"/>
  <c r="L675" i="5"/>
  <c r="AK676" i="5"/>
  <c r="M676" i="5"/>
  <c r="AK678" i="5"/>
  <c r="M678" i="5"/>
  <c r="BH672" i="5"/>
  <c r="AB672" i="5" s="1"/>
  <c r="AW672" i="5"/>
  <c r="J672" i="5"/>
  <c r="J671" i="5" s="1"/>
  <c r="AX696" i="5"/>
  <c r="AV696" i="5" s="1"/>
  <c r="BI689" i="5"/>
  <c r="K689" i="5"/>
  <c r="AX689" i="5"/>
  <c r="BF634" i="5"/>
  <c r="O633" i="5"/>
  <c r="J610" i="5"/>
  <c r="O651" i="5"/>
  <c r="M643" i="5"/>
  <c r="AK643" i="5"/>
  <c r="O641" i="5"/>
  <c r="BF642" i="5"/>
  <c r="M658" i="5"/>
  <c r="AK658" i="5"/>
  <c r="M642" i="5"/>
  <c r="L641" i="5"/>
  <c r="AK642" i="5"/>
  <c r="M628" i="5"/>
  <c r="AK628" i="5"/>
  <c r="J588" i="5"/>
  <c r="M579" i="5"/>
  <c r="AK579" i="5"/>
  <c r="M589" i="5"/>
  <c r="AK589" i="5"/>
  <c r="BH579" i="5"/>
  <c r="AB579" i="5" s="1"/>
  <c r="J579" i="5"/>
  <c r="J569" i="5"/>
  <c r="BH569" i="5"/>
  <c r="AK492" i="5"/>
  <c r="M492" i="5"/>
  <c r="J511" i="5"/>
  <c r="AV539" i="5"/>
  <c r="BC539" i="5"/>
  <c r="M520" i="5"/>
  <c r="L519" i="5"/>
  <c r="AK520" i="5"/>
  <c r="BI496" i="5"/>
  <c r="AE496" i="5" s="1"/>
  <c r="AK689" i="5"/>
  <c r="M689" i="5"/>
  <c r="AK700" i="5"/>
  <c r="AT699" i="5" s="1"/>
  <c r="M700" i="5"/>
  <c r="M699" i="5" s="1"/>
  <c r="L699" i="5"/>
  <c r="BC674" i="5"/>
  <c r="AV674" i="5"/>
  <c r="BI688" i="5"/>
  <c r="K688" i="5"/>
  <c r="AX664" i="5"/>
  <c r="AV664" i="5" s="1"/>
  <c r="J656" i="5"/>
  <c r="BH685" i="5"/>
  <c r="J685" i="5"/>
  <c r="AW685" i="5"/>
  <c r="AX630" i="5"/>
  <c r="K630" i="5"/>
  <c r="BI630" i="5"/>
  <c r="M653" i="5"/>
  <c r="AK653" i="5"/>
  <c r="BC618" i="5"/>
  <c r="AV618" i="5"/>
  <c r="M594" i="5"/>
  <c r="L593" i="5"/>
  <c r="AK594" i="5"/>
  <c r="L651" i="5"/>
  <c r="O617" i="5"/>
  <c r="M612" i="5"/>
  <c r="M611" i="5" s="1"/>
  <c r="L611" i="5"/>
  <c r="AK612" i="5"/>
  <c r="AT611" i="5" s="1"/>
  <c r="L617" i="5"/>
  <c r="M582" i="5"/>
  <c r="AK582" i="5"/>
  <c r="AK629" i="5"/>
  <c r="M629" i="5"/>
  <c r="AW548" i="5"/>
  <c r="AK529" i="5"/>
  <c r="M529" i="5"/>
  <c r="J562" i="5"/>
  <c r="BH562" i="5"/>
  <c r="AB562" i="5" s="1"/>
  <c r="BH505" i="5"/>
  <c r="AB505" i="5" s="1"/>
  <c r="K467" i="5"/>
  <c r="AK494" i="5"/>
  <c r="M494" i="5"/>
  <c r="K539" i="5"/>
  <c r="AW490" i="5"/>
  <c r="M480" i="5"/>
  <c r="AK480" i="5"/>
  <c r="BF520" i="5"/>
  <c r="O519" i="5"/>
  <c r="AK548" i="5"/>
  <c r="AT547" i="5" s="1"/>
  <c r="M548" i="5"/>
  <c r="M547" i="5" s="1"/>
  <c r="L547" i="5"/>
  <c r="BI492" i="5"/>
  <c r="AE492" i="5" s="1"/>
  <c r="BI479" i="5"/>
  <c r="AE479" i="5" s="1"/>
  <c r="J477" i="5"/>
  <c r="BH477" i="5"/>
  <c r="AD477" i="5" s="1"/>
  <c r="M497" i="5"/>
  <c r="AK497" i="5"/>
  <c r="O469" i="5"/>
  <c r="AV488" i="5"/>
  <c r="BC488" i="5"/>
  <c r="BF400" i="5"/>
  <c r="O399" i="5"/>
  <c r="BH374" i="5"/>
  <c r="AD374" i="5" s="1"/>
  <c r="J374" i="5"/>
  <c r="L551" i="5"/>
  <c r="AK552" i="5"/>
  <c r="M552" i="5"/>
  <c r="AX450" i="5"/>
  <c r="K411" i="5"/>
  <c r="AW386" i="5"/>
  <c r="AK358" i="5"/>
  <c r="M358" i="5"/>
  <c r="M406" i="5"/>
  <c r="AK406" i="5"/>
  <c r="AK359" i="5"/>
  <c r="M359" i="5"/>
  <c r="BH361" i="5"/>
  <c r="AD361" i="5" s="1"/>
  <c r="AK355" i="5"/>
  <c r="M355" i="5"/>
  <c r="AW314" i="5"/>
  <c r="BH314" i="5"/>
  <c r="AD314" i="5" s="1"/>
  <c r="J314" i="5"/>
  <c r="M423" i="5"/>
  <c r="AK423" i="5"/>
  <c r="BI394" i="5"/>
  <c r="AE394" i="5" s="1"/>
  <c r="K394" i="5"/>
  <c r="AX394" i="5"/>
  <c r="BC394" i="5" s="1"/>
  <c r="BI408" i="5"/>
  <c r="AE408" i="5" s="1"/>
  <c r="J363" i="5"/>
  <c r="BI351" i="5"/>
  <c r="AE351" i="5" s="1"/>
  <c r="K338" i="5"/>
  <c r="AK394" i="5"/>
  <c r="M394" i="5"/>
  <c r="J343" i="5"/>
  <c r="AK307" i="5"/>
  <c r="M307" i="5"/>
  <c r="M297" i="5"/>
  <c r="AK297" i="5"/>
  <c r="L296" i="5"/>
  <c r="AK255" i="5"/>
  <c r="M255" i="5"/>
  <c r="BI321" i="5"/>
  <c r="AE321" i="5" s="1"/>
  <c r="K321" i="5"/>
  <c r="AK311" i="5"/>
  <c r="M311" i="5"/>
  <c r="J280" i="5"/>
  <c r="AK323" i="5"/>
  <c r="M323" i="5"/>
  <c r="BI317" i="5"/>
  <c r="AE317" i="5" s="1"/>
  <c r="K317" i="5"/>
  <c r="AX297" i="5"/>
  <c r="K297" i="5"/>
  <c r="K296" i="5" s="1"/>
  <c r="BI297" i="5"/>
  <c r="AE297" i="5" s="1"/>
  <c r="BI358" i="5"/>
  <c r="AE358" i="5" s="1"/>
  <c r="AW297" i="5"/>
  <c r="AK249" i="5"/>
  <c r="M249" i="5"/>
  <c r="J276" i="5"/>
  <c r="BH238" i="5"/>
  <c r="AD238" i="5" s="1"/>
  <c r="BI253" i="5"/>
  <c r="AE253" i="5" s="1"/>
  <c r="K253" i="5"/>
  <c r="AX253" i="5"/>
  <c r="M301" i="5"/>
  <c r="AK301" i="5"/>
  <c r="AX232" i="5"/>
  <c r="K232" i="5"/>
  <c r="BI232" i="5"/>
  <c r="AE232" i="5" s="1"/>
  <c r="M222" i="5"/>
  <c r="AK222" i="5"/>
  <c r="BC344" i="5"/>
  <c r="AV344" i="5"/>
  <c r="BH242" i="5"/>
  <c r="AD242" i="5" s="1"/>
  <c r="AK215" i="5"/>
  <c r="M215" i="5"/>
  <c r="O213" i="5"/>
  <c r="BF214" i="5"/>
  <c r="AV217" i="5"/>
  <c r="BC217" i="5"/>
  <c r="BH181" i="5"/>
  <c r="AD181" i="5" s="1"/>
  <c r="AW181" i="5"/>
  <c r="BH239" i="5"/>
  <c r="AD239" i="5" s="1"/>
  <c r="AW239" i="5"/>
  <c r="J239" i="5"/>
  <c r="AW193" i="5"/>
  <c r="AX173" i="5"/>
  <c r="M223" i="5"/>
  <c r="AK223" i="5"/>
  <c r="AK244" i="5"/>
  <c r="M244" i="5"/>
  <c r="BF166" i="5"/>
  <c r="O162" i="5"/>
  <c r="AV184" i="5"/>
  <c r="BC184" i="5"/>
  <c r="BC135" i="5"/>
  <c r="AV135" i="5"/>
  <c r="K123" i="5"/>
  <c r="BI172" i="5"/>
  <c r="AE172" i="5" s="1"/>
  <c r="AK142" i="5"/>
  <c r="M142" i="5"/>
  <c r="AV180" i="5"/>
  <c r="BC180" i="5"/>
  <c r="J148" i="5"/>
  <c r="BH148" i="5"/>
  <c r="AD148" i="5" s="1"/>
  <c r="AV191" i="5"/>
  <c r="BC191" i="5"/>
  <c r="K153" i="5"/>
  <c r="BI153" i="5"/>
  <c r="AE153" i="5" s="1"/>
  <c r="AK115" i="5"/>
  <c r="M115" i="5"/>
  <c r="M62" i="5"/>
  <c r="AK62" i="5"/>
  <c r="AT60" i="5" s="1"/>
  <c r="AV49" i="5"/>
  <c r="BC49" i="5"/>
  <c r="K37" i="5"/>
  <c r="M113" i="5"/>
  <c r="AK113" i="5"/>
  <c r="M78" i="5"/>
  <c r="AK78" i="5"/>
  <c r="M70" i="5"/>
  <c r="AK70" i="5"/>
  <c r="M49" i="5"/>
  <c r="AK49" i="5"/>
  <c r="M26" i="5"/>
  <c r="AK26" i="5"/>
  <c r="AK173" i="5"/>
  <c r="M173" i="5"/>
  <c r="BC93" i="5"/>
  <c r="AV93" i="5"/>
  <c r="BC89" i="5"/>
  <c r="AV89" i="5"/>
  <c r="BC85" i="5"/>
  <c r="AV85" i="5"/>
  <c r="AK133" i="5"/>
  <c r="M133" i="5"/>
  <c r="AK95" i="5"/>
  <c r="M95" i="5"/>
  <c r="AK72" i="5"/>
  <c r="M72" i="5"/>
  <c r="AK157" i="5"/>
  <c r="M157" i="5"/>
  <c r="AV72" i="5"/>
  <c r="BI88" i="5"/>
  <c r="AE88" i="5" s="1"/>
  <c r="K88" i="5"/>
  <c r="BH54" i="5"/>
  <c r="AD54" i="5" s="1"/>
  <c r="J54" i="5"/>
  <c r="L340" i="1"/>
  <c r="L339" i="1" s="1"/>
  <c r="O13" i="5"/>
  <c r="BF14" i="5"/>
  <c r="BC410" i="5" l="1"/>
  <c r="L438" i="1"/>
  <c r="BC58" i="5"/>
  <c r="AV639" i="5"/>
  <c r="AV26" i="5"/>
  <c r="AV677" i="5"/>
  <c r="BC391" i="5"/>
  <c r="AV264" i="5"/>
  <c r="BC134" i="5"/>
  <c r="AV146" i="5"/>
  <c r="M509" i="5"/>
  <c r="BC289" i="5"/>
  <c r="AV487" i="5"/>
  <c r="BC480" i="5"/>
  <c r="BC625" i="5"/>
  <c r="AV482" i="5"/>
  <c r="BC376" i="5"/>
  <c r="BC356" i="5"/>
  <c r="AV147" i="5"/>
  <c r="AV138" i="5"/>
  <c r="BC87" i="5"/>
  <c r="BC660" i="5"/>
  <c r="BC606" i="5"/>
  <c r="AV133" i="5"/>
  <c r="BC454" i="5"/>
  <c r="K641" i="5"/>
  <c r="AV268" i="5"/>
  <c r="BC146" i="5"/>
  <c r="BC482" i="5"/>
  <c r="AT608" i="5"/>
  <c r="L489" i="1"/>
  <c r="BC323" i="5"/>
  <c r="BC298" i="5"/>
  <c r="L603" i="1"/>
  <c r="AV329" i="5"/>
  <c r="AV472" i="5"/>
  <c r="AV612" i="5"/>
  <c r="AV22" i="5"/>
  <c r="AV327" i="5"/>
  <c r="J645" i="5"/>
  <c r="AV178" i="5"/>
  <c r="BC315" i="5"/>
  <c r="BC305" i="5"/>
  <c r="BC546" i="5"/>
  <c r="BC413" i="5"/>
  <c r="AV473" i="5"/>
  <c r="BC437" i="5"/>
  <c r="AV445" i="5"/>
  <c r="BC269" i="5"/>
  <c r="BC123" i="5"/>
  <c r="AV695" i="5"/>
  <c r="AV69" i="5"/>
  <c r="BC667" i="5"/>
  <c r="L11" i="1"/>
  <c r="AV654" i="5"/>
  <c r="K513" i="5"/>
  <c r="AV105" i="5"/>
  <c r="BC252" i="5"/>
  <c r="BC265" i="5"/>
  <c r="BC139" i="5"/>
  <c r="BC205" i="5"/>
  <c r="L125" i="1"/>
  <c r="AV240" i="5"/>
  <c r="AV662" i="5"/>
  <c r="AV413" i="5"/>
  <c r="AV388" i="5"/>
  <c r="BC419" i="5"/>
  <c r="BC525" i="5"/>
  <c r="AV579" i="5"/>
  <c r="BC142" i="5"/>
  <c r="BC215" i="5"/>
  <c r="AV345" i="5"/>
  <c r="AT666" i="5"/>
  <c r="J303" i="5"/>
  <c r="BC629" i="5"/>
  <c r="AV134" i="5"/>
  <c r="BC178" i="5"/>
  <c r="AV502" i="5"/>
  <c r="BC286" i="5"/>
  <c r="BC552" i="5"/>
  <c r="BC138" i="5"/>
  <c r="AV415" i="5"/>
  <c r="BC594" i="5"/>
  <c r="AT509" i="5"/>
  <c r="AV537" i="5"/>
  <c r="BC439" i="5"/>
  <c r="BC423" i="5"/>
  <c r="AV315" i="5"/>
  <c r="AV317" i="5"/>
  <c r="BC602" i="5"/>
  <c r="AV407" i="5"/>
  <c r="M513" i="5"/>
  <c r="BC51" i="5"/>
  <c r="BC19" i="5"/>
  <c r="BC639" i="5"/>
  <c r="AV624" i="5"/>
  <c r="AV119" i="5"/>
  <c r="AV206" i="5"/>
  <c r="BC448" i="5"/>
  <c r="BC414" i="5"/>
  <c r="BC388" i="5"/>
  <c r="AV650" i="5"/>
  <c r="BC657" i="5"/>
  <c r="AV218" i="5"/>
  <c r="K694" i="5"/>
  <c r="AV346" i="5"/>
  <c r="AV543" i="5"/>
  <c r="BC598" i="5"/>
  <c r="BC179" i="5"/>
  <c r="AV369" i="5"/>
  <c r="BC147" i="5"/>
  <c r="AV397" i="5"/>
  <c r="AV400" i="5"/>
  <c r="K519" i="5"/>
  <c r="BC570" i="5"/>
  <c r="AV403" i="5"/>
  <c r="AV435" i="5"/>
  <c r="BC263" i="5"/>
  <c r="AV620" i="5"/>
  <c r="BC81" i="5"/>
  <c r="AV589" i="5"/>
  <c r="AV572" i="5"/>
  <c r="AV68" i="5"/>
  <c r="AV339" i="5"/>
  <c r="AV335" i="5"/>
  <c r="AV423" i="5"/>
  <c r="BC508" i="5"/>
  <c r="K633" i="5"/>
  <c r="AV211" i="5"/>
  <c r="BC151" i="5"/>
  <c r="AV441" i="5"/>
  <c r="BC512" i="5"/>
  <c r="AV368" i="5"/>
  <c r="BC182" i="5"/>
  <c r="BC372" i="5"/>
  <c r="AT513" i="5"/>
  <c r="BC359" i="5"/>
  <c r="AV231" i="5"/>
  <c r="BC407" i="5"/>
  <c r="J608" i="5"/>
  <c r="BC260" i="5"/>
  <c r="BC166" i="5"/>
  <c r="BC449" i="5"/>
  <c r="J513" i="5"/>
  <c r="BC321" i="5"/>
  <c r="AV245" i="5"/>
  <c r="BC677" i="5"/>
  <c r="AV555" i="5"/>
  <c r="AV427" i="5"/>
  <c r="BC653" i="5"/>
  <c r="AV299" i="5"/>
  <c r="K608" i="5"/>
  <c r="J593" i="5"/>
  <c r="AV168" i="5"/>
  <c r="AV493" i="5"/>
  <c r="AV422" i="5"/>
  <c r="AV520" i="5"/>
  <c r="K337" i="5"/>
  <c r="AV443" i="5"/>
  <c r="L591" i="1"/>
  <c r="AV151" i="5"/>
  <c r="J587" i="5"/>
  <c r="BC39" i="5"/>
  <c r="BC17" i="5"/>
  <c r="AV195" i="5"/>
  <c r="AV515" i="5"/>
  <c r="AV354" i="5"/>
  <c r="AV638" i="5"/>
  <c r="BC133" i="5"/>
  <c r="BC116" i="5"/>
  <c r="AV440" i="5"/>
  <c r="L52" i="1"/>
  <c r="BC211" i="5"/>
  <c r="BC408" i="5"/>
  <c r="M37" i="5"/>
  <c r="BC636" i="5"/>
  <c r="J623" i="5"/>
  <c r="BC76" i="5"/>
  <c r="AV670" i="5"/>
  <c r="AT37" i="5"/>
  <c r="J530" i="5"/>
  <c r="J617" i="5"/>
  <c r="AV383" i="5"/>
  <c r="BC621" i="5"/>
  <c r="BC251" i="5"/>
  <c r="K651" i="5"/>
  <c r="AV55" i="5"/>
  <c r="AV53" i="5"/>
  <c r="BC476" i="5"/>
  <c r="BC540" i="5"/>
  <c r="BC389" i="5"/>
  <c r="AV197" i="5"/>
  <c r="AV250" i="5"/>
  <c r="K499" i="5"/>
  <c r="AV171" i="5"/>
  <c r="AV304" i="5"/>
  <c r="BC78" i="5"/>
  <c r="BC440" i="5"/>
  <c r="K551" i="5"/>
  <c r="AV104" i="5"/>
  <c r="AV188" i="5"/>
  <c r="BC518" i="5"/>
  <c r="AV215" i="5"/>
  <c r="J519" i="5"/>
  <c r="AV34" i="5"/>
  <c r="AV377" i="5"/>
  <c r="J162" i="5"/>
  <c r="K659" i="5"/>
  <c r="BC612" i="5"/>
  <c r="BC250" i="5"/>
  <c r="J103" i="5"/>
  <c r="AV408" i="5"/>
  <c r="BC567" i="5"/>
  <c r="AV621" i="5"/>
  <c r="K80" i="5"/>
  <c r="BC173" i="5"/>
  <c r="BC171" i="5"/>
  <c r="BC340" i="5"/>
  <c r="J213" i="5"/>
  <c r="AV254" i="5"/>
  <c r="L540" i="1"/>
  <c r="J641" i="5"/>
  <c r="K63" i="5"/>
  <c r="BC349" i="5"/>
  <c r="L248" i="1"/>
  <c r="AV319" i="5"/>
  <c r="BC319" i="5"/>
  <c r="BC357" i="5"/>
  <c r="AV491" i="5"/>
  <c r="AV164" i="5"/>
  <c r="J509" i="5"/>
  <c r="AV182" i="5"/>
  <c r="BC189" i="5"/>
  <c r="BC520" i="5"/>
  <c r="L75" i="1"/>
  <c r="AV32" i="5"/>
  <c r="AV90" i="5"/>
  <c r="AV470" i="5"/>
  <c r="AV76" i="5"/>
  <c r="BC580" i="5"/>
  <c r="M60" i="5"/>
  <c r="AV154" i="5"/>
  <c r="BC242" i="5"/>
  <c r="BC231" i="5"/>
  <c r="BC700" i="5"/>
  <c r="AV256" i="5"/>
  <c r="K364" i="5"/>
  <c r="BC111" i="5"/>
  <c r="BC291" i="5"/>
  <c r="K601" i="5"/>
  <c r="AV341" i="5"/>
  <c r="J583" i="5"/>
  <c r="BC230" i="5"/>
  <c r="BC654" i="5"/>
  <c r="AV333" i="5"/>
  <c r="AV614" i="5"/>
  <c r="BC91" i="5"/>
  <c r="AV157" i="5"/>
  <c r="AV246" i="5"/>
  <c r="K342" i="5"/>
  <c r="J633" i="5"/>
  <c r="AV430" i="5"/>
  <c r="BC422" i="5"/>
  <c r="AV594" i="5"/>
  <c r="J364" i="5"/>
  <c r="AV444" i="5"/>
  <c r="BC158" i="5"/>
  <c r="BC365" i="5"/>
  <c r="K530" i="5"/>
  <c r="AV292" i="5"/>
  <c r="AV348" i="5"/>
  <c r="K213" i="5"/>
  <c r="AT645" i="5"/>
  <c r="BC209" i="5"/>
  <c r="K561" i="5"/>
  <c r="AV183" i="5"/>
  <c r="J262" i="5"/>
  <c r="AV137" i="5"/>
  <c r="BC137" i="5"/>
  <c r="J551" i="5"/>
  <c r="AV531" i="5"/>
  <c r="BC331" i="5"/>
  <c r="BC435" i="5"/>
  <c r="AV514" i="5"/>
  <c r="BC67" i="5"/>
  <c r="J337" i="5"/>
  <c r="M645" i="5"/>
  <c r="AV409" i="5"/>
  <c r="AV115" i="5"/>
  <c r="AV24" i="5"/>
  <c r="AV227" i="5"/>
  <c r="AV306" i="5"/>
  <c r="K617" i="5"/>
  <c r="BC461" i="5"/>
  <c r="M561" i="5"/>
  <c r="J296" i="5"/>
  <c r="AT561" i="5"/>
  <c r="BC368" i="5"/>
  <c r="AV208" i="5"/>
  <c r="AV71" i="5"/>
  <c r="M617" i="5"/>
  <c r="K453" i="5"/>
  <c r="K452" i="5" s="1"/>
  <c r="AV340" i="5"/>
  <c r="AV421" i="5"/>
  <c r="BC149" i="5"/>
  <c r="M694" i="5"/>
  <c r="M691" i="5" s="1"/>
  <c r="K13" i="5"/>
  <c r="K12" i="5" s="1"/>
  <c r="J342" i="5"/>
  <c r="AT469" i="5"/>
  <c r="BC108" i="5"/>
  <c r="AT617" i="5"/>
  <c r="BC609" i="5"/>
  <c r="AV609" i="5"/>
  <c r="BC62" i="5"/>
  <c r="M308" i="5"/>
  <c r="BC397" i="5"/>
  <c r="L279" i="1"/>
  <c r="AV597" i="5"/>
  <c r="M659" i="5"/>
  <c r="BC31" i="5"/>
  <c r="AT659" i="5"/>
  <c r="AT499" i="5"/>
  <c r="AV637" i="5"/>
  <c r="K623" i="5"/>
  <c r="AV459" i="5"/>
  <c r="J681" i="5"/>
  <c r="K426" i="5"/>
  <c r="M601" i="5"/>
  <c r="J170" i="5"/>
  <c r="M80" i="5"/>
  <c r="AV700" i="5"/>
  <c r="AT583" i="5"/>
  <c r="L217" i="1"/>
  <c r="J453" i="5"/>
  <c r="BC107" i="5"/>
  <c r="AV107" i="5"/>
  <c r="AT551" i="5"/>
  <c r="K575" i="5"/>
  <c r="BC38" i="5"/>
  <c r="AV38" i="5"/>
  <c r="AV379" i="5"/>
  <c r="BC244" i="5"/>
  <c r="K162" i="5"/>
  <c r="BC431" i="5"/>
  <c r="AV508" i="5"/>
  <c r="AV698" i="5"/>
  <c r="AV563" i="5"/>
  <c r="AV576" i="5"/>
  <c r="AV145" i="5"/>
  <c r="BC369" i="5"/>
  <c r="AV376" i="5"/>
  <c r="BC140" i="5"/>
  <c r="K103" i="5"/>
  <c r="BC86" i="5"/>
  <c r="AT601" i="5"/>
  <c r="BC451" i="5"/>
  <c r="M453" i="5"/>
  <c r="M452" i="5" s="1"/>
  <c r="J330" i="5"/>
  <c r="AV25" i="5"/>
  <c r="BC25" i="5"/>
  <c r="AV550" i="5"/>
  <c r="BC550" i="5"/>
  <c r="M675" i="5"/>
  <c r="AT694" i="5"/>
  <c r="BC121" i="5"/>
  <c r="BC443" i="5"/>
  <c r="BC467" i="5"/>
  <c r="J601" i="5"/>
  <c r="L172" i="1"/>
  <c r="AT29" i="5"/>
  <c r="AV56" i="5"/>
  <c r="BC56" i="5"/>
  <c r="AT330" i="5"/>
  <c r="J426" i="5"/>
  <c r="J425" i="5" s="1"/>
  <c r="AV476" i="5"/>
  <c r="AV581" i="5"/>
  <c r="BC581" i="5"/>
  <c r="AV360" i="5"/>
  <c r="BC360" i="5"/>
  <c r="BC586" i="5"/>
  <c r="AV586" i="5"/>
  <c r="BC15" i="5"/>
  <c r="AV15" i="5"/>
  <c r="AV655" i="5"/>
  <c r="BC655" i="5"/>
  <c r="BC565" i="5"/>
  <c r="AV565" i="5"/>
  <c r="AV332" i="5"/>
  <c r="BC332" i="5"/>
  <c r="AV310" i="5"/>
  <c r="BC310" i="5"/>
  <c r="K170" i="5"/>
  <c r="BC112" i="5"/>
  <c r="AV112" i="5"/>
  <c r="AT220" i="5"/>
  <c r="M651" i="5"/>
  <c r="J575" i="5"/>
  <c r="J84" i="5"/>
  <c r="M541" i="5"/>
  <c r="J399" i="5"/>
  <c r="J398" i="5" s="1"/>
  <c r="AV644" i="5"/>
  <c r="M13" i="5"/>
  <c r="M12" i="5" s="1"/>
  <c r="K21" i="5"/>
  <c r="K484" i="5"/>
  <c r="K483" i="5" s="1"/>
  <c r="K469" i="5"/>
  <c r="K468" i="5" s="1"/>
  <c r="BC238" i="5"/>
  <c r="BC678" i="5"/>
  <c r="AV678" i="5"/>
  <c r="BC637" i="5"/>
  <c r="AV48" i="5"/>
  <c r="BC48" i="5"/>
  <c r="BC186" i="5"/>
  <c r="AV186" i="5"/>
  <c r="AV577" i="5"/>
  <c r="BC577" i="5"/>
  <c r="AV111" i="5"/>
  <c r="BC557" i="5"/>
  <c r="AV557" i="5"/>
  <c r="AV127" i="5"/>
  <c r="BC127" i="5"/>
  <c r="BC366" i="5"/>
  <c r="AV366" i="5"/>
  <c r="AV44" i="5"/>
  <c r="BC44" i="5"/>
  <c r="M330" i="5"/>
  <c r="AV571" i="5"/>
  <c r="BC571" i="5"/>
  <c r="AV353" i="5"/>
  <c r="BC353" i="5"/>
  <c r="BC595" i="5"/>
  <c r="AV595" i="5"/>
  <c r="M110" i="5"/>
  <c r="K681" i="5"/>
  <c r="M84" i="5"/>
  <c r="AT541" i="5"/>
  <c r="M162" i="5"/>
  <c r="J220" i="5"/>
  <c r="AV224" i="5"/>
  <c r="M499" i="5"/>
  <c r="AV223" i="5"/>
  <c r="AV375" i="5"/>
  <c r="BC65" i="5"/>
  <c r="AV65" i="5"/>
  <c r="AV150" i="5"/>
  <c r="BC510" i="5"/>
  <c r="AT651" i="5"/>
  <c r="M29" i="5"/>
  <c r="M28" i="5" s="1"/>
  <c r="J308" i="5"/>
  <c r="J469" i="5"/>
  <c r="J468" i="5" s="1"/>
  <c r="M296" i="5"/>
  <c r="AT84" i="5"/>
  <c r="AV288" i="5"/>
  <c r="J371" i="5"/>
  <c r="J370" i="5" s="1"/>
  <c r="M469" i="5"/>
  <c r="M468" i="5" s="1"/>
  <c r="AT162" i="5"/>
  <c r="AV166" i="5"/>
  <c r="K267" i="5"/>
  <c r="J659" i="5"/>
  <c r="M337" i="5"/>
  <c r="K84" i="5"/>
  <c r="BC429" i="5"/>
  <c r="AV203" i="5"/>
  <c r="AT308" i="5"/>
  <c r="AT337" i="5"/>
  <c r="K371" i="5"/>
  <c r="K370" i="5" s="1"/>
  <c r="M583" i="5"/>
  <c r="BC626" i="5"/>
  <c r="AV626" i="5"/>
  <c r="AV52" i="5"/>
  <c r="BC52" i="5"/>
  <c r="BC380" i="5"/>
  <c r="AV380" i="5"/>
  <c r="BC293" i="5"/>
  <c r="AV293" i="5"/>
  <c r="BC590" i="5"/>
  <c r="AV590" i="5"/>
  <c r="BC599" i="5"/>
  <c r="AV599" i="5"/>
  <c r="AV625" i="5"/>
  <c r="BC503" i="5"/>
  <c r="AV503" i="5"/>
  <c r="AT110" i="5"/>
  <c r="AV177" i="5"/>
  <c r="K220" i="5"/>
  <c r="AV605" i="5"/>
  <c r="AT519" i="5"/>
  <c r="K110" i="5"/>
  <c r="J267" i="5"/>
  <c r="M551" i="5"/>
  <c r="J484" i="5"/>
  <c r="J483" i="5" s="1"/>
  <c r="J13" i="5"/>
  <c r="J12" i="5" s="1"/>
  <c r="J499" i="5"/>
  <c r="K593" i="5"/>
  <c r="BC113" i="5"/>
  <c r="K308" i="5"/>
  <c r="M399" i="5"/>
  <c r="M398" i="5" s="1"/>
  <c r="AV455" i="5"/>
  <c r="BC455" i="5"/>
  <c r="AV121" i="5"/>
  <c r="BC306" i="5"/>
  <c r="BC199" i="5"/>
  <c r="AV199" i="5"/>
  <c r="BC447" i="5"/>
  <c r="BC404" i="5"/>
  <c r="AV404" i="5"/>
  <c r="J20" i="5"/>
  <c r="O161" i="5"/>
  <c r="AV193" i="5"/>
  <c r="BC193" i="5"/>
  <c r="BC297" i="5"/>
  <c r="AV297" i="5"/>
  <c r="O12" i="5"/>
  <c r="O212" i="5"/>
  <c r="BC386" i="5"/>
  <c r="AV386" i="5"/>
  <c r="AT593" i="5"/>
  <c r="M641" i="5"/>
  <c r="AT484" i="5"/>
  <c r="O102" i="5"/>
  <c r="M262" i="5"/>
  <c r="BC420" i="5"/>
  <c r="AV420" i="5"/>
  <c r="AV232" i="5"/>
  <c r="BC232" i="5"/>
  <c r="AV290" i="5"/>
  <c r="BC290" i="5"/>
  <c r="AV390" i="5"/>
  <c r="M303" i="5"/>
  <c r="K399" i="5"/>
  <c r="BC434" i="5"/>
  <c r="BC497" i="5"/>
  <c r="AV497" i="5"/>
  <c r="BC696" i="5"/>
  <c r="AT103" i="5"/>
  <c r="AV141" i="5"/>
  <c r="L425" i="5"/>
  <c r="BC446" i="5"/>
  <c r="AV446" i="5"/>
  <c r="BC494" i="5"/>
  <c r="AV682" i="5"/>
  <c r="BC682" i="5"/>
  <c r="AV680" i="5"/>
  <c r="BC680" i="5"/>
  <c r="M681" i="5"/>
  <c r="O36" i="5"/>
  <c r="BC155" i="5"/>
  <c r="AV155" i="5"/>
  <c r="BC185" i="5"/>
  <c r="AV185" i="5"/>
  <c r="M364" i="5"/>
  <c r="L398" i="5"/>
  <c r="AV582" i="5"/>
  <c r="BC582" i="5"/>
  <c r="AT623" i="5"/>
  <c r="BC61" i="5"/>
  <c r="AV61" i="5"/>
  <c r="AT399" i="5"/>
  <c r="BC253" i="5"/>
  <c r="AV253" i="5"/>
  <c r="BC490" i="5"/>
  <c r="AV490" i="5"/>
  <c r="AV239" i="5"/>
  <c r="BC239" i="5"/>
  <c r="M220" i="5"/>
  <c r="AT296" i="5"/>
  <c r="AV630" i="5"/>
  <c r="BC630" i="5"/>
  <c r="O632" i="5"/>
  <c r="BC672" i="5"/>
  <c r="AV672" i="5"/>
  <c r="L483" i="5"/>
  <c r="BC74" i="5"/>
  <c r="AV74" i="5"/>
  <c r="BC351" i="5"/>
  <c r="AV351" i="5"/>
  <c r="AT262" i="5"/>
  <c r="O370" i="5"/>
  <c r="L161" i="5"/>
  <c r="AV169" i="5"/>
  <c r="BC169" i="5"/>
  <c r="AV255" i="5"/>
  <c r="BC255" i="5"/>
  <c r="BC329" i="5"/>
  <c r="BC361" i="5"/>
  <c r="AV361" i="5"/>
  <c r="O28" i="5"/>
  <c r="BC70" i="5"/>
  <c r="AV70" i="5"/>
  <c r="M40" i="5"/>
  <c r="L302" i="5"/>
  <c r="AV326" i="5"/>
  <c r="BC326" i="5"/>
  <c r="BC542" i="5"/>
  <c r="AV542" i="5"/>
  <c r="BC18" i="5"/>
  <c r="AV18" i="5"/>
  <c r="BC100" i="5"/>
  <c r="AV100" i="5"/>
  <c r="L102" i="5"/>
  <c r="BC245" i="5"/>
  <c r="AV334" i="5"/>
  <c r="BC334" i="5"/>
  <c r="M426" i="5"/>
  <c r="M425" i="5" s="1"/>
  <c r="BC687" i="5"/>
  <c r="AV687" i="5"/>
  <c r="BC684" i="5"/>
  <c r="AV684" i="5"/>
  <c r="K40" i="5"/>
  <c r="AV108" i="5"/>
  <c r="K330" i="5"/>
  <c r="BC489" i="5"/>
  <c r="AV489" i="5"/>
  <c r="L574" i="5"/>
  <c r="M587" i="5"/>
  <c r="AV676" i="5"/>
  <c r="BC676" i="5"/>
  <c r="BC190" i="5"/>
  <c r="AV190" i="5"/>
  <c r="BC210" i="5"/>
  <c r="AV210" i="5"/>
  <c r="AT364" i="5"/>
  <c r="AV173" i="5"/>
  <c r="AV324" i="5"/>
  <c r="BC324" i="5"/>
  <c r="BC458" i="5"/>
  <c r="AV458" i="5"/>
  <c r="O398" i="5"/>
  <c r="M593" i="5"/>
  <c r="M484" i="5"/>
  <c r="M483" i="5" s="1"/>
  <c r="AV689" i="5"/>
  <c r="BC689" i="5"/>
  <c r="O79" i="5"/>
  <c r="L28" i="5"/>
  <c r="AV156" i="5"/>
  <c r="BC156" i="5"/>
  <c r="L261" i="5"/>
  <c r="AV318" i="5"/>
  <c r="BC318" i="5"/>
  <c r="BC457" i="5"/>
  <c r="AV457" i="5"/>
  <c r="L690" i="5"/>
  <c r="L691" i="5"/>
  <c r="AV578" i="5"/>
  <c r="BC578" i="5"/>
  <c r="AV129" i="5"/>
  <c r="BC129" i="5"/>
  <c r="O59" i="5"/>
  <c r="AV313" i="5"/>
  <c r="O425" i="5"/>
  <c r="BC436" i="5"/>
  <c r="AV436" i="5"/>
  <c r="O452" i="5"/>
  <c r="BC663" i="5"/>
  <c r="AV663" i="5"/>
  <c r="AT13" i="5"/>
  <c r="AT40" i="5"/>
  <c r="BC316" i="5"/>
  <c r="AV316" i="5"/>
  <c r="BC535" i="5"/>
  <c r="AV535" i="5"/>
  <c r="AV588" i="5"/>
  <c r="BC588" i="5"/>
  <c r="BC118" i="5"/>
  <c r="AV118" i="5"/>
  <c r="BC33" i="5"/>
  <c r="AV33" i="5"/>
  <c r="M103" i="5"/>
  <c r="AV165" i="5"/>
  <c r="BC165" i="5"/>
  <c r="AV237" i="5"/>
  <c r="BC237" i="5"/>
  <c r="O336" i="5"/>
  <c r="L336" i="5"/>
  <c r="BC320" i="5"/>
  <c r="AV320" i="5"/>
  <c r="AT453" i="5"/>
  <c r="BC603" i="5"/>
  <c r="AV603" i="5"/>
  <c r="M575" i="5"/>
  <c r="K675" i="5"/>
  <c r="J675" i="5"/>
  <c r="J63" i="5"/>
  <c r="BC64" i="5"/>
  <c r="AV64" i="5"/>
  <c r="M623" i="5"/>
  <c r="BC168" i="5"/>
  <c r="BC312" i="5"/>
  <c r="BC181" i="5"/>
  <c r="AV181" i="5"/>
  <c r="AV314" i="5"/>
  <c r="BC314" i="5"/>
  <c r="J561" i="5"/>
  <c r="BC23" i="5"/>
  <c r="AV23" i="5"/>
  <c r="L36" i="5"/>
  <c r="BC683" i="5"/>
  <c r="AV683" i="5"/>
  <c r="BC46" i="5"/>
  <c r="AV46" i="5"/>
  <c r="AV394" i="5"/>
  <c r="L701" i="5"/>
  <c r="L12" i="5"/>
  <c r="AV82" i="5"/>
  <c r="BC82" i="5"/>
  <c r="BC474" i="5"/>
  <c r="AV474" i="5"/>
  <c r="BC596" i="5"/>
  <c r="AV596" i="5"/>
  <c r="BC50" i="5"/>
  <c r="AV50" i="5"/>
  <c r="AV222" i="5"/>
  <c r="BC222" i="5"/>
  <c r="BC347" i="5"/>
  <c r="AV347" i="5"/>
  <c r="AV527" i="5"/>
  <c r="BC664" i="5"/>
  <c r="BC257" i="5"/>
  <c r="AV257" i="5"/>
  <c r="BC249" i="5"/>
  <c r="AV249" i="5"/>
  <c r="M371" i="5"/>
  <c r="M370" i="5" s="1"/>
  <c r="AT575" i="5"/>
  <c r="AT633" i="5"/>
  <c r="AV113" i="5"/>
  <c r="AV235" i="5"/>
  <c r="BC235" i="5"/>
  <c r="AV148" i="5"/>
  <c r="AV374" i="5"/>
  <c r="O574" i="5"/>
  <c r="BC307" i="5"/>
  <c r="AV307" i="5"/>
  <c r="AV96" i="5"/>
  <c r="BC96" i="5"/>
  <c r="BC16" i="5"/>
  <c r="AV16" i="5"/>
  <c r="AV174" i="5"/>
  <c r="BC174" i="5"/>
  <c r="BC66" i="5"/>
  <c r="AV66" i="5"/>
  <c r="BC309" i="5"/>
  <c r="AV309" i="5"/>
  <c r="AV679" i="5"/>
  <c r="BC679" i="5"/>
  <c r="AT63" i="5"/>
  <c r="AV243" i="5"/>
  <c r="BC243" i="5"/>
  <c r="AV540" i="5"/>
  <c r="L370" i="5"/>
  <c r="AT530" i="5"/>
  <c r="BC554" i="5"/>
  <c r="AV554" i="5"/>
  <c r="L632" i="5"/>
  <c r="J651" i="5"/>
  <c r="BC83" i="5"/>
  <c r="AV247" i="5"/>
  <c r="BC247" i="5"/>
  <c r="AV54" i="5"/>
  <c r="AV685" i="5"/>
  <c r="BC685" i="5"/>
  <c r="AV88" i="5"/>
  <c r="BC88" i="5"/>
  <c r="M342" i="5"/>
  <c r="O498" i="5"/>
  <c r="AT80" i="5"/>
  <c r="M267" i="5"/>
  <c r="BC27" i="5"/>
  <c r="AV27" i="5"/>
  <c r="AT213" i="5"/>
  <c r="BC533" i="5"/>
  <c r="AV533" i="5"/>
  <c r="AV92" i="5"/>
  <c r="BC92" i="5"/>
  <c r="AV143" i="5"/>
  <c r="BC143" i="5"/>
  <c r="O302" i="5"/>
  <c r="BC160" i="5"/>
  <c r="AV160" i="5"/>
  <c r="AV300" i="5"/>
  <c r="BC300" i="5"/>
  <c r="AT371" i="5"/>
  <c r="O483" i="5"/>
  <c r="M530" i="5"/>
  <c r="M633" i="5"/>
  <c r="BC668" i="5"/>
  <c r="AV668" i="5"/>
  <c r="AT21" i="5"/>
  <c r="AV416" i="5"/>
  <c r="BC416" i="5"/>
  <c r="BC428" i="5"/>
  <c r="AV428" i="5"/>
  <c r="AV485" i="5"/>
  <c r="AV693" i="5"/>
  <c r="BC693" i="5"/>
  <c r="AV432" i="5"/>
  <c r="L59" i="5"/>
  <c r="O468" i="5"/>
  <c r="BC548" i="5"/>
  <c r="AV548" i="5"/>
  <c r="M519" i="5"/>
  <c r="AT641" i="5"/>
  <c r="AT675" i="5"/>
  <c r="AT342" i="5"/>
  <c r="L452" i="5"/>
  <c r="L79" i="5"/>
  <c r="AT267" i="5"/>
  <c r="AV322" i="5"/>
  <c r="BC322" i="5"/>
  <c r="BC41" i="5"/>
  <c r="AV41" i="5"/>
  <c r="BC35" i="5"/>
  <c r="AV35" i="5"/>
  <c r="L212" i="5"/>
  <c r="BC424" i="5"/>
  <c r="AV424" i="5"/>
  <c r="BC592" i="5"/>
  <c r="AV592" i="5"/>
  <c r="BC584" i="5"/>
  <c r="AV584" i="5"/>
  <c r="AV661" i="5"/>
  <c r="BC661" i="5"/>
  <c r="M63" i="5"/>
  <c r="O20" i="5"/>
  <c r="AV401" i="5"/>
  <c r="BC401" i="5"/>
  <c r="L498" i="5"/>
  <c r="AV665" i="5"/>
  <c r="BC665" i="5"/>
  <c r="AT681" i="5"/>
  <c r="AV144" i="5"/>
  <c r="BC144" i="5"/>
  <c r="BC295" i="5"/>
  <c r="AV295" i="5"/>
  <c r="BC521" i="5"/>
  <c r="AV521" i="5"/>
  <c r="BC600" i="5"/>
  <c r="AV600" i="5"/>
  <c r="L20" i="5"/>
  <c r="AV287" i="5"/>
  <c r="BC287" i="5"/>
  <c r="AV406" i="5"/>
  <c r="BC406" i="5"/>
  <c r="J691" i="5"/>
  <c r="J690" i="5"/>
  <c r="BC94" i="5"/>
  <c r="M170" i="5"/>
  <c r="AV241" i="5"/>
  <c r="BC241" i="5"/>
  <c r="AV136" i="5"/>
  <c r="BC136" i="5"/>
  <c r="AV152" i="5"/>
  <c r="BC152" i="5"/>
  <c r="J28" i="5"/>
  <c r="M213" i="5"/>
  <c r="O261" i="5"/>
  <c r="AT303" i="5"/>
  <c r="BC301" i="5"/>
  <c r="AV301" i="5"/>
  <c r="AV355" i="5"/>
  <c r="BC355" i="5"/>
  <c r="BC378" i="5"/>
  <c r="AV378" i="5"/>
  <c r="O691" i="5"/>
  <c r="O690" i="5"/>
  <c r="J110" i="5"/>
  <c r="AV226" i="5"/>
  <c r="BC226" i="5"/>
  <c r="AV259" i="5"/>
  <c r="BC259" i="5"/>
  <c r="AT426" i="5"/>
  <c r="J40" i="5"/>
  <c r="AV373" i="5"/>
  <c r="BC373" i="5"/>
  <c r="BC382" i="5"/>
  <c r="AV382" i="5"/>
  <c r="AT587" i="5"/>
  <c r="M21" i="5"/>
  <c r="M20" i="5" s="1"/>
  <c r="AV367" i="5"/>
  <c r="BC367" i="5"/>
  <c r="BC486" i="5"/>
  <c r="AV486" i="5"/>
  <c r="BC450" i="5"/>
  <c r="AV450" i="5"/>
  <c r="AT170" i="5"/>
  <c r="AV405" i="5"/>
  <c r="BC405" i="5"/>
  <c r="J452" i="5" l="1"/>
  <c r="K690" i="5"/>
  <c r="K691" i="5"/>
  <c r="M102" i="5"/>
  <c r="K59" i="5"/>
  <c r="K261" i="5"/>
  <c r="M79" i="5"/>
  <c r="M36" i="5"/>
  <c r="K498" i="5"/>
  <c r="K212" i="5"/>
  <c r="K425" i="5"/>
  <c r="J302" i="5"/>
  <c r="J574" i="5"/>
  <c r="M212" i="5"/>
  <c r="J79" i="5"/>
  <c r="M336" i="5"/>
  <c r="K336" i="5"/>
  <c r="M632" i="5"/>
  <c r="J161" i="5"/>
  <c r="K79" i="5"/>
  <c r="M690" i="5"/>
  <c r="M302" i="5"/>
  <c r="K632" i="5"/>
  <c r="J336" i="5"/>
  <c r="M161" i="5"/>
  <c r="J212" i="5"/>
  <c r="K161" i="5"/>
  <c r="K20" i="5"/>
  <c r="M701" i="5"/>
  <c r="M498" i="5"/>
  <c r="K574" i="5"/>
  <c r="J261" i="5"/>
  <c r="K102" i="5"/>
  <c r="M574" i="5"/>
  <c r="K398" i="5"/>
  <c r="J36" i="5"/>
  <c r="K36" i="5"/>
  <c r="M59" i="5"/>
  <c r="J498" i="5"/>
  <c r="J632" i="5"/>
  <c r="M261" i="5"/>
  <c r="F28" i="3"/>
  <c r="I28" i="3"/>
  <c r="J102" i="5"/>
  <c r="J59" i="5"/>
  <c r="K302" i="5"/>
  <c r="I29" i="3" l="1"/>
</calcChain>
</file>

<file path=xl/sharedStrings.xml><?xml version="1.0" encoding="utf-8"?>
<sst xmlns="http://schemas.openxmlformats.org/spreadsheetml/2006/main" count="11597" uniqueCount="1246">
  <si>
    <t>Stavební rozpočet</t>
  </si>
  <si>
    <t>Název stavby:</t>
  </si>
  <si>
    <t>Doba výstavby:</t>
  </si>
  <si>
    <t>Objednatel:</t>
  </si>
  <si>
    <t>Druh stavby:</t>
  </si>
  <si>
    <t>Začátek výstavby:</t>
  </si>
  <si>
    <t>Projektant:</t>
  </si>
  <si>
    <t>Lokalita:</t>
  </si>
  <si>
    <t>Konec výstavby:</t>
  </si>
  <si>
    <t>Zhotovitel:</t>
  </si>
  <si>
    <t>JKSO:</t>
  </si>
  <si>
    <t>Zpracováno dne:</t>
  </si>
  <si>
    <t>Zpracoval:</t>
  </si>
  <si>
    <t>Č</t>
  </si>
  <si>
    <t>Objekt</t>
  </si>
  <si>
    <t>Kód</t>
  </si>
  <si>
    <t>Zkrácený popis</t>
  </si>
  <si>
    <t>MJ</t>
  </si>
  <si>
    <t>Množství</t>
  </si>
  <si>
    <t>Jednotková cena (Kč)</t>
  </si>
  <si>
    <t>Náklady celkem (Kč)</t>
  </si>
  <si>
    <t>GROUPCODE</t>
  </si>
  <si>
    <t>ISWORK</t>
  </si>
  <si>
    <t xml:space="preserve"> </t>
  </si>
  <si>
    <t>721-01</t>
  </si>
  <si>
    <t/>
  </si>
  <si>
    <t>Dešťová kanalizace Hálkova 20</t>
  </si>
  <si>
    <t>721</t>
  </si>
  <si>
    <t>Vnitřní kanalizace</t>
  </si>
  <si>
    <t>72129S100VD</t>
  </si>
  <si>
    <t>Sanace kanalizačního potrubí rukávcem DN100</t>
  </si>
  <si>
    <t>m</t>
  </si>
  <si>
    <t>P</t>
  </si>
  <si>
    <t>721210822R00</t>
  </si>
  <si>
    <t>Demontáž střešní vpusti, DN 100 mm</t>
  </si>
  <si>
    <t>kus</t>
  </si>
  <si>
    <t>721234121RT1</t>
  </si>
  <si>
    <t>Vtok střešní PP HL62 pro plochou střechu bez živičného pásu, záchytný koš, D 110 mm</t>
  </si>
  <si>
    <t>721234121STA</t>
  </si>
  <si>
    <t>Úprava střechy a izolace pro střešní vtok včetně napojení na krytinu Firestone</t>
  </si>
  <si>
    <t>soubor</t>
  </si>
  <si>
    <t>721140915R00</t>
  </si>
  <si>
    <t>Provedení opravy vnitřní kanalizace, potrubí litinové DN 100 mm</t>
  </si>
  <si>
    <t>998721202R00</t>
  </si>
  <si>
    <t>Přesun hmot pro vnitřní kanalizaci, výšky do 12 m</t>
  </si>
  <si>
    <t>%</t>
  </si>
  <si>
    <t>721-02</t>
  </si>
  <si>
    <t>Dešťová kanalizace Hálkova 22</t>
  </si>
  <si>
    <t>721-03</t>
  </si>
  <si>
    <t>Dešťová kanalizace Hálkova 24</t>
  </si>
  <si>
    <t>721-04</t>
  </si>
  <si>
    <t>Svislá kanalizace Hálkova 20</t>
  </si>
  <si>
    <t>713</t>
  </si>
  <si>
    <t>Izolace tepelné</t>
  </si>
  <si>
    <t>7135STR11013VD</t>
  </si>
  <si>
    <t>D+M Protipožární ucpávka ve stropě pásem PROMASTOP-W D110-IZ13</t>
  </si>
  <si>
    <t>998713202R00</t>
  </si>
  <si>
    <t>Přesun hmot pro izolace tepelné, výšky do 12 m</t>
  </si>
  <si>
    <t>721140802R00</t>
  </si>
  <si>
    <t>Demontáž potrubí litinového DN 100</t>
  </si>
  <si>
    <t>721140935R00</t>
  </si>
  <si>
    <t>Oprava - přechod z plastových trub na litinu DN100</t>
  </si>
  <si>
    <t>721160802R10</t>
  </si>
  <si>
    <t>Demontáž potrubí vláknocementového do DN 100 mm s uložením do pevných PE pytlů.</t>
  </si>
  <si>
    <t>721170961R00</t>
  </si>
  <si>
    <t>Provedení opravy vnitřní kanalizace, potrubí plastové, propojení dosavadního potrubí, D 50 mm</t>
  </si>
  <si>
    <t>721170963R00</t>
  </si>
  <si>
    <t>Provedení opravy vnitřní kanalizace, potrubí plastové, propojení dosavadního potrubí, D 75 mm</t>
  </si>
  <si>
    <t>721171808R00</t>
  </si>
  <si>
    <t>Demontáž potrubí z PVC do D 114 mm</t>
  </si>
  <si>
    <t>721176115R00</t>
  </si>
  <si>
    <t>Potrubí HT odpadní svislé, D 110 x 2,7 mm</t>
  </si>
  <si>
    <t>721176103R00</t>
  </si>
  <si>
    <t>Potrubí HT připojovací, D 50 x 1,8 mm</t>
  </si>
  <si>
    <t>721176105R00</t>
  </si>
  <si>
    <t>Potrubí HT připojovací, D 110 x 2,7 mm</t>
  </si>
  <si>
    <t>721194105R00</t>
  </si>
  <si>
    <t>Vyvedení odpadních výpustek, D 50 x 1,8 mm</t>
  </si>
  <si>
    <t>721194109R00</t>
  </si>
  <si>
    <t>Vyvedení odpadních výpustek, D 110 x 2,3 mm</t>
  </si>
  <si>
    <t>721273200R00</t>
  </si>
  <si>
    <t>Souprava ventilační střešní hlavice HL 810 D 110 mm</t>
  </si>
  <si>
    <t>721177725R00</t>
  </si>
  <si>
    <t>Čisticí kus, odpadní svislé, D 110 mm</t>
  </si>
  <si>
    <t>721290111R00</t>
  </si>
  <si>
    <t>Zkouška těsnosti kanalizace  DN 125</t>
  </si>
  <si>
    <t>721290822R00</t>
  </si>
  <si>
    <t>Přesun vybouraných hmot, vnitřní kanalizace, v objektech výšky přes 6 - 12 m</t>
  </si>
  <si>
    <t>t</t>
  </si>
  <si>
    <t>721-05</t>
  </si>
  <si>
    <t>Svislá kanalizace Hálkova 22</t>
  </si>
  <si>
    <t>721-06</t>
  </si>
  <si>
    <t>Svislá kanalizace Hálkova 24</t>
  </si>
  <si>
    <t>7135STR7513VD</t>
  </si>
  <si>
    <t>D+M Protipožární ucpávka ve stropě pásem PROMASTOP-W D75-IZ13</t>
  </si>
  <si>
    <t>721176114R00</t>
  </si>
  <si>
    <t>Potrubí HT odpadní svislé, D 75 x 1,9 mm</t>
  </si>
  <si>
    <t>721273200RT2</t>
  </si>
  <si>
    <t>Souprava ventilační střešní hlavice HL807 D 75 mm</t>
  </si>
  <si>
    <t>722-01</t>
  </si>
  <si>
    <t>Ležatý rozvod vody Hálkova 20</t>
  </si>
  <si>
    <t>7135STE02013VD</t>
  </si>
  <si>
    <t>D+M Protipožární ucpávka ve stěně pásem PROMASTOP-W D20-IZ9</t>
  </si>
  <si>
    <t>7135STE02513VD</t>
  </si>
  <si>
    <t>D+M Protipožární ucpávka ve stěně pásem PROMASTOP-W D25-IZ9</t>
  </si>
  <si>
    <t>7135STE03213VD</t>
  </si>
  <si>
    <t>D+M Protipožární ucpávka ve stěně pásem PROMASTOP-W D32-IZ9</t>
  </si>
  <si>
    <t>7135STE04013VD</t>
  </si>
  <si>
    <t>D+M Protipožární ucpávka ve stěně pásem PROMASTOP-W D40-IZ9</t>
  </si>
  <si>
    <t>7135STE06313VD</t>
  </si>
  <si>
    <t>D+M Protipožární ucpávka ve stěně pásem PROMASTOP-W D63-IZ9</t>
  </si>
  <si>
    <t>722</t>
  </si>
  <si>
    <t>Vnitřní vodovod</t>
  </si>
  <si>
    <t>722170801R00</t>
  </si>
  <si>
    <t>Demontáž rozvodů vody z plastů do D 32</t>
  </si>
  <si>
    <t>722170804R00</t>
  </si>
  <si>
    <t>Demontáž rozvodů vody z plastů do D 63</t>
  </si>
  <si>
    <t>722178711UR00</t>
  </si>
  <si>
    <t>Potrubí PP-RCT vícevrstvé (Faser Hot, Basalt Plus) D 20x2,8 mm</t>
  </si>
  <si>
    <t>722178712UR00</t>
  </si>
  <si>
    <t>Potrubí PP-RCT vícevrstvé (Faser Hot, Basalt Plus) D 25x3,5 mm</t>
  </si>
  <si>
    <t>722178713UR00</t>
  </si>
  <si>
    <t>Potrubí PP-RCT vícevrstvé (Faser Hot, Basalt Plus) D 32x3,6 mm</t>
  </si>
  <si>
    <t>722178714UR00</t>
  </si>
  <si>
    <t>Potrubí PP-RCT vícevrstvé (Faser Hot, Basalt Plus), D 40x4,5 mm</t>
  </si>
  <si>
    <t>722178716UR00</t>
  </si>
  <si>
    <t>Potrubí PP-RCT vícevrstvé (Faser Hot, Basalt Plus), D 63x7,1 mm</t>
  </si>
  <si>
    <t>722181212RT8</t>
  </si>
  <si>
    <t>Izolace návleková MIRELON PRO tl. stěny 9 mm vnitřní průměr 25 mm</t>
  </si>
  <si>
    <t>722181212RU1</t>
  </si>
  <si>
    <t>Izolace návleková MIRELON PRO tl. stěny 9 mm vnitřní průměr 32 mm</t>
  </si>
  <si>
    <t>722181212RY3</t>
  </si>
  <si>
    <t>Izolace návleková MIRELON PRO tl. stěny 9 mm vnitřní průměr 63 mm</t>
  </si>
  <si>
    <t>722181215RT7</t>
  </si>
  <si>
    <t>Izolace návleková  MIRELON PRO tl. stěny 25 mm vnitřní průměr 22 mm</t>
  </si>
  <si>
    <t>722181215RT8</t>
  </si>
  <si>
    <t>Izolace návleková  MIRELON PRO tl. stěny 25 mm vnitřní průměr 25 mm</t>
  </si>
  <si>
    <t>722181215RU1</t>
  </si>
  <si>
    <t>Izolace návleková  MIRELON PRO tl. stěny 25 mm vnitřní průměr 32 mm</t>
  </si>
  <si>
    <t>722181215RV9</t>
  </si>
  <si>
    <t>Izolace návleková  MIRELON PRO tl. stěny 25 mm vnitřní průměr 40 mm</t>
  </si>
  <si>
    <t>722M230050VD</t>
  </si>
  <si>
    <t>Podpůrný žlab MERKUR M2 - 300/50 včetně spojovacích prvků</t>
  </si>
  <si>
    <t>722M240050VD</t>
  </si>
  <si>
    <t>Podpůrný žlab MERKUR M2 - 400/50 včetně spojovacích prvků</t>
  </si>
  <si>
    <t>722220230VD</t>
  </si>
  <si>
    <t>Přechodka dGK PPR PN 20 D 20 x G 1/2 s kovovým závitem</t>
  </si>
  <si>
    <t>722220231VD</t>
  </si>
  <si>
    <t>Přechodka dGK PPR PN 20 D 25 x G 1/2 s kovovým závitem</t>
  </si>
  <si>
    <t>722220233VD</t>
  </si>
  <si>
    <t>Přechodka dGK PPR PN 20 D 32 x G 1 s kovovým závitem</t>
  </si>
  <si>
    <t>722220236VD</t>
  </si>
  <si>
    <t>Přechodka dGK PPR PN 20 D 63 x G 2 s kovovým závitem</t>
  </si>
  <si>
    <t>722237221R00</t>
  </si>
  <si>
    <t>Kohout vodovodní kulový, 2x vnitřní závit, GIACOMINI R910, DN 15 mm</t>
  </si>
  <si>
    <t>722237222R00</t>
  </si>
  <si>
    <t>Kohout vodovodní kulový, 2x vnitřní závit, GIACOMINI R910, DN 20 mm</t>
  </si>
  <si>
    <t>722237223R00</t>
  </si>
  <si>
    <t>Kohout vodovodní kulový, 2x vnitřní závit, GIACOMINI R910, DN 25 mm</t>
  </si>
  <si>
    <t>722237226R00</t>
  </si>
  <si>
    <t>Kohout vodovodní kulový, 2x vnitřní závit, GIACOMINI R910, DN 50 mm</t>
  </si>
  <si>
    <t>722229101R00</t>
  </si>
  <si>
    <t>Montáž vodovodních armatur,1závit, G 1/2"</t>
  </si>
  <si>
    <t>110234170VD</t>
  </si>
  <si>
    <t>KFE kohout kulový přímý vypouštěcí PN16</t>
  </si>
  <si>
    <t>M</t>
  </si>
  <si>
    <t>722239101R00</t>
  </si>
  <si>
    <t>Montáž vodovodních armatur 2závity, G 1/2</t>
  </si>
  <si>
    <t>25047-2820VD</t>
  </si>
  <si>
    <t>Automatický termostatický vyvažovací ventil CirCon DN15</t>
  </si>
  <si>
    <t>722235646R00</t>
  </si>
  <si>
    <t>Klapka vodovodní, zpětná, vodorovná, CLAPET FIV.08406, DN 50 mm</t>
  </si>
  <si>
    <t>722239103R00</t>
  </si>
  <si>
    <t>Montáž vodovodních armatur 2závity, G 1"</t>
  </si>
  <si>
    <t>240RV281-1VD</t>
  </si>
  <si>
    <t>Bezpečnostní zpětný ventil RV281 - 1"</t>
  </si>
  <si>
    <t>722239106R00</t>
  </si>
  <si>
    <t>Montáž vodovodních armatur 2závity, G 2"</t>
  </si>
  <si>
    <t>240HS10S50VD</t>
  </si>
  <si>
    <t>Vodovodní filtrační stanice s redukčním ventilem HS10S, DN50, PN16</t>
  </si>
  <si>
    <t>722260813R00</t>
  </si>
  <si>
    <t>Demontáž vodoměrů závitových G 1"</t>
  </si>
  <si>
    <t>722260923R00</t>
  </si>
  <si>
    <t>Zpětná montáž vodoměrů závitových G 1"</t>
  </si>
  <si>
    <t>722212445R00</t>
  </si>
  <si>
    <t>Označení sekčních a stoupačkových uzávěrů vody</t>
  </si>
  <si>
    <t>722280106R00</t>
  </si>
  <si>
    <t>Tlaková zkouška vodovodního potrubí D 32</t>
  </si>
  <si>
    <t>722280107R00</t>
  </si>
  <si>
    <t>Tlaková zkouška vodovodního potrubí D 40</t>
  </si>
  <si>
    <t>722280109R00</t>
  </si>
  <si>
    <t>Tlaková zkouška vodovodního potrubí D 65</t>
  </si>
  <si>
    <t>722290821R00</t>
  </si>
  <si>
    <t>Přesun vybouraných hmot - vodovody, H do 6 m</t>
  </si>
  <si>
    <t>998722202R00</t>
  </si>
  <si>
    <t>Přesun hmot pro vnitřní vodovod, výšky do 12 m</t>
  </si>
  <si>
    <t>722-02</t>
  </si>
  <si>
    <t>Ležatý rozvod vody Hálkova 22</t>
  </si>
  <si>
    <t>7135STE05013VD</t>
  </si>
  <si>
    <t>D+M Protipožární ucpávka ve stěně pásem PROMASTOP-W D50-IZ9</t>
  </si>
  <si>
    <t>722178715UR00</t>
  </si>
  <si>
    <t>Potrubí PP-RCT vícevrstvé (Faser Hot, Basalt Plus),D 50x5,6 mm</t>
  </si>
  <si>
    <t>722181215RW6</t>
  </si>
  <si>
    <t>Izolace návleková  MIRELON PRO tl. stěny 25 mm vnitřní průměr 50 mm</t>
  </si>
  <si>
    <t>722220232VD</t>
  </si>
  <si>
    <t>Přechodka dGK PPR PN 20 D 25 x G 3/4 s kovovým závitem</t>
  </si>
  <si>
    <t>722237224R00</t>
  </si>
  <si>
    <t>Kohout vodovodní kulový, 2x vnitřní závit, GIACOMINI R910, DN 32 mm</t>
  </si>
  <si>
    <t>722280108R00</t>
  </si>
  <si>
    <t>Tlaková zkouška vodovodního potrubí D 50</t>
  </si>
  <si>
    <t>722-03</t>
  </si>
  <si>
    <t>Ležatý rozvod vody Hálkova 24</t>
  </si>
  <si>
    <t>722181212RT7</t>
  </si>
  <si>
    <t>Izolace návleková MIRELON PRO tl. stěny 9 mm vnitřní průměr 22 mm</t>
  </si>
  <si>
    <t>722181212RW6</t>
  </si>
  <si>
    <t>Izolace návleková MIRELON PRO tl. stěny 9 mm vnitřní průměr 50 mm</t>
  </si>
  <si>
    <t>722220235VD</t>
  </si>
  <si>
    <t>Přechodka dGK PPR PN 20 D 50 x G 6/4 s kovovým závitem</t>
  </si>
  <si>
    <t>722237225R00</t>
  </si>
  <si>
    <t>Kohout vodovodní kulový, 2x vnitřní závit, GIACOMINI R910, DN 40 mm</t>
  </si>
  <si>
    <t>722-04</t>
  </si>
  <si>
    <t>Svislý rozvod vody Hálkova 20</t>
  </si>
  <si>
    <t>7135STR2013VD</t>
  </si>
  <si>
    <t>D+M Protipožární ucpávka ve stropě pásem PROMASTOP-W D20-IZ9</t>
  </si>
  <si>
    <t>7135STR2513VD</t>
  </si>
  <si>
    <t>D+M Protipožární ucpávka ve stropě pásem PROMASTOP-W D25-IZ9</t>
  </si>
  <si>
    <t>7135STR3213VD</t>
  </si>
  <si>
    <t>D+M Protipožární ucpávka ve stropě pásem PROMASTOP-W D32-IZ9</t>
  </si>
  <si>
    <t>722131931R00</t>
  </si>
  <si>
    <t>Oprava a propojení dosavadního závitového potrubí DN 15 mm</t>
  </si>
  <si>
    <t>Kohout vod.kul.,2xvnitřní záv.GIACOMINI R910 DN 15</t>
  </si>
  <si>
    <t>722237621R00</t>
  </si>
  <si>
    <t>Ventil vod.zpět.,2xvnitř.závit GIACOMINI R60 DN 15</t>
  </si>
  <si>
    <t>722260811R00</t>
  </si>
  <si>
    <t>Demontáž vodoměrů závitových G 1/2</t>
  </si>
  <si>
    <t>722260921R00</t>
  </si>
  <si>
    <t>Zpětná montáž vodoměrů závitových G 1/2</t>
  </si>
  <si>
    <t>72226PLVODVD</t>
  </si>
  <si>
    <t>Plombování vodoměrů</t>
  </si>
  <si>
    <t>722290822R00</t>
  </si>
  <si>
    <t>Přesun vybouraných hmot - vodovody, H 6 - 12 m</t>
  </si>
  <si>
    <t>725</t>
  </si>
  <si>
    <t>Zařizovací předměty</t>
  </si>
  <si>
    <t>725110811R00</t>
  </si>
  <si>
    <t>Demontáž klozetů splachovacích</t>
  </si>
  <si>
    <t>725119305R00</t>
  </si>
  <si>
    <t>Montáž klozetových mís kombinovaných</t>
  </si>
  <si>
    <t>725230811R00</t>
  </si>
  <si>
    <t>Demontáž bidetů  z diturvitu</t>
  </si>
  <si>
    <t>725239101R00</t>
  </si>
  <si>
    <t>Montáž bidetů ostatních typů</t>
  </si>
  <si>
    <t>998725202R00</t>
  </si>
  <si>
    <t>Přesun hmot pro zařizovací předměty, výšky do 12 m</t>
  </si>
  <si>
    <t>722-05</t>
  </si>
  <si>
    <t>Svislý rozvod vody Hálkova 22</t>
  </si>
  <si>
    <t>722-06</t>
  </si>
  <si>
    <t>Svislý rozvod vody Hálkova 24</t>
  </si>
  <si>
    <t>723-01</t>
  </si>
  <si>
    <t>Páteřový rozvod plynu Hálkova 20</t>
  </si>
  <si>
    <t>723</t>
  </si>
  <si>
    <t>Vnitřní plynovod</t>
  </si>
  <si>
    <t>723120805R00</t>
  </si>
  <si>
    <t>Demontáž potrubí svařovaného závitového DN 25-50</t>
  </si>
  <si>
    <t>723150343R00</t>
  </si>
  <si>
    <t>Zhotovení montažního přechodu DN 50/25 mm</t>
  </si>
  <si>
    <t>723163105R00</t>
  </si>
  <si>
    <t>Potrubí z měděných plynových trubek D 28 x 1,5 mm</t>
  </si>
  <si>
    <t>723163106RCH</t>
  </si>
  <si>
    <t>Potrubí z měděných plyn.trubek D 35 x 1,5 mm-chránička</t>
  </si>
  <si>
    <t>723235111R00</t>
  </si>
  <si>
    <t>Kohout kulový,vnitřní-vnitřní z. IVAR.KK G51 DN 15</t>
  </si>
  <si>
    <t>723235113R00</t>
  </si>
  <si>
    <t>Kohout kulový,vnitřní-vnitřní z. IVAR.KK G51 DN 25</t>
  </si>
  <si>
    <t>723235533R00</t>
  </si>
  <si>
    <t>Vsuvka protipožární, vnitřní - vnější závit, IVAR.TASK FireBag FM, DN 25 mm</t>
  </si>
  <si>
    <t>723190907R00</t>
  </si>
  <si>
    <t>Odvzdušnění a napuštění plynového potrubí</t>
  </si>
  <si>
    <t>723190901R00</t>
  </si>
  <si>
    <t>Uzavření nebo otevření plynového potrubí</t>
  </si>
  <si>
    <t>723190909R00</t>
  </si>
  <si>
    <t>Zkouška tlaková  plynového potrubí</t>
  </si>
  <si>
    <t>723RS200VD</t>
  </si>
  <si>
    <t>Výchozí revize plynoinstalace páteřového rozvodu</t>
  </si>
  <si>
    <t>723RP01100010VD</t>
  </si>
  <si>
    <t>Označení sekčních ventlů stoupaček</t>
  </si>
  <si>
    <t>723160831R00</t>
  </si>
  <si>
    <t>Demontáž rozpěrky přípojek plynoměru, G 1</t>
  </si>
  <si>
    <t>723160804R00</t>
  </si>
  <si>
    <t>Demontáž přípojek k plynoměru,závitových G 1</t>
  </si>
  <si>
    <t>pár</t>
  </si>
  <si>
    <t>723160334R00</t>
  </si>
  <si>
    <t>Rozpěrka přípojky plynoměru G 1</t>
  </si>
  <si>
    <t>723160204R00</t>
  </si>
  <si>
    <t>Přípojka k plynoměru, závitová bez ochozu G 1</t>
  </si>
  <si>
    <t>723260801R00</t>
  </si>
  <si>
    <t>Demontáž plynoměrů PS 2, PS 6, PS 10</t>
  </si>
  <si>
    <t>723261912R00</t>
  </si>
  <si>
    <t>Oprava - montáž plynoměrů PS-2, PS-6</t>
  </si>
  <si>
    <t>723PLOMBPLVD</t>
  </si>
  <si>
    <t>Zaplombování plynoměrů včetně plomby</t>
  </si>
  <si>
    <t>723RP011001VD</t>
  </si>
  <si>
    <t>D-M Úložná konstrukce pro upevnění plynoměru</t>
  </si>
  <si>
    <t>723110970VD</t>
  </si>
  <si>
    <t>Označení plynovodu žlutou samolepící fólií</t>
  </si>
  <si>
    <t>723110980VD</t>
  </si>
  <si>
    <t>Ochranné pospojování rozvodu plynu</t>
  </si>
  <si>
    <t>723110950VD</t>
  </si>
  <si>
    <t>Protipožární ucpávka na plynovodním potrubí do DN50 - tmel Promaseal AG</t>
  </si>
  <si>
    <t>723290822R00</t>
  </si>
  <si>
    <t>Přesun vybouraných hmot - plynovody, H 6 -12 m</t>
  </si>
  <si>
    <t>998723202R00</t>
  </si>
  <si>
    <t>Přesun hmot pro vnitřní plynovod, výšky do 12 m</t>
  </si>
  <si>
    <t>723-02</t>
  </si>
  <si>
    <t>Páteřový rozvod plynu Hálkova 22</t>
  </si>
  <si>
    <t>723-03</t>
  </si>
  <si>
    <t>Páteřový rozvod plynu Hálkova 24</t>
  </si>
  <si>
    <t>723-04</t>
  </si>
  <si>
    <t>Bytový rozvod plynu Hálkova 20</t>
  </si>
  <si>
    <t>723120804R00</t>
  </si>
  <si>
    <t>Demontáž potrubí svařovaného závitového do DN 25</t>
  </si>
  <si>
    <t>723163102R00</t>
  </si>
  <si>
    <t>Potrubí z měděných plyn.trubek D 15 x 1,0 mm</t>
  </si>
  <si>
    <t>723163103RCH</t>
  </si>
  <si>
    <t>Potrubí z měděných plyn.trubek D 18 x 1,0 mm-chránička</t>
  </si>
  <si>
    <t>723190251R00</t>
  </si>
  <si>
    <t>Vyvedení a upevnění plynovodních výpustek DN 15</t>
  </si>
  <si>
    <t>725610810R00</t>
  </si>
  <si>
    <t>Demontáž plynového sporáku</t>
  </si>
  <si>
    <t>725610911R00</t>
  </si>
  <si>
    <t>Zpětná montáž plynových sporáků bez úpravy instalace</t>
  </si>
  <si>
    <t>110MRBM0049VD</t>
  </si>
  <si>
    <t>Hadice Merabell Gas Profi s ventilem s tepelnou pojistkou G1/2"– bajonet 150cm</t>
  </si>
  <si>
    <t>723RS100VD</t>
  </si>
  <si>
    <t>Výchozí revize plynoinstalace bytu</t>
  </si>
  <si>
    <t>723-05</t>
  </si>
  <si>
    <t>Bytový rozvod plynu Hálkova 22</t>
  </si>
  <si>
    <t>723-06</t>
  </si>
  <si>
    <t>Bytový rozvod plynu Hálkova 24</t>
  </si>
  <si>
    <t>760-01</t>
  </si>
  <si>
    <t>Související stavební práce Hálkova 20</t>
  </si>
  <si>
    <t>34</t>
  </si>
  <si>
    <t>Stěny a příčky</t>
  </si>
  <si>
    <t>342263422DVD</t>
  </si>
  <si>
    <t>Demontáž stávajících revizních dvířek z WC do instalační šachty</t>
  </si>
  <si>
    <t>342020110VD</t>
  </si>
  <si>
    <t>Montáž dělící stěny ze SDK mezi WC a instalační šachtou</t>
  </si>
  <si>
    <t>900020110VD</t>
  </si>
  <si>
    <t>Dělící stěna ze sádrokartonu mezi WC a instalační šachtou</t>
  </si>
  <si>
    <t>342263420R00</t>
  </si>
  <si>
    <t>Osazení revizních dvířek do SDK příček, do 0,55 m2</t>
  </si>
  <si>
    <t>76657900VD</t>
  </si>
  <si>
    <t>Aqualine Revizní dvířka, 72x72cm, bílá</t>
  </si>
  <si>
    <t>346244371R00</t>
  </si>
  <si>
    <t>Zazdívka rýh, potrubí, kapes cihlami tl. 14 cm</t>
  </si>
  <si>
    <t>m2</t>
  </si>
  <si>
    <t>999281108R00</t>
  </si>
  <si>
    <t>Přesun hmot pro opravy a údržbu do výšky 12 m</t>
  </si>
  <si>
    <t>411</t>
  </si>
  <si>
    <t>konstrukce plošné</t>
  </si>
  <si>
    <t>411351902R00</t>
  </si>
  <si>
    <t>Bednění prostupů ve stropních deskách plochy do 0,25 m2</t>
  </si>
  <si>
    <t>411387531R00</t>
  </si>
  <si>
    <t>Zabetonování otvorů do 0,25 m2 ve stropech a klenbách</t>
  </si>
  <si>
    <t>712</t>
  </si>
  <si>
    <t>Izolace střech (živičné krytiny)</t>
  </si>
  <si>
    <t>712861703R00</t>
  </si>
  <si>
    <t>Samostatné vytažení izolace, fólií lepenou zplna-oprava po vyměně větracího potrubí kanalizace</t>
  </si>
  <si>
    <t>900EPDM102VD</t>
  </si>
  <si>
    <t>Fólie kaučuková EPDM 1,02 mm</t>
  </si>
  <si>
    <t>998712202R00</t>
  </si>
  <si>
    <t>Přesun hmot pro povlakové krytiny, výšky do 12 m</t>
  </si>
  <si>
    <t>74</t>
  </si>
  <si>
    <t>Elektromontážní práce (silnoproud)</t>
  </si>
  <si>
    <t>740OCHPBYTVD</t>
  </si>
  <si>
    <t>Montáž a dodávka ochranného pospojování v bytě</t>
  </si>
  <si>
    <t>767</t>
  </si>
  <si>
    <t>Konstrukce doplňkové stavební (zámečnické)</t>
  </si>
  <si>
    <t>767884221RT4</t>
  </si>
  <si>
    <t>Konzola,2 upevňovací body,hmoždinka+vrut,ALK 27/18</t>
  </si>
  <si>
    <t>ks</t>
  </si>
  <si>
    <t>11022021000VD</t>
  </si>
  <si>
    <t>Nosník pozinkovaný 40/20 x 2 x 1000mm</t>
  </si>
  <si>
    <t>11035202101VD</t>
  </si>
  <si>
    <t>Konzolový držák nosníků pozinkovnaý otočený pro C 40</t>
  </si>
  <si>
    <t>767900020RA0</t>
  </si>
  <si>
    <t>Demontáž obložení podhledů</t>
  </si>
  <si>
    <t>767587111R00</t>
  </si>
  <si>
    <t>Nosný rošt podhl. Knauf,vidit.kce,kazeta 600x600mm</t>
  </si>
  <si>
    <t>767587211R00</t>
  </si>
  <si>
    <t>Podhled minerální Knauf,vidit.kce,kazeta 600x600mm</t>
  </si>
  <si>
    <t>998767202R00</t>
  </si>
  <si>
    <t>Přesun hmot pro zámečnické konstr., výšky do 12 m</t>
  </si>
  <si>
    <t>781</t>
  </si>
  <si>
    <t>Obklady (keramické)</t>
  </si>
  <si>
    <t>781101210R00</t>
  </si>
  <si>
    <t>Penetrace podkladu pod obklady</t>
  </si>
  <si>
    <t>781210131R00</t>
  </si>
  <si>
    <t>Obkládání stěn obkl. pórovin. do tmele do 300x300</t>
  </si>
  <si>
    <t>781419701R00</t>
  </si>
  <si>
    <t>Příplatek za práci v omez.prostoru,obkl.pórovinové</t>
  </si>
  <si>
    <t>597813713</t>
  </si>
  <si>
    <t>Obkládačka 25x33 - nutno upřesnit dle skutečnosti v jednotlivých bytech</t>
  </si>
  <si>
    <t>781421902R00</t>
  </si>
  <si>
    <t>Oprava obkladů z obkladaček opakních 300x150</t>
  </si>
  <si>
    <t>998781202R00</t>
  </si>
  <si>
    <t>Přesun hmot pro obklady keramické, výšky do 12 m</t>
  </si>
  <si>
    <t>783</t>
  </si>
  <si>
    <t>Nátěry</t>
  </si>
  <si>
    <t>783893114R00</t>
  </si>
  <si>
    <t>Nátěr betonové přepážky instalační šachty požárně ochrannou nátěrovou hmotou</t>
  </si>
  <si>
    <t>24592601</t>
  </si>
  <si>
    <t>Hmota nátěrová požárně ochranná Promastop -CC</t>
  </si>
  <si>
    <t>kg</t>
  </si>
  <si>
    <t>784</t>
  </si>
  <si>
    <t>Malby</t>
  </si>
  <si>
    <t>784442001R00</t>
  </si>
  <si>
    <t>Malba disperzní interiér.HET Klasik,výška do 3,8 m</t>
  </si>
  <si>
    <t>95</t>
  </si>
  <si>
    <t>Různé dokončovací konstrukce a práce na pozemních stavbách</t>
  </si>
  <si>
    <t>952902110R00</t>
  </si>
  <si>
    <t>Čištění zametáním v místnostech a chodbách</t>
  </si>
  <si>
    <t>96</t>
  </si>
  <si>
    <t>Bourání konstrukcí</t>
  </si>
  <si>
    <t>962031143RDP</t>
  </si>
  <si>
    <t>Bourání dělících příček do tl. 100 mm</t>
  </si>
  <si>
    <t>97</t>
  </si>
  <si>
    <t>Prorážení otvorů a ostatní bourací práce</t>
  </si>
  <si>
    <t>972054341R00</t>
  </si>
  <si>
    <t>Vybourání otv. stropy ŽB pl. 0,25 m2, tl. 15 cm</t>
  </si>
  <si>
    <t>970051100R00</t>
  </si>
  <si>
    <t>Vrtání jádrové do ŽB do D 100 mm</t>
  </si>
  <si>
    <t>970054100R00</t>
  </si>
  <si>
    <t>Příp. za jádr. vrt. vodor. ve stěně ŽB do D 100 mm</t>
  </si>
  <si>
    <t>970057100R00</t>
  </si>
  <si>
    <t>Příp. za časté přem. str. jád. vrt. ŽB do D 100 mm</t>
  </si>
  <si>
    <t>970053100R00</t>
  </si>
  <si>
    <t>Příp. za jádr. vrt. ve H nad 1,5 m ŽB do D 100 mm</t>
  </si>
  <si>
    <t>S</t>
  </si>
  <si>
    <t>Přesuny sutí</t>
  </si>
  <si>
    <t>979097012R00</t>
  </si>
  <si>
    <t>Pronájem kontejneru 7 t</t>
  </si>
  <si>
    <t>den</t>
  </si>
  <si>
    <t>979011111R00</t>
  </si>
  <si>
    <t>Svislá doprava suti a vybour. hmot za 2.NP a 1.PP</t>
  </si>
  <si>
    <t>979082111R00</t>
  </si>
  <si>
    <t>Vnitrostaveništní doprava suti do 10 m</t>
  </si>
  <si>
    <t>979086213R00</t>
  </si>
  <si>
    <t>Nakládání vybouraných hmot na dopravní prostředek</t>
  </si>
  <si>
    <t>979081111RT2</t>
  </si>
  <si>
    <t>Odvoz suti a vybour. hmot na skládku do 1 km</t>
  </si>
  <si>
    <t>979081121RT2</t>
  </si>
  <si>
    <t>Příplatek k odvozu za každý další 1 km</t>
  </si>
  <si>
    <t>979990107R00</t>
  </si>
  <si>
    <t>Poplatek za skládku suti - směs betonu,cihel,dřeva</t>
  </si>
  <si>
    <t>979990201R00</t>
  </si>
  <si>
    <t>Poplatek za uložení suti - azbestocementové výrobky, skupina odpadu 170605</t>
  </si>
  <si>
    <t>760-02</t>
  </si>
  <si>
    <t>Související stavební práce Hálkova 22</t>
  </si>
  <si>
    <t>760-03</t>
  </si>
  <si>
    <t>Související stavební práce Hálkova 24</t>
  </si>
  <si>
    <t>VRN</t>
  </si>
  <si>
    <t>Vedlejší rozpočtové náklady</t>
  </si>
  <si>
    <t>VORN</t>
  </si>
  <si>
    <t>Vedlejší a ostatní rozpočtové náklady</t>
  </si>
  <si>
    <t>01VRN</t>
  </si>
  <si>
    <t>Průzkumy, geodetické a projektové práce</t>
  </si>
  <si>
    <t>011002VRN-V</t>
  </si>
  <si>
    <t>Průzkumy</t>
  </si>
  <si>
    <t>hod</t>
  </si>
  <si>
    <t>03VRN</t>
  </si>
  <si>
    <t>Zařízení staveniště</t>
  </si>
  <si>
    <t>030001VRNOPR</t>
  </si>
  <si>
    <t>Zařízení staveniště pro opravy a údržbu</t>
  </si>
  <si>
    <t>Soubor</t>
  </si>
  <si>
    <t>035002VRN</t>
  </si>
  <si>
    <t>Pronájem zařízení a místa</t>
  </si>
  <si>
    <t>07VRN</t>
  </si>
  <si>
    <t>Provozní vlivy</t>
  </si>
  <si>
    <t>070001VRN</t>
  </si>
  <si>
    <t>09VRN</t>
  </si>
  <si>
    <t>Ostatní náklady</t>
  </si>
  <si>
    <t>090001VRN</t>
  </si>
  <si>
    <t>Ostatní náklady na podrobé rozúčtování jednotlivých bytů</t>
  </si>
  <si>
    <t>Celkem:</t>
  </si>
  <si>
    <t>11.03.2025</t>
  </si>
  <si>
    <t>IČO/DIČ:</t>
  </si>
  <si>
    <t>00415227/CZ00415227</t>
  </si>
  <si>
    <t>48393177/CZ48393177</t>
  </si>
  <si>
    <t>Položek:</t>
  </si>
  <si>
    <t>Datum:</t>
  </si>
  <si>
    <t>Rozpočtové náklady v Kč</t>
  </si>
  <si>
    <t>A</t>
  </si>
  <si>
    <t>Základní rozpočtové náklady</t>
  </si>
  <si>
    <t>B</t>
  </si>
  <si>
    <t>Doplňkové náklady</t>
  </si>
  <si>
    <t>C</t>
  </si>
  <si>
    <t>Náklady na umístění stavby (NUS)</t>
  </si>
  <si>
    <t>HSV</t>
  </si>
  <si>
    <t>Dodávky</t>
  </si>
  <si>
    <t>Práce přesčas</t>
  </si>
  <si>
    <t>Montáž</t>
  </si>
  <si>
    <t>Bez pevné podl.</t>
  </si>
  <si>
    <t>Mimostav. doprava</t>
  </si>
  <si>
    <t>PSV</t>
  </si>
  <si>
    <t>Kulturní památka</t>
  </si>
  <si>
    <t>Územní vlivy</t>
  </si>
  <si>
    <t>"M"</t>
  </si>
  <si>
    <t>Ostatní</t>
  </si>
  <si>
    <t>NUS z rozpočtu</t>
  </si>
  <si>
    <t>Ostatní materiál</t>
  </si>
  <si>
    <t>Přesun hmot a sutí</t>
  </si>
  <si>
    <t>ZRN celkem</t>
  </si>
  <si>
    <t>DN celkem</t>
  </si>
  <si>
    <t>NUS celkem</t>
  </si>
  <si>
    <t>DN celkem z obj.</t>
  </si>
  <si>
    <t>NUS celkem z obj.</t>
  </si>
  <si>
    <t>VORN celkem</t>
  </si>
  <si>
    <t>VORN celkem z obj.</t>
  </si>
  <si>
    <t>Základ 0%</t>
  </si>
  <si>
    <t>Základ 12%</t>
  </si>
  <si>
    <t>DPH 12%</t>
  </si>
  <si>
    <t>Celkem bez DPH</t>
  </si>
  <si>
    <t>Základ 21%</t>
  </si>
  <si>
    <t>DPH 21%</t>
  </si>
  <si>
    <t>Celkem včetně DPH</t>
  </si>
  <si>
    <t>Projektant</t>
  </si>
  <si>
    <t>Objednatel</t>
  </si>
  <si>
    <t>Zhotovitel</t>
  </si>
  <si>
    <t>Datum, razítko a podpis</t>
  </si>
  <si>
    <t>Poznámka:</t>
  </si>
  <si>
    <t>Vedlejší rozpočtové náklady VRN</t>
  </si>
  <si>
    <t>Doplňkové náklady DN</t>
  </si>
  <si>
    <t>Kč</t>
  </si>
  <si>
    <t>Základna</t>
  </si>
  <si>
    <t>Celkem DN</t>
  </si>
  <si>
    <t>Celkem NUS</t>
  </si>
  <si>
    <t>Celkem VRN</t>
  </si>
  <si>
    <t>Vedlejší a ostatní rozpočtové náklady VORN</t>
  </si>
  <si>
    <t>Ostatní rozpočtové náklady (VORN)</t>
  </si>
  <si>
    <t>Příprava staveniště</t>
  </si>
  <si>
    <t>Inženýrské činnosti</t>
  </si>
  <si>
    <t>Finanční náklady</t>
  </si>
  <si>
    <t>Náklady na pracovníky</t>
  </si>
  <si>
    <t>Vlastní VORN</t>
  </si>
  <si>
    <t>Celkem VORN</t>
  </si>
  <si>
    <t>Oprava rozvodů kanalizace, vody a plynu v BD Hálkova 20, 22, 24 v Havířově</t>
  </si>
  <si>
    <t>SBD Havířov</t>
  </si>
  <si>
    <t>ETRACOM s.r.o.</t>
  </si>
  <si>
    <t> </t>
  </si>
  <si>
    <t>Ing. Radim Kyjonka</t>
  </si>
  <si>
    <t>Cena/MJ</t>
  </si>
  <si>
    <t>Sazba DPH</t>
  </si>
  <si>
    <t>Náklady (Kč)</t>
  </si>
  <si>
    <t>Hmotnost (t)</t>
  </si>
  <si>
    <t>Cenová</t>
  </si>
  <si>
    <t>VATTAX</t>
  </si>
  <si>
    <t>Rozměry</t>
  </si>
  <si>
    <t>(Kč)</t>
  </si>
  <si>
    <t>Dodávka</t>
  </si>
  <si>
    <t>Celkem</t>
  </si>
  <si>
    <t>Celkem vč. DPH</t>
  </si>
  <si>
    <t>Jednot.</t>
  </si>
  <si>
    <t>soustava</t>
  </si>
  <si>
    <t>Přesuny</t>
  </si>
  <si>
    <t>Typ skupiny</t>
  </si>
  <si>
    <t>HSV mat</t>
  </si>
  <si>
    <t>HSV prac</t>
  </si>
  <si>
    <t>PSV mat</t>
  </si>
  <si>
    <t>PSV prac</t>
  </si>
  <si>
    <t>Mont mat</t>
  </si>
  <si>
    <t>Mont prac</t>
  </si>
  <si>
    <t>Ostatní mat.</t>
  </si>
  <si>
    <t>MAT</t>
  </si>
  <si>
    <t>WORK</t>
  </si>
  <si>
    <t>CELK</t>
  </si>
  <si>
    <t>1</t>
  </si>
  <si>
    <t>RTS II / 2024</t>
  </si>
  <si>
    <t>7</t>
  </si>
  <si>
    <t>721_</t>
  </si>
  <si>
    <t>721-01_72_</t>
  </si>
  <si>
    <t>721-01_</t>
  </si>
  <si>
    <t>2</t>
  </si>
  <si>
    <t>3</t>
  </si>
  <si>
    <t>4</t>
  </si>
  <si>
    <t>RTS I / 2024</t>
  </si>
  <si>
    <t>5</t>
  </si>
  <si>
    <t>6</t>
  </si>
  <si>
    <t>721-02_72_</t>
  </si>
  <si>
    <t>721-02_</t>
  </si>
  <si>
    <t>8</t>
  </si>
  <si>
    <t>9</t>
  </si>
  <si>
    <t>10</t>
  </si>
  <si>
    <t>11</t>
  </si>
  <si>
    <t>12</t>
  </si>
  <si>
    <t>13</t>
  </si>
  <si>
    <t>721-03_72_</t>
  </si>
  <si>
    <t>721-03_</t>
  </si>
  <si>
    <t>14</t>
  </si>
  <si>
    <t>15</t>
  </si>
  <si>
    <t>16</t>
  </si>
  <si>
    <t>17</t>
  </si>
  <si>
    <t>18</t>
  </si>
  <si>
    <t>19</t>
  </si>
  <si>
    <t>713_</t>
  </si>
  <si>
    <t>721-04_71_</t>
  </si>
  <si>
    <t>721-04_</t>
  </si>
  <si>
    <t>20</t>
  </si>
  <si>
    <t>21</t>
  </si>
  <si>
    <t>721-04_72_</t>
  </si>
  <si>
    <t>22</t>
  </si>
  <si>
    <t>RTS komentář:</t>
  </si>
  <si>
    <t>Položka je určena i pro přechod na olověné trouby a pro DN 50/100 a 70/100.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</si>
  <si>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</si>
  <si>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</si>
  <si>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</si>
  <si>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</si>
  <si>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</si>
  <si>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</si>
  <si>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</si>
  <si>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</si>
  <si>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</si>
  <si>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</si>
  <si>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</si>
  <si>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35</t>
  </si>
  <si>
    <t xml:space="preserve">vodorovně do 100 </t>
  </si>
  <si>
    <t>36</t>
  </si>
  <si>
    <t>37</t>
  </si>
  <si>
    <t>721-05_71_</t>
  </si>
  <si>
    <t>721-05_</t>
  </si>
  <si>
    <t>38</t>
  </si>
  <si>
    <t>39</t>
  </si>
  <si>
    <t>721-05_72_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</si>
  <si>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</si>
  <si>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</si>
  <si>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</si>
  <si>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</si>
  <si>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</si>
  <si>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</si>
  <si>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</si>
  <si>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</si>
  <si>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</si>
  <si>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</si>
  <si>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</si>
  <si>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</si>
  <si>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</si>
  <si>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</si>
  <si>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</si>
  <si>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721-06_71_</t>
  </si>
  <si>
    <t>721-06_</t>
  </si>
  <si>
    <t>55</t>
  </si>
  <si>
    <t>56</t>
  </si>
  <si>
    <t>57</t>
  </si>
  <si>
    <t>721-06_72_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</si>
  <si>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</si>
  <si>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</si>
  <si>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</si>
  <si>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</si>
  <si>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</si>
  <si>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</si>
  <si>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</si>
  <si>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</si>
  <si>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</si>
  <si>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</si>
  <si>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</si>
  <si>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</si>
  <si>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</si>
  <si>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</si>
  <si>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</si>
  <si>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</si>
  <si>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722-01_71_</t>
  </si>
  <si>
    <t>722-01_</t>
  </si>
  <si>
    <t>75</t>
  </si>
  <si>
    <t>76</t>
  </si>
  <si>
    <t>77</t>
  </si>
  <si>
    <t>78</t>
  </si>
  <si>
    <t>79</t>
  </si>
  <si>
    <t>80</t>
  </si>
  <si>
    <t>722_</t>
  </si>
  <si>
    <t>722-01_72_</t>
  </si>
  <si>
    <t>81</t>
  </si>
  <si>
    <t>82</t>
  </si>
  <si>
    <t>V položkách jsou započteny náklady na dodávku potrubí a tvarovek včetně montáže.</t>
  </si>
  <si>
    <t>83</t>
  </si>
  <si>
    <t>84</t>
  </si>
  <si>
    <t>85</t>
  </si>
  <si>
    <t>86</t>
  </si>
  <si>
    <t>87</t>
  </si>
  <si>
    <t>V položce je kalkulována dodávka izolační trubice, spon a lepicí pásky</t>
  </si>
  <si>
    <t>88</t>
  </si>
  <si>
    <t>89</t>
  </si>
  <si>
    <t>90</t>
  </si>
  <si>
    <t>91</t>
  </si>
  <si>
    <t>92</t>
  </si>
  <si>
    <t>93</t>
  </si>
  <si>
    <t>94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</si>
  <si>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</si>
  <si>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</si>
  <si>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</si>
  <si>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</si>
  <si>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</si>
  <si>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</si>
  <si>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</si>
  <si>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</si>
  <si>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</si>
  <si>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</si>
  <si>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</si>
  <si>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</si>
  <si>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</si>
  <si>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</si>
  <si>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</si>
  <si>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</si>
  <si>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</si>
  <si>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</si>
  <si>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</si>
  <si>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</si>
  <si>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</si>
  <si>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</si>
  <si>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vodorovně do 100 m</t>
  </si>
  <si>
    <t>120</t>
  </si>
  <si>
    <t>121</t>
  </si>
  <si>
    <t>722-02_71_</t>
  </si>
  <si>
    <t>722-02_</t>
  </si>
  <si>
    <t>122</t>
  </si>
  <si>
    <t>123</t>
  </si>
  <si>
    <t>124</t>
  </si>
  <si>
    <t>125</t>
  </si>
  <si>
    <t>126</t>
  </si>
  <si>
    <t>127</t>
  </si>
  <si>
    <t>128</t>
  </si>
  <si>
    <t>722-02_72_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</si>
  <si>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</si>
  <si>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</si>
  <si>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</si>
  <si>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</si>
  <si>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</si>
  <si>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</si>
  <si>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</si>
  <si>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</si>
  <si>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</si>
  <si>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</si>
  <si>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</si>
  <si>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</si>
  <si>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</si>
  <si>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</si>
  <si>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</si>
  <si>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</si>
  <si>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</si>
  <si>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</si>
  <si>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</si>
  <si>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</si>
  <si>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</si>
  <si>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</si>
  <si>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</si>
  <si>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</si>
  <si>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</si>
  <si>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</si>
  <si>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</si>
  <si>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</si>
  <si>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</si>
  <si>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</si>
  <si>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</si>
  <si>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</si>
  <si>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</si>
  <si>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</si>
  <si>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</si>
  <si>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</si>
  <si>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</si>
  <si>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</si>
  <si>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</si>
  <si>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</si>
  <si>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722-03_71_</t>
  </si>
  <si>
    <t>722-03_</t>
  </si>
  <si>
    <t>169</t>
  </si>
  <si>
    <t>170</t>
  </si>
  <si>
    <t>171</t>
  </si>
  <si>
    <t>172</t>
  </si>
  <si>
    <t>173</t>
  </si>
  <si>
    <t>174</t>
  </si>
  <si>
    <t>722-03_72_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</si>
  <si>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</si>
  <si>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</si>
  <si>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</si>
  <si>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</si>
  <si>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</si>
  <si>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</si>
  <si>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</si>
  <si>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</si>
  <si>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</si>
  <si>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</si>
  <si>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</si>
  <si>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</si>
  <si>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</si>
  <si>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</si>
  <si>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</si>
  <si>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</si>
  <si>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</si>
  <si>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</si>
  <si>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</si>
  <si>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</si>
  <si>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</si>
  <si>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</si>
  <si>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</si>
  <si>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</si>
  <si>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</si>
  <si>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</si>
  <si>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</si>
  <si>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</si>
  <si>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</si>
  <si>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</si>
  <si>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</si>
  <si>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</si>
  <si>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</si>
  <si>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</si>
  <si>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</si>
  <si>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</si>
  <si>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</si>
  <si>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</si>
  <si>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722-04_71_</t>
  </si>
  <si>
    <t>722-04_</t>
  </si>
  <si>
    <t>213</t>
  </si>
  <si>
    <t>214</t>
  </si>
  <si>
    <t>215</t>
  </si>
  <si>
    <t>216</t>
  </si>
  <si>
    <t>722-04_72_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</si>
  <si>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</si>
  <si>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</si>
  <si>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</si>
  <si>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</si>
  <si>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</si>
  <si>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</si>
  <si>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</si>
  <si>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</si>
  <si>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</si>
  <si>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</si>
  <si>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</si>
  <si>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</si>
  <si>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</si>
  <si>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</si>
  <si>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</si>
  <si>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</si>
  <si>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</si>
  <si>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</si>
  <si>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</si>
  <si>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</si>
  <si>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725_</t>
  </si>
  <si>
    <t>237</t>
  </si>
  <si>
    <t>238</t>
  </si>
  <si>
    <t>239</t>
  </si>
  <si>
    <t>240</t>
  </si>
  <si>
    <t>241</t>
  </si>
  <si>
    <t>722-05_71_</t>
  </si>
  <si>
    <t>722-05_</t>
  </si>
  <si>
    <t>242</t>
  </si>
  <si>
    <t>243</t>
  </si>
  <si>
    <t>244</t>
  </si>
  <si>
    <t>245</t>
  </si>
  <si>
    <t>722-05_72_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</si>
  <si>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</si>
  <si>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</si>
  <si>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</si>
  <si>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</si>
  <si>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</si>
  <si>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</si>
  <si>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</si>
  <si>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</si>
  <si>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</si>
  <si>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</si>
  <si>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</si>
  <si>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</si>
  <si>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</si>
  <si>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</si>
  <si>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</si>
  <si>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</si>
  <si>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</si>
  <si>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</si>
  <si>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</si>
  <si>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</si>
  <si>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</si>
  <si>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</si>
  <si>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</si>
  <si>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269</t>
  </si>
  <si>
    <t>270</t>
  </si>
  <si>
    <t>722-06_71_</t>
  </si>
  <si>
    <t>722-06_</t>
  </si>
  <si>
    <t>271</t>
  </si>
  <si>
    <t>272</t>
  </si>
  <si>
    <t>273</t>
  </si>
  <si>
    <t>274</t>
  </si>
  <si>
    <t>722-06_72_</t>
  </si>
  <si>
    <t>275</t>
  </si>
  <si>
    <t>276</t>
  </si>
  <si>
    <t>277</t>
  </si>
  <si>
    <t>278</t>
  </si>
  <si>
    <t>279</t>
  </si>
  <si>
    <t>280</t>
  </si>
  <si>
    <t>281</t>
  </si>
  <si>
    <t>282</t>
  </si>
  <si>
    <t>283</t>
  </si>
  <si>
    <t>284</t>
  </si>
  <si>
    <t>285</t>
  </si>
  <si>
    <t>286</t>
  </si>
  <si>
    <t>287</t>
  </si>
  <si>
    <t>288</t>
  </si>
  <si>
    <t>289</t>
  </si>
  <si>
    <t>290</t>
  </si>
  <si>
    <t>291</t>
  </si>
  <si>
    <t>292</t>
  </si>
  <si>
    <t>293</t>
  </si>
  <si>
    <t>294</t>
  </si>
  <si>
    <t>295</t>
  </si>
  <si>
    <t>296</t>
  </si>
  <si>
    <t>297</t>
  </si>
  <si>
    <t>298</t>
  </si>
  <si>
    <t>299</t>
  </si>
  <si>
    <t>723_</t>
  </si>
  <si>
    <t>723-01_72_</t>
  </si>
  <si>
    <t>723-01_</t>
  </si>
  <si>
    <t>300</t>
  </si>
  <si>
    <t>301</t>
  </si>
  <si>
    <t>302</t>
  </si>
  <si>
    <t>303</t>
  </si>
  <si>
    <t>304</t>
  </si>
  <si>
    <t>305</t>
  </si>
  <si>
    <t>306</t>
  </si>
  <si>
    <t>307</t>
  </si>
  <si>
    <t>308</t>
  </si>
  <si>
    <t>309</t>
  </si>
  <si>
    <t>310</t>
  </si>
  <si>
    <t>311</t>
  </si>
  <si>
    <t>312</t>
  </si>
  <si>
    <t>313</t>
  </si>
  <si>
    <t>314</t>
  </si>
  <si>
    <t>315</t>
  </si>
  <si>
    <t>316</t>
  </si>
  <si>
    <t>317</t>
  </si>
  <si>
    <t>318</t>
  </si>
  <si>
    <t>319</t>
  </si>
  <si>
    <t>320</t>
  </si>
  <si>
    <t>321</t>
  </si>
  <si>
    <t>322</t>
  </si>
  <si>
    <t>323</t>
  </si>
  <si>
    <t>324</t>
  </si>
  <si>
    <t>723-02_72_</t>
  </si>
  <si>
    <t>723-02_</t>
  </si>
  <si>
    <t>325</t>
  </si>
  <si>
    <t>326</t>
  </si>
  <si>
    <t>327</t>
  </si>
  <si>
    <t>328</t>
  </si>
  <si>
    <t>329</t>
  </si>
  <si>
    <t>330</t>
  </si>
  <si>
    <t>331</t>
  </si>
  <si>
    <t>332</t>
  </si>
  <si>
    <t>333</t>
  </si>
  <si>
    <t>334</t>
  </si>
  <si>
    <t>335</t>
  </si>
  <si>
    <t>336</t>
  </si>
  <si>
    <t>337</t>
  </si>
  <si>
    <t>338</t>
  </si>
  <si>
    <t>339</t>
  </si>
  <si>
    <t>340</t>
  </si>
  <si>
    <t>341</t>
  </si>
  <si>
    <t>342</t>
  </si>
  <si>
    <t>343</t>
  </si>
  <si>
    <t>344</t>
  </si>
  <si>
    <t>345</t>
  </si>
  <si>
    <t>346</t>
  </si>
  <si>
    <t>347</t>
  </si>
  <si>
    <t>348</t>
  </si>
  <si>
    <t>349</t>
  </si>
  <si>
    <t>723-03_72_</t>
  </si>
  <si>
    <t>723-03_</t>
  </si>
  <si>
    <t>350</t>
  </si>
  <si>
    <t>351</t>
  </si>
  <si>
    <t>352</t>
  </si>
  <si>
    <t>353</t>
  </si>
  <si>
    <t>354</t>
  </si>
  <si>
    <t>355</t>
  </si>
  <si>
    <t>356</t>
  </si>
  <si>
    <t>357</t>
  </si>
  <si>
    <t>358</t>
  </si>
  <si>
    <t>359</t>
  </si>
  <si>
    <t>360</t>
  </si>
  <si>
    <t>361</t>
  </si>
  <si>
    <t>362</t>
  </si>
  <si>
    <t>363</t>
  </si>
  <si>
    <t>364</t>
  </si>
  <si>
    <t>365</t>
  </si>
  <si>
    <t>366</t>
  </si>
  <si>
    <t>367</t>
  </si>
  <si>
    <t>368</t>
  </si>
  <si>
    <t>369</t>
  </si>
  <si>
    <t>370</t>
  </si>
  <si>
    <t>371</t>
  </si>
  <si>
    <t>372</t>
  </si>
  <si>
    <t>373</t>
  </si>
  <si>
    <t>374</t>
  </si>
  <si>
    <t>723-04_72_</t>
  </si>
  <si>
    <t>723-04_</t>
  </si>
  <si>
    <t>375</t>
  </si>
  <si>
    <t>376</t>
  </si>
  <si>
    <t>377</t>
  </si>
  <si>
    <t>378</t>
  </si>
  <si>
    <t>379</t>
  </si>
  <si>
    <t>380</t>
  </si>
  <si>
    <t>381</t>
  </si>
  <si>
    <t>382</t>
  </si>
  <si>
    <t>383</t>
  </si>
  <si>
    <t>384</t>
  </si>
  <si>
    <t>385</t>
  </si>
  <si>
    <t>386</t>
  </si>
  <si>
    <t>387</t>
  </si>
  <si>
    <t>723-05_72_</t>
  </si>
  <si>
    <t>723-05_</t>
  </si>
  <si>
    <t>388</t>
  </si>
  <si>
    <t>389</t>
  </si>
  <si>
    <t>390</t>
  </si>
  <si>
    <t>391</t>
  </si>
  <si>
    <t>392</t>
  </si>
  <si>
    <t>393</t>
  </si>
  <si>
    <t>394</t>
  </si>
  <si>
    <t>395</t>
  </si>
  <si>
    <t>396</t>
  </si>
  <si>
    <t>397</t>
  </si>
  <si>
    <t>398</t>
  </si>
  <si>
    <t>399</t>
  </si>
  <si>
    <t>400</t>
  </si>
  <si>
    <t>723-06_72_</t>
  </si>
  <si>
    <t>723-06_</t>
  </si>
  <si>
    <t>401</t>
  </si>
  <si>
    <t>402</t>
  </si>
  <si>
    <t>403</t>
  </si>
  <si>
    <t>404</t>
  </si>
  <si>
    <t>405</t>
  </si>
  <si>
    <t>406</t>
  </si>
  <si>
    <t>407</t>
  </si>
  <si>
    <t>408</t>
  </si>
  <si>
    <t>409</t>
  </si>
  <si>
    <t>410</t>
  </si>
  <si>
    <t>412</t>
  </si>
  <si>
    <t>413</t>
  </si>
  <si>
    <t>34_</t>
  </si>
  <si>
    <t>760-01_3_</t>
  </si>
  <si>
    <t>760-01_</t>
  </si>
  <si>
    <t>414</t>
  </si>
  <si>
    <t>415</t>
  </si>
  <si>
    <t>416</t>
  </si>
  <si>
    <t>Položka obsahuje vytvoření otvoru a osazení rámu s dvířky včetně prošroubování. Dodávka dvířek se ocení ve specifikaci, ztratné se nestanoví.</t>
  </si>
  <si>
    <t>417</t>
  </si>
  <si>
    <t>418</t>
  </si>
  <si>
    <t>V položce jsou zakalkulovány i náklady na pomocné lešení o výšce podlahy do 1900 mm a pro zatížení do 1,5 kP</t>
  </si>
  <si>
    <t>419</t>
  </si>
  <si>
    <t>420</t>
  </si>
  <si>
    <t>411_</t>
  </si>
  <si>
    <t>760-01_4_</t>
  </si>
  <si>
    <t>421</t>
  </si>
  <si>
    <t>422</t>
  </si>
  <si>
    <t>423</t>
  </si>
  <si>
    <t>712_</t>
  </si>
  <si>
    <t>760-01_71_</t>
  </si>
  <si>
    <t>424</t>
  </si>
  <si>
    <t>425</t>
  </si>
  <si>
    <t>426</t>
  </si>
  <si>
    <t>74_</t>
  </si>
  <si>
    <t>760-01_74_</t>
  </si>
  <si>
    <t>427</t>
  </si>
  <si>
    <t>767_</t>
  </si>
  <si>
    <t>760-01_76_</t>
  </si>
  <si>
    <t>428</t>
  </si>
  <si>
    <t>429</t>
  </si>
  <si>
    <t>430</t>
  </si>
  <si>
    <t>V položce není kalkulován poplatek za skládku pro vybouranou suť. Tyto náklady se oceňují individuálně podle místních podmínek. Orientační hmotnost vybouraných konstrukcí je 0,008 t/m2 konstrukce.</t>
  </si>
  <si>
    <t>431</t>
  </si>
  <si>
    <t>Položka je určena pro montáž podhledů Knauf z kazet 600 x 600 mm. V položce jsou zakalkulovány náklady na: - rozměření - montáž a dodávku nosného roštu.  Označení SK, VT vyjadřuje způsob uložení kazet na rošt SK - hrana kazety je v úrovni roštu VT - hrana kazety je pod úrovní roštu</t>
  </si>
  <si>
    <t>432</t>
  </si>
  <si>
    <t>Položka je určena pro montáž podhledů Knauf z kazet 600 x 600 mm. V položce jsou zakalkulovány náklady na: - montáž a dodávku kazet.  Označení SK, VT vyjadřuje způsob uložení kazet na rošt SK - hrana kazety je v úrovni roštu VT - hrana kazety je pod úrovní roštu</t>
  </si>
  <si>
    <t>433</t>
  </si>
  <si>
    <t>434</t>
  </si>
  <si>
    <t>781_</t>
  </si>
  <si>
    <t>760-01_78_</t>
  </si>
  <si>
    <t>Položka obsahuje provedení penetračního nátěru včetně dodávky materiálu.</t>
  </si>
  <si>
    <t>435</t>
  </si>
  <si>
    <t>Položka je určena pro obkládání stěn z obkladaček pórovinových (bělninových), na tmel, kladených rovnoběžně s podlahou. Položka obsahuje:  - očištění podkladu od nesoudržných částic, - rozměření plochy,  - rozbalení balíků, třídění nebo rozpojení obkladaček dodávaných v blocích, - příprava a nanesení tmelu na plochu, - řezání obkladaček, - kladení obkladaček, - spárování, čištění obkladu, odnesení odpadu na vykázané místo. Položka neobsahuje žádný materiál. Skládání složitých vzorů a tvarů se oceňuje individuálně.</t>
  </si>
  <si>
    <t>436</t>
  </si>
  <si>
    <t>Omezený prostor je prostor užší než 900 mm nebo nižší než 1 500 mm, nebo prostor za potrubím, je-li mezera mezi lícem potrubí a obkládanou konstrukcí menší než 500 mm</t>
  </si>
  <si>
    <t>437</t>
  </si>
  <si>
    <t>glazované keramické obkladové prvk</t>
  </si>
  <si>
    <t>438</t>
  </si>
  <si>
    <t>439</t>
  </si>
  <si>
    <t>440</t>
  </si>
  <si>
    <t>783_</t>
  </si>
  <si>
    <t>441</t>
  </si>
  <si>
    <t>Požárně ochranný nátěr PROMASTOP®-CC je vodou ředitelný, endotermní materiál. Je dobře zpracovatelný a rychle použitelný. Dá se použít, tak jak je dodaný (bez ředění). Po vyschnutí zůstává nátěr flexibilní. Nátěr vykazuje dobrou přilnavost a soudržnost s různými podklady.  Požárně ochranný nátěr PROMASTOP®-CC se používá ke zhotovení protipožárních kabelových ucpávek a přepážek, stejně tak pro utěsnění stavebních spár. Snižuje riziko šíření plamene po povrchu kabelů a kabelových svazků.  Balení: nádoba plastová po 12,5 k</t>
  </si>
  <si>
    <t>442</t>
  </si>
  <si>
    <t>784_</t>
  </si>
  <si>
    <t>443</t>
  </si>
  <si>
    <t>95_</t>
  </si>
  <si>
    <t>760-01_9_</t>
  </si>
  <si>
    <t>444</t>
  </si>
  <si>
    <t>RTS II / 2023</t>
  </si>
  <si>
    <t>96_</t>
  </si>
  <si>
    <t>445</t>
  </si>
  <si>
    <t>97_</t>
  </si>
  <si>
    <t>V položce není kalkulována manipulace se sutí, která se oceňuje samostatně položkami souboru 979</t>
  </si>
  <si>
    <t>446</t>
  </si>
  <si>
    <t>447</t>
  </si>
  <si>
    <t>Příplatek za jádrové vrtání vodorovně ve stěně ŽB do 100 mm</t>
  </si>
  <si>
    <t>448</t>
  </si>
  <si>
    <t>Příplatek za časté přemístění stroje jádrového vrtání ŽB do 100 mm</t>
  </si>
  <si>
    <t>449</t>
  </si>
  <si>
    <t>Příplatek za jádrové vrtání ve výšce nad 1,5 m ŽB do 100 mm</t>
  </si>
  <si>
    <t>450</t>
  </si>
  <si>
    <t>S_</t>
  </si>
  <si>
    <t>451</t>
  </si>
  <si>
    <t>Položka je určena pro dopravu suti a vybouraných hmot za prvé podlaží nad nebo pod základním podlažím. Svislá doprava suti ze základního podlaží se neoceňuje. Základním podlažím je zpravidla přízemí.</t>
  </si>
  <si>
    <t>452</t>
  </si>
  <si>
    <t>Včetně případného složení na staveništní deponii.</t>
  </si>
  <si>
    <t>453</t>
  </si>
  <si>
    <t>Nakládání ro vodorovnou dopravu.</t>
  </si>
  <si>
    <t>454</t>
  </si>
  <si>
    <t>455</t>
  </si>
  <si>
    <t>456</t>
  </si>
  <si>
    <t>457</t>
  </si>
  <si>
    <t>až 4500 Kč/ t podle lokalit</t>
  </si>
  <si>
    <t>458</t>
  </si>
  <si>
    <t>760-02_3_</t>
  </si>
  <si>
    <t>760-02_</t>
  </si>
  <si>
    <t>459</t>
  </si>
  <si>
    <t>460</t>
  </si>
  <si>
    <t>461</t>
  </si>
  <si>
    <t>462</t>
  </si>
  <si>
    <t>463</t>
  </si>
  <si>
    <t>464</t>
  </si>
  <si>
    <t>465</t>
  </si>
  <si>
    <t>760-02_4_</t>
  </si>
  <si>
    <t>466</t>
  </si>
  <si>
    <t>467</t>
  </si>
  <si>
    <t>468</t>
  </si>
  <si>
    <t>760-02_71_</t>
  </si>
  <si>
    <t>469</t>
  </si>
  <si>
    <t>470</t>
  </si>
  <si>
    <t>471</t>
  </si>
  <si>
    <t>760-02_74_</t>
  </si>
  <si>
    <t>472</t>
  </si>
  <si>
    <t>760-02_76_</t>
  </si>
  <si>
    <t>473</t>
  </si>
  <si>
    <t>474</t>
  </si>
  <si>
    <t>475</t>
  </si>
  <si>
    <t>476</t>
  </si>
  <si>
    <t>477</t>
  </si>
  <si>
    <t>478</t>
  </si>
  <si>
    <t>479</t>
  </si>
  <si>
    <t>760-02_78_</t>
  </si>
  <si>
    <t>480</t>
  </si>
  <si>
    <t>481</t>
  </si>
  <si>
    <t>482</t>
  </si>
  <si>
    <t>483</t>
  </si>
  <si>
    <t>484</t>
  </si>
  <si>
    <t>485</t>
  </si>
  <si>
    <t>486</t>
  </si>
  <si>
    <t>487</t>
  </si>
  <si>
    <t>488</t>
  </si>
  <si>
    <t>760-02_9_</t>
  </si>
  <si>
    <t>489</t>
  </si>
  <si>
    <t>490</t>
  </si>
  <si>
    <t>491</t>
  </si>
  <si>
    <t>492</t>
  </si>
  <si>
    <t>493</t>
  </si>
  <si>
    <t>494</t>
  </si>
  <si>
    <t>495</t>
  </si>
  <si>
    <t>496</t>
  </si>
  <si>
    <t>497</t>
  </si>
  <si>
    <t>498</t>
  </si>
  <si>
    <t>499</t>
  </si>
  <si>
    <t>500</t>
  </si>
  <si>
    <t>501</t>
  </si>
  <si>
    <t>502</t>
  </si>
  <si>
    <t>503</t>
  </si>
  <si>
    <t>760-03_3_</t>
  </si>
  <si>
    <t>760-03_</t>
  </si>
  <si>
    <t>504</t>
  </si>
  <si>
    <t>505</t>
  </si>
  <si>
    <t>506</t>
  </si>
  <si>
    <t>507</t>
  </si>
  <si>
    <t>508</t>
  </si>
  <si>
    <t>509</t>
  </si>
  <si>
    <t>510</t>
  </si>
  <si>
    <t>760-03_4_</t>
  </si>
  <si>
    <t>511</t>
  </si>
  <si>
    <t>512</t>
  </si>
  <si>
    <t>513</t>
  </si>
  <si>
    <t>760-03_71_</t>
  </si>
  <si>
    <t>514</t>
  </si>
  <si>
    <t>515</t>
  </si>
  <si>
    <t>516</t>
  </si>
  <si>
    <t>760-03_74_</t>
  </si>
  <si>
    <t>517</t>
  </si>
  <si>
    <t>760-03_76_</t>
  </si>
  <si>
    <t>518</t>
  </si>
  <si>
    <t>519</t>
  </si>
  <si>
    <t>520</t>
  </si>
  <si>
    <t>521</t>
  </si>
  <si>
    <t>522</t>
  </si>
  <si>
    <t>523</t>
  </si>
  <si>
    <t>524</t>
  </si>
  <si>
    <t>760-03_78_</t>
  </si>
  <si>
    <t>525</t>
  </si>
  <si>
    <t>526</t>
  </si>
  <si>
    <t>527</t>
  </si>
  <si>
    <t>528</t>
  </si>
  <si>
    <t>529</t>
  </si>
  <si>
    <t>530</t>
  </si>
  <si>
    <t>531</t>
  </si>
  <si>
    <t>532</t>
  </si>
  <si>
    <t>533</t>
  </si>
  <si>
    <t>760-03_9_</t>
  </si>
  <si>
    <t>534</t>
  </si>
  <si>
    <t>535</t>
  </si>
  <si>
    <t>536</t>
  </si>
  <si>
    <t>537</t>
  </si>
  <si>
    <t>538</t>
  </si>
  <si>
    <t>539</t>
  </si>
  <si>
    <t>540</t>
  </si>
  <si>
    <t>541</t>
  </si>
  <si>
    <t>542</t>
  </si>
  <si>
    <t>543</t>
  </si>
  <si>
    <t>544</t>
  </si>
  <si>
    <t>545</t>
  </si>
  <si>
    <t>546</t>
  </si>
  <si>
    <t>547</t>
  </si>
  <si>
    <t>548</t>
  </si>
  <si>
    <t>01VRN_</t>
  </si>
  <si>
    <t>VRN_Â _</t>
  </si>
  <si>
    <t>VRN_</t>
  </si>
  <si>
    <t>549</t>
  </si>
  <si>
    <t>03VRN_</t>
  </si>
  <si>
    <t>550</t>
  </si>
  <si>
    <t>551</t>
  </si>
  <si>
    <t>07VRN_</t>
  </si>
  <si>
    <t>552</t>
  </si>
  <si>
    <t>09VRN_</t>
  </si>
  <si>
    <t>Stavební rozpočet slepý</t>
  </si>
  <si>
    <t>Krycí list slepého rozpočtu</t>
  </si>
  <si>
    <t>Demontáž potrubí vláknocementového do DN 100 mm s uložením do pevných PE pytlů</t>
  </si>
  <si>
    <t>kompl.</t>
  </si>
  <si>
    <t>Tlaková zkouška vodovodního potrubí D 32 - D 65</t>
  </si>
  <si>
    <t>Demontáž a zpětná montáž vodoměrů závitových G 1/2 vč. plombování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</si>
</sst>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name val="Calibri"/>
      <charset val="1"/>
    </font>
    <font>
      <sz val="18"/>
      <color rgb="FF000000"/>
      <name val="Arial"/>
      <charset val="238"/>
    </font>
    <font>
      <sz val="10"/>
      <color rgb="FF000000"/>
      <name val="Arial"/>
      <charset val="238"/>
    </font>
    <font>
      <b/>
      <sz val="10"/>
      <color rgb="FF000000"/>
      <name val="Arial"/>
      <charset val="238"/>
    </font>
    <font>
      <b/>
      <sz val="18"/>
      <color rgb="FF000000"/>
      <name val="Arial"/>
      <charset val="238"/>
    </font>
    <font>
      <b/>
      <sz val="20"/>
      <color rgb="FF000000"/>
      <name val="Arial"/>
      <charset val="238"/>
    </font>
    <font>
      <b/>
      <sz val="11"/>
      <color rgb="FF000000"/>
      <name val="Arial"/>
      <charset val="238"/>
    </font>
    <font>
      <b/>
      <sz val="12"/>
      <color rgb="FF000000"/>
      <name val="Arial"/>
      <charset val="238"/>
    </font>
    <font>
      <sz val="12"/>
      <color rgb="FF000000"/>
      <name val="Arial"/>
      <charset val="238"/>
    </font>
    <font>
      <i/>
      <sz val="8"/>
      <color rgb="FF000000"/>
      <name val="Arial"/>
      <charset val="238"/>
    </font>
    <font>
      <i/>
      <sz val="10"/>
      <color rgb="FF000000"/>
      <name val="Arial"/>
      <charset val="238"/>
    </font>
  </fonts>
  <fills count="4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C0C0C0"/>
        <bgColor rgb="FFC0C0C0"/>
      </patternFill>
    </fill>
  </fills>
  <borders count="85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178">
    <xf numFmtId="0" fontId="0" fillId="0" borderId="0" xfId="0"/>
    <xf numFmtId="0" fontId="2" fillId="0" borderId="5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3" fillId="3" borderId="16" xfId="0" applyFont="1" applyFill="1" applyBorder="1" applyAlignment="1">
      <alignment horizontal="left" vertical="center"/>
    </xf>
    <xf numFmtId="0" fontId="3" fillId="3" borderId="16" xfId="0" applyFont="1" applyFill="1" applyBorder="1" applyAlignment="1">
      <alignment horizontal="right" vertical="center"/>
    </xf>
    <xf numFmtId="0" fontId="3" fillId="3" borderId="5" xfId="0" applyFont="1" applyFill="1" applyBorder="1" applyAlignment="1">
      <alignment horizontal="left" vertical="center"/>
    </xf>
    <xf numFmtId="0" fontId="3" fillId="3" borderId="0" xfId="0" applyFont="1" applyFill="1" applyAlignment="1">
      <alignment horizontal="left" vertical="center"/>
    </xf>
    <xf numFmtId="0" fontId="3" fillId="3" borderId="0" xfId="0" applyFont="1" applyFill="1" applyAlignment="1">
      <alignment horizontal="right" vertical="center"/>
    </xf>
    <xf numFmtId="4" fontId="3" fillId="3" borderId="6" xfId="0" applyNumberFormat="1" applyFont="1" applyFill="1" applyBorder="1" applyAlignment="1">
      <alignment horizontal="right" vertical="center"/>
    </xf>
    <xf numFmtId="1" fontId="2" fillId="0" borderId="5" xfId="0" applyNumberFormat="1" applyFont="1" applyBorder="1" applyAlignment="1">
      <alignment horizontal="left" vertical="center"/>
    </xf>
    <xf numFmtId="4" fontId="2" fillId="0" borderId="0" xfId="0" applyNumberFormat="1" applyFont="1" applyAlignment="1">
      <alignment horizontal="right" vertical="center"/>
    </xf>
    <xf numFmtId="4" fontId="2" fillId="0" borderId="6" xfId="0" applyNumberFormat="1" applyFont="1" applyBorder="1" applyAlignment="1">
      <alignment horizontal="right" vertical="center"/>
    </xf>
    <xf numFmtId="4" fontId="2" fillId="0" borderId="0" xfId="0" applyNumberFormat="1" applyFont="1" applyAlignment="1">
      <alignment horizontal="left" vertical="center"/>
    </xf>
    <xf numFmtId="1" fontId="2" fillId="0" borderId="7" xfId="0" applyNumberFormat="1" applyFont="1" applyBorder="1" applyAlignment="1">
      <alignment horizontal="left" vertical="center"/>
    </xf>
    <xf numFmtId="4" fontId="2" fillId="0" borderId="8" xfId="0" applyNumberFormat="1" applyFont="1" applyBorder="1" applyAlignment="1">
      <alignment horizontal="right" vertical="center"/>
    </xf>
    <xf numFmtId="4" fontId="2" fillId="0" borderId="9" xfId="0" applyNumberFormat="1" applyFont="1" applyBorder="1" applyAlignment="1">
      <alignment horizontal="right" vertical="center"/>
    </xf>
    <xf numFmtId="4" fontId="3" fillId="0" borderId="0" xfId="0" applyNumberFormat="1" applyFont="1" applyAlignment="1">
      <alignment horizontal="right" vertical="center"/>
    </xf>
    <xf numFmtId="4" fontId="3" fillId="0" borderId="21" xfId="0" applyNumberFormat="1" applyFont="1" applyBorder="1" applyAlignment="1">
      <alignment horizontal="right" vertical="center"/>
    </xf>
    <xf numFmtId="0" fontId="5" fillId="3" borderId="23" xfId="0" applyFont="1" applyFill="1" applyBorder="1" applyAlignment="1">
      <alignment horizontal="center" vertical="center"/>
    </xf>
    <xf numFmtId="0" fontId="5" fillId="3" borderId="26" xfId="0" applyFont="1" applyFill="1" applyBorder="1" applyAlignment="1">
      <alignment horizontal="center" vertical="center"/>
    </xf>
    <xf numFmtId="0" fontId="7" fillId="0" borderId="27" xfId="0" applyFont="1" applyBorder="1" applyAlignment="1">
      <alignment horizontal="left" vertical="center"/>
    </xf>
    <xf numFmtId="0" fontId="8" fillId="0" borderId="28" xfId="0" applyFont="1" applyBorder="1" applyAlignment="1">
      <alignment horizontal="left" vertical="center"/>
    </xf>
    <xf numFmtId="4" fontId="8" fillId="0" borderId="28" xfId="0" applyNumberFormat="1" applyFont="1" applyBorder="1" applyAlignment="1">
      <alignment horizontal="right" vertical="center"/>
    </xf>
    <xf numFmtId="0" fontId="8" fillId="0" borderId="28" xfId="0" applyFont="1" applyBorder="1" applyAlignment="1">
      <alignment horizontal="right" vertical="center"/>
    </xf>
    <xf numFmtId="0" fontId="7" fillId="0" borderId="31" xfId="0" applyFont="1" applyBorder="1" applyAlignment="1">
      <alignment horizontal="left" vertical="center"/>
    </xf>
    <xf numFmtId="4" fontId="8" fillId="0" borderId="35" xfId="0" applyNumberFormat="1" applyFont="1" applyBorder="1" applyAlignment="1">
      <alignment horizontal="right" vertical="center"/>
    </xf>
    <xf numFmtId="0" fontId="8" fillId="0" borderId="35" xfId="0" applyFont="1" applyBorder="1" applyAlignment="1">
      <alignment horizontal="right" vertical="center"/>
    </xf>
    <xf numFmtId="4" fontId="8" fillId="0" borderId="26" xfId="0" applyNumberFormat="1" applyFont="1" applyBorder="1" applyAlignment="1">
      <alignment horizontal="right" vertical="center"/>
    </xf>
    <xf numFmtId="4" fontId="8" fillId="0" borderId="38" xfId="0" applyNumberFormat="1" applyFont="1" applyBorder="1" applyAlignment="1">
      <alignment horizontal="right" vertical="center"/>
    </xf>
    <xf numFmtId="4" fontId="7" fillId="3" borderId="25" xfId="0" applyNumberFormat="1" applyFont="1" applyFill="1" applyBorder="1" applyAlignment="1">
      <alignment horizontal="right" vertical="center"/>
    </xf>
    <xf numFmtId="4" fontId="7" fillId="3" borderId="30" xfId="0" applyNumberFormat="1" applyFont="1" applyFill="1" applyBorder="1" applyAlignment="1">
      <alignment horizontal="right" vertical="center"/>
    </xf>
    <xf numFmtId="0" fontId="9" fillId="0" borderId="16" xfId="0" applyFont="1" applyBorder="1" applyAlignment="1">
      <alignment horizontal="left" vertical="center"/>
    </xf>
    <xf numFmtId="0" fontId="3" fillId="0" borderId="55" xfId="0" applyFont="1" applyBorder="1" applyAlignment="1">
      <alignment horizontal="right" vertical="center"/>
    </xf>
    <xf numFmtId="4" fontId="2" fillId="0" borderId="28" xfId="0" applyNumberFormat="1" applyFont="1" applyBorder="1" applyAlignment="1">
      <alignment horizontal="right" vertical="center"/>
    </xf>
    <xf numFmtId="0" fontId="2" fillId="0" borderId="28" xfId="0" applyFont="1" applyBorder="1" applyAlignment="1">
      <alignment horizontal="left" vertical="center"/>
    </xf>
    <xf numFmtId="4" fontId="2" fillId="0" borderId="59" xfId="0" applyNumberFormat="1" applyFont="1" applyBorder="1" applyAlignment="1">
      <alignment horizontal="right" vertical="center"/>
    </xf>
    <xf numFmtId="0" fontId="2" fillId="0" borderId="59" xfId="0" applyFont="1" applyBorder="1" applyAlignment="1">
      <alignment horizontal="left" vertical="center"/>
    </xf>
    <xf numFmtId="0" fontId="3" fillId="0" borderId="63" xfId="0" applyFont="1" applyBorder="1" applyAlignment="1">
      <alignment horizontal="left" vertical="center"/>
    </xf>
    <xf numFmtId="0" fontId="3" fillId="0" borderId="63" xfId="0" applyFont="1" applyBorder="1" applyAlignment="1">
      <alignment horizontal="right" vertical="center"/>
    </xf>
    <xf numFmtId="4" fontId="3" fillId="0" borderId="63" xfId="0" applyNumberFormat="1" applyFont="1" applyBorder="1" applyAlignment="1">
      <alignment horizontal="right" vertical="center"/>
    </xf>
    <xf numFmtId="4" fontId="3" fillId="3" borderId="0" xfId="0" applyNumberFormat="1" applyFont="1" applyFill="1" applyAlignment="1">
      <alignment horizontal="right" vertical="center"/>
    </xf>
    <xf numFmtId="0" fontId="3" fillId="0" borderId="65" xfId="0" applyFont="1" applyBorder="1" applyAlignment="1">
      <alignment horizontal="left" vertical="center"/>
    </xf>
    <xf numFmtId="0" fontId="3" fillId="0" borderId="66" xfId="0" applyFont="1" applyBorder="1" applyAlignment="1">
      <alignment horizontal="left" vertical="center"/>
    </xf>
    <xf numFmtId="0" fontId="3" fillId="0" borderId="66" xfId="0" applyFont="1" applyBorder="1" applyAlignment="1">
      <alignment horizontal="center" vertical="center"/>
    </xf>
    <xf numFmtId="0" fontId="3" fillId="0" borderId="69" xfId="0" applyFont="1" applyBorder="1" applyAlignment="1">
      <alignment horizontal="center" vertical="center"/>
    </xf>
    <xf numFmtId="0" fontId="3" fillId="0" borderId="70" xfId="0" applyFont="1" applyBorder="1" applyAlignment="1">
      <alignment horizontal="center" vertical="center"/>
    </xf>
    <xf numFmtId="0" fontId="3" fillId="0" borderId="55" xfId="0" applyFont="1" applyBorder="1" applyAlignment="1">
      <alignment horizontal="center" vertical="center"/>
    </xf>
    <xf numFmtId="0" fontId="3" fillId="0" borderId="73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2" fillId="0" borderId="74" xfId="0" applyFont="1" applyBorder="1" applyAlignment="1">
      <alignment horizontal="left" vertical="center"/>
    </xf>
    <xf numFmtId="0" fontId="2" fillId="0" borderId="75" xfId="0" applyFont="1" applyBorder="1" applyAlignment="1">
      <alignment horizontal="left" vertical="center"/>
    </xf>
    <xf numFmtId="0" fontId="3" fillId="0" borderId="78" xfId="0" applyFont="1" applyBorder="1" applyAlignment="1">
      <alignment horizontal="center" vertical="center"/>
    </xf>
    <xf numFmtId="0" fontId="2" fillId="0" borderId="79" xfId="0" applyFont="1" applyBorder="1" applyAlignment="1">
      <alignment horizontal="left" vertical="center"/>
    </xf>
    <xf numFmtId="0" fontId="3" fillId="0" borderId="14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80" xfId="0" applyFont="1" applyBorder="1" applyAlignment="1">
      <alignment horizontal="center" vertical="center"/>
    </xf>
    <xf numFmtId="0" fontId="3" fillId="0" borderId="81" xfId="0" applyFont="1" applyBorder="1" applyAlignment="1">
      <alignment horizontal="center" vertical="center"/>
    </xf>
    <xf numFmtId="0" fontId="3" fillId="0" borderId="82" xfId="0" applyFont="1" applyBorder="1" applyAlignment="1">
      <alignment horizontal="center" vertical="center"/>
    </xf>
    <xf numFmtId="0" fontId="3" fillId="0" borderId="83" xfId="0" applyFont="1" applyBorder="1" applyAlignment="1">
      <alignment horizontal="center" vertical="center"/>
    </xf>
    <xf numFmtId="0" fontId="3" fillId="0" borderId="84" xfId="0" applyFont="1" applyBorder="1" applyAlignment="1">
      <alignment horizontal="center" vertical="center"/>
    </xf>
    <xf numFmtId="0" fontId="2" fillId="3" borderId="15" xfId="0" applyFont="1" applyFill="1" applyBorder="1" applyAlignment="1">
      <alignment horizontal="left" vertical="center"/>
    </xf>
    <xf numFmtId="0" fontId="2" fillId="3" borderId="16" xfId="0" applyFont="1" applyFill="1" applyBorder="1" applyAlignment="1">
      <alignment horizontal="left" vertical="center"/>
    </xf>
    <xf numFmtId="4" fontId="3" fillId="3" borderId="16" xfId="0" applyNumberFormat="1" applyFont="1" applyFill="1" applyBorder="1" applyAlignment="1">
      <alignment horizontal="right" vertical="center"/>
    </xf>
    <xf numFmtId="0" fontId="3" fillId="3" borderId="17" xfId="0" applyFont="1" applyFill="1" applyBorder="1" applyAlignment="1">
      <alignment horizontal="right" vertical="center"/>
    </xf>
    <xf numFmtId="0" fontId="2" fillId="3" borderId="5" xfId="0" applyFont="1" applyFill="1" applyBorder="1" applyAlignment="1">
      <alignment horizontal="left" vertical="center"/>
    </xf>
    <xf numFmtId="0" fontId="2" fillId="3" borderId="0" xfId="0" applyFont="1" applyFill="1" applyAlignment="1">
      <alignment horizontal="left" vertical="center"/>
    </xf>
    <xf numFmtId="0" fontId="3" fillId="3" borderId="6" xfId="0" applyFont="1" applyFill="1" applyBorder="1" applyAlignment="1">
      <alignment horizontal="right" vertical="center"/>
    </xf>
    <xf numFmtId="1" fontId="2" fillId="0" borderId="0" xfId="0" applyNumberFormat="1" applyFont="1" applyAlignment="1">
      <alignment horizontal="right" vertical="center"/>
    </xf>
    <xf numFmtId="0" fontId="2" fillId="0" borderId="6" xfId="0" applyFont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0" fillId="0" borderId="5" xfId="0" applyBorder="1"/>
    <xf numFmtId="0" fontId="10" fillId="0" borderId="0" xfId="0" applyFont="1" applyAlignment="1">
      <alignment horizontal="right" vertical="center"/>
    </xf>
    <xf numFmtId="0" fontId="10" fillId="0" borderId="0" xfId="0" applyFont="1" applyAlignment="1">
      <alignment horizontal="left" vertical="center" wrapText="1"/>
    </xf>
    <xf numFmtId="1" fontId="2" fillId="0" borderId="8" xfId="0" applyNumberFormat="1" applyFont="1" applyBorder="1" applyAlignment="1">
      <alignment horizontal="right" vertical="center"/>
    </xf>
    <xf numFmtId="0" fontId="2" fillId="0" borderId="9" xfId="0" applyFont="1" applyBorder="1" applyAlignment="1">
      <alignment horizontal="right" vertical="center"/>
    </xf>
    <xf numFmtId="0" fontId="9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8" fillId="0" borderId="44" xfId="0" applyFont="1" applyBorder="1" applyAlignment="1">
      <alignment horizontal="left" vertical="center"/>
    </xf>
    <xf numFmtId="0" fontId="8" fillId="0" borderId="42" xfId="0" applyFont="1" applyBorder="1" applyAlignment="1">
      <alignment horizontal="left" vertical="center"/>
    </xf>
    <xf numFmtId="0" fontId="8" fillId="0" borderId="43" xfId="0" applyFont="1" applyBorder="1" applyAlignment="1">
      <alignment horizontal="left" vertical="center"/>
    </xf>
    <xf numFmtId="0" fontId="8" fillId="0" borderId="47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46" xfId="0" applyFont="1" applyBorder="1" applyAlignment="1">
      <alignment horizontal="left" vertical="center"/>
    </xf>
    <xf numFmtId="0" fontId="8" fillId="0" borderId="51" xfId="0" applyFont="1" applyBorder="1" applyAlignment="1">
      <alignment horizontal="left" vertical="center"/>
    </xf>
    <xf numFmtId="0" fontId="8" fillId="0" borderId="49" xfId="0" applyFont="1" applyBorder="1" applyAlignment="1">
      <alignment horizontal="left" vertical="center"/>
    </xf>
    <xf numFmtId="0" fontId="8" fillId="0" borderId="50" xfId="0" applyFont="1" applyBorder="1" applyAlignment="1">
      <alignment horizontal="left" vertical="center"/>
    </xf>
    <xf numFmtId="0" fontId="8" fillId="0" borderId="41" xfId="0" applyFont="1" applyBorder="1" applyAlignment="1">
      <alignment horizontal="left" vertical="center"/>
    </xf>
    <xf numFmtId="0" fontId="8" fillId="0" borderId="45" xfId="0" applyFont="1" applyBorder="1" applyAlignment="1">
      <alignment horizontal="left" vertical="center"/>
    </xf>
    <xf numFmtId="0" fontId="8" fillId="0" borderId="48" xfId="0" applyFont="1" applyBorder="1" applyAlignment="1">
      <alignment horizontal="left" vertical="center"/>
    </xf>
    <xf numFmtId="0" fontId="7" fillId="0" borderId="32" xfId="0" applyFont="1" applyBorder="1" applyAlignment="1">
      <alignment horizontal="left" vertical="center"/>
    </xf>
    <xf numFmtId="0" fontId="7" fillId="0" borderId="30" xfId="0" applyFont="1" applyBorder="1" applyAlignment="1">
      <alignment horizontal="left" vertical="center"/>
    </xf>
    <xf numFmtId="0" fontId="7" fillId="3" borderId="37" xfId="0" applyFont="1" applyFill="1" applyBorder="1" applyAlignment="1">
      <alignment horizontal="left" vertical="center"/>
    </xf>
    <xf numFmtId="0" fontId="7" fillId="3" borderId="39" xfId="0" applyFont="1" applyFill="1" applyBorder="1" applyAlignment="1">
      <alignment horizontal="left" vertical="center"/>
    </xf>
    <xf numFmtId="0" fontId="7" fillId="3" borderId="32" xfId="0" applyFont="1" applyFill="1" applyBorder="1" applyAlignment="1">
      <alignment horizontal="left" vertical="center"/>
    </xf>
    <xf numFmtId="0" fontId="7" fillId="3" borderId="40" xfId="0" applyFont="1" applyFill="1" applyBorder="1" applyAlignment="1">
      <alignment horizontal="left" vertical="center"/>
    </xf>
    <xf numFmtId="0" fontId="7" fillId="3" borderId="24" xfId="0" applyFont="1" applyFill="1" applyBorder="1" applyAlignment="1">
      <alignment horizontal="left" vertical="center"/>
    </xf>
    <xf numFmtId="0" fontId="7" fillId="3" borderId="29" xfId="0" applyFont="1" applyFill="1" applyBorder="1" applyAlignment="1">
      <alignment horizontal="left" vertical="center"/>
    </xf>
    <xf numFmtId="0" fontId="8" fillId="0" borderId="29" xfId="0" applyFont="1" applyBorder="1" applyAlignment="1">
      <alignment horizontal="left" vertical="center"/>
    </xf>
    <xf numFmtId="0" fontId="8" fillId="0" borderId="30" xfId="0" applyFont="1" applyBorder="1" applyAlignment="1">
      <alignment horizontal="left" vertical="center"/>
    </xf>
    <xf numFmtId="0" fontId="8" fillId="0" borderId="36" xfId="0" applyFont="1" applyBorder="1" applyAlignment="1">
      <alignment horizontal="left" vertical="center"/>
    </xf>
    <xf numFmtId="0" fontId="8" fillId="0" borderId="34" xfId="0" applyFont="1" applyBorder="1" applyAlignment="1">
      <alignment horizontal="left" vertical="center"/>
    </xf>
    <xf numFmtId="0" fontId="7" fillId="0" borderId="24" xfId="0" applyFont="1" applyBorder="1" applyAlignment="1">
      <alignment horizontal="left" vertical="center"/>
    </xf>
    <xf numFmtId="0" fontId="7" fillId="0" borderId="25" xfId="0" applyFont="1" applyBorder="1" applyAlignment="1">
      <alignment horizontal="left" vertical="center"/>
    </xf>
    <xf numFmtId="0" fontId="7" fillId="0" borderId="29" xfId="0" applyFont="1" applyBorder="1" applyAlignment="1">
      <alignment horizontal="left" vertical="center"/>
    </xf>
    <xf numFmtId="0" fontId="7" fillId="0" borderId="33" xfId="0" applyFont="1" applyBorder="1" applyAlignment="1">
      <alignment horizontal="left" vertical="center"/>
    </xf>
    <xf numFmtId="0" fontId="7" fillId="0" borderId="34" xfId="0" applyFont="1" applyBorder="1" applyAlignment="1">
      <alignment horizontal="left" vertical="center"/>
    </xf>
    <xf numFmtId="0" fontId="7" fillId="0" borderId="37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/>
    </xf>
    <xf numFmtId="0" fontId="4" fillId="0" borderId="22" xfId="0" applyFont="1" applyBorder="1" applyAlignment="1">
      <alignment horizontal="center" vertical="center"/>
    </xf>
    <xf numFmtId="0" fontId="6" fillId="0" borderId="24" xfId="0" applyFont="1" applyBorder="1" applyAlignment="1">
      <alignment horizontal="left" vertical="center"/>
    </xf>
    <xf numFmtId="0" fontId="6" fillId="0" borderId="25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1" fontId="2" fillId="0" borderId="6" xfId="0" applyNumberFormat="1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3" borderId="0" xfId="0" applyFont="1" applyFill="1" applyAlignment="1">
      <alignment horizontal="left" vertical="center" wrapText="1"/>
    </xf>
    <xf numFmtId="0" fontId="3" fillId="3" borderId="0" xfId="0" applyFont="1" applyFill="1" applyAlignment="1">
      <alignment horizontal="left" vertical="center"/>
    </xf>
    <xf numFmtId="0" fontId="2" fillId="0" borderId="8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2" fillId="0" borderId="32" xfId="0" applyFont="1" applyBorder="1" applyAlignment="1">
      <alignment horizontal="left" vertical="center"/>
    </xf>
    <xf numFmtId="0" fontId="2" fillId="0" borderId="40" xfId="0" applyFont="1" applyBorder="1" applyAlignment="1">
      <alignment horizontal="left" vertical="center"/>
    </xf>
    <xf numFmtId="0" fontId="2" fillId="0" borderId="30" xfId="0" applyFont="1" applyBorder="1" applyAlignment="1">
      <alignment horizontal="left" vertical="center"/>
    </xf>
    <xf numFmtId="0" fontId="2" fillId="0" borderId="56" xfId="0" applyFont="1" applyBorder="1" applyAlignment="1">
      <alignment horizontal="left" vertical="center"/>
    </xf>
    <xf numFmtId="0" fontId="2" fillId="0" borderId="57" xfId="0" applyFont="1" applyBorder="1" applyAlignment="1">
      <alignment horizontal="left" vertical="center"/>
    </xf>
    <xf numFmtId="0" fontId="2" fillId="0" borderId="58" xfId="0" applyFont="1" applyBorder="1" applyAlignment="1">
      <alignment horizontal="left" vertical="center"/>
    </xf>
    <xf numFmtId="0" fontId="3" fillId="0" borderId="60" xfId="0" applyFont="1" applyBorder="1" applyAlignment="1">
      <alignment horizontal="left" vertical="center"/>
    </xf>
    <xf numFmtId="0" fontId="3" fillId="0" borderId="61" xfId="0" applyFont="1" applyBorder="1" applyAlignment="1">
      <alignment horizontal="left" vertical="center"/>
    </xf>
    <xf numFmtId="0" fontId="3" fillId="0" borderId="62" xfId="0" applyFont="1" applyBorder="1" applyAlignment="1">
      <alignment horizontal="left" vertical="center"/>
    </xf>
    <xf numFmtId="0" fontId="7" fillId="0" borderId="60" xfId="0" applyFont="1" applyBorder="1" applyAlignment="1">
      <alignment horizontal="left" vertical="center"/>
    </xf>
    <xf numFmtId="0" fontId="7" fillId="0" borderId="61" xfId="0" applyFont="1" applyBorder="1" applyAlignment="1">
      <alignment horizontal="left" vertical="center"/>
    </xf>
    <xf numFmtId="0" fontId="7" fillId="0" borderId="62" xfId="0" applyFont="1" applyBorder="1" applyAlignment="1">
      <alignment horizontal="left" vertical="center"/>
    </xf>
    <xf numFmtId="4" fontId="7" fillId="0" borderId="64" xfId="0" applyNumberFormat="1" applyFont="1" applyBorder="1" applyAlignment="1">
      <alignment horizontal="right" vertical="center"/>
    </xf>
    <xf numFmtId="0" fontId="7" fillId="0" borderId="61" xfId="0" applyFont="1" applyBorder="1" applyAlignment="1">
      <alignment horizontal="right" vertical="center"/>
    </xf>
    <xf numFmtId="0" fontId="7" fillId="0" borderId="62" xfId="0" applyFont="1" applyBorder="1" applyAlignment="1">
      <alignment horizontal="right" vertical="center"/>
    </xf>
    <xf numFmtId="0" fontId="7" fillId="0" borderId="19" xfId="0" applyFont="1" applyBorder="1" applyAlignment="1">
      <alignment horizontal="left" vertical="center"/>
    </xf>
    <xf numFmtId="0" fontId="3" fillId="0" borderId="52" xfId="0" applyFont="1" applyBorder="1" applyAlignment="1">
      <alignment horizontal="left" vertical="center"/>
    </xf>
    <xf numFmtId="0" fontId="3" fillId="0" borderId="53" xfId="0" applyFont="1" applyBorder="1" applyAlignment="1">
      <alignment horizontal="left" vertical="center"/>
    </xf>
    <xf numFmtId="0" fontId="3" fillId="0" borderId="54" xfId="0" applyFont="1" applyBorder="1" applyAlignment="1">
      <alignment horizontal="left" vertical="center"/>
    </xf>
    <xf numFmtId="0" fontId="3" fillId="0" borderId="21" xfId="0" applyFont="1" applyBorder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10" fillId="0" borderId="6" xfId="0" applyFont="1" applyBorder="1" applyAlignment="1">
      <alignment horizontal="left" vertical="center"/>
    </xf>
    <xf numFmtId="0" fontId="3" fillId="0" borderId="76" xfId="0" applyFont="1" applyBorder="1" applyAlignment="1">
      <alignment horizontal="left" vertical="center"/>
    </xf>
    <xf numFmtId="0" fontId="3" fillId="0" borderId="77" xfId="0" applyFont="1" applyBorder="1" applyAlignment="1">
      <alignment horizontal="left" vertical="center"/>
    </xf>
    <xf numFmtId="0" fontId="3" fillId="0" borderId="52" xfId="0" applyFont="1" applyBorder="1" applyAlignment="1">
      <alignment horizontal="center" vertical="center"/>
    </xf>
    <xf numFmtId="0" fontId="3" fillId="0" borderId="53" xfId="0" applyFont="1" applyBorder="1" applyAlignment="1">
      <alignment horizontal="center" vertical="center"/>
    </xf>
    <xf numFmtId="0" fontId="3" fillId="0" borderId="54" xfId="0" applyFont="1" applyBorder="1" applyAlignment="1">
      <alignment horizontal="center" vertical="center"/>
    </xf>
    <xf numFmtId="0" fontId="3" fillId="0" borderId="71" xfId="0" applyFont="1" applyBorder="1" applyAlignment="1">
      <alignment horizontal="center" vertical="center"/>
    </xf>
    <xf numFmtId="0" fontId="3" fillId="0" borderId="72" xfId="0" applyFont="1" applyBorder="1" applyAlignment="1">
      <alignment horizontal="center" vertical="center"/>
    </xf>
    <xf numFmtId="0" fontId="3" fillId="3" borderId="16" xfId="0" applyFont="1" applyFill="1" applyBorder="1" applyAlignment="1">
      <alignment horizontal="left" vertical="center" wrapText="1"/>
    </xf>
    <xf numFmtId="0" fontId="3" fillId="3" borderId="16" xfId="0" applyFont="1" applyFill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/>
    </xf>
    <xf numFmtId="0" fontId="3" fillId="0" borderId="67" xfId="0" applyFont="1" applyBorder="1" applyAlignment="1">
      <alignment horizontal="left" vertical="center"/>
    </xf>
    <xf numFmtId="0" fontId="3" fillId="0" borderId="68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0" cy="0"/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  <a:ln w="9525">
          <a:noFill/>
        </a:ln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0" cy="0"/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  <a:ln w="9525">
          <a:noFill/>
        </a:ln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0" cy="0"/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  <a:ln w="9525">
          <a:noFill/>
        </a:ln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0" cy="0"/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  <a:ln w="9525">
          <a:noFill/>
        </a:ln>
      </xdr:spPr>
    </xdr:pic>
    <xdr:clientData/>
  </xdr:absolute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37"/>
  <sheetViews>
    <sheetView workbookViewId="0">
      <selection activeCell="C29" sqref="C29"/>
    </sheetView>
  </sheetViews>
  <sheetFormatPr defaultColWidth="12.140625" defaultRowHeight="15" customHeight="1" x14ac:dyDescent="0.25"/>
  <cols>
    <col min="1" max="1" width="9.140625" customWidth="1"/>
    <col min="2" max="2" width="12.85546875" customWidth="1"/>
    <col min="3" max="3" width="27.140625" customWidth="1"/>
    <col min="4" max="4" width="10" customWidth="1"/>
    <col min="5" max="5" width="14" customWidth="1"/>
    <col min="6" max="6" width="27.140625" customWidth="1"/>
    <col min="7" max="7" width="9.140625" customWidth="1"/>
    <col min="8" max="8" width="12.85546875" customWidth="1"/>
    <col min="9" max="9" width="27.140625" customWidth="1"/>
  </cols>
  <sheetData>
    <row r="1" spans="1:9" ht="54.75" customHeight="1" x14ac:dyDescent="0.25">
      <c r="A1" s="124" t="s">
        <v>1241</v>
      </c>
      <c r="B1" s="125"/>
      <c r="C1" s="125"/>
      <c r="D1" s="125"/>
      <c r="E1" s="125"/>
      <c r="F1" s="125"/>
      <c r="G1" s="125"/>
      <c r="H1" s="125"/>
      <c r="I1" s="125"/>
    </row>
    <row r="2" spans="1:9" x14ac:dyDescent="0.25">
      <c r="A2" s="126" t="s">
        <v>1</v>
      </c>
      <c r="B2" s="127"/>
      <c r="C2" s="132" t="str">
        <f>'Stavební rozpočet'!D2</f>
        <v>Oprava rozvodů kanalizace, vody a plynu v BD Hálkova 20, 22, 24 v Havířově</v>
      </c>
      <c r="D2" s="133"/>
      <c r="E2" s="123" t="s">
        <v>3</v>
      </c>
      <c r="F2" s="123" t="str">
        <f>'Stavební rozpočet'!J2</f>
        <v>SBD Havířov</v>
      </c>
      <c r="G2" s="127"/>
      <c r="H2" s="123" t="s">
        <v>485</v>
      </c>
      <c r="I2" s="129" t="s">
        <v>486</v>
      </c>
    </row>
    <row r="3" spans="1:9" ht="25.5" customHeight="1" x14ac:dyDescent="0.25">
      <c r="A3" s="128"/>
      <c r="B3" s="84"/>
      <c r="C3" s="134"/>
      <c r="D3" s="134"/>
      <c r="E3" s="84"/>
      <c r="F3" s="84"/>
      <c r="G3" s="84"/>
      <c r="H3" s="84"/>
      <c r="I3" s="130"/>
    </row>
    <row r="4" spans="1:9" x14ac:dyDescent="0.25">
      <c r="A4" s="121" t="s">
        <v>4</v>
      </c>
      <c r="B4" s="84"/>
      <c r="C4" s="83" t="str">
        <f>'Stavební rozpočet'!D4</f>
        <v xml:space="preserve"> </v>
      </c>
      <c r="D4" s="84"/>
      <c r="E4" s="83" t="s">
        <v>6</v>
      </c>
      <c r="F4" s="83" t="str">
        <f>'Stavební rozpočet'!J4</f>
        <v>ETRACOM s.r.o.</v>
      </c>
      <c r="G4" s="84"/>
      <c r="H4" s="83" t="s">
        <v>485</v>
      </c>
      <c r="I4" s="130" t="s">
        <v>487</v>
      </c>
    </row>
    <row r="5" spans="1:9" ht="15" customHeight="1" x14ac:dyDescent="0.25">
      <c r="A5" s="128"/>
      <c r="B5" s="84"/>
      <c r="C5" s="84"/>
      <c r="D5" s="84"/>
      <c r="E5" s="84"/>
      <c r="F5" s="84"/>
      <c r="G5" s="84"/>
      <c r="H5" s="84"/>
      <c r="I5" s="130"/>
    </row>
    <row r="6" spans="1:9" x14ac:dyDescent="0.25">
      <c r="A6" s="121" t="s">
        <v>7</v>
      </c>
      <c r="B6" s="84"/>
      <c r="C6" s="83" t="str">
        <f>'Stavební rozpočet'!D6</f>
        <v xml:space="preserve"> </v>
      </c>
      <c r="D6" s="84"/>
      <c r="E6" s="83" t="s">
        <v>9</v>
      </c>
      <c r="F6" s="83" t="str">
        <f>'Stavební rozpočet'!J6</f>
        <v> </v>
      </c>
      <c r="G6" s="84"/>
      <c r="H6" s="83" t="s">
        <v>485</v>
      </c>
      <c r="I6" s="130" t="s">
        <v>25</v>
      </c>
    </row>
    <row r="7" spans="1:9" ht="15" customHeight="1" x14ac:dyDescent="0.25">
      <c r="A7" s="128"/>
      <c r="B7" s="84"/>
      <c r="C7" s="84"/>
      <c r="D7" s="84"/>
      <c r="E7" s="84"/>
      <c r="F7" s="84"/>
      <c r="G7" s="84"/>
      <c r="H7" s="84"/>
      <c r="I7" s="130"/>
    </row>
    <row r="8" spans="1:9" x14ac:dyDescent="0.25">
      <c r="A8" s="121" t="s">
        <v>5</v>
      </c>
      <c r="B8" s="84"/>
      <c r="C8" s="83" t="str">
        <f>'Stavební rozpočet'!H4</f>
        <v xml:space="preserve"> </v>
      </c>
      <c r="D8" s="84"/>
      <c r="E8" s="83" t="s">
        <v>8</v>
      </c>
      <c r="F8" s="83" t="str">
        <f>'Stavební rozpočet'!H6</f>
        <v xml:space="preserve"> </v>
      </c>
      <c r="G8" s="84"/>
      <c r="H8" s="84" t="s">
        <v>488</v>
      </c>
      <c r="I8" s="131">
        <v>552</v>
      </c>
    </row>
    <row r="9" spans="1:9" x14ac:dyDescent="0.25">
      <c r="A9" s="128"/>
      <c r="B9" s="84"/>
      <c r="C9" s="84"/>
      <c r="D9" s="84"/>
      <c r="E9" s="84"/>
      <c r="F9" s="84"/>
      <c r="G9" s="84"/>
      <c r="H9" s="84"/>
      <c r="I9" s="130"/>
    </row>
    <row r="10" spans="1:9" x14ac:dyDescent="0.25">
      <c r="A10" s="121" t="s">
        <v>10</v>
      </c>
      <c r="B10" s="84"/>
      <c r="C10" s="83" t="str">
        <f>'Stavební rozpočet'!D8</f>
        <v xml:space="preserve"> </v>
      </c>
      <c r="D10" s="84"/>
      <c r="E10" s="83" t="s">
        <v>12</v>
      </c>
      <c r="F10" s="83"/>
      <c r="G10" s="84"/>
      <c r="H10" s="84" t="s">
        <v>489</v>
      </c>
      <c r="I10" s="115"/>
    </row>
    <row r="11" spans="1:9" x14ac:dyDescent="0.25">
      <c r="A11" s="122"/>
      <c r="B11" s="120"/>
      <c r="C11" s="120"/>
      <c r="D11" s="120"/>
      <c r="E11" s="120"/>
      <c r="F11" s="120"/>
      <c r="G11" s="120"/>
      <c r="H11" s="120"/>
      <c r="I11" s="116"/>
    </row>
    <row r="12" spans="1:9" ht="23.25" x14ac:dyDescent="0.25">
      <c r="A12" s="117" t="s">
        <v>490</v>
      </c>
      <c r="B12" s="117"/>
      <c r="C12" s="117"/>
      <c r="D12" s="117"/>
      <c r="E12" s="117"/>
      <c r="F12" s="117"/>
      <c r="G12" s="117"/>
      <c r="H12" s="117"/>
      <c r="I12" s="117"/>
    </row>
    <row r="13" spans="1:9" ht="26.25" customHeight="1" x14ac:dyDescent="0.25">
      <c r="A13" s="25" t="s">
        <v>491</v>
      </c>
      <c r="B13" s="118" t="s">
        <v>492</v>
      </c>
      <c r="C13" s="119"/>
      <c r="D13" s="26" t="s">
        <v>493</v>
      </c>
      <c r="E13" s="118" t="s">
        <v>494</v>
      </c>
      <c r="F13" s="119"/>
      <c r="G13" s="26" t="s">
        <v>495</v>
      </c>
      <c r="H13" s="118" t="s">
        <v>496</v>
      </c>
      <c r="I13" s="119"/>
    </row>
    <row r="14" spans="1:9" ht="15.75" x14ac:dyDescent="0.25">
      <c r="A14" s="27" t="s">
        <v>497</v>
      </c>
      <c r="B14" s="28" t="s">
        <v>498</v>
      </c>
      <c r="C14" s="29">
        <v>0</v>
      </c>
      <c r="D14" s="105" t="s">
        <v>499</v>
      </c>
      <c r="E14" s="106"/>
      <c r="F14" s="29">
        <f>VORN!I15</f>
        <v>0</v>
      </c>
      <c r="G14" s="105" t="s">
        <v>470</v>
      </c>
      <c r="H14" s="106"/>
      <c r="I14" s="30">
        <f>VORN!I21</f>
        <v>0</v>
      </c>
    </row>
    <row r="15" spans="1:9" ht="15.75" x14ac:dyDescent="0.25">
      <c r="A15" s="31" t="s">
        <v>25</v>
      </c>
      <c r="B15" s="28" t="s">
        <v>500</v>
      </c>
      <c r="C15" s="29">
        <v>0</v>
      </c>
      <c r="D15" s="105" t="s">
        <v>501</v>
      </c>
      <c r="E15" s="106"/>
      <c r="F15" s="29">
        <f>VORN!I16</f>
        <v>0</v>
      </c>
      <c r="G15" s="105" t="s">
        <v>502</v>
      </c>
      <c r="H15" s="106"/>
      <c r="I15" s="30">
        <f>VORN!I22</f>
        <v>0</v>
      </c>
    </row>
    <row r="16" spans="1:9" ht="15.75" x14ac:dyDescent="0.25">
      <c r="A16" s="27" t="s">
        <v>503</v>
      </c>
      <c r="B16" s="28" t="s">
        <v>498</v>
      </c>
      <c r="C16" s="29">
        <v>0</v>
      </c>
      <c r="D16" s="105" t="s">
        <v>504</v>
      </c>
      <c r="E16" s="106"/>
      <c r="F16" s="29">
        <f>VORN!I17</f>
        <v>0</v>
      </c>
      <c r="G16" s="105" t="s">
        <v>505</v>
      </c>
      <c r="H16" s="106"/>
      <c r="I16" s="30">
        <f>VORN!I23</f>
        <v>0</v>
      </c>
    </row>
    <row r="17" spans="1:9" ht="15.75" x14ac:dyDescent="0.25">
      <c r="A17" s="31" t="s">
        <v>25</v>
      </c>
      <c r="B17" s="28" t="s">
        <v>500</v>
      </c>
      <c r="C17" s="29">
        <v>0</v>
      </c>
      <c r="D17" s="105" t="s">
        <v>25</v>
      </c>
      <c r="E17" s="106"/>
      <c r="F17" s="30" t="s">
        <v>25</v>
      </c>
      <c r="G17" s="105" t="s">
        <v>477</v>
      </c>
      <c r="H17" s="106"/>
      <c r="I17" s="30">
        <f>VORN!I24</f>
        <v>0</v>
      </c>
    </row>
    <row r="18" spans="1:9" ht="15.75" x14ac:dyDescent="0.25">
      <c r="A18" s="27" t="s">
        <v>506</v>
      </c>
      <c r="B18" s="28" t="s">
        <v>498</v>
      </c>
      <c r="C18" s="29">
        <v>0</v>
      </c>
      <c r="D18" s="105" t="s">
        <v>25</v>
      </c>
      <c r="E18" s="106"/>
      <c r="F18" s="30" t="s">
        <v>25</v>
      </c>
      <c r="G18" s="105" t="s">
        <v>507</v>
      </c>
      <c r="H18" s="106"/>
      <c r="I18" s="30">
        <f>VORN!I25</f>
        <v>0</v>
      </c>
    </row>
    <row r="19" spans="1:9" ht="15.75" x14ac:dyDescent="0.25">
      <c r="A19" s="31" t="s">
        <v>25</v>
      </c>
      <c r="B19" s="28" t="s">
        <v>500</v>
      </c>
      <c r="C19" s="29">
        <f>SUM('Stavební rozpočet'!AG12:AG700)</f>
        <v>0</v>
      </c>
      <c r="D19" s="105" t="s">
        <v>25</v>
      </c>
      <c r="E19" s="106"/>
      <c r="F19" s="30" t="s">
        <v>25</v>
      </c>
      <c r="G19" s="105" t="s">
        <v>508</v>
      </c>
      <c r="H19" s="106"/>
      <c r="I19" s="30">
        <f>VORN!I26</f>
        <v>0</v>
      </c>
    </row>
    <row r="20" spans="1:9" ht="15.75" x14ac:dyDescent="0.25">
      <c r="A20" s="97" t="s">
        <v>509</v>
      </c>
      <c r="B20" s="98"/>
      <c r="C20" s="29">
        <f>SUM('Stavební rozpočet'!AH12:AH700)</f>
        <v>0</v>
      </c>
      <c r="D20" s="105" t="s">
        <v>25</v>
      </c>
      <c r="E20" s="106"/>
      <c r="F20" s="30" t="s">
        <v>25</v>
      </c>
      <c r="G20" s="105" t="s">
        <v>25</v>
      </c>
      <c r="H20" s="106"/>
      <c r="I20" s="30" t="s">
        <v>25</v>
      </c>
    </row>
    <row r="21" spans="1:9" ht="15.75" x14ac:dyDescent="0.25">
      <c r="A21" s="112" t="s">
        <v>510</v>
      </c>
      <c r="B21" s="113"/>
      <c r="C21" s="32">
        <v>0</v>
      </c>
      <c r="D21" s="107" t="s">
        <v>25</v>
      </c>
      <c r="E21" s="108"/>
      <c r="F21" s="33" t="s">
        <v>25</v>
      </c>
      <c r="G21" s="107" t="s">
        <v>25</v>
      </c>
      <c r="H21" s="108"/>
      <c r="I21" s="33" t="s">
        <v>25</v>
      </c>
    </row>
    <row r="22" spans="1:9" ht="16.5" customHeight="1" x14ac:dyDescent="0.25">
      <c r="A22" s="114" t="s">
        <v>511</v>
      </c>
      <c r="B22" s="110"/>
      <c r="C22" s="34">
        <v>0</v>
      </c>
      <c r="D22" s="109" t="s">
        <v>512</v>
      </c>
      <c r="E22" s="110"/>
      <c r="F22" s="34">
        <f>SUM(F14:F21)</f>
        <v>0</v>
      </c>
      <c r="G22" s="109" t="s">
        <v>513</v>
      </c>
      <c r="H22" s="110"/>
      <c r="I22" s="34">
        <f>SUM(I14:I21)</f>
        <v>0</v>
      </c>
    </row>
    <row r="23" spans="1:9" ht="15.75" x14ac:dyDescent="0.25">
      <c r="D23" s="97" t="s">
        <v>514</v>
      </c>
      <c r="E23" s="98"/>
      <c r="F23" s="35">
        <v>0</v>
      </c>
      <c r="G23" s="111" t="s">
        <v>515</v>
      </c>
      <c r="H23" s="98"/>
      <c r="I23" s="29">
        <v>0</v>
      </c>
    </row>
    <row r="24" spans="1:9" ht="15.75" x14ac:dyDescent="0.25">
      <c r="G24" s="97" t="s">
        <v>516</v>
      </c>
      <c r="H24" s="98"/>
      <c r="I24" s="29">
        <f>vorn_sum</f>
        <v>0</v>
      </c>
    </row>
    <row r="25" spans="1:9" ht="15.75" x14ac:dyDescent="0.25">
      <c r="G25" s="97" t="s">
        <v>517</v>
      </c>
      <c r="H25" s="98"/>
      <c r="I25" s="29">
        <v>0</v>
      </c>
    </row>
    <row r="27" spans="1:9" ht="15.75" x14ac:dyDescent="0.25">
      <c r="A27" s="99" t="s">
        <v>518</v>
      </c>
      <c r="B27" s="100"/>
      <c r="C27" s="36">
        <f>ROUND(SUM('Stavební rozpočet'!AJ12:AJ700),0)</f>
        <v>0</v>
      </c>
    </row>
    <row r="28" spans="1:9" ht="15.75" x14ac:dyDescent="0.25">
      <c r="A28" s="101" t="s">
        <v>519</v>
      </c>
      <c r="B28" s="102"/>
      <c r="C28" s="37">
        <v>0</v>
      </c>
      <c r="D28" s="103" t="s">
        <v>520</v>
      </c>
      <c r="E28" s="100"/>
      <c r="F28" s="36">
        <f>ROUND(C28*(12/100),2)</f>
        <v>0</v>
      </c>
      <c r="G28" s="103" t="s">
        <v>521</v>
      </c>
      <c r="H28" s="100"/>
      <c r="I28" s="36">
        <f>ROUND(SUM(C27:C29),0)</f>
        <v>0</v>
      </c>
    </row>
    <row r="29" spans="1:9" ht="15.75" x14ac:dyDescent="0.25">
      <c r="A29" s="101" t="s">
        <v>522</v>
      </c>
      <c r="B29" s="102"/>
      <c r="C29" s="37">
        <f>ROUND(SUM('Stavební rozpočet'!AL12:AL700),0)</f>
        <v>0</v>
      </c>
      <c r="D29" s="104" t="s">
        <v>523</v>
      </c>
      <c r="E29" s="102"/>
      <c r="F29" s="37">
        <f>ROUND(C29*(21/100),2)</f>
        <v>0</v>
      </c>
      <c r="G29" s="104" t="s">
        <v>524</v>
      </c>
      <c r="H29" s="102"/>
      <c r="I29" s="37">
        <f>ROUND(SUM(F28:F29)+I28,0)</f>
        <v>0</v>
      </c>
    </row>
    <row r="31" spans="1:9" x14ac:dyDescent="0.25">
      <c r="A31" s="94" t="s">
        <v>525</v>
      </c>
      <c r="B31" s="86"/>
      <c r="C31" s="87"/>
      <c r="D31" s="85" t="s">
        <v>526</v>
      </c>
      <c r="E31" s="86"/>
      <c r="F31" s="87"/>
      <c r="G31" s="85" t="s">
        <v>527</v>
      </c>
      <c r="H31" s="86"/>
      <c r="I31" s="87"/>
    </row>
    <row r="32" spans="1:9" x14ac:dyDescent="0.25">
      <c r="A32" s="95" t="s">
        <v>25</v>
      </c>
      <c r="B32" s="89"/>
      <c r="C32" s="90"/>
      <c r="D32" s="88" t="s">
        <v>25</v>
      </c>
      <c r="E32" s="89"/>
      <c r="F32" s="90"/>
      <c r="G32" s="88" t="s">
        <v>25</v>
      </c>
      <c r="H32" s="89"/>
      <c r="I32" s="90"/>
    </row>
    <row r="33" spans="1:9" x14ac:dyDescent="0.25">
      <c r="A33" s="95" t="s">
        <v>25</v>
      </c>
      <c r="B33" s="89"/>
      <c r="C33" s="90"/>
      <c r="D33" s="88" t="s">
        <v>25</v>
      </c>
      <c r="E33" s="89"/>
      <c r="F33" s="90"/>
      <c r="G33" s="88" t="s">
        <v>25</v>
      </c>
      <c r="H33" s="89"/>
      <c r="I33" s="90"/>
    </row>
    <row r="34" spans="1:9" x14ac:dyDescent="0.25">
      <c r="A34" s="95" t="s">
        <v>25</v>
      </c>
      <c r="B34" s="89"/>
      <c r="C34" s="90"/>
      <c r="D34" s="88" t="s">
        <v>25</v>
      </c>
      <c r="E34" s="89"/>
      <c r="F34" s="90"/>
      <c r="G34" s="88" t="s">
        <v>25</v>
      </c>
      <c r="H34" s="89"/>
      <c r="I34" s="90"/>
    </row>
    <row r="35" spans="1:9" x14ac:dyDescent="0.25">
      <c r="A35" s="96" t="s">
        <v>528</v>
      </c>
      <c r="B35" s="92"/>
      <c r="C35" s="93"/>
      <c r="D35" s="91" t="s">
        <v>528</v>
      </c>
      <c r="E35" s="92"/>
      <c r="F35" s="93"/>
      <c r="G35" s="91" t="s">
        <v>528</v>
      </c>
      <c r="H35" s="92"/>
      <c r="I35" s="93"/>
    </row>
    <row r="36" spans="1:9" x14ac:dyDescent="0.25">
      <c r="A36" s="38" t="s">
        <v>529</v>
      </c>
    </row>
    <row r="37" spans="1:9" ht="12.75" customHeight="1" x14ac:dyDescent="0.25">
      <c r="A37" s="83" t="s">
        <v>25</v>
      </c>
      <c r="B37" s="84"/>
      <c r="C37" s="84"/>
      <c r="D37" s="84"/>
      <c r="E37" s="84"/>
      <c r="F37" s="84"/>
      <c r="G37" s="84"/>
      <c r="H37" s="84"/>
      <c r="I37" s="84"/>
    </row>
  </sheetData>
  <mergeCells count="83">
    <mergeCell ref="A1:I1"/>
    <mergeCell ref="A2:B3"/>
    <mergeCell ref="A4:B5"/>
    <mergeCell ref="A6:B7"/>
    <mergeCell ref="A8:B9"/>
    <mergeCell ref="F2:G3"/>
    <mergeCell ref="F4:G5"/>
    <mergeCell ref="F6:G7"/>
    <mergeCell ref="F8:G9"/>
    <mergeCell ref="I2:I3"/>
    <mergeCell ref="I4:I5"/>
    <mergeCell ref="I6:I7"/>
    <mergeCell ref="I8:I9"/>
    <mergeCell ref="C2:D3"/>
    <mergeCell ref="C4:D5"/>
    <mergeCell ref="C6:D7"/>
    <mergeCell ref="C8:D9"/>
    <mergeCell ref="C10:D11"/>
    <mergeCell ref="E2:E3"/>
    <mergeCell ref="E4:E5"/>
    <mergeCell ref="E6:E7"/>
    <mergeCell ref="E8:E9"/>
    <mergeCell ref="E10:E11"/>
    <mergeCell ref="H2:H3"/>
    <mergeCell ref="H4:H5"/>
    <mergeCell ref="H6:H7"/>
    <mergeCell ref="H8:H9"/>
    <mergeCell ref="H10:H11"/>
    <mergeCell ref="I10:I11"/>
    <mergeCell ref="A12:I12"/>
    <mergeCell ref="B13:C13"/>
    <mergeCell ref="E13:F13"/>
    <mergeCell ref="H13:I13"/>
    <mergeCell ref="F10:G11"/>
    <mergeCell ref="A10:B11"/>
    <mergeCell ref="A20:B20"/>
    <mergeCell ref="A21:B21"/>
    <mergeCell ref="A22:B22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G14:H14"/>
    <mergeCell ref="G15:H15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A27:B27"/>
    <mergeCell ref="A28:B28"/>
    <mergeCell ref="A29:B29"/>
    <mergeCell ref="D28:E28"/>
    <mergeCell ref="D29:E29"/>
    <mergeCell ref="G28:H28"/>
    <mergeCell ref="G29:H29"/>
    <mergeCell ref="A37:I37"/>
    <mergeCell ref="G31:I31"/>
    <mergeCell ref="G32:I32"/>
    <mergeCell ref="G33:I33"/>
    <mergeCell ref="G34:I34"/>
    <mergeCell ref="G35:I35"/>
    <mergeCell ref="D31:F31"/>
    <mergeCell ref="D32:F32"/>
    <mergeCell ref="D33:F33"/>
    <mergeCell ref="D34:F34"/>
    <mergeCell ref="D35:F35"/>
    <mergeCell ref="A31:C31"/>
    <mergeCell ref="A32:C32"/>
    <mergeCell ref="A33:C33"/>
    <mergeCell ref="A34:C34"/>
    <mergeCell ref="A35:C35"/>
  </mergeCells>
  <pageMargins left="0.393999993801117" right="0.393999993801117" top="0.59100002050399802" bottom="0.59100002050399802" header="0" footer="0"/>
  <pageSetup scale="86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T603"/>
  <sheetViews>
    <sheetView tabSelected="1" topLeftCell="A276" workbookViewId="0">
      <selection activeCell="D579" sqref="D579:H579"/>
    </sheetView>
  </sheetViews>
  <sheetFormatPr defaultColWidth="12.140625" defaultRowHeight="15" customHeight="1" x14ac:dyDescent="0.25"/>
  <cols>
    <col min="1" max="1" width="4.28515625" customWidth="1"/>
    <col min="2" max="2" width="7.85546875" customWidth="1"/>
    <col min="3" max="3" width="17.140625" customWidth="1"/>
    <col min="4" max="4" width="42.7109375" customWidth="1"/>
    <col min="5" max="5" width="11.42578125" customWidth="1"/>
    <col min="6" max="6" width="5.5703125" customWidth="1"/>
    <col min="7" max="8" width="11.42578125" customWidth="1"/>
    <col min="9" max="9" width="7.5703125" customWidth="1"/>
    <col min="10" max="10" width="10.140625" customWidth="1"/>
    <col min="11" max="11" width="21.7109375" customWidth="1"/>
    <col min="12" max="12" width="20.85546875" customWidth="1"/>
    <col min="230" max="231" width="12.140625" hidden="1"/>
    <col min="251" max="254" width="12.140625" hidden="1"/>
  </cols>
  <sheetData>
    <row r="1" spans="1:253" ht="54.75" customHeight="1" x14ac:dyDescent="0.25">
      <c r="A1" s="125" t="s">
        <v>1240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</row>
    <row r="2" spans="1:253" x14ac:dyDescent="0.25">
      <c r="A2" s="126" t="s">
        <v>1</v>
      </c>
      <c r="B2" s="127"/>
      <c r="C2" s="127"/>
      <c r="D2" s="132" t="str">
        <f>'Stavební rozpočet'!D2</f>
        <v>Oprava rozvodů kanalizace, vody a plynu v BD Hálkova 20, 22, 24 v Havířově</v>
      </c>
      <c r="E2" s="127" t="s">
        <v>2</v>
      </c>
      <c r="F2" s="127"/>
      <c r="G2" s="123" t="str">
        <f>'Stavební rozpočet'!H2</f>
        <v xml:space="preserve"> </v>
      </c>
      <c r="H2" s="123" t="s">
        <v>3</v>
      </c>
      <c r="I2" s="123" t="str">
        <f>'Stavební rozpočet'!J2</f>
        <v>SBD Havířov</v>
      </c>
      <c r="J2" s="127"/>
      <c r="K2" s="127"/>
      <c r="L2" s="129"/>
    </row>
    <row r="3" spans="1:253" ht="15" customHeight="1" x14ac:dyDescent="0.25">
      <c r="A3" s="128"/>
      <c r="B3" s="84"/>
      <c r="C3" s="84"/>
      <c r="D3" s="134"/>
      <c r="E3" s="84"/>
      <c r="F3" s="84"/>
      <c r="G3" s="84"/>
      <c r="H3" s="84"/>
      <c r="I3" s="84"/>
      <c r="J3" s="84"/>
      <c r="K3" s="84"/>
      <c r="L3" s="130"/>
    </row>
    <row r="4" spans="1:253" x14ac:dyDescent="0.25">
      <c r="A4" s="121" t="s">
        <v>4</v>
      </c>
      <c r="B4" s="84"/>
      <c r="C4" s="84"/>
      <c r="D4" s="83" t="str">
        <f>'Stavební rozpočet'!D4</f>
        <v xml:space="preserve"> </v>
      </c>
      <c r="E4" s="84" t="s">
        <v>5</v>
      </c>
      <c r="F4" s="84"/>
      <c r="G4" s="83" t="str">
        <f>'Stavební rozpočet'!H4</f>
        <v xml:space="preserve"> </v>
      </c>
      <c r="H4" s="83" t="s">
        <v>6</v>
      </c>
      <c r="I4" s="83" t="str">
        <f>'Stavební rozpočet'!J4</f>
        <v>ETRACOM s.r.o.</v>
      </c>
      <c r="J4" s="84"/>
      <c r="K4" s="84"/>
      <c r="L4" s="130"/>
    </row>
    <row r="5" spans="1:253" ht="15" customHeight="1" x14ac:dyDescent="0.25">
      <c r="A5" s="128"/>
      <c r="B5" s="84"/>
      <c r="C5" s="84"/>
      <c r="D5" s="84"/>
      <c r="E5" s="84"/>
      <c r="F5" s="84"/>
      <c r="G5" s="84"/>
      <c r="H5" s="84"/>
      <c r="I5" s="84"/>
      <c r="J5" s="84"/>
      <c r="K5" s="84"/>
      <c r="L5" s="130"/>
    </row>
    <row r="6" spans="1:253" x14ac:dyDescent="0.25">
      <c r="A6" s="121" t="s">
        <v>7</v>
      </c>
      <c r="B6" s="84"/>
      <c r="C6" s="84"/>
      <c r="D6" s="83" t="str">
        <f>'Stavební rozpočet'!D6</f>
        <v xml:space="preserve"> </v>
      </c>
      <c r="E6" s="84" t="s">
        <v>8</v>
      </c>
      <c r="F6" s="84"/>
      <c r="G6" s="83" t="str">
        <f>'Stavební rozpočet'!H6</f>
        <v xml:space="preserve"> </v>
      </c>
      <c r="H6" s="83" t="s">
        <v>9</v>
      </c>
      <c r="I6" s="83" t="str">
        <f>'Stavební rozpočet'!J6</f>
        <v> </v>
      </c>
      <c r="J6" s="84"/>
      <c r="K6" s="84"/>
      <c r="L6" s="130"/>
    </row>
    <row r="7" spans="1:253" ht="15" customHeight="1" x14ac:dyDescent="0.25">
      <c r="A7" s="128"/>
      <c r="B7" s="84"/>
      <c r="C7" s="84"/>
      <c r="D7" s="84"/>
      <c r="E7" s="84"/>
      <c r="F7" s="84"/>
      <c r="G7" s="84"/>
      <c r="H7" s="84"/>
      <c r="I7" s="84"/>
      <c r="J7" s="84"/>
      <c r="K7" s="84"/>
      <c r="L7" s="130"/>
    </row>
    <row r="8" spans="1:253" x14ac:dyDescent="0.25">
      <c r="A8" s="121" t="s">
        <v>10</v>
      </c>
      <c r="B8" s="84"/>
      <c r="C8" s="84"/>
      <c r="D8" s="83" t="str">
        <f>'Stavební rozpočet'!D8</f>
        <v xml:space="preserve"> </v>
      </c>
      <c r="E8" s="84" t="s">
        <v>11</v>
      </c>
      <c r="F8" s="84"/>
      <c r="G8" s="83" t="str">
        <f>'Stavební rozpočet'!H8</f>
        <v>11.03.2025</v>
      </c>
      <c r="H8" s="83" t="s">
        <v>12</v>
      </c>
      <c r="I8" s="83" t="str">
        <f>'Stavební rozpočet'!J8</f>
        <v>Ing. Radim Kyjonka</v>
      </c>
      <c r="J8" s="84"/>
      <c r="K8" s="84"/>
      <c r="L8" s="130"/>
    </row>
    <row r="9" spans="1:253" x14ac:dyDescent="0.25">
      <c r="A9" s="122"/>
      <c r="B9" s="120"/>
      <c r="C9" s="120"/>
      <c r="D9" s="120"/>
      <c r="E9" s="120"/>
      <c r="F9" s="120"/>
      <c r="G9" s="120"/>
      <c r="H9" s="120"/>
      <c r="I9" s="120"/>
      <c r="J9" s="120"/>
      <c r="K9" s="120"/>
      <c r="L9" s="116"/>
    </row>
    <row r="10" spans="1:253" x14ac:dyDescent="0.25">
      <c r="A10" s="7" t="s">
        <v>13</v>
      </c>
      <c r="B10" s="7" t="s">
        <v>14</v>
      </c>
      <c r="C10" s="7" t="s">
        <v>15</v>
      </c>
      <c r="D10" s="138" t="s">
        <v>16</v>
      </c>
      <c r="E10" s="139"/>
      <c r="F10" s="139"/>
      <c r="G10" s="139"/>
      <c r="H10" s="140"/>
      <c r="I10" s="7" t="s">
        <v>17</v>
      </c>
      <c r="J10" s="7" t="s">
        <v>18</v>
      </c>
      <c r="K10" s="7" t="s">
        <v>19</v>
      </c>
      <c r="L10" s="8" t="s">
        <v>20</v>
      </c>
      <c r="HV10" s="9" t="s">
        <v>21</v>
      </c>
      <c r="HW10" s="9" t="s">
        <v>22</v>
      </c>
    </row>
    <row r="11" spans="1:253" x14ac:dyDescent="0.25">
      <c r="A11" s="12" t="s">
        <v>23</v>
      </c>
      <c r="B11" s="13" t="s">
        <v>50</v>
      </c>
      <c r="C11" s="13" t="s">
        <v>25</v>
      </c>
      <c r="D11" s="135" t="s">
        <v>51</v>
      </c>
      <c r="E11" s="136"/>
      <c r="F11" s="136"/>
      <c r="G11" s="136"/>
      <c r="H11" s="136"/>
      <c r="I11" s="13" t="s">
        <v>23</v>
      </c>
      <c r="J11" s="14" t="s">
        <v>23</v>
      </c>
      <c r="K11" s="14"/>
      <c r="L11" s="15">
        <f>L12+L15</f>
        <v>0</v>
      </c>
    </row>
    <row r="12" spans="1:253" x14ac:dyDescent="0.25">
      <c r="A12" s="12" t="s">
        <v>23</v>
      </c>
      <c r="B12" s="13" t="s">
        <v>50</v>
      </c>
      <c r="C12" s="13" t="s">
        <v>52</v>
      </c>
      <c r="D12" s="135" t="s">
        <v>53</v>
      </c>
      <c r="E12" s="136"/>
      <c r="F12" s="136"/>
      <c r="G12" s="136"/>
      <c r="H12" s="136"/>
      <c r="I12" s="13" t="s">
        <v>23</v>
      </c>
      <c r="J12" s="14" t="s">
        <v>23</v>
      </c>
      <c r="K12" s="14"/>
      <c r="L12" s="15">
        <f>SUM(L13:L14)</f>
        <v>0</v>
      </c>
    </row>
    <row r="13" spans="1:253" x14ac:dyDescent="0.25">
      <c r="A13" s="16">
        <v>19</v>
      </c>
      <c r="B13" s="2" t="s">
        <v>50</v>
      </c>
      <c r="C13" s="2" t="s">
        <v>54</v>
      </c>
      <c r="D13" s="83" t="s">
        <v>55</v>
      </c>
      <c r="E13" s="84"/>
      <c r="F13" s="84"/>
      <c r="G13" s="84"/>
      <c r="H13" s="84"/>
      <c r="I13" s="2" t="s">
        <v>35</v>
      </c>
      <c r="J13" s="17">
        <v>9</v>
      </c>
      <c r="K13" s="17"/>
      <c r="L13" s="18">
        <f>ROUND(IR13*J13+IS13*J13,2)</f>
        <v>0</v>
      </c>
      <c r="HV13" s="2" t="s">
        <v>52</v>
      </c>
      <c r="HW13" s="2" t="s">
        <v>32</v>
      </c>
      <c r="IR13" s="19">
        <f>K13*1</f>
        <v>0</v>
      </c>
      <c r="IS13" s="19">
        <f>K13*(1-1)</f>
        <v>0</v>
      </c>
    </row>
    <row r="14" spans="1:253" x14ac:dyDescent="0.25">
      <c r="A14" s="16">
        <v>20</v>
      </c>
      <c r="B14" s="2" t="s">
        <v>50</v>
      </c>
      <c r="C14" s="2" t="s">
        <v>56</v>
      </c>
      <c r="D14" s="83" t="s">
        <v>57</v>
      </c>
      <c r="E14" s="84"/>
      <c r="F14" s="84"/>
      <c r="G14" s="84"/>
      <c r="H14" s="84"/>
      <c r="I14" s="2" t="s">
        <v>45</v>
      </c>
      <c r="J14" s="17"/>
      <c r="K14" s="17"/>
      <c r="L14" s="18">
        <f>ROUND(IR14*J14+IS14*J14,2)</f>
        <v>0</v>
      </c>
      <c r="HV14" s="2" t="s">
        <v>52</v>
      </c>
      <c r="HW14" s="2" t="s">
        <v>32</v>
      </c>
      <c r="IR14" s="19">
        <f>K14*0</f>
        <v>0</v>
      </c>
      <c r="IS14" s="19">
        <f>K14*(1-0)</f>
        <v>0</v>
      </c>
    </row>
    <row r="15" spans="1:253" x14ac:dyDescent="0.25">
      <c r="A15" s="12" t="s">
        <v>23</v>
      </c>
      <c r="B15" s="13" t="s">
        <v>50</v>
      </c>
      <c r="C15" s="13" t="s">
        <v>27</v>
      </c>
      <c r="D15" s="135" t="s">
        <v>28</v>
      </c>
      <c r="E15" s="136"/>
      <c r="F15" s="136"/>
      <c r="G15" s="136"/>
      <c r="H15" s="136"/>
      <c r="I15" s="13" t="s">
        <v>23</v>
      </c>
      <c r="J15" s="14" t="s">
        <v>23</v>
      </c>
      <c r="K15" s="14"/>
      <c r="L15" s="15">
        <f>SUM(L16:L31)</f>
        <v>0</v>
      </c>
    </row>
    <row r="16" spans="1:253" x14ac:dyDescent="0.25">
      <c r="A16" s="16">
        <v>21</v>
      </c>
      <c r="B16" s="2" t="s">
        <v>50</v>
      </c>
      <c r="C16" s="2" t="s">
        <v>58</v>
      </c>
      <c r="D16" s="83" t="s">
        <v>59</v>
      </c>
      <c r="E16" s="84"/>
      <c r="F16" s="84"/>
      <c r="G16" s="84"/>
      <c r="H16" s="84"/>
      <c r="I16" s="2" t="s">
        <v>31</v>
      </c>
      <c r="J16" s="17">
        <v>12</v>
      </c>
      <c r="K16" s="17"/>
      <c r="L16" s="18">
        <f t="shared" ref="L16:L31" si="0">ROUND(IR16*J16+IS16*J16,2)</f>
        <v>0</v>
      </c>
      <c r="HV16" s="2" t="s">
        <v>27</v>
      </c>
      <c r="HW16" s="2" t="s">
        <v>32</v>
      </c>
      <c r="IR16" s="19">
        <f>K16*0</f>
        <v>0</v>
      </c>
      <c r="IS16" s="19">
        <f>K16*(1-0)</f>
        <v>0</v>
      </c>
    </row>
    <row r="17" spans="1:253" x14ac:dyDescent="0.25">
      <c r="A17" s="16">
        <v>22</v>
      </c>
      <c r="B17" s="2" t="s">
        <v>50</v>
      </c>
      <c r="C17" s="2" t="s">
        <v>60</v>
      </c>
      <c r="D17" s="83" t="s">
        <v>61</v>
      </c>
      <c r="E17" s="84"/>
      <c r="F17" s="84"/>
      <c r="G17" s="84"/>
      <c r="H17" s="84"/>
      <c r="I17" s="2" t="s">
        <v>35</v>
      </c>
      <c r="J17" s="17">
        <v>3</v>
      </c>
      <c r="K17" s="17"/>
      <c r="L17" s="18">
        <f t="shared" si="0"/>
        <v>0</v>
      </c>
      <c r="HV17" s="2" t="s">
        <v>27</v>
      </c>
      <c r="HW17" s="2" t="s">
        <v>32</v>
      </c>
      <c r="IR17" s="19">
        <f>K17*0.798393662</f>
        <v>0</v>
      </c>
      <c r="IS17" s="19">
        <f>K17*(1-0.798393662)</f>
        <v>0</v>
      </c>
    </row>
    <row r="18" spans="1:253" x14ac:dyDescent="0.25">
      <c r="A18" s="16">
        <v>23</v>
      </c>
      <c r="B18" s="2" t="s">
        <v>50</v>
      </c>
      <c r="C18" s="2" t="s">
        <v>62</v>
      </c>
      <c r="D18" s="83" t="s">
        <v>1242</v>
      </c>
      <c r="E18" s="84"/>
      <c r="F18" s="84"/>
      <c r="G18" s="84"/>
      <c r="H18" s="84"/>
      <c r="I18" s="2" t="s">
        <v>31</v>
      </c>
      <c r="J18" s="17">
        <v>30</v>
      </c>
      <c r="K18" s="17"/>
      <c r="L18" s="18">
        <f t="shared" si="0"/>
        <v>0</v>
      </c>
      <c r="HV18" s="2" t="s">
        <v>27</v>
      </c>
      <c r="HW18" s="2" t="s">
        <v>32</v>
      </c>
      <c r="IR18" s="19">
        <f>K18*0.355217391</f>
        <v>0</v>
      </c>
      <c r="IS18" s="19">
        <f>K18*(1-0.355217391)</f>
        <v>0</v>
      </c>
    </row>
    <row r="19" spans="1:253" x14ac:dyDescent="0.25">
      <c r="A19" s="16">
        <v>24</v>
      </c>
      <c r="B19" s="2" t="s">
        <v>50</v>
      </c>
      <c r="C19" s="2" t="s">
        <v>64</v>
      </c>
      <c r="D19" s="83" t="s">
        <v>65</v>
      </c>
      <c r="E19" s="84"/>
      <c r="F19" s="84"/>
      <c r="G19" s="84"/>
      <c r="H19" s="84"/>
      <c r="I19" s="2" t="s">
        <v>35</v>
      </c>
      <c r="J19" s="17">
        <v>9</v>
      </c>
      <c r="K19" s="17"/>
      <c r="L19" s="18">
        <f t="shared" si="0"/>
        <v>0</v>
      </c>
      <c r="HV19" s="2" t="s">
        <v>27</v>
      </c>
      <c r="HW19" s="2" t="s">
        <v>32</v>
      </c>
      <c r="IR19" s="19">
        <f>K19*0.232544987</f>
        <v>0</v>
      </c>
      <c r="IS19" s="19">
        <f>K19*(1-0.232544987)</f>
        <v>0</v>
      </c>
    </row>
    <row r="20" spans="1:253" x14ac:dyDescent="0.25">
      <c r="A20" s="16">
        <v>25</v>
      </c>
      <c r="B20" s="2" t="s">
        <v>50</v>
      </c>
      <c r="C20" s="2" t="s">
        <v>66</v>
      </c>
      <c r="D20" s="83" t="s">
        <v>67</v>
      </c>
      <c r="E20" s="84"/>
      <c r="F20" s="84"/>
      <c r="G20" s="84"/>
      <c r="H20" s="84"/>
      <c r="I20" s="2" t="s">
        <v>35</v>
      </c>
      <c r="J20" s="17">
        <v>3</v>
      </c>
      <c r="K20" s="17"/>
      <c r="L20" s="18">
        <f t="shared" si="0"/>
        <v>0</v>
      </c>
      <c r="HV20" s="2" t="s">
        <v>27</v>
      </c>
      <c r="HW20" s="2" t="s">
        <v>32</v>
      </c>
      <c r="IR20" s="19">
        <f>K20*0.215775075</f>
        <v>0</v>
      </c>
      <c r="IS20" s="19">
        <f>K20*(1-0.215775075)</f>
        <v>0</v>
      </c>
    </row>
    <row r="21" spans="1:253" x14ac:dyDescent="0.25">
      <c r="A21" s="16">
        <v>26</v>
      </c>
      <c r="B21" s="2" t="s">
        <v>50</v>
      </c>
      <c r="C21" s="2" t="s">
        <v>68</v>
      </c>
      <c r="D21" s="83" t="s">
        <v>69</v>
      </c>
      <c r="E21" s="84"/>
      <c r="F21" s="84"/>
      <c r="G21" s="84"/>
      <c r="H21" s="84"/>
      <c r="I21" s="2" t="s">
        <v>31</v>
      </c>
      <c r="J21" s="17">
        <v>5</v>
      </c>
      <c r="K21" s="17"/>
      <c r="L21" s="18">
        <f t="shared" si="0"/>
        <v>0</v>
      </c>
      <c r="HV21" s="2" t="s">
        <v>27</v>
      </c>
      <c r="HW21" s="2" t="s">
        <v>32</v>
      </c>
      <c r="IR21" s="19">
        <f>K21*0</f>
        <v>0</v>
      </c>
      <c r="IS21" s="19">
        <f>K21*(1-0)</f>
        <v>0</v>
      </c>
    </row>
    <row r="22" spans="1:253" x14ac:dyDescent="0.25">
      <c r="A22" s="16">
        <v>27</v>
      </c>
      <c r="B22" s="2" t="s">
        <v>50</v>
      </c>
      <c r="C22" s="2" t="s">
        <v>70</v>
      </c>
      <c r="D22" s="83" t="s">
        <v>71</v>
      </c>
      <c r="E22" s="84"/>
      <c r="F22" s="84"/>
      <c r="G22" s="84"/>
      <c r="H22" s="84"/>
      <c r="I22" s="2" t="s">
        <v>31</v>
      </c>
      <c r="J22" s="17">
        <v>42</v>
      </c>
      <c r="K22" s="17"/>
      <c r="L22" s="18">
        <f t="shared" si="0"/>
        <v>0</v>
      </c>
      <c r="HV22" s="2" t="s">
        <v>27</v>
      </c>
      <c r="HW22" s="2" t="s">
        <v>32</v>
      </c>
      <c r="IR22" s="19">
        <f>K22*0.372245658</f>
        <v>0</v>
      </c>
      <c r="IS22" s="19">
        <f>K22*(1-0.372245658)</f>
        <v>0</v>
      </c>
    </row>
    <row r="23" spans="1:253" x14ac:dyDescent="0.25">
      <c r="A23" s="16">
        <v>28</v>
      </c>
      <c r="B23" s="2" t="s">
        <v>50</v>
      </c>
      <c r="C23" s="2" t="s">
        <v>72</v>
      </c>
      <c r="D23" s="83" t="s">
        <v>73</v>
      </c>
      <c r="E23" s="84"/>
      <c r="F23" s="84"/>
      <c r="G23" s="84"/>
      <c r="H23" s="84"/>
      <c r="I23" s="2" t="s">
        <v>31</v>
      </c>
      <c r="J23" s="17">
        <v>1.5</v>
      </c>
      <c r="K23" s="17"/>
      <c r="L23" s="18">
        <f t="shared" si="0"/>
        <v>0</v>
      </c>
      <c r="HV23" s="2" t="s">
        <v>27</v>
      </c>
      <c r="HW23" s="2" t="s">
        <v>32</v>
      </c>
      <c r="IR23" s="19">
        <f>K23*0.288317757</f>
        <v>0</v>
      </c>
      <c r="IS23" s="19">
        <f>K23*(1-0.288317757)</f>
        <v>0</v>
      </c>
    </row>
    <row r="24" spans="1:253" x14ac:dyDescent="0.25">
      <c r="A24" s="16">
        <v>29</v>
      </c>
      <c r="B24" s="2" t="s">
        <v>50</v>
      </c>
      <c r="C24" s="2" t="s">
        <v>74</v>
      </c>
      <c r="D24" s="83" t="s">
        <v>75</v>
      </c>
      <c r="E24" s="84"/>
      <c r="F24" s="84"/>
      <c r="G24" s="84"/>
      <c r="H24" s="84"/>
      <c r="I24" s="2" t="s">
        <v>31</v>
      </c>
      <c r="J24" s="17">
        <v>3</v>
      </c>
      <c r="K24" s="17"/>
      <c r="L24" s="18">
        <f t="shared" si="0"/>
        <v>0</v>
      </c>
      <c r="HV24" s="2" t="s">
        <v>27</v>
      </c>
      <c r="HW24" s="2" t="s">
        <v>32</v>
      </c>
      <c r="IR24" s="19">
        <f>K24*0.262895257</f>
        <v>0</v>
      </c>
      <c r="IS24" s="19">
        <f>K24*(1-0.262895257)</f>
        <v>0</v>
      </c>
    </row>
    <row r="25" spans="1:253" x14ac:dyDescent="0.25">
      <c r="A25" s="16">
        <v>30</v>
      </c>
      <c r="B25" s="2" t="s">
        <v>50</v>
      </c>
      <c r="C25" s="2" t="s">
        <v>76</v>
      </c>
      <c r="D25" s="83" t="s">
        <v>77</v>
      </c>
      <c r="E25" s="84"/>
      <c r="F25" s="84"/>
      <c r="G25" s="84"/>
      <c r="H25" s="84"/>
      <c r="I25" s="2" t="s">
        <v>35</v>
      </c>
      <c r="J25" s="17">
        <v>3</v>
      </c>
      <c r="K25" s="17"/>
      <c r="L25" s="18">
        <f t="shared" si="0"/>
        <v>0</v>
      </c>
      <c r="HV25" s="2" t="s">
        <v>27</v>
      </c>
      <c r="HW25" s="2" t="s">
        <v>32</v>
      </c>
      <c r="IR25" s="19">
        <f>K25*0</f>
        <v>0</v>
      </c>
      <c r="IS25" s="19">
        <f>K25*(1-0)</f>
        <v>0</v>
      </c>
    </row>
    <row r="26" spans="1:253" x14ac:dyDescent="0.25">
      <c r="A26" s="16">
        <v>31</v>
      </c>
      <c r="B26" s="2" t="s">
        <v>50</v>
      </c>
      <c r="C26" s="2" t="s">
        <v>78</v>
      </c>
      <c r="D26" s="83" t="s">
        <v>79</v>
      </c>
      <c r="E26" s="84"/>
      <c r="F26" s="84"/>
      <c r="G26" s="84"/>
      <c r="H26" s="84"/>
      <c r="I26" s="2" t="s">
        <v>35</v>
      </c>
      <c r="J26" s="17">
        <v>6</v>
      </c>
      <c r="K26" s="17"/>
      <c r="L26" s="18">
        <f t="shared" si="0"/>
        <v>0</v>
      </c>
      <c r="HV26" s="2" t="s">
        <v>27</v>
      </c>
      <c r="HW26" s="2" t="s">
        <v>32</v>
      </c>
      <c r="IR26" s="19">
        <f>K26*0</f>
        <v>0</v>
      </c>
      <c r="IS26" s="19">
        <f>K26*(1-0)</f>
        <v>0</v>
      </c>
    </row>
    <row r="27" spans="1:253" x14ac:dyDescent="0.25">
      <c r="A27" s="16">
        <v>32</v>
      </c>
      <c r="B27" s="2" t="s">
        <v>50</v>
      </c>
      <c r="C27" s="2" t="s">
        <v>80</v>
      </c>
      <c r="D27" s="83" t="s">
        <v>81</v>
      </c>
      <c r="E27" s="84"/>
      <c r="F27" s="84"/>
      <c r="G27" s="84"/>
      <c r="H27" s="84"/>
      <c r="I27" s="2" t="s">
        <v>35</v>
      </c>
      <c r="J27" s="17">
        <v>3</v>
      </c>
      <c r="K27" s="17"/>
      <c r="L27" s="18">
        <f t="shared" si="0"/>
        <v>0</v>
      </c>
      <c r="HV27" s="2" t="s">
        <v>27</v>
      </c>
      <c r="HW27" s="2" t="s">
        <v>32</v>
      </c>
      <c r="IR27" s="19">
        <f>K27*0.826644245</f>
        <v>0</v>
      </c>
      <c r="IS27" s="19">
        <f>K27*(1-0.826644245)</f>
        <v>0</v>
      </c>
    </row>
    <row r="28" spans="1:253" x14ac:dyDescent="0.25">
      <c r="A28" s="16">
        <v>33</v>
      </c>
      <c r="B28" s="2" t="s">
        <v>50</v>
      </c>
      <c r="C28" s="2" t="s">
        <v>82</v>
      </c>
      <c r="D28" s="83" t="s">
        <v>83</v>
      </c>
      <c r="E28" s="84"/>
      <c r="F28" s="84"/>
      <c r="G28" s="84"/>
      <c r="H28" s="84"/>
      <c r="I28" s="2" t="s">
        <v>35</v>
      </c>
      <c r="J28" s="17">
        <v>3</v>
      </c>
      <c r="K28" s="17"/>
      <c r="L28" s="18">
        <f t="shared" si="0"/>
        <v>0</v>
      </c>
      <c r="HV28" s="2" t="s">
        <v>27</v>
      </c>
      <c r="HW28" s="2" t="s">
        <v>32</v>
      </c>
      <c r="IR28" s="19">
        <f>K28*0.584438503</f>
        <v>0</v>
      </c>
      <c r="IS28" s="19">
        <f>K28*(1-0.584438503)</f>
        <v>0</v>
      </c>
    </row>
    <row r="29" spans="1:253" x14ac:dyDescent="0.25">
      <c r="A29" s="16">
        <v>34</v>
      </c>
      <c r="B29" s="2" t="s">
        <v>50</v>
      </c>
      <c r="C29" s="2" t="s">
        <v>84</v>
      </c>
      <c r="D29" s="83" t="s">
        <v>85</v>
      </c>
      <c r="E29" s="84"/>
      <c r="F29" s="84"/>
      <c r="G29" s="84"/>
      <c r="H29" s="84"/>
      <c r="I29" s="2" t="s">
        <v>31</v>
      </c>
      <c r="J29" s="17">
        <v>42</v>
      </c>
      <c r="K29" s="17"/>
      <c r="L29" s="18">
        <f t="shared" si="0"/>
        <v>0</v>
      </c>
      <c r="HV29" s="2" t="s">
        <v>27</v>
      </c>
      <c r="HW29" s="2" t="s">
        <v>32</v>
      </c>
      <c r="IR29" s="19">
        <f>K29*0.028571429</f>
        <v>0</v>
      </c>
      <c r="IS29" s="19">
        <f>K29*(1-0.028571429)</f>
        <v>0</v>
      </c>
    </row>
    <row r="30" spans="1:253" x14ac:dyDescent="0.25">
      <c r="A30" s="16">
        <v>35</v>
      </c>
      <c r="B30" s="2" t="s">
        <v>50</v>
      </c>
      <c r="C30" s="2" t="s">
        <v>86</v>
      </c>
      <c r="D30" s="83" t="s">
        <v>87</v>
      </c>
      <c r="E30" s="84"/>
      <c r="F30" s="84"/>
      <c r="G30" s="84"/>
      <c r="H30" s="84"/>
      <c r="I30" s="2" t="s">
        <v>88</v>
      </c>
      <c r="J30" s="17">
        <v>0.4</v>
      </c>
      <c r="K30" s="17"/>
      <c r="L30" s="18">
        <f t="shared" si="0"/>
        <v>0</v>
      </c>
      <c r="HV30" s="2" t="s">
        <v>27</v>
      </c>
      <c r="HW30" s="2" t="s">
        <v>32</v>
      </c>
      <c r="IR30" s="19">
        <f>K30*0</f>
        <v>0</v>
      </c>
      <c r="IS30" s="19">
        <f>K30*(1-0)</f>
        <v>0</v>
      </c>
    </row>
    <row r="31" spans="1:253" x14ac:dyDescent="0.25">
      <c r="A31" s="16">
        <v>36</v>
      </c>
      <c r="B31" s="2" t="s">
        <v>50</v>
      </c>
      <c r="C31" s="2" t="s">
        <v>43</v>
      </c>
      <c r="D31" s="83" t="s">
        <v>44</v>
      </c>
      <c r="E31" s="84"/>
      <c r="F31" s="84"/>
      <c r="G31" s="84"/>
      <c r="H31" s="84"/>
      <c r="I31" s="2" t="s">
        <v>45</v>
      </c>
      <c r="J31" s="17"/>
      <c r="K31" s="17"/>
      <c r="L31" s="18">
        <f t="shared" si="0"/>
        <v>0</v>
      </c>
      <c r="HV31" s="2" t="s">
        <v>27</v>
      </c>
      <c r="HW31" s="2" t="s">
        <v>32</v>
      </c>
      <c r="IR31" s="19">
        <f>K31*0</f>
        <v>0</v>
      </c>
      <c r="IS31" s="19">
        <f>K31*(1-0)</f>
        <v>0</v>
      </c>
    </row>
    <row r="32" spans="1:253" x14ac:dyDescent="0.25">
      <c r="A32" s="12" t="s">
        <v>23</v>
      </c>
      <c r="B32" s="13" t="s">
        <v>89</v>
      </c>
      <c r="C32" s="13" t="s">
        <v>25</v>
      </c>
      <c r="D32" s="135" t="s">
        <v>90</v>
      </c>
      <c r="E32" s="136"/>
      <c r="F32" s="136"/>
      <c r="G32" s="136"/>
      <c r="H32" s="136"/>
      <c r="I32" s="13" t="s">
        <v>23</v>
      </c>
      <c r="J32" s="14" t="s">
        <v>23</v>
      </c>
      <c r="K32" s="14"/>
      <c r="L32" s="15">
        <f>L33+L36</f>
        <v>0</v>
      </c>
    </row>
    <row r="33" spans="1:253" x14ac:dyDescent="0.25">
      <c r="A33" s="12" t="s">
        <v>23</v>
      </c>
      <c r="B33" s="13" t="s">
        <v>89</v>
      </c>
      <c r="C33" s="13" t="s">
        <v>52</v>
      </c>
      <c r="D33" s="135" t="s">
        <v>53</v>
      </c>
      <c r="E33" s="136"/>
      <c r="F33" s="136"/>
      <c r="G33" s="136"/>
      <c r="H33" s="136"/>
      <c r="I33" s="13" t="s">
        <v>23</v>
      </c>
      <c r="J33" s="14" t="s">
        <v>23</v>
      </c>
      <c r="K33" s="14"/>
      <c r="L33" s="15">
        <f>SUM(L34:L35)</f>
        <v>0</v>
      </c>
    </row>
    <row r="34" spans="1:253" x14ac:dyDescent="0.25">
      <c r="A34" s="16">
        <v>37</v>
      </c>
      <c r="B34" s="2" t="s">
        <v>89</v>
      </c>
      <c r="C34" s="2" t="s">
        <v>54</v>
      </c>
      <c r="D34" s="83" t="s">
        <v>55</v>
      </c>
      <c r="E34" s="84"/>
      <c r="F34" s="84"/>
      <c r="G34" s="84"/>
      <c r="H34" s="84"/>
      <c r="I34" s="2" t="s">
        <v>35</v>
      </c>
      <c r="J34" s="17">
        <v>12</v>
      </c>
      <c r="K34" s="17"/>
      <c r="L34" s="18">
        <f>ROUND(IR34*J34+IS34*J34,2)</f>
        <v>0</v>
      </c>
      <c r="HV34" s="2" t="s">
        <v>52</v>
      </c>
      <c r="HW34" s="2" t="s">
        <v>32</v>
      </c>
      <c r="IR34" s="19">
        <f>K34*1</f>
        <v>0</v>
      </c>
      <c r="IS34" s="19">
        <f>K34*(1-1)</f>
        <v>0</v>
      </c>
    </row>
    <row r="35" spans="1:253" x14ac:dyDescent="0.25">
      <c r="A35" s="16">
        <v>38</v>
      </c>
      <c r="B35" s="2" t="s">
        <v>89</v>
      </c>
      <c r="C35" s="2" t="s">
        <v>56</v>
      </c>
      <c r="D35" s="83" t="s">
        <v>57</v>
      </c>
      <c r="E35" s="84"/>
      <c r="F35" s="84"/>
      <c r="G35" s="84"/>
      <c r="H35" s="84"/>
      <c r="I35" s="2" t="s">
        <v>45</v>
      </c>
      <c r="J35" s="17"/>
      <c r="K35" s="17"/>
      <c r="L35" s="18">
        <f>ROUND(IR35*J35+IS35*J35,2)</f>
        <v>0</v>
      </c>
      <c r="HV35" s="2" t="s">
        <v>52</v>
      </c>
      <c r="HW35" s="2" t="s">
        <v>32</v>
      </c>
      <c r="IR35" s="19">
        <f>K35*0</f>
        <v>0</v>
      </c>
      <c r="IS35" s="19">
        <f>K35*(1-0)</f>
        <v>0</v>
      </c>
    </row>
    <row r="36" spans="1:253" x14ac:dyDescent="0.25">
      <c r="A36" s="12" t="s">
        <v>23</v>
      </c>
      <c r="B36" s="13" t="s">
        <v>89</v>
      </c>
      <c r="C36" s="13" t="s">
        <v>27</v>
      </c>
      <c r="D36" s="135" t="s">
        <v>28</v>
      </c>
      <c r="E36" s="136"/>
      <c r="F36" s="136"/>
      <c r="G36" s="136"/>
      <c r="H36" s="136"/>
      <c r="I36" s="13" t="s">
        <v>23</v>
      </c>
      <c r="J36" s="14" t="s">
        <v>23</v>
      </c>
      <c r="K36" s="14"/>
      <c r="L36" s="15">
        <f>SUM(L37:L51)</f>
        <v>0</v>
      </c>
    </row>
    <row r="37" spans="1:253" x14ac:dyDescent="0.25">
      <c r="A37" s="16">
        <v>39</v>
      </c>
      <c r="B37" s="2" t="s">
        <v>89</v>
      </c>
      <c r="C37" s="2" t="s">
        <v>58</v>
      </c>
      <c r="D37" s="83" t="s">
        <v>59</v>
      </c>
      <c r="E37" s="84"/>
      <c r="F37" s="84"/>
      <c r="G37" s="84"/>
      <c r="H37" s="84"/>
      <c r="I37" s="2" t="s">
        <v>31</v>
      </c>
      <c r="J37" s="17">
        <v>16</v>
      </c>
      <c r="K37" s="17"/>
      <c r="L37" s="18">
        <f t="shared" ref="L37:L51" si="1">ROUND(IR37*J37+IS37*J37,2)</f>
        <v>0</v>
      </c>
      <c r="HV37" s="2" t="s">
        <v>27</v>
      </c>
      <c r="HW37" s="2" t="s">
        <v>32</v>
      </c>
      <c r="IR37" s="19">
        <f>K37*0</f>
        <v>0</v>
      </c>
      <c r="IS37" s="19">
        <f>K37*(1-0)</f>
        <v>0</v>
      </c>
    </row>
    <row r="38" spans="1:253" x14ac:dyDescent="0.25">
      <c r="A38" s="16">
        <v>40</v>
      </c>
      <c r="B38" s="2" t="s">
        <v>89</v>
      </c>
      <c r="C38" s="2" t="s">
        <v>60</v>
      </c>
      <c r="D38" s="83" t="s">
        <v>61</v>
      </c>
      <c r="E38" s="84"/>
      <c r="F38" s="84"/>
      <c r="G38" s="84"/>
      <c r="H38" s="84"/>
      <c r="I38" s="2" t="s">
        <v>35</v>
      </c>
      <c r="J38" s="17">
        <v>4</v>
      </c>
      <c r="K38" s="17"/>
      <c r="L38" s="18">
        <f t="shared" si="1"/>
        <v>0</v>
      </c>
      <c r="HV38" s="2" t="s">
        <v>27</v>
      </c>
      <c r="HW38" s="2" t="s">
        <v>32</v>
      </c>
      <c r="IR38" s="19">
        <f>K38*0.798393662</f>
        <v>0</v>
      </c>
      <c r="IS38" s="19">
        <f>K38*(1-0.798393662)</f>
        <v>0</v>
      </c>
    </row>
    <row r="39" spans="1:253" x14ac:dyDescent="0.25">
      <c r="A39" s="16">
        <v>41</v>
      </c>
      <c r="B39" s="2" t="s">
        <v>89</v>
      </c>
      <c r="C39" s="2" t="s">
        <v>62</v>
      </c>
      <c r="D39" s="83" t="s">
        <v>63</v>
      </c>
      <c r="E39" s="84"/>
      <c r="F39" s="84"/>
      <c r="G39" s="84"/>
      <c r="H39" s="84"/>
      <c r="I39" s="2" t="s">
        <v>31</v>
      </c>
      <c r="J39" s="17">
        <v>40</v>
      </c>
      <c r="K39" s="17"/>
      <c r="L39" s="18">
        <f t="shared" si="1"/>
        <v>0</v>
      </c>
      <c r="HV39" s="2" t="s">
        <v>27</v>
      </c>
      <c r="HW39" s="2" t="s">
        <v>32</v>
      </c>
      <c r="IR39" s="19">
        <f>K39*0.355217391</f>
        <v>0</v>
      </c>
      <c r="IS39" s="19">
        <f>K39*(1-0.355217391)</f>
        <v>0</v>
      </c>
    </row>
    <row r="40" spans="1:253" x14ac:dyDescent="0.25">
      <c r="A40" s="16">
        <v>42</v>
      </c>
      <c r="B40" s="2" t="s">
        <v>89</v>
      </c>
      <c r="C40" s="2" t="s">
        <v>64</v>
      </c>
      <c r="D40" s="83" t="s">
        <v>65</v>
      </c>
      <c r="E40" s="84"/>
      <c r="F40" s="84"/>
      <c r="G40" s="84"/>
      <c r="H40" s="84"/>
      <c r="I40" s="2" t="s">
        <v>35</v>
      </c>
      <c r="J40" s="17">
        <v>15</v>
      </c>
      <c r="K40" s="17"/>
      <c r="L40" s="18">
        <f t="shared" si="1"/>
        <v>0</v>
      </c>
      <c r="HV40" s="2" t="s">
        <v>27</v>
      </c>
      <c r="HW40" s="2" t="s">
        <v>32</v>
      </c>
      <c r="IR40" s="19">
        <f>K40*0.232544987</f>
        <v>0</v>
      </c>
      <c r="IS40" s="19">
        <f>K40*(1-0.232544987)</f>
        <v>0</v>
      </c>
    </row>
    <row r="41" spans="1:253" x14ac:dyDescent="0.25">
      <c r="A41" s="16">
        <v>43</v>
      </c>
      <c r="B41" s="2" t="s">
        <v>89</v>
      </c>
      <c r="C41" s="2" t="s">
        <v>68</v>
      </c>
      <c r="D41" s="83" t="s">
        <v>69</v>
      </c>
      <c r="E41" s="84"/>
      <c r="F41" s="84"/>
      <c r="G41" s="84"/>
      <c r="H41" s="84"/>
      <c r="I41" s="2" t="s">
        <v>31</v>
      </c>
      <c r="J41" s="17">
        <v>3</v>
      </c>
      <c r="K41" s="17"/>
      <c r="L41" s="18">
        <f t="shared" si="1"/>
        <v>0</v>
      </c>
      <c r="HV41" s="2" t="s">
        <v>27</v>
      </c>
      <c r="HW41" s="2" t="s">
        <v>32</v>
      </c>
      <c r="IR41" s="19">
        <f>K41*0</f>
        <v>0</v>
      </c>
      <c r="IS41" s="19">
        <f>K41*(1-0)</f>
        <v>0</v>
      </c>
    </row>
    <row r="42" spans="1:253" x14ac:dyDescent="0.25">
      <c r="A42" s="16">
        <v>44</v>
      </c>
      <c r="B42" s="2" t="s">
        <v>89</v>
      </c>
      <c r="C42" s="2" t="s">
        <v>70</v>
      </c>
      <c r="D42" s="83" t="s">
        <v>71</v>
      </c>
      <c r="E42" s="84"/>
      <c r="F42" s="84"/>
      <c r="G42" s="84"/>
      <c r="H42" s="84"/>
      <c r="I42" s="2" t="s">
        <v>31</v>
      </c>
      <c r="J42" s="17">
        <v>56</v>
      </c>
      <c r="K42" s="17"/>
      <c r="L42" s="18">
        <f t="shared" si="1"/>
        <v>0</v>
      </c>
      <c r="HV42" s="2" t="s">
        <v>27</v>
      </c>
      <c r="HW42" s="2" t="s">
        <v>32</v>
      </c>
      <c r="IR42" s="19">
        <f>K42*0.372245658</f>
        <v>0</v>
      </c>
      <c r="IS42" s="19">
        <f>K42*(1-0.372245658)</f>
        <v>0</v>
      </c>
    </row>
    <row r="43" spans="1:253" x14ac:dyDescent="0.25">
      <c r="A43" s="16">
        <v>45</v>
      </c>
      <c r="B43" s="2" t="s">
        <v>89</v>
      </c>
      <c r="C43" s="2" t="s">
        <v>72</v>
      </c>
      <c r="D43" s="83" t="s">
        <v>73</v>
      </c>
      <c r="E43" s="84"/>
      <c r="F43" s="84"/>
      <c r="G43" s="84"/>
      <c r="H43" s="84"/>
      <c r="I43" s="2" t="s">
        <v>31</v>
      </c>
      <c r="J43" s="17">
        <v>3</v>
      </c>
      <c r="K43" s="17"/>
      <c r="L43" s="18">
        <f t="shared" si="1"/>
        <v>0</v>
      </c>
      <c r="HV43" s="2" t="s">
        <v>27</v>
      </c>
      <c r="HW43" s="2" t="s">
        <v>32</v>
      </c>
      <c r="IR43" s="19">
        <f>K43*0.288317757</f>
        <v>0</v>
      </c>
      <c r="IS43" s="19">
        <f>K43*(1-0.288317757)</f>
        <v>0</v>
      </c>
    </row>
    <row r="44" spans="1:253" x14ac:dyDescent="0.25">
      <c r="A44" s="16">
        <v>46</v>
      </c>
      <c r="B44" s="2" t="s">
        <v>89</v>
      </c>
      <c r="C44" s="2" t="s">
        <v>74</v>
      </c>
      <c r="D44" s="83" t="s">
        <v>75</v>
      </c>
      <c r="E44" s="84"/>
      <c r="F44" s="84"/>
      <c r="G44" s="84"/>
      <c r="H44" s="84"/>
      <c r="I44" s="2" t="s">
        <v>31</v>
      </c>
      <c r="J44" s="17">
        <v>3</v>
      </c>
      <c r="K44" s="17"/>
      <c r="L44" s="18">
        <f t="shared" si="1"/>
        <v>0</v>
      </c>
      <c r="HV44" s="2" t="s">
        <v>27</v>
      </c>
      <c r="HW44" s="2" t="s">
        <v>32</v>
      </c>
      <c r="IR44" s="19">
        <f>K44*0.262895257</f>
        <v>0</v>
      </c>
      <c r="IS44" s="19">
        <f>K44*(1-0.262895257)</f>
        <v>0</v>
      </c>
    </row>
    <row r="45" spans="1:253" x14ac:dyDescent="0.25">
      <c r="A45" s="16">
        <v>47</v>
      </c>
      <c r="B45" s="2" t="s">
        <v>89</v>
      </c>
      <c r="C45" s="2" t="s">
        <v>76</v>
      </c>
      <c r="D45" s="83" t="s">
        <v>77</v>
      </c>
      <c r="E45" s="84"/>
      <c r="F45" s="84"/>
      <c r="G45" s="84"/>
      <c r="H45" s="84"/>
      <c r="I45" s="2" t="s">
        <v>35</v>
      </c>
      <c r="J45" s="17">
        <v>6</v>
      </c>
      <c r="K45" s="17"/>
      <c r="L45" s="18">
        <f t="shared" si="1"/>
        <v>0</v>
      </c>
      <c r="HV45" s="2" t="s">
        <v>27</v>
      </c>
      <c r="HW45" s="2" t="s">
        <v>32</v>
      </c>
      <c r="IR45" s="19">
        <f>K45*0</f>
        <v>0</v>
      </c>
      <c r="IS45" s="19">
        <f>K45*(1-0)</f>
        <v>0</v>
      </c>
    </row>
    <row r="46" spans="1:253" x14ac:dyDescent="0.25">
      <c r="A46" s="16">
        <v>48</v>
      </c>
      <c r="B46" s="2" t="s">
        <v>89</v>
      </c>
      <c r="C46" s="2" t="s">
        <v>78</v>
      </c>
      <c r="D46" s="83" t="s">
        <v>79</v>
      </c>
      <c r="E46" s="84"/>
      <c r="F46" s="84"/>
      <c r="G46" s="84"/>
      <c r="H46" s="84"/>
      <c r="I46" s="2" t="s">
        <v>35</v>
      </c>
      <c r="J46" s="17">
        <v>6</v>
      </c>
      <c r="K46" s="17"/>
      <c r="L46" s="18">
        <f t="shared" si="1"/>
        <v>0</v>
      </c>
      <c r="HV46" s="2" t="s">
        <v>27</v>
      </c>
      <c r="HW46" s="2" t="s">
        <v>32</v>
      </c>
      <c r="IR46" s="19">
        <f>K46*0</f>
        <v>0</v>
      </c>
      <c r="IS46" s="19">
        <f>K46*(1-0)</f>
        <v>0</v>
      </c>
    </row>
    <row r="47" spans="1:253" x14ac:dyDescent="0.25">
      <c r="A47" s="16">
        <v>49</v>
      </c>
      <c r="B47" s="2" t="s">
        <v>89</v>
      </c>
      <c r="C47" s="2" t="s">
        <v>80</v>
      </c>
      <c r="D47" s="83" t="s">
        <v>81</v>
      </c>
      <c r="E47" s="84"/>
      <c r="F47" s="84"/>
      <c r="G47" s="84"/>
      <c r="H47" s="84"/>
      <c r="I47" s="2" t="s">
        <v>35</v>
      </c>
      <c r="J47" s="17">
        <v>4</v>
      </c>
      <c r="K47" s="17"/>
      <c r="L47" s="18">
        <f t="shared" si="1"/>
        <v>0</v>
      </c>
      <c r="HV47" s="2" t="s">
        <v>27</v>
      </c>
      <c r="HW47" s="2" t="s">
        <v>32</v>
      </c>
      <c r="IR47" s="19">
        <f>K47*0.826644245</f>
        <v>0</v>
      </c>
      <c r="IS47" s="19">
        <f>K47*(1-0.826644245)</f>
        <v>0</v>
      </c>
    </row>
    <row r="48" spans="1:253" x14ac:dyDescent="0.25">
      <c r="A48" s="16">
        <v>50</v>
      </c>
      <c r="B48" s="2" t="s">
        <v>89</v>
      </c>
      <c r="C48" s="2" t="s">
        <v>82</v>
      </c>
      <c r="D48" s="83" t="s">
        <v>83</v>
      </c>
      <c r="E48" s="84"/>
      <c r="F48" s="84"/>
      <c r="G48" s="84"/>
      <c r="H48" s="84"/>
      <c r="I48" s="2" t="s">
        <v>35</v>
      </c>
      <c r="J48" s="17">
        <v>4</v>
      </c>
      <c r="K48" s="17"/>
      <c r="L48" s="18">
        <f t="shared" si="1"/>
        <v>0</v>
      </c>
      <c r="HV48" s="2" t="s">
        <v>27</v>
      </c>
      <c r="HW48" s="2" t="s">
        <v>32</v>
      </c>
      <c r="IR48" s="19">
        <f>K48*0.584438503</f>
        <v>0</v>
      </c>
      <c r="IS48" s="19">
        <f>K48*(1-0.584438503)</f>
        <v>0</v>
      </c>
    </row>
    <row r="49" spans="1:253" x14ac:dyDescent="0.25">
      <c r="A49" s="16">
        <v>51</v>
      </c>
      <c r="B49" s="2" t="s">
        <v>89</v>
      </c>
      <c r="C49" s="2" t="s">
        <v>84</v>
      </c>
      <c r="D49" s="83" t="s">
        <v>85</v>
      </c>
      <c r="E49" s="84"/>
      <c r="F49" s="84"/>
      <c r="G49" s="84"/>
      <c r="H49" s="84"/>
      <c r="I49" s="2" t="s">
        <v>31</v>
      </c>
      <c r="J49" s="17">
        <v>56</v>
      </c>
      <c r="K49" s="17"/>
      <c r="L49" s="18">
        <f t="shared" si="1"/>
        <v>0</v>
      </c>
      <c r="HV49" s="2" t="s">
        <v>27</v>
      </c>
      <c r="HW49" s="2" t="s">
        <v>32</v>
      </c>
      <c r="IR49" s="19">
        <f>K49*0.028571429</f>
        <v>0</v>
      </c>
      <c r="IS49" s="19">
        <f>K49*(1-0.028571429)</f>
        <v>0</v>
      </c>
    </row>
    <row r="50" spans="1:253" x14ac:dyDescent="0.25">
      <c r="A50" s="16">
        <v>52</v>
      </c>
      <c r="B50" s="2" t="s">
        <v>89</v>
      </c>
      <c r="C50" s="2" t="s">
        <v>86</v>
      </c>
      <c r="D50" s="83" t="s">
        <v>87</v>
      </c>
      <c r="E50" s="84"/>
      <c r="F50" s="84"/>
      <c r="G50" s="84"/>
      <c r="H50" s="84"/>
      <c r="I50" s="2" t="s">
        <v>88</v>
      </c>
      <c r="J50" s="17">
        <v>0.5</v>
      </c>
      <c r="K50" s="17"/>
      <c r="L50" s="18">
        <f t="shared" si="1"/>
        <v>0</v>
      </c>
      <c r="HV50" s="2" t="s">
        <v>27</v>
      </c>
      <c r="HW50" s="2" t="s">
        <v>32</v>
      </c>
      <c r="IR50" s="19">
        <f>K50*0</f>
        <v>0</v>
      </c>
      <c r="IS50" s="19">
        <f>K50*(1-0)</f>
        <v>0</v>
      </c>
    </row>
    <row r="51" spans="1:253" x14ac:dyDescent="0.25">
      <c r="A51" s="16">
        <v>53</v>
      </c>
      <c r="B51" s="2" t="s">
        <v>89</v>
      </c>
      <c r="C51" s="2" t="s">
        <v>43</v>
      </c>
      <c r="D51" s="83" t="s">
        <v>44</v>
      </c>
      <c r="E51" s="84"/>
      <c r="F51" s="84"/>
      <c r="G51" s="84"/>
      <c r="H51" s="84"/>
      <c r="I51" s="2" t="s">
        <v>45</v>
      </c>
      <c r="J51" s="17"/>
      <c r="K51" s="17"/>
      <c r="L51" s="18">
        <f t="shared" si="1"/>
        <v>0</v>
      </c>
      <c r="HV51" s="2" t="s">
        <v>27</v>
      </c>
      <c r="HW51" s="2" t="s">
        <v>32</v>
      </c>
      <c r="IR51" s="19">
        <f>K51*0</f>
        <v>0</v>
      </c>
      <c r="IS51" s="19">
        <f>K51*(1-0)</f>
        <v>0</v>
      </c>
    </row>
    <row r="52" spans="1:253" x14ac:dyDescent="0.25">
      <c r="A52" s="12" t="s">
        <v>23</v>
      </c>
      <c r="B52" s="13" t="s">
        <v>91</v>
      </c>
      <c r="C52" s="13" t="s">
        <v>25</v>
      </c>
      <c r="D52" s="135" t="s">
        <v>92</v>
      </c>
      <c r="E52" s="136"/>
      <c r="F52" s="136"/>
      <c r="G52" s="136"/>
      <c r="H52" s="136"/>
      <c r="I52" s="13" t="s">
        <v>23</v>
      </c>
      <c r="J52" s="14" t="s">
        <v>23</v>
      </c>
      <c r="K52" s="14"/>
      <c r="L52" s="15">
        <f>L53+L57</f>
        <v>0</v>
      </c>
    </row>
    <row r="53" spans="1:253" x14ac:dyDescent="0.25">
      <c r="A53" s="12" t="s">
        <v>23</v>
      </c>
      <c r="B53" s="13" t="s">
        <v>91</v>
      </c>
      <c r="C53" s="13" t="s">
        <v>52</v>
      </c>
      <c r="D53" s="135" t="s">
        <v>53</v>
      </c>
      <c r="E53" s="136"/>
      <c r="F53" s="136"/>
      <c r="G53" s="136"/>
      <c r="H53" s="136"/>
      <c r="I53" s="13" t="s">
        <v>23</v>
      </c>
      <c r="J53" s="14" t="s">
        <v>23</v>
      </c>
      <c r="K53" s="14"/>
      <c r="L53" s="15">
        <f>SUM(L54:L56)</f>
        <v>0</v>
      </c>
    </row>
    <row r="54" spans="1:253" x14ac:dyDescent="0.25">
      <c r="A54" s="16">
        <v>54</v>
      </c>
      <c r="B54" s="2" t="s">
        <v>91</v>
      </c>
      <c r="C54" s="2" t="s">
        <v>93</v>
      </c>
      <c r="D54" s="83" t="s">
        <v>94</v>
      </c>
      <c r="E54" s="84"/>
      <c r="F54" s="84"/>
      <c r="G54" s="84"/>
      <c r="H54" s="84"/>
      <c r="I54" s="2" t="s">
        <v>35</v>
      </c>
      <c r="J54" s="17">
        <v>3</v>
      </c>
      <c r="K54" s="17"/>
      <c r="L54" s="18">
        <f>ROUND(IR54*J54+IS54*J54,2)</f>
        <v>0</v>
      </c>
      <c r="HV54" s="2" t="s">
        <v>52</v>
      </c>
      <c r="HW54" s="2" t="s">
        <v>32</v>
      </c>
      <c r="IR54" s="19">
        <f>K54*1</f>
        <v>0</v>
      </c>
      <c r="IS54" s="19">
        <f>K54*(1-1)</f>
        <v>0</v>
      </c>
    </row>
    <row r="55" spans="1:253" x14ac:dyDescent="0.25">
      <c r="A55" s="16">
        <v>55</v>
      </c>
      <c r="B55" s="2" t="s">
        <v>91</v>
      </c>
      <c r="C55" s="2" t="s">
        <v>54</v>
      </c>
      <c r="D55" s="83" t="s">
        <v>55</v>
      </c>
      <c r="E55" s="84"/>
      <c r="F55" s="84"/>
      <c r="G55" s="84"/>
      <c r="H55" s="84"/>
      <c r="I55" s="2" t="s">
        <v>35</v>
      </c>
      <c r="J55" s="17">
        <v>9</v>
      </c>
      <c r="K55" s="17"/>
      <c r="L55" s="18">
        <f>ROUND(IR55*J55+IS55*J55,2)</f>
        <v>0</v>
      </c>
      <c r="HV55" s="2" t="s">
        <v>52</v>
      </c>
      <c r="HW55" s="2" t="s">
        <v>32</v>
      </c>
      <c r="IR55" s="19">
        <f>K55*1</f>
        <v>0</v>
      </c>
      <c r="IS55" s="19">
        <f>K55*(1-1)</f>
        <v>0</v>
      </c>
    </row>
    <row r="56" spans="1:253" x14ac:dyDescent="0.25">
      <c r="A56" s="16">
        <v>56</v>
      </c>
      <c r="B56" s="2" t="s">
        <v>91</v>
      </c>
      <c r="C56" s="2" t="s">
        <v>56</v>
      </c>
      <c r="D56" s="83" t="s">
        <v>57</v>
      </c>
      <c r="E56" s="84"/>
      <c r="F56" s="84"/>
      <c r="G56" s="84"/>
      <c r="H56" s="84"/>
      <c r="I56" s="2" t="s">
        <v>45</v>
      </c>
      <c r="J56" s="17"/>
      <c r="K56" s="17"/>
      <c r="L56" s="18">
        <f>ROUND(IR56*J56+IS56*J56,2)</f>
        <v>0</v>
      </c>
      <c r="HV56" s="2" t="s">
        <v>52</v>
      </c>
      <c r="HW56" s="2" t="s">
        <v>32</v>
      </c>
      <c r="IR56" s="19">
        <f>K56*0</f>
        <v>0</v>
      </c>
      <c r="IS56" s="19">
        <f>K56*(1-0)</f>
        <v>0</v>
      </c>
    </row>
    <row r="57" spans="1:253" x14ac:dyDescent="0.25">
      <c r="A57" s="12" t="s">
        <v>23</v>
      </c>
      <c r="B57" s="13" t="s">
        <v>91</v>
      </c>
      <c r="C57" s="13" t="s">
        <v>27</v>
      </c>
      <c r="D57" s="135" t="s">
        <v>28</v>
      </c>
      <c r="E57" s="136"/>
      <c r="F57" s="136"/>
      <c r="G57" s="136"/>
      <c r="H57" s="136"/>
      <c r="I57" s="13" t="s">
        <v>23</v>
      </c>
      <c r="J57" s="14" t="s">
        <v>23</v>
      </c>
      <c r="K57" s="14"/>
      <c r="L57" s="15">
        <f>SUM(L58:L74)</f>
        <v>0</v>
      </c>
    </row>
    <row r="58" spans="1:253" x14ac:dyDescent="0.25">
      <c r="A58" s="16">
        <v>57</v>
      </c>
      <c r="B58" s="2" t="s">
        <v>91</v>
      </c>
      <c r="C58" s="2" t="s">
        <v>58</v>
      </c>
      <c r="D58" s="83" t="s">
        <v>59</v>
      </c>
      <c r="E58" s="84"/>
      <c r="F58" s="84"/>
      <c r="G58" s="84"/>
      <c r="H58" s="84"/>
      <c r="I58" s="2" t="s">
        <v>31</v>
      </c>
      <c r="J58" s="17">
        <v>18</v>
      </c>
      <c r="K58" s="17"/>
      <c r="L58" s="18">
        <f t="shared" ref="L58:L74" si="2">ROUND(IR58*J58+IS58*J58,2)</f>
        <v>0</v>
      </c>
      <c r="HV58" s="2" t="s">
        <v>27</v>
      </c>
      <c r="HW58" s="2" t="s">
        <v>32</v>
      </c>
      <c r="IR58" s="19">
        <f>K58*0</f>
        <v>0</v>
      </c>
      <c r="IS58" s="19">
        <f>K58*(1-0)</f>
        <v>0</v>
      </c>
    </row>
    <row r="59" spans="1:253" x14ac:dyDescent="0.25">
      <c r="A59" s="16">
        <v>58</v>
      </c>
      <c r="B59" s="2" t="s">
        <v>91</v>
      </c>
      <c r="C59" s="2" t="s">
        <v>60</v>
      </c>
      <c r="D59" s="83" t="s">
        <v>61</v>
      </c>
      <c r="E59" s="84"/>
      <c r="F59" s="84"/>
      <c r="G59" s="84"/>
      <c r="H59" s="84"/>
      <c r="I59" s="2" t="s">
        <v>35</v>
      </c>
      <c r="J59" s="17">
        <v>4</v>
      </c>
      <c r="K59" s="17"/>
      <c r="L59" s="18">
        <f t="shared" si="2"/>
        <v>0</v>
      </c>
      <c r="HV59" s="2" t="s">
        <v>27</v>
      </c>
      <c r="HW59" s="2" t="s">
        <v>32</v>
      </c>
      <c r="IR59" s="19">
        <f>K59*0.798393662</f>
        <v>0</v>
      </c>
      <c r="IS59" s="19">
        <f>K59*(1-0.798393662)</f>
        <v>0</v>
      </c>
    </row>
    <row r="60" spans="1:253" x14ac:dyDescent="0.25">
      <c r="A60" s="16">
        <v>59</v>
      </c>
      <c r="B60" s="2" t="s">
        <v>91</v>
      </c>
      <c r="C60" s="2" t="s">
        <v>62</v>
      </c>
      <c r="D60" s="83" t="s">
        <v>63</v>
      </c>
      <c r="E60" s="84"/>
      <c r="F60" s="84"/>
      <c r="G60" s="84"/>
      <c r="H60" s="84"/>
      <c r="I60" s="2" t="s">
        <v>31</v>
      </c>
      <c r="J60" s="17">
        <v>40</v>
      </c>
      <c r="K60" s="17"/>
      <c r="L60" s="18">
        <f t="shared" si="2"/>
        <v>0</v>
      </c>
      <c r="HV60" s="2" t="s">
        <v>27</v>
      </c>
      <c r="HW60" s="2" t="s">
        <v>32</v>
      </c>
      <c r="IR60" s="19">
        <f>K60*0.355217391</f>
        <v>0</v>
      </c>
      <c r="IS60" s="19">
        <f>K60*(1-0.355217391)</f>
        <v>0</v>
      </c>
    </row>
    <row r="61" spans="1:253" x14ac:dyDescent="0.25">
      <c r="A61" s="16">
        <v>60</v>
      </c>
      <c r="B61" s="2" t="s">
        <v>91</v>
      </c>
      <c r="C61" s="2" t="s">
        <v>64</v>
      </c>
      <c r="D61" s="83" t="s">
        <v>65</v>
      </c>
      <c r="E61" s="84"/>
      <c r="F61" s="84"/>
      <c r="G61" s="84"/>
      <c r="H61" s="84"/>
      <c r="I61" s="2" t="s">
        <v>35</v>
      </c>
      <c r="J61" s="17">
        <v>15</v>
      </c>
      <c r="K61" s="17"/>
      <c r="L61" s="18">
        <f t="shared" si="2"/>
        <v>0</v>
      </c>
      <c r="HV61" s="2" t="s">
        <v>27</v>
      </c>
      <c r="HW61" s="2" t="s">
        <v>32</v>
      </c>
      <c r="IR61" s="19">
        <f>K61*0.232544987</f>
        <v>0</v>
      </c>
      <c r="IS61" s="19">
        <f>K61*(1-0.232544987)</f>
        <v>0</v>
      </c>
    </row>
    <row r="62" spans="1:253" x14ac:dyDescent="0.25">
      <c r="A62" s="16">
        <v>61</v>
      </c>
      <c r="B62" s="2" t="s">
        <v>91</v>
      </c>
      <c r="C62" s="2" t="s">
        <v>68</v>
      </c>
      <c r="D62" s="83" t="s">
        <v>69</v>
      </c>
      <c r="E62" s="84"/>
      <c r="F62" s="84"/>
      <c r="G62" s="84"/>
      <c r="H62" s="84"/>
      <c r="I62" s="2" t="s">
        <v>31</v>
      </c>
      <c r="J62" s="17">
        <v>3</v>
      </c>
      <c r="K62" s="17"/>
      <c r="L62" s="18">
        <f t="shared" si="2"/>
        <v>0</v>
      </c>
      <c r="HV62" s="2" t="s">
        <v>27</v>
      </c>
      <c r="HW62" s="2" t="s">
        <v>32</v>
      </c>
      <c r="IR62" s="19">
        <f>K62*0</f>
        <v>0</v>
      </c>
      <c r="IS62" s="19">
        <f>K62*(1-0)</f>
        <v>0</v>
      </c>
    </row>
    <row r="63" spans="1:253" x14ac:dyDescent="0.25">
      <c r="A63" s="16">
        <v>62</v>
      </c>
      <c r="B63" s="2" t="s">
        <v>91</v>
      </c>
      <c r="C63" s="2" t="s">
        <v>95</v>
      </c>
      <c r="D63" s="83" t="s">
        <v>96</v>
      </c>
      <c r="E63" s="84"/>
      <c r="F63" s="84"/>
      <c r="G63" s="84"/>
      <c r="H63" s="84"/>
      <c r="I63" s="2" t="s">
        <v>31</v>
      </c>
      <c r="J63" s="17">
        <v>11</v>
      </c>
      <c r="K63" s="17"/>
      <c r="L63" s="18">
        <f t="shared" si="2"/>
        <v>0</v>
      </c>
      <c r="HV63" s="2" t="s">
        <v>27</v>
      </c>
      <c r="HW63" s="2" t="s">
        <v>32</v>
      </c>
      <c r="IR63" s="19">
        <f>K63*0.29672973</f>
        <v>0</v>
      </c>
      <c r="IS63" s="19">
        <f>K63*(1-0.29672973)</f>
        <v>0</v>
      </c>
    </row>
    <row r="64" spans="1:253" x14ac:dyDescent="0.25">
      <c r="A64" s="16">
        <v>63</v>
      </c>
      <c r="B64" s="2" t="s">
        <v>91</v>
      </c>
      <c r="C64" s="2" t="s">
        <v>70</v>
      </c>
      <c r="D64" s="83" t="s">
        <v>71</v>
      </c>
      <c r="E64" s="84"/>
      <c r="F64" s="84"/>
      <c r="G64" s="84"/>
      <c r="H64" s="84"/>
      <c r="I64" s="2" t="s">
        <v>31</v>
      </c>
      <c r="J64" s="17">
        <v>47</v>
      </c>
      <c r="K64" s="17"/>
      <c r="L64" s="18">
        <f t="shared" si="2"/>
        <v>0</v>
      </c>
      <c r="HV64" s="2" t="s">
        <v>27</v>
      </c>
      <c r="HW64" s="2" t="s">
        <v>32</v>
      </c>
      <c r="IR64" s="19">
        <f>K64*0.372245658</f>
        <v>0</v>
      </c>
      <c r="IS64" s="19">
        <f>K64*(1-0.372245658)</f>
        <v>0</v>
      </c>
    </row>
    <row r="65" spans="1:253" x14ac:dyDescent="0.25">
      <c r="A65" s="16">
        <v>64</v>
      </c>
      <c r="B65" s="2" t="s">
        <v>91</v>
      </c>
      <c r="C65" s="2" t="s">
        <v>72</v>
      </c>
      <c r="D65" s="83" t="s">
        <v>73</v>
      </c>
      <c r="E65" s="84"/>
      <c r="F65" s="84"/>
      <c r="G65" s="84"/>
      <c r="H65" s="84"/>
      <c r="I65" s="2" t="s">
        <v>31</v>
      </c>
      <c r="J65" s="17">
        <v>1.5</v>
      </c>
      <c r="K65" s="17"/>
      <c r="L65" s="18">
        <f t="shared" si="2"/>
        <v>0</v>
      </c>
      <c r="HV65" s="2" t="s">
        <v>27</v>
      </c>
      <c r="HW65" s="2" t="s">
        <v>32</v>
      </c>
      <c r="IR65" s="19">
        <f>K65*0.288317757</f>
        <v>0</v>
      </c>
      <c r="IS65" s="19">
        <f>K65*(1-0.288317757)</f>
        <v>0</v>
      </c>
    </row>
    <row r="66" spans="1:253" x14ac:dyDescent="0.25">
      <c r="A66" s="16">
        <v>65</v>
      </c>
      <c r="B66" s="2" t="s">
        <v>91</v>
      </c>
      <c r="C66" s="2" t="s">
        <v>74</v>
      </c>
      <c r="D66" s="83" t="s">
        <v>75</v>
      </c>
      <c r="E66" s="84"/>
      <c r="F66" s="84"/>
      <c r="G66" s="84"/>
      <c r="H66" s="84"/>
      <c r="I66" s="2" t="s">
        <v>31</v>
      </c>
      <c r="J66" s="17">
        <v>3</v>
      </c>
      <c r="K66" s="17"/>
      <c r="L66" s="18">
        <f t="shared" si="2"/>
        <v>0</v>
      </c>
      <c r="HV66" s="2" t="s">
        <v>27</v>
      </c>
      <c r="HW66" s="2" t="s">
        <v>32</v>
      </c>
      <c r="IR66" s="19">
        <f>K66*0.262895257</f>
        <v>0</v>
      </c>
      <c r="IS66" s="19">
        <f>K66*(1-0.262895257)</f>
        <v>0</v>
      </c>
    </row>
    <row r="67" spans="1:253" x14ac:dyDescent="0.25">
      <c r="A67" s="16">
        <v>66</v>
      </c>
      <c r="B67" s="2" t="s">
        <v>91</v>
      </c>
      <c r="C67" s="2" t="s">
        <v>76</v>
      </c>
      <c r="D67" s="83" t="s">
        <v>77</v>
      </c>
      <c r="E67" s="84"/>
      <c r="F67" s="84"/>
      <c r="G67" s="84"/>
      <c r="H67" s="84"/>
      <c r="I67" s="2" t="s">
        <v>35</v>
      </c>
      <c r="J67" s="17">
        <v>3</v>
      </c>
      <c r="K67" s="17"/>
      <c r="L67" s="18">
        <f t="shared" si="2"/>
        <v>0</v>
      </c>
      <c r="HV67" s="2" t="s">
        <v>27</v>
      </c>
      <c r="HW67" s="2" t="s">
        <v>32</v>
      </c>
      <c r="IR67" s="19">
        <f>K67*0</f>
        <v>0</v>
      </c>
      <c r="IS67" s="19">
        <f>K67*(1-0)</f>
        <v>0</v>
      </c>
    </row>
    <row r="68" spans="1:253" x14ac:dyDescent="0.25">
      <c r="A68" s="16">
        <v>67</v>
      </c>
      <c r="B68" s="2" t="s">
        <v>91</v>
      </c>
      <c r="C68" s="2" t="s">
        <v>78</v>
      </c>
      <c r="D68" s="83" t="s">
        <v>79</v>
      </c>
      <c r="E68" s="84"/>
      <c r="F68" s="84"/>
      <c r="G68" s="84"/>
      <c r="H68" s="84"/>
      <c r="I68" s="2" t="s">
        <v>35</v>
      </c>
      <c r="J68" s="17">
        <v>6</v>
      </c>
      <c r="K68" s="17"/>
      <c r="L68" s="18">
        <f t="shared" si="2"/>
        <v>0</v>
      </c>
      <c r="HV68" s="2" t="s">
        <v>27</v>
      </c>
      <c r="HW68" s="2" t="s">
        <v>32</v>
      </c>
      <c r="IR68" s="19">
        <f>K68*0</f>
        <v>0</v>
      </c>
      <c r="IS68" s="19">
        <f>K68*(1-0)</f>
        <v>0</v>
      </c>
    </row>
    <row r="69" spans="1:253" x14ac:dyDescent="0.25">
      <c r="A69" s="16">
        <v>68</v>
      </c>
      <c r="B69" s="2" t="s">
        <v>91</v>
      </c>
      <c r="C69" s="2" t="s">
        <v>97</v>
      </c>
      <c r="D69" s="83" t="s">
        <v>98</v>
      </c>
      <c r="E69" s="84"/>
      <c r="F69" s="84"/>
      <c r="G69" s="84"/>
      <c r="H69" s="84"/>
      <c r="I69" s="2" t="s">
        <v>35</v>
      </c>
      <c r="J69" s="17">
        <v>0</v>
      </c>
      <c r="K69" s="17"/>
      <c r="L69" s="18">
        <f t="shared" si="2"/>
        <v>0</v>
      </c>
      <c r="HV69" s="2" t="s">
        <v>27</v>
      </c>
      <c r="HW69" s="2" t="s">
        <v>32</v>
      </c>
      <c r="IR69" s="19">
        <f>K69*0</f>
        <v>0</v>
      </c>
      <c r="IS69" s="19">
        <f>K69*(1-0)</f>
        <v>0</v>
      </c>
    </row>
    <row r="70" spans="1:253" x14ac:dyDescent="0.25">
      <c r="A70" s="16">
        <v>69</v>
      </c>
      <c r="B70" s="2" t="s">
        <v>91</v>
      </c>
      <c r="C70" s="2" t="s">
        <v>80</v>
      </c>
      <c r="D70" s="83" t="s">
        <v>81</v>
      </c>
      <c r="E70" s="84"/>
      <c r="F70" s="84"/>
      <c r="G70" s="84"/>
      <c r="H70" s="84"/>
      <c r="I70" s="2" t="s">
        <v>35</v>
      </c>
      <c r="J70" s="17">
        <v>4</v>
      </c>
      <c r="K70" s="17"/>
      <c r="L70" s="18">
        <f t="shared" si="2"/>
        <v>0</v>
      </c>
      <c r="HV70" s="2" t="s">
        <v>27</v>
      </c>
      <c r="HW70" s="2" t="s">
        <v>32</v>
      </c>
      <c r="IR70" s="19">
        <f>K70*0.826644245</f>
        <v>0</v>
      </c>
      <c r="IS70" s="19">
        <f>K70*(1-0.826644245)</f>
        <v>0</v>
      </c>
    </row>
    <row r="71" spans="1:253" x14ac:dyDescent="0.25">
      <c r="A71" s="16">
        <v>70</v>
      </c>
      <c r="B71" s="2" t="s">
        <v>91</v>
      </c>
      <c r="C71" s="2" t="s">
        <v>82</v>
      </c>
      <c r="D71" s="83" t="s">
        <v>83</v>
      </c>
      <c r="E71" s="84"/>
      <c r="F71" s="84"/>
      <c r="G71" s="84"/>
      <c r="H71" s="84"/>
      <c r="I71" s="2" t="s">
        <v>35</v>
      </c>
      <c r="J71" s="17">
        <v>4</v>
      </c>
      <c r="K71" s="17"/>
      <c r="L71" s="18">
        <f t="shared" si="2"/>
        <v>0</v>
      </c>
      <c r="HV71" s="2" t="s">
        <v>27</v>
      </c>
      <c r="HW71" s="2" t="s">
        <v>32</v>
      </c>
      <c r="IR71" s="19">
        <f>K71*0.584438503</f>
        <v>0</v>
      </c>
      <c r="IS71" s="19">
        <f>K71*(1-0.584438503)</f>
        <v>0</v>
      </c>
    </row>
    <row r="72" spans="1:253" x14ac:dyDescent="0.25">
      <c r="A72" s="16">
        <v>71</v>
      </c>
      <c r="B72" s="2" t="s">
        <v>91</v>
      </c>
      <c r="C72" s="2" t="s">
        <v>84</v>
      </c>
      <c r="D72" s="83" t="s">
        <v>85</v>
      </c>
      <c r="E72" s="84"/>
      <c r="F72" s="84"/>
      <c r="G72" s="84"/>
      <c r="H72" s="84"/>
      <c r="I72" s="2" t="s">
        <v>31</v>
      </c>
      <c r="J72" s="17">
        <v>58</v>
      </c>
      <c r="K72" s="17"/>
      <c r="L72" s="18">
        <f t="shared" si="2"/>
        <v>0</v>
      </c>
      <c r="HV72" s="2" t="s">
        <v>27</v>
      </c>
      <c r="HW72" s="2" t="s">
        <v>32</v>
      </c>
      <c r="IR72" s="19">
        <f>K72*0.028571429</f>
        <v>0</v>
      </c>
      <c r="IS72" s="19">
        <f>K72*(1-0.028571429)</f>
        <v>0</v>
      </c>
    </row>
    <row r="73" spans="1:253" x14ac:dyDescent="0.25">
      <c r="A73" s="16">
        <v>72</v>
      </c>
      <c r="B73" s="2" t="s">
        <v>91</v>
      </c>
      <c r="C73" s="2" t="s">
        <v>86</v>
      </c>
      <c r="D73" s="83" t="s">
        <v>87</v>
      </c>
      <c r="E73" s="84"/>
      <c r="F73" s="84"/>
      <c r="G73" s="84"/>
      <c r="H73" s="84"/>
      <c r="I73" s="2" t="s">
        <v>88</v>
      </c>
      <c r="J73" s="17">
        <v>0.5</v>
      </c>
      <c r="K73" s="17"/>
      <c r="L73" s="18">
        <f t="shared" si="2"/>
        <v>0</v>
      </c>
      <c r="HV73" s="2" t="s">
        <v>27</v>
      </c>
      <c r="HW73" s="2" t="s">
        <v>32</v>
      </c>
      <c r="IR73" s="19">
        <f>K73*0</f>
        <v>0</v>
      </c>
      <c r="IS73" s="19">
        <f>K73*(1-0)</f>
        <v>0</v>
      </c>
    </row>
    <row r="74" spans="1:253" x14ac:dyDescent="0.25">
      <c r="A74" s="16">
        <v>73</v>
      </c>
      <c r="B74" s="2" t="s">
        <v>91</v>
      </c>
      <c r="C74" s="2" t="s">
        <v>43</v>
      </c>
      <c r="D74" s="83" t="s">
        <v>44</v>
      </c>
      <c r="E74" s="84"/>
      <c r="F74" s="84"/>
      <c r="G74" s="84"/>
      <c r="H74" s="84"/>
      <c r="I74" s="2" t="s">
        <v>45</v>
      </c>
      <c r="J74" s="17"/>
      <c r="K74" s="17"/>
      <c r="L74" s="18">
        <f t="shared" si="2"/>
        <v>0</v>
      </c>
      <c r="HV74" s="2" t="s">
        <v>27</v>
      </c>
      <c r="HW74" s="2" t="s">
        <v>32</v>
      </c>
      <c r="IR74" s="19">
        <f>K74*0</f>
        <v>0</v>
      </c>
      <c r="IS74" s="19">
        <f>K74*(1-0)</f>
        <v>0</v>
      </c>
    </row>
    <row r="75" spans="1:253" x14ac:dyDescent="0.25">
      <c r="A75" s="12" t="s">
        <v>23</v>
      </c>
      <c r="B75" s="13" t="s">
        <v>99</v>
      </c>
      <c r="C75" s="13" t="s">
        <v>25</v>
      </c>
      <c r="D75" s="135" t="s">
        <v>100</v>
      </c>
      <c r="E75" s="136"/>
      <c r="F75" s="136"/>
      <c r="G75" s="136"/>
      <c r="H75" s="136"/>
      <c r="I75" s="13" t="s">
        <v>23</v>
      </c>
      <c r="J75" s="14" t="s">
        <v>23</v>
      </c>
      <c r="K75" s="14"/>
      <c r="L75" s="15">
        <f>L76+L83</f>
        <v>0</v>
      </c>
    </row>
    <row r="76" spans="1:253" x14ac:dyDescent="0.25">
      <c r="A76" s="12" t="s">
        <v>23</v>
      </c>
      <c r="B76" s="13" t="s">
        <v>99</v>
      </c>
      <c r="C76" s="13" t="s">
        <v>52</v>
      </c>
      <c r="D76" s="135" t="s">
        <v>53</v>
      </c>
      <c r="E76" s="136"/>
      <c r="F76" s="136"/>
      <c r="G76" s="136"/>
      <c r="H76" s="136"/>
      <c r="I76" s="13" t="s">
        <v>23</v>
      </c>
      <c r="J76" s="14" t="s">
        <v>23</v>
      </c>
      <c r="K76" s="14"/>
      <c r="L76" s="15">
        <f>SUM(L77:L82)</f>
        <v>0</v>
      </c>
    </row>
    <row r="77" spans="1:253" x14ac:dyDescent="0.25">
      <c r="A77" s="16">
        <v>74</v>
      </c>
      <c r="B77" s="2" t="s">
        <v>99</v>
      </c>
      <c r="C77" s="2" t="s">
        <v>101</v>
      </c>
      <c r="D77" s="83" t="s">
        <v>102</v>
      </c>
      <c r="E77" s="84"/>
      <c r="F77" s="84"/>
      <c r="G77" s="84"/>
      <c r="H77" s="84"/>
      <c r="I77" s="2" t="s">
        <v>35</v>
      </c>
      <c r="J77" s="17">
        <v>4</v>
      </c>
      <c r="K77" s="17"/>
      <c r="L77" s="18">
        <f t="shared" ref="L77:L82" si="3">ROUND(IR77*J77+IS77*J77,2)</f>
        <v>0</v>
      </c>
      <c r="HV77" s="2" t="s">
        <v>52</v>
      </c>
      <c r="HW77" s="2" t="s">
        <v>32</v>
      </c>
      <c r="IR77" s="19">
        <f>K77*1</f>
        <v>0</v>
      </c>
      <c r="IS77" s="19">
        <f>K77*(1-1)</f>
        <v>0</v>
      </c>
    </row>
    <row r="78" spans="1:253" x14ac:dyDescent="0.25">
      <c r="A78" s="16">
        <v>75</v>
      </c>
      <c r="B78" s="2" t="s">
        <v>99</v>
      </c>
      <c r="C78" s="2" t="s">
        <v>103</v>
      </c>
      <c r="D78" s="83" t="s">
        <v>104</v>
      </c>
      <c r="E78" s="84"/>
      <c r="F78" s="84"/>
      <c r="G78" s="84"/>
      <c r="H78" s="84"/>
      <c r="I78" s="2" t="s">
        <v>35</v>
      </c>
      <c r="J78" s="17">
        <v>5</v>
      </c>
      <c r="K78" s="17"/>
      <c r="L78" s="18">
        <f t="shared" si="3"/>
        <v>0</v>
      </c>
      <c r="HV78" s="2" t="s">
        <v>52</v>
      </c>
      <c r="HW78" s="2" t="s">
        <v>32</v>
      </c>
      <c r="IR78" s="19">
        <f>K78*1</f>
        <v>0</v>
      </c>
      <c r="IS78" s="19">
        <f>K78*(1-1)</f>
        <v>0</v>
      </c>
    </row>
    <row r="79" spans="1:253" x14ac:dyDescent="0.25">
      <c r="A79" s="16">
        <v>76</v>
      </c>
      <c r="B79" s="2" t="s">
        <v>99</v>
      </c>
      <c r="C79" s="2" t="s">
        <v>105</v>
      </c>
      <c r="D79" s="83" t="s">
        <v>106</v>
      </c>
      <c r="E79" s="84"/>
      <c r="F79" s="84"/>
      <c r="G79" s="84"/>
      <c r="H79" s="84"/>
      <c r="I79" s="2" t="s">
        <v>35</v>
      </c>
      <c r="J79" s="17">
        <v>6</v>
      </c>
      <c r="K79" s="17"/>
      <c r="L79" s="18">
        <f t="shared" si="3"/>
        <v>0</v>
      </c>
      <c r="HV79" s="2" t="s">
        <v>52</v>
      </c>
      <c r="HW79" s="2" t="s">
        <v>32</v>
      </c>
      <c r="IR79" s="19">
        <f>K79*1</f>
        <v>0</v>
      </c>
      <c r="IS79" s="19">
        <f>K79*(1-1)</f>
        <v>0</v>
      </c>
    </row>
    <row r="80" spans="1:253" x14ac:dyDescent="0.25">
      <c r="A80" s="16">
        <v>77</v>
      </c>
      <c r="B80" s="2" t="s">
        <v>99</v>
      </c>
      <c r="C80" s="2" t="s">
        <v>107</v>
      </c>
      <c r="D80" s="83" t="s">
        <v>108</v>
      </c>
      <c r="E80" s="84"/>
      <c r="F80" s="84"/>
      <c r="G80" s="84"/>
      <c r="H80" s="84"/>
      <c r="I80" s="2" t="s">
        <v>35</v>
      </c>
      <c r="J80" s="17">
        <v>3</v>
      </c>
      <c r="K80" s="17"/>
      <c r="L80" s="18">
        <f t="shared" si="3"/>
        <v>0</v>
      </c>
      <c r="HV80" s="2" t="s">
        <v>52</v>
      </c>
      <c r="HW80" s="2" t="s">
        <v>32</v>
      </c>
      <c r="IR80" s="19">
        <f>K80*1</f>
        <v>0</v>
      </c>
      <c r="IS80" s="19">
        <f>K80*(1-1)</f>
        <v>0</v>
      </c>
    </row>
    <row r="81" spans="1:253" x14ac:dyDescent="0.25">
      <c r="A81" s="16">
        <v>78</v>
      </c>
      <c r="B81" s="2" t="s">
        <v>99</v>
      </c>
      <c r="C81" s="2" t="s">
        <v>109</v>
      </c>
      <c r="D81" s="83" t="s">
        <v>110</v>
      </c>
      <c r="E81" s="84"/>
      <c r="F81" s="84"/>
      <c r="G81" s="84"/>
      <c r="H81" s="84"/>
      <c r="I81" s="2" t="s">
        <v>35</v>
      </c>
      <c r="J81" s="17">
        <v>3</v>
      </c>
      <c r="K81" s="17"/>
      <c r="L81" s="18">
        <f t="shared" si="3"/>
        <v>0</v>
      </c>
      <c r="HV81" s="2" t="s">
        <v>52</v>
      </c>
      <c r="HW81" s="2" t="s">
        <v>32</v>
      </c>
      <c r="IR81" s="19">
        <f>K81*1</f>
        <v>0</v>
      </c>
      <c r="IS81" s="19">
        <f>K81*(1-1)</f>
        <v>0</v>
      </c>
    </row>
    <row r="82" spans="1:253" x14ac:dyDescent="0.25">
      <c r="A82" s="16">
        <v>79</v>
      </c>
      <c r="B82" s="2" t="s">
        <v>99</v>
      </c>
      <c r="C82" s="2" t="s">
        <v>56</v>
      </c>
      <c r="D82" s="83" t="s">
        <v>57</v>
      </c>
      <c r="E82" s="84"/>
      <c r="F82" s="84"/>
      <c r="G82" s="84"/>
      <c r="H82" s="84"/>
      <c r="I82" s="2" t="s">
        <v>45</v>
      </c>
      <c r="J82" s="17"/>
      <c r="K82" s="17"/>
      <c r="L82" s="18">
        <f t="shared" si="3"/>
        <v>0</v>
      </c>
      <c r="HV82" s="2" t="s">
        <v>52</v>
      </c>
      <c r="HW82" s="2" t="s">
        <v>32</v>
      </c>
      <c r="IR82" s="19">
        <f>K82*0</f>
        <v>0</v>
      </c>
      <c r="IS82" s="19">
        <f>K82*(1-0)</f>
        <v>0</v>
      </c>
    </row>
    <row r="83" spans="1:253" x14ac:dyDescent="0.25">
      <c r="A83" s="12" t="s">
        <v>23</v>
      </c>
      <c r="B83" s="13" t="s">
        <v>99</v>
      </c>
      <c r="C83" s="13" t="s">
        <v>111</v>
      </c>
      <c r="D83" s="135" t="s">
        <v>112</v>
      </c>
      <c r="E83" s="136"/>
      <c r="F83" s="136"/>
      <c r="G83" s="136"/>
      <c r="H83" s="136"/>
      <c r="I83" s="13" t="s">
        <v>23</v>
      </c>
      <c r="J83" s="14" t="s">
        <v>23</v>
      </c>
      <c r="K83" s="14"/>
      <c r="L83" s="15">
        <f>SUM(L84:L124)</f>
        <v>0</v>
      </c>
    </row>
    <row r="84" spans="1:253" x14ac:dyDescent="0.25">
      <c r="A84" s="16">
        <v>80</v>
      </c>
      <c r="B84" s="2" t="s">
        <v>99</v>
      </c>
      <c r="C84" s="2" t="s">
        <v>113</v>
      </c>
      <c r="D84" s="83" t="s">
        <v>114</v>
      </c>
      <c r="E84" s="84"/>
      <c r="F84" s="84"/>
      <c r="G84" s="84"/>
      <c r="H84" s="84"/>
      <c r="I84" s="2" t="s">
        <v>31</v>
      </c>
      <c r="J84" s="17">
        <v>62</v>
      </c>
      <c r="K84" s="17"/>
      <c r="L84" s="18">
        <f t="shared" ref="L84:L124" si="4">ROUND(IR84*J84+IS84*J84,2)</f>
        <v>0</v>
      </c>
      <c r="HV84" s="2" t="s">
        <v>111</v>
      </c>
      <c r="HW84" s="2" t="s">
        <v>32</v>
      </c>
      <c r="IR84" s="19">
        <f>K84*0</f>
        <v>0</v>
      </c>
      <c r="IS84" s="19">
        <f>K84*(1-0)</f>
        <v>0</v>
      </c>
    </row>
    <row r="85" spans="1:253" x14ac:dyDescent="0.25">
      <c r="A85" s="16">
        <v>81</v>
      </c>
      <c r="B85" s="2" t="s">
        <v>99</v>
      </c>
      <c r="C85" s="2" t="s">
        <v>115</v>
      </c>
      <c r="D85" s="83" t="s">
        <v>116</v>
      </c>
      <c r="E85" s="84"/>
      <c r="F85" s="84"/>
      <c r="G85" s="84"/>
      <c r="H85" s="84"/>
      <c r="I85" s="2" t="s">
        <v>31</v>
      </c>
      <c r="J85" s="17">
        <v>34</v>
      </c>
      <c r="K85" s="17"/>
      <c r="L85" s="18">
        <f t="shared" si="4"/>
        <v>0</v>
      </c>
      <c r="HV85" s="2" t="s">
        <v>111</v>
      </c>
      <c r="HW85" s="2" t="s">
        <v>32</v>
      </c>
      <c r="IR85" s="19">
        <f>K85*0</f>
        <v>0</v>
      </c>
      <c r="IS85" s="19">
        <f>K85*(1-0)</f>
        <v>0</v>
      </c>
    </row>
    <row r="86" spans="1:253" x14ac:dyDescent="0.25">
      <c r="A86" s="16">
        <v>82</v>
      </c>
      <c r="B86" s="2" t="s">
        <v>99</v>
      </c>
      <c r="C86" s="2" t="s">
        <v>117</v>
      </c>
      <c r="D86" s="83" t="s">
        <v>118</v>
      </c>
      <c r="E86" s="84"/>
      <c r="F86" s="84"/>
      <c r="G86" s="84"/>
      <c r="H86" s="84"/>
      <c r="I86" s="2" t="s">
        <v>31</v>
      </c>
      <c r="J86" s="17">
        <v>25</v>
      </c>
      <c r="K86" s="17"/>
      <c r="L86" s="18">
        <f t="shared" si="4"/>
        <v>0</v>
      </c>
      <c r="HV86" s="2" t="s">
        <v>111</v>
      </c>
      <c r="HW86" s="2" t="s">
        <v>32</v>
      </c>
      <c r="IR86" s="19">
        <f>K86*0.433822435</f>
        <v>0</v>
      </c>
      <c r="IS86" s="19">
        <f>K86*(1-0.433822435)</f>
        <v>0</v>
      </c>
    </row>
    <row r="87" spans="1:253" x14ac:dyDescent="0.25">
      <c r="A87" s="16">
        <v>83</v>
      </c>
      <c r="B87" s="2" t="s">
        <v>99</v>
      </c>
      <c r="C87" s="2" t="s">
        <v>119</v>
      </c>
      <c r="D87" s="83" t="s">
        <v>120</v>
      </c>
      <c r="E87" s="84"/>
      <c r="F87" s="84"/>
      <c r="G87" s="84"/>
      <c r="H87" s="84"/>
      <c r="I87" s="2" t="s">
        <v>31</v>
      </c>
      <c r="J87" s="17">
        <v>26</v>
      </c>
      <c r="K87" s="17"/>
      <c r="L87" s="18">
        <f t="shared" si="4"/>
        <v>0</v>
      </c>
      <c r="HV87" s="2" t="s">
        <v>111</v>
      </c>
      <c r="HW87" s="2" t="s">
        <v>32</v>
      </c>
      <c r="IR87" s="19">
        <f>K87*0.499111111</f>
        <v>0</v>
      </c>
      <c r="IS87" s="19">
        <f>K87*(1-0.499111111)</f>
        <v>0</v>
      </c>
    </row>
    <row r="88" spans="1:253" x14ac:dyDescent="0.25">
      <c r="A88" s="16">
        <v>84</v>
      </c>
      <c r="B88" s="2" t="s">
        <v>99</v>
      </c>
      <c r="C88" s="2" t="s">
        <v>121</v>
      </c>
      <c r="D88" s="83" t="s">
        <v>122</v>
      </c>
      <c r="E88" s="84"/>
      <c r="F88" s="84"/>
      <c r="G88" s="84"/>
      <c r="H88" s="84"/>
      <c r="I88" s="2" t="s">
        <v>31</v>
      </c>
      <c r="J88" s="17">
        <v>39</v>
      </c>
      <c r="K88" s="17"/>
      <c r="L88" s="18">
        <f t="shared" si="4"/>
        <v>0</v>
      </c>
      <c r="HV88" s="2" t="s">
        <v>111</v>
      </c>
      <c r="HW88" s="2" t="s">
        <v>32</v>
      </c>
      <c r="IR88" s="19">
        <f>K88*0.578547486</f>
        <v>0</v>
      </c>
      <c r="IS88" s="19">
        <f>K88*(1-0.578547486)</f>
        <v>0</v>
      </c>
    </row>
    <row r="89" spans="1:253" x14ac:dyDescent="0.25">
      <c r="A89" s="16">
        <v>85</v>
      </c>
      <c r="B89" s="2" t="s">
        <v>99</v>
      </c>
      <c r="C89" s="2" t="s">
        <v>123</v>
      </c>
      <c r="D89" s="83" t="s">
        <v>124</v>
      </c>
      <c r="E89" s="84"/>
      <c r="F89" s="84"/>
      <c r="G89" s="84"/>
      <c r="H89" s="84"/>
      <c r="I89" s="2" t="s">
        <v>31</v>
      </c>
      <c r="J89" s="17">
        <v>14</v>
      </c>
      <c r="K89" s="17"/>
      <c r="L89" s="18">
        <f t="shared" si="4"/>
        <v>0</v>
      </c>
      <c r="HV89" s="2" t="s">
        <v>111</v>
      </c>
      <c r="HW89" s="2" t="s">
        <v>32</v>
      </c>
      <c r="IR89" s="19">
        <f>K89*0.679694377</f>
        <v>0</v>
      </c>
      <c r="IS89" s="19">
        <f>K89*(1-0.679694377)</f>
        <v>0</v>
      </c>
    </row>
    <row r="90" spans="1:253" x14ac:dyDescent="0.25">
      <c r="A90" s="16">
        <v>86</v>
      </c>
      <c r="B90" s="2" t="s">
        <v>99</v>
      </c>
      <c r="C90" s="2" t="s">
        <v>125</v>
      </c>
      <c r="D90" s="83" t="s">
        <v>126</v>
      </c>
      <c r="E90" s="84"/>
      <c r="F90" s="84"/>
      <c r="G90" s="84"/>
      <c r="H90" s="84"/>
      <c r="I90" s="2" t="s">
        <v>31</v>
      </c>
      <c r="J90" s="17">
        <v>20</v>
      </c>
      <c r="K90" s="17"/>
      <c r="L90" s="18">
        <f t="shared" si="4"/>
        <v>0</v>
      </c>
      <c r="HV90" s="2" t="s">
        <v>111</v>
      </c>
      <c r="HW90" s="2" t="s">
        <v>32</v>
      </c>
      <c r="IR90" s="19">
        <f>K90*0.734723375</f>
        <v>0</v>
      </c>
      <c r="IS90" s="19">
        <f>K90*(1-0.734723375)</f>
        <v>0</v>
      </c>
    </row>
    <row r="91" spans="1:253" x14ac:dyDescent="0.25">
      <c r="A91" s="16">
        <v>87</v>
      </c>
      <c r="B91" s="2" t="s">
        <v>99</v>
      </c>
      <c r="C91" s="2" t="s">
        <v>127</v>
      </c>
      <c r="D91" s="83" t="s">
        <v>128</v>
      </c>
      <c r="E91" s="84"/>
      <c r="F91" s="84"/>
      <c r="G91" s="84"/>
      <c r="H91" s="84"/>
      <c r="I91" s="2" t="s">
        <v>31</v>
      </c>
      <c r="J91" s="17">
        <v>6</v>
      </c>
      <c r="K91" s="17"/>
      <c r="L91" s="18">
        <f t="shared" si="4"/>
        <v>0</v>
      </c>
      <c r="HV91" s="2" t="s">
        <v>111</v>
      </c>
      <c r="HW91" s="2" t="s">
        <v>32</v>
      </c>
      <c r="IR91" s="19">
        <f>K91*0.244039835</f>
        <v>0</v>
      </c>
      <c r="IS91" s="19">
        <f>K91*(1-0.244039835)</f>
        <v>0</v>
      </c>
    </row>
    <row r="92" spans="1:253" x14ac:dyDescent="0.25">
      <c r="A92" s="16">
        <v>88</v>
      </c>
      <c r="B92" s="2" t="s">
        <v>99</v>
      </c>
      <c r="C92" s="2" t="s">
        <v>129</v>
      </c>
      <c r="D92" s="83" t="s">
        <v>130</v>
      </c>
      <c r="E92" s="84"/>
      <c r="F92" s="84"/>
      <c r="G92" s="84"/>
      <c r="H92" s="84"/>
      <c r="I92" s="2" t="s">
        <v>31</v>
      </c>
      <c r="J92" s="17">
        <v>20</v>
      </c>
      <c r="K92" s="17"/>
      <c r="L92" s="18">
        <f t="shared" si="4"/>
        <v>0</v>
      </c>
      <c r="HV92" s="2" t="s">
        <v>111</v>
      </c>
      <c r="HW92" s="2" t="s">
        <v>32</v>
      </c>
      <c r="IR92" s="19">
        <f>K92*0.242374429</f>
        <v>0</v>
      </c>
      <c r="IS92" s="19">
        <f>K92*(1-0.242374429)</f>
        <v>0</v>
      </c>
    </row>
    <row r="93" spans="1:253" x14ac:dyDescent="0.25">
      <c r="A93" s="16">
        <v>89</v>
      </c>
      <c r="B93" s="2" t="s">
        <v>99</v>
      </c>
      <c r="C93" s="2" t="s">
        <v>131</v>
      </c>
      <c r="D93" s="83" t="s">
        <v>132</v>
      </c>
      <c r="E93" s="84"/>
      <c r="F93" s="84"/>
      <c r="G93" s="84"/>
      <c r="H93" s="84"/>
      <c r="I93" s="2" t="s">
        <v>31</v>
      </c>
      <c r="J93" s="17">
        <v>20</v>
      </c>
      <c r="K93" s="17"/>
      <c r="L93" s="18">
        <f t="shared" si="4"/>
        <v>0</v>
      </c>
      <c r="HV93" s="2" t="s">
        <v>111</v>
      </c>
      <c r="HW93" s="2" t="s">
        <v>32</v>
      </c>
      <c r="IR93" s="19">
        <f>K93*0.336695157</f>
        <v>0</v>
      </c>
      <c r="IS93" s="19">
        <f>K93*(1-0.336695157)</f>
        <v>0</v>
      </c>
    </row>
    <row r="94" spans="1:253" x14ac:dyDescent="0.25">
      <c r="A94" s="16">
        <v>90</v>
      </c>
      <c r="B94" s="2" t="s">
        <v>99</v>
      </c>
      <c r="C94" s="2" t="s">
        <v>133</v>
      </c>
      <c r="D94" s="83" t="s">
        <v>134</v>
      </c>
      <c r="E94" s="84"/>
      <c r="F94" s="84"/>
      <c r="G94" s="84"/>
      <c r="H94" s="84"/>
      <c r="I94" s="2" t="s">
        <v>31</v>
      </c>
      <c r="J94" s="17">
        <v>25</v>
      </c>
      <c r="K94" s="17"/>
      <c r="L94" s="18">
        <f t="shared" si="4"/>
        <v>0</v>
      </c>
      <c r="HV94" s="2" t="s">
        <v>111</v>
      </c>
      <c r="HW94" s="2" t="s">
        <v>32</v>
      </c>
      <c r="IR94" s="19">
        <f>K94*0.496074089</f>
        <v>0</v>
      </c>
      <c r="IS94" s="19">
        <f>K94*(1-0.496074089)</f>
        <v>0</v>
      </c>
    </row>
    <row r="95" spans="1:253" x14ac:dyDescent="0.25">
      <c r="A95" s="16">
        <v>91</v>
      </c>
      <c r="B95" s="2" t="s">
        <v>99</v>
      </c>
      <c r="C95" s="2" t="s">
        <v>135</v>
      </c>
      <c r="D95" s="83" t="s">
        <v>136</v>
      </c>
      <c r="E95" s="84"/>
      <c r="F95" s="84"/>
      <c r="G95" s="84"/>
      <c r="H95" s="84"/>
      <c r="I95" s="2" t="s">
        <v>31</v>
      </c>
      <c r="J95" s="17">
        <v>20</v>
      </c>
      <c r="K95" s="17"/>
      <c r="L95" s="18">
        <f t="shared" si="4"/>
        <v>0</v>
      </c>
      <c r="HV95" s="2" t="s">
        <v>111</v>
      </c>
      <c r="HW95" s="2" t="s">
        <v>32</v>
      </c>
      <c r="IR95" s="19">
        <f>K95*0.523268364</f>
        <v>0</v>
      </c>
      <c r="IS95" s="19">
        <f>K95*(1-0.523268364)</f>
        <v>0</v>
      </c>
    </row>
    <row r="96" spans="1:253" x14ac:dyDescent="0.25">
      <c r="A96" s="16">
        <v>92</v>
      </c>
      <c r="B96" s="2" t="s">
        <v>99</v>
      </c>
      <c r="C96" s="2" t="s">
        <v>137</v>
      </c>
      <c r="D96" s="83" t="s">
        <v>138</v>
      </c>
      <c r="E96" s="84"/>
      <c r="F96" s="84"/>
      <c r="G96" s="84"/>
      <c r="H96" s="84"/>
      <c r="I96" s="2" t="s">
        <v>31</v>
      </c>
      <c r="J96" s="17">
        <v>19</v>
      </c>
      <c r="K96" s="17"/>
      <c r="L96" s="18">
        <f t="shared" si="4"/>
        <v>0</v>
      </c>
      <c r="HV96" s="2" t="s">
        <v>111</v>
      </c>
      <c r="HW96" s="2" t="s">
        <v>32</v>
      </c>
      <c r="IR96" s="19">
        <f>K96*0.527714286</f>
        <v>0</v>
      </c>
      <c r="IS96" s="19">
        <f>K96*(1-0.527714286)</f>
        <v>0</v>
      </c>
    </row>
    <row r="97" spans="1:253" x14ac:dyDescent="0.25">
      <c r="A97" s="16">
        <v>93</v>
      </c>
      <c r="B97" s="2" t="s">
        <v>99</v>
      </c>
      <c r="C97" s="2" t="s">
        <v>139</v>
      </c>
      <c r="D97" s="83" t="s">
        <v>140</v>
      </c>
      <c r="E97" s="84"/>
      <c r="F97" s="84"/>
      <c r="G97" s="84"/>
      <c r="H97" s="84"/>
      <c r="I97" s="2" t="s">
        <v>31</v>
      </c>
      <c r="J97" s="17">
        <v>14</v>
      </c>
      <c r="K97" s="17"/>
      <c r="L97" s="18">
        <f t="shared" si="4"/>
        <v>0</v>
      </c>
      <c r="HV97" s="2" t="s">
        <v>111</v>
      </c>
      <c r="HW97" s="2" t="s">
        <v>32</v>
      </c>
      <c r="IR97" s="19">
        <f>K97*0.526501218</f>
        <v>0</v>
      </c>
      <c r="IS97" s="19">
        <f>K97*(1-0.526501218)</f>
        <v>0</v>
      </c>
    </row>
    <row r="98" spans="1:253" x14ac:dyDescent="0.25">
      <c r="A98" s="16">
        <v>94</v>
      </c>
      <c r="B98" s="2" t="s">
        <v>99</v>
      </c>
      <c r="C98" s="2" t="s">
        <v>141</v>
      </c>
      <c r="D98" s="83" t="s">
        <v>142</v>
      </c>
      <c r="E98" s="84"/>
      <c r="F98" s="84"/>
      <c r="G98" s="84"/>
      <c r="H98" s="84"/>
      <c r="I98" s="2" t="s">
        <v>31</v>
      </c>
      <c r="J98" s="17">
        <v>20</v>
      </c>
      <c r="K98" s="17"/>
      <c r="L98" s="18">
        <f t="shared" si="4"/>
        <v>0</v>
      </c>
      <c r="HV98" s="2" t="s">
        <v>111</v>
      </c>
      <c r="HW98" s="2" t="s">
        <v>32</v>
      </c>
      <c r="IR98" s="19">
        <f t="shared" ref="IR98:IR103" si="5">K98*1</f>
        <v>0</v>
      </c>
      <c r="IS98" s="19">
        <f t="shared" ref="IS98:IS103" si="6">K98*(1-1)</f>
        <v>0</v>
      </c>
    </row>
    <row r="99" spans="1:253" x14ac:dyDescent="0.25">
      <c r="A99" s="16">
        <v>95</v>
      </c>
      <c r="B99" s="2" t="s">
        <v>99</v>
      </c>
      <c r="C99" s="2" t="s">
        <v>143</v>
      </c>
      <c r="D99" s="83" t="s">
        <v>144</v>
      </c>
      <c r="E99" s="84"/>
      <c r="F99" s="84"/>
      <c r="G99" s="84"/>
      <c r="H99" s="84"/>
      <c r="I99" s="2" t="s">
        <v>31</v>
      </c>
      <c r="J99" s="17">
        <v>12</v>
      </c>
      <c r="K99" s="17"/>
      <c r="L99" s="18">
        <f t="shared" si="4"/>
        <v>0</v>
      </c>
      <c r="HV99" s="2" t="s">
        <v>111</v>
      </c>
      <c r="HW99" s="2" t="s">
        <v>32</v>
      </c>
      <c r="IR99" s="19">
        <f t="shared" si="5"/>
        <v>0</v>
      </c>
      <c r="IS99" s="19">
        <f t="shared" si="6"/>
        <v>0</v>
      </c>
    </row>
    <row r="100" spans="1:253" x14ac:dyDescent="0.25">
      <c r="A100" s="16">
        <v>96</v>
      </c>
      <c r="B100" s="2" t="s">
        <v>99</v>
      </c>
      <c r="C100" s="2" t="s">
        <v>145</v>
      </c>
      <c r="D100" s="83" t="s">
        <v>146</v>
      </c>
      <c r="E100" s="84"/>
      <c r="F100" s="84"/>
      <c r="G100" s="84"/>
      <c r="H100" s="84"/>
      <c r="I100" s="2" t="s">
        <v>35</v>
      </c>
      <c r="J100" s="17">
        <v>31</v>
      </c>
      <c r="K100" s="17"/>
      <c r="L100" s="18">
        <f t="shared" si="4"/>
        <v>0</v>
      </c>
      <c r="HV100" s="2" t="s">
        <v>111</v>
      </c>
      <c r="HW100" s="2" t="s">
        <v>32</v>
      </c>
      <c r="IR100" s="19">
        <f t="shared" si="5"/>
        <v>0</v>
      </c>
      <c r="IS100" s="19">
        <f t="shared" si="6"/>
        <v>0</v>
      </c>
    </row>
    <row r="101" spans="1:253" x14ac:dyDescent="0.25">
      <c r="A101" s="16">
        <v>97</v>
      </c>
      <c r="B101" s="2" t="s">
        <v>99</v>
      </c>
      <c r="C101" s="2" t="s">
        <v>147</v>
      </c>
      <c r="D101" s="83" t="s">
        <v>148</v>
      </c>
      <c r="E101" s="84"/>
      <c r="F101" s="84"/>
      <c r="G101" s="84"/>
      <c r="H101" s="84"/>
      <c r="I101" s="2" t="s">
        <v>35</v>
      </c>
      <c r="J101" s="17">
        <v>4</v>
      </c>
      <c r="K101" s="17"/>
      <c r="L101" s="18">
        <f t="shared" si="4"/>
        <v>0</v>
      </c>
      <c r="HV101" s="2" t="s">
        <v>111</v>
      </c>
      <c r="HW101" s="2" t="s">
        <v>32</v>
      </c>
      <c r="IR101" s="19">
        <f t="shared" si="5"/>
        <v>0</v>
      </c>
      <c r="IS101" s="19">
        <f t="shared" si="6"/>
        <v>0</v>
      </c>
    </row>
    <row r="102" spans="1:253" x14ac:dyDescent="0.25">
      <c r="A102" s="16">
        <v>98</v>
      </c>
      <c r="B102" s="2" t="s">
        <v>99</v>
      </c>
      <c r="C102" s="2" t="s">
        <v>149</v>
      </c>
      <c r="D102" s="83" t="s">
        <v>150</v>
      </c>
      <c r="E102" s="84"/>
      <c r="F102" s="84"/>
      <c r="G102" s="84"/>
      <c r="H102" s="84"/>
      <c r="I102" s="2" t="s">
        <v>35</v>
      </c>
      <c r="J102" s="17">
        <v>17</v>
      </c>
      <c r="K102" s="17"/>
      <c r="L102" s="18">
        <f t="shared" si="4"/>
        <v>0</v>
      </c>
      <c r="HV102" s="2" t="s">
        <v>111</v>
      </c>
      <c r="HW102" s="2" t="s">
        <v>32</v>
      </c>
      <c r="IR102" s="19">
        <f t="shared" si="5"/>
        <v>0</v>
      </c>
      <c r="IS102" s="19">
        <f t="shared" si="6"/>
        <v>0</v>
      </c>
    </row>
    <row r="103" spans="1:253" x14ac:dyDescent="0.25">
      <c r="A103" s="16">
        <v>99</v>
      </c>
      <c r="B103" s="2" t="s">
        <v>99</v>
      </c>
      <c r="C103" s="2" t="s">
        <v>151</v>
      </c>
      <c r="D103" s="83" t="s">
        <v>152</v>
      </c>
      <c r="E103" s="84"/>
      <c r="F103" s="84"/>
      <c r="G103" s="84"/>
      <c r="H103" s="84"/>
      <c r="I103" s="2" t="s">
        <v>35</v>
      </c>
      <c r="J103" s="17">
        <v>7</v>
      </c>
      <c r="K103" s="17"/>
      <c r="L103" s="18">
        <f t="shared" si="4"/>
        <v>0</v>
      </c>
      <c r="HV103" s="2" t="s">
        <v>111</v>
      </c>
      <c r="HW103" s="2" t="s">
        <v>32</v>
      </c>
      <c r="IR103" s="19">
        <f t="shared" si="5"/>
        <v>0</v>
      </c>
      <c r="IS103" s="19">
        <f t="shared" si="6"/>
        <v>0</v>
      </c>
    </row>
    <row r="104" spans="1:253" x14ac:dyDescent="0.25">
      <c r="A104" s="16">
        <v>100</v>
      </c>
      <c r="B104" s="2" t="s">
        <v>99</v>
      </c>
      <c r="C104" s="2" t="s">
        <v>153</v>
      </c>
      <c r="D104" s="83" t="s">
        <v>154</v>
      </c>
      <c r="E104" s="84"/>
      <c r="F104" s="84"/>
      <c r="G104" s="84"/>
      <c r="H104" s="84"/>
      <c r="I104" s="2" t="s">
        <v>35</v>
      </c>
      <c r="J104" s="17">
        <v>7</v>
      </c>
      <c r="K104" s="17"/>
      <c r="L104" s="18">
        <f t="shared" si="4"/>
        <v>0</v>
      </c>
      <c r="HV104" s="2" t="s">
        <v>111</v>
      </c>
      <c r="HW104" s="2" t="s">
        <v>32</v>
      </c>
      <c r="IR104" s="19">
        <f>K104*0.728219476</f>
        <v>0</v>
      </c>
      <c r="IS104" s="19">
        <f>K104*(1-0.728219476)</f>
        <v>0</v>
      </c>
    </row>
    <row r="105" spans="1:253" x14ac:dyDescent="0.25">
      <c r="A105" s="16">
        <v>101</v>
      </c>
      <c r="B105" s="2" t="s">
        <v>99</v>
      </c>
      <c r="C105" s="2" t="s">
        <v>155</v>
      </c>
      <c r="D105" s="83" t="s">
        <v>156</v>
      </c>
      <c r="E105" s="84"/>
      <c r="F105" s="84"/>
      <c r="G105" s="84"/>
      <c r="H105" s="84"/>
      <c r="I105" s="2" t="s">
        <v>35</v>
      </c>
      <c r="J105" s="17">
        <v>2</v>
      </c>
      <c r="K105" s="17"/>
      <c r="L105" s="18">
        <f t="shared" si="4"/>
        <v>0</v>
      </c>
      <c r="HV105" s="2" t="s">
        <v>111</v>
      </c>
      <c r="HW105" s="2" t="s">
        <v>32</v>
      </c>
      <c r="IR105" s="19">
        <f>K105*0.758083788</f>
        <v>0</v>
      </c>
      <c r="IS105" s="19">
        <f>K105*(1-0.758083788)</f>
        <v>0</v>
      </c>
    </row>
    <row r="106" spans="1:253" x14ac:dyDescent="0.25">
      <c r="A106" s="16">
        <v>102</v>
      </c>
      <c r="B106" s="2" t="s">
        <v>99</v>
      </c>
      <c r="C106" s="2" t="s">
        <v>157</v>
      </c>
      <c r="D106" s="83" t="s">
        <v>158</v>
      </c>
      <c r="E106" s="84"/>
      <c r="F106" s="84"/>
      <c r="G106" s="84"/>
      <c r="H106" s="84"/>
      <c r="I106" s="2" t="s">
        <v>35</v>
      </c>
      <c r="J106" s="17">
        <v>9</v>
      </c>
      <c r="K106" s="17"/>
      <c r="L106" s="18">
        <f t="shared" si="4"/>
        <v>0</v>
      </c>
      <c r="HV106" s="2" t="s">
        <v>111</v>
      </c>
      <c r="HW106" s="2" t="s">
        <v>32</v>
      </c>
      <c r="IR106" s="19">
        <f>K106*0.817316456</f>
        <v>0</v>
      </c>
      <c r="IS106" s="19">
        <f>K106*(1-0.817316456)</f>
        <v>0</v>
      </c>
    </row>
    <row r="107" spans="1:253" x14ac:dyDescent="0.25">
      <c r="A107" s="16">
        <v>103</v>
      </c>
      <c r="B107" s="2" t="s">
        <v>99</v>
      </c>
      <c r="C107" s="2" t="s">
        <v>159</v>
      </c>
      <c r="D107" s="83" t="s">
        <v>160</v>
      </c>
      <c r="E107" s="84"/>
      <c r="F107" s="84"/>
      <c r="G107" s="84"/>
      <c r="H107" s="84"/>
      <c r="I107" s="2" t="s">
        <v>35</v>
      </c>
      <c r="J107" s="17">
        <v>2</v>
      </c>
      <c r="K107" s="17"/>
      <c r="L107" s="18">
        <f t="shared" si="4"/>
        <v>0</v>
      </c>
      <c r="HV107" s="2" t="s">
        <v>111</v>
      </c>
      <c r="HW107" s="2" t="s">
        <v>32</v>
      </c>
      <c r="IR107" s="19">
        <f>K107*0.887209205</f>
        <v>0</v>
      </c>
      <c r="IS107" s="19">
        <f>K107*(1-0.887209205)</f>
        <v>0</v>
      </c>
    </row>
    <row r="108" spans="1:253" x14ac:dyDescent="0.25">
      <c r="A108" s="16">
        <v>104</v>
      </c>
      <c r="B108" s="2" t="s">
        <v>99</v>
      </c>
      <c r="C108" s="2" t="s">
        <v>161</v>
      </c>
      <c r="D108" s="83" t="s">
        <v>162</v>
      </c>
      <c r="E108" s="84"/>
      <c r="F108" s="84"/>
      <c r="G108" s="84"/>
      <c r="H108" s="84"/>
      <c r="I108" s="2" t="s">
        <v>35</v>
      </c>
      <c r="J108" s="17">
        <v>11</v>
      </c>
      <c r="K108" s="17"/>
      <c r="L108" s="18">
        <f t="shared" si="4"/>
        <v>0</v>
      </c>
      <c r="HV108" s="2" t="s">
        <v>111</v>
      </c>
      <c r="HW108" s="2" t="s">
        <v>32</v>
      </c>
      <c r="IR108" s="19">
        <f>K108*0.339139785</f>
        <v>0</v>
      </c>
      <c r="IS108" s="19">
        <f>K108*(1-0.339139785)</f>
        <v>0</v>
      </c>
    </row>
    <row r="109" spans="1:253" x14ac:dyDescent="0.25">
      <c r="A109" s="16">
        <v>105</v>
      </c>
      <c r="B109" s="2" t="s">
        <v>99</v>
      </c>
      <c r="C109" s="2" t="s">
        <v>163</v>
      </c>
      <c r="D109" s="83" t="s">
        <v>164</v>
      </c>
      <c r="E109" s="84"/>
      <c r="F109" s="84"/>
      <c r="G109" s="84"/>
      <c r="H109" s="84"/>
      <c r="I109" s="2" t="s">
        <v>35</v>
      </c>
      <c r="J109" s="17">
        <v>11</v>
      </c>
      <c r="K109" s="17"/>
      <c r="L109" s="18">
        <f t="shared" si="4"/>
        <v>0</v>
      </c>
      <c r="HV109" s="2" t="s">
        <v>111</v>
      </c>
      <c r="HW109" s="2" t="s">
        <v>165</v>
      </c>
      <c r="IR109" s="19">
        <f>K109*1</f>
        <v>0</v>
      </c>
      <c r="IS109" s="19">
        <f>K109*(1-1)</f>
        <v>0</v>
      </c>
    </row>
    <row r="110" spans="1:253" x14ac:dyDescent="0.25">
      <c r="A110" s="16">
        <v>106</v>
      </c>
      <c r="B110" s="2" t="s">
        <v>99</v>
      </c>
      <c r="C110" s="2" t="s">
        <v>166</v>
      </c>
      <c r="D110" s="83" t="s">
        <v>167</v>
      </c>
      <c r="E110" s="84"/>
      <c r="F110" s="84"/>
      <c r="G110" s="84"/>
      <c r="H110" s="84"/>
      <c r="I110" s="2" t="s">
        <v>35</v>
      </c>
      <c r="J110" s="17">
        <v>4</v>
      </c>
      <c r="K110" s="17"/>
      <c r="L110" s="18">
        <f t="shared" si="4"/>
        <v>0</v>
      </c>
      <c r="HV110" s="2" t="s">
        <v>111</v>
      </c>
      <c r="HW110" s="2" t="s">
        <v>32</v>
      </c>
      <c r="IR110" s="19">
        <f>K110*0.03926582</f>
        <v>0</v>
      </c>
      <c r="IS110" s="19">
        <f>K110*(1-0.03926582)</f>
        <v>0</v>
      </c>
    </row>
    <row r="111" spans="1:253" x14ac:dyDescent="0.25">
      <c r="A111" s="16">
        <v>107</v>
      </c>
      <c r="B111" s="2" t="s">
        <v>99</v>
      </c>
      <c r="C111" s="2" t="s">
        <v>168</v>
      </c>
      <c r="D111" s="83" t="s">
        <v>169</v>
      </c>
      <c r="E111" s="84"/>
      <c r="F111" s="84"/>
      <c r="G111" s="84"/>
      <c r="H111" s="84"/>
      <c r="I111" s="2" t="s">
        <v>35</v>
      </c>
      <c r="J111" s="17">
        <v>4</v>
      </c>
      <c r="K111" s="17"/>
      <c r="L111" s="18">
        <f t="shared" si="4"/>
        <v>0</v>
      </c>
      <c r="HV111" s="2" t="s">
        <v>111</v>
      </c>
      <c r="HW111" s="2" t="s">
        <v>165</v>
      </c>
      <c r="IR111" s="19">
        <f>K111*1</f>
        <v>0</v>
      </c>
      <c r="IS111" s="19">
        <f>K111*(1-1)</f>
        <v>0</v>
      </c>
    </row>
    <row r="112" spans="1:253" x14ac:dyDescent="0.25">
      <c r="A112" s="16">
        <v>108</v>
      </c>
      <c r="B112" s="2" t="s">
        <v>99</v>
      </c>
      <c r="C112" s="2" t="s">
        <v>170</v>
      </c>
      <c r="D112" s="83" t="s">
        <v>171</v>
      </c>
      <c r="E112" s="84"/>
      <c r="F112" s="84"/>
      <c r="G112" s="84"/>
      <c r="H112" s="84"/>
      <c r="I112" s="2" t="s">
        <v>35</v>
      </c>
      <c r="J112" s="17">
        <v>1</v>
      </c>
      <c r="K112" s="17"/>
      <c r="L112" s="18">
        <f t="shared" si="4"/>
        <v>0</v>
      </c>
      <c r="HV112" s="2" t="s">
        <v>111</v>
      </c>
      <c r="HW112" s="2" t="s">
        <v>32</v>
      </c>
      <c r="IR112" s="19">
        <f>K112*0.825068138</f>
        <v>0</v>
      </c>
      <c r="IS112" s="19">
        <f>K112*(1-0.825068138)</f>
        <v>0</v>
      </c>
    </row>
    <row r="113" spans="1:253" x14ac:dyDescent="0.25">
      <c r="A113" s="16">
        <v>109</v>
      </c>
      <c r="B113" s="2" t="s">
        <v>99</v>
      </c>
      <c r="C113" s="2" t="s">
        <v>172</v>
      </c>
      <c r="D113" s="83" t="s">
        <v>173</v>
      </c>
      <c r="E113" s="84"/>
      <c r="F113" s="84"/>
      <c r="G113" s="84"/>
      <c r="H113" s="84"/>
      <c r="I113" s="2" t="s">
        <v>35</v>
      </c>
      <c r="J113" s="17">
        <v>1</v>
      </c>
      <c r="K113" s="17"/>
      <c r="L113" s="18">
        <f t="shared" si="4"/>
        <v>0</v>
      </c>
      <c r="HV113" s="2" t="s">
        <v>111</v>
      </c>
      <c r="HW113" s="2" t="s">
        <v>32</v>
      </c>
      <c r="IR113" s="19">
        <f>K113*0.05627451</f>
        <v>0</v>
      </c>
      <c r="IS113" s="19">
        <f>K113*(1-0.05627451)</f>
        <v>0</v>
      </c>
    </row>
    <row r="114" spans="1:253" x14ac:dyDescent="0.25">
      <c r="A114" s="16">
        <v>110</v>
      </c>
      <c r="B114" s="2" t="s">
        <v>99</v>
      </c>
      <c r="C114" s="2" t="s">
        <v>174</v>
      </c>
      <c r="D114" s="83" t="s">
        <v>175</v>
      </c>
      <c r="E114" s="84"/>
      <c r="F114" s="84"/>
      <c r="G114" s="84"/>
      <c r="H114" s="84"/>
      <c r="I114" s="2" t="s">
        <v>35</v>
      </c>
      <c r="J114" s="17">
        <v>1</v>
      </c>
      <c r="K114" s="17"/>
      <c r="L114" s="18">
        <f t="shared" si="4"/>
        <v>0</v>
      </c>
      <c r="HV114" s="2" t="s">
        <v>111</v>
      </c>
      <c r="HW114" s="2" t="s">
        <v>165</v>
      </c>
      <c r="IR114" s="19">
        <f>K114*1</f>
        <v>0</v>
      </c>
      <c r="IS114" s="19">
        <f>K114*(1-1)</f>
        <v>0</v>
      </c>
    </row>
    <row r="115" spans="1:253" x14ac:dyDescent="0.25">
      <c r="A115" s="16">
        <v>111</v>
      </c>
      <c r="B115" s="2" t="s">
        <v>99</v>
      </c>
      <c r="C115" s="2" t="s">
        <v>176</v>
      </c>
      <c r="D115" s="83" t="s">
        <v>177</v>
      </c>
      <c r="E115" s="84"/>
      <c r="F115" s="84"/>
      <c r="G115" s="84"/>
      <c r="H115" s="84"/>
      <c r="I115" s="2" t="s">
        <v>35</v>
      </c>
      <c r="J115" s="17">
        <v>1</v>
      </c>
      <c r="K115" s="17"/>
      <c r="L115" s="18">
        <f t="shared" si="4"/>
        <v>0</v>
      </c>
      <c r="HV115" s="2" t="s">
        <v>111</v>
      </c>
      <c r="HW115" s="2" t="s">
        <v>32</v>
      </c>
      <c r="IR115" s="19">
        <f>K115*0.091784512</f>
        <v>0</v>
      </c>
      <c r="IS115" s="19">
        <f>K115*(1-0.091784512)</f>
        <v>0</v>
      </c>
    </row>
    <row r="116" spans="1:253" x14ac:dyDescent="0.25">
      <c r="A116" s="16">
        <v>112</v>
      </c>
      <c r="B116" s="2" t="s">
        <v>99</v>
      </c>
      <c r="C116" s="2" t="s">
        <v>178</v>
      </c>
      <c r="D116" s="83" t="s">
        <v>179</v>
      </c>
      <c r="E116" s="84"/>
      <c r="F116" s="84"/>
      <c r="G116" s="84"/>
      <c r="H116" s="84"/>
      <c r="I116" s="2" t="s">
        <v>35</v>
      </c>
      <c r="J116" s="17">
        <v>1</v>
      </c>
      <c r="K116" s="17"/>
      <c r="L116" s="18">
        <f t="shared" si="4"/>
        <v>0</v>
      </c>
      <c r="HV116" s="2" t="s">
        <v>111</v>
      </c>
      <c r="HW116" s="2" t="s">
        <v>165</v>
      </c>
      <c r="IR116" s="19">
        <f>K116*1</f>
        <v>0</v>
      </c>
      <c r="IS116" s="19">
        <f>K116*(1-1)</f>
        <v>0</v>
      </c>
    </row>
    <row r="117" spans="1:253" x14ac:dyDescent="0.25">
      <c r="A117" s="16">
        <v>113</v>
      </c>
      <c r="B117" s="2" t="s">
        <v>99</v>
      </c>
      <c r="C117" s="2" t="s">
        <v>180</v>
      </c>
      <c r="D117" s="83" t="s">
        <v>181</v>
      </c>
      <c r="E117" s="84"/>
      <c r="F117" s="84"/>
      <c r="G117" s="84"/>
      <c r="H117" s="84"/>
      <c r="I117" s="2" t="s">
        <v>35</v>
      </c>
      <c r="J117" s="17">
        <v>1</v>
      </c>
      <c r="K117" s="17"/>
      <c r="L117" s="18">
        <f t="shared" si="4"/>
        <v>0</v>
      </c>
      <c r="HV117" s="2" t="s">
        <v>111</v>
      </c>
      <c r="HW117" s="2" t="s">
        <v>32</v>
      </c>
      <c r="IR117" s="19">
        <f>K117*0</f>
        <v>0</v>
      </c>
      <c r="IS117" s="19">
        <f>K117*(1-0)</f>
        <v>0</v>
      </c>
    </row>
    <row r="118" spans="1:253" x14ac:dyDescent="0.25">
      <c r="A118" s="16">
        <v>114</v>
      </c>
      <c r="B118" s="2" t="s">
        <v>99</v>
      </c>
      <c r="C118" s="2" t="s">
        <v>182</v>
      </c>
      <c r="D118" s="83" t="s">
        <v>183</v>
      </c>
      <c r="E118" s="84"/>
      <c r="F118" s="84"/>
      <c r="G118" s="84"/>
      <c r="H118" s="84"/>
      <c r="I118" s="2" t="s">
        <v>35</v>
      </c>
      <c r="J118" s="17">
        <v>1</v>
      </c>
      <c r="K118" s="17"/>
      <c r="L118" s="18">
        <f t="shared" si="4"/>
        <v>0</v>
      </c>
      <c r="HV118" s="2" t="s">
        <v>111</v>
      </c>
      <c r="HW118" s="2" t="s">
        <v>32</v>
      </c>
      <c r="IR118" s="19">
        <f>K118*0.038896552</f>
        <v>0</v>
      </c>
      <c r="IS118" s="19">
        <f>K118*(1-0.038896552)</f>
        <v>0</v>
      </c>
    </row>
    <row r="119" spans="1:253" x14ac:dyDescent="0.25">
      <c r="A119" s="16">
        <v>115</v>
      </c>
      <c r="B119" s="2" t="s">
        <v>99</v>
      </c>
      <c r="C119" s="2" t="s">
        <v>184</v>
      </c>
      <c r="D119" s="83" t="s">
        <v>185</v>
      </c>
      <c r="E119" s="84"/>
      <c r="F119" s="84"/>
      <c r="G119" s="84"/>
      <c r="H119" s="84"/>
      <c r="I119" s="2" t="s">
        <v>40</v>
      </c>
      <c r="J119" s="17">
        <v>3</v>
      </c>
      <c r="K119" s="17"/>
      <c r="L119" s="18">
        <f t="shared" si="4"/>
        <v>0</v>
      </c>
      <c r="HV119" s="2" t="s">
        <v>111</v>
      </c>
      <c r="HW119" s="2" t="s">
        <v>32</v>
      </c>
      <c r="IR119" s="19">
        <f>K119*0.615509036</f>
        <v>0</v>
      </c>
      <c r="IS119" s="19">
        <f>K119*(1-0.615509036)</f>
        <v>0</v>
      </c>
    </row>
    <row r="120" spans="1:253" x14ac:dyDescent="0.25">
      <c r="A120" s="16">
        <v>116</v>
      </c>
      <c r="B120" s="2" t="s">
        <v>99</v>
      </c>
      <c r="C120" s="2" t="s">
        <v>186</v>
      </c>
      <c r="D120" s="83" t="s">
        <v>187</v>
      </c>
      <c r="E120" s="84"/>
      <c r="F120" s="84"/>
      <c r="G120" s="84"/>
      <c r="H120" s="84"/>
      <c r="I120" s="2" t="s">
        <v>31</v>
      </c>
      <c r="J120" s="17">
        <v>90</v>
      </c>
      <c r="K120" s="17"/>
      <c r="L120" s="18">
        <f t="shared" si="4"/>
        <v>0</v>
      </c>
      <c r="HV120" s="2" t="s">
        <v>111</v>
      </c>
      <c r="HW120" s="2" t="s">
        <v>32</v>
      </c>
      <c r="IR120" s="19">
        <f>K120*0.014893617</f>
        <v>0</v>
      </c>
      <c r="IS120" s="19">
        <f>K120*(1-0.014893617)</f>
        <v>0</v>
      </c>
    </row>
    <row r="121" spans="1:253" x14ac:dyDescent="0.25">
      <c r="A121" s="16">
        <v>117</v>
      </c>
      <c r="B121" s="2" t="s">
        <v>99</v>
      </c>
      <c r="C121" s="2" t="s">
        <v>188</v>
      </c>
      <c r="D121" s="83" t="s">
        <v>189</v>
      </c>
      <c r="E121" s="84"/>
      <c r="F121" s="84"/>
      <c r="G121" s="84"/>
      <c r="H121" s="84"/>
      <c r="I121" s="2" t="s">
        <v>31</v>
      </c>
      <c r="J121" s="17">
        <v>14</v>
      </c>
      <c r="K121" s="17"/>
      <c r="L121" s="18">
        <f t="shared" si="4"/>
        <v>0</v>
      </c>
      <c r="HV121" s="2" t="s">
        <v>111</v>
      </c>
      <c r="HW121" s="2" t="s">
        <v>32</v>
      </c>
      <c r="IR121" s="19">
        <f>K121*0.016923843</f>
        <v>0</v>
      </c>
      <c r="IS121" s="19">
        <f>K121*(1-0.016923843)</f>
        <v>0</v>
      </c>
    </row>
    <row r="122" spans="1:253" x14ac:dyDescent="0.25">
      <c r="A122" s="16">
        <v>118</v>
      </c>
      <c r="B122" s="2" t="s">
        <v>99</v>
      </c>
      <c r="C122" s="2" t="s">
        <v>190</v>
      </c>
      <c r="D122" s="83" t="s">
        <v>191</v>
      </c>
      <c r="E122" s="84"/>
      <c r="F122" s="84"/>
      <c r="G122" s="84"/>
      <c r="H122" s="84"/>
      <c r="I122" s="2" t="s">
        <v>31</v>
      </c>
      <c r="J122" s="17">
        <v>20</v>
      </c>
      <c r="K122" s="17"/>
      <c r="L122" s="18">
        <f t="shared" si="4"/>
        <v>0</v>
      </c>
      <c r="HV122" s="2" t="s">
        <v>111</v>
      </c>
      <c r="HW122" s="2" t="s">
        <v>32</v>
      </c>
      <c r="IR122" s="19">
        <f>K122*0.018285714</f>
        <v>0</v>
      </c>
      <c r="IS122" s="19">
        <f>K122*(1-0.018285714)</f>
        <v>0</v>
      </c>
    </row>
    <row r="123" spans="1:253" x14ac:dyDescent="0.25">
      <c r="A123" s="16">
        <v>119</v>
      </c>
      <c r="B123" s="2" t="s">
        <v>99</v>
      </c>
      <c r="C123" s="2" t="s">
        <v>192</v>
      </c>
      <c r="D123" s="83" t="s">
        <v>193</v>
      </c>
      <c r="E123" s="84"/>
      <c r="F123" s="84"/>
      <c r="G123" s="84"/>
      <c r="H123" s="84"/>
      <c r="I123" s="2" t="s">
        <v>88</v>
      </c>
      <c r="J123" s="17">
        <v>0.1</v>
      </c>
      <c r="K123" s="17"/>
      <c r="L123" s="18">
        <f t="shared" si="4"/>
        <v>0</v>
      </c>
      <c r="HV123" s="2" t="s">
        <v>111</v>
      </c>
      <c r="HW123" s="2" t="s">
        <v>32</v>
      </c>
      <c r="IR123" s="19">
        <f>K123*0</f>
        <v>0</v>
      </c>
      <c r="IS123" s="19">
        <f>K123*(1-0)</f>
        <v>0</v>
      </c>
    </row>
    <row r="124" spans="1:253" x14ac:dyDescent="0.25">
      <c r="A124" s="16">
        <v>120</v>
      </c>
      <c r="B124" s="2" t="s">
        <v>99</v>
      </c>
      <c r="C124" s="2" t="s">
        <v>194</v>
      </c>
      <c r="D124" s="83" t="s">
        <v>195</v>
      </c>
      <c r="E124" s="84"/>
      <c r="F124" s="84"/>
      <c r="G124" s="84"/>
      <c r="H124" s="84"/>
      <c r="I124" s="2" t="s">
        <v>45</v>
      </c>
      <c r="J124" s="17"/>
      <c r="K124" s="17"/>
      <c r="L124" s="18">
        <f t="shared" si="4"/>
        <v>0</v>
      </c>
      <c r="HV124" s="2" t="s">
        <v>111</v>
      </c>
      <c r="HW124" s="2" t="s">
        <v>32</v>
      </c>
      <c r="IR124" s="19">
        <f>K124*0</f>
        <v>0</v>
      </c>
      <c r="IS124" s="19">
        <f>K124*(1-0)</f>
        <v>0</v>
      </c>
    </row>
    <row r="125" spans="1:253" x14ac:dyDescent="0.25">
      <c r="A125" s="12" t="s">
        <v>23</v>
      </c>
      <c r="B125" s="13" t="s">
        <v>196</v>
      </c>
      <c r="C125" s="13" t="s">
        <v>25</v>
      </c>
      <c r="D125" s="135" t="s">
        <v>197</v>
      </c>
      <c r="E125" s="136"/>
      <c r="F125" s="136"/>
      <c r="G125" s="136"/>
      <c r="H125" s="136"/>
      <c r="I125" s="13" t="s">
        <v>23</v>
      </c>
      <c r="J125" s="14" t="s">
        <v>23</v>
      </c>
      <c r="K125" s="14"/>
      <c r="L125" s="15">
        <f>L126+L134</f>
        <v>0</v>
      </c>
    </row>
    <row r="126" spans="1:253" x14ac:dyDescent="0.25">
      <c r="A126" s="12" t="s">
        <v>23</v>
      </c>
      <c r="B126" s="13" t="s">
        <v>196</v>
      </c>
      <c r="C126" s="13" t="s">
        <v>52</v>
      </c>
      <c r="D126" s="135" t="s">
        <v>53</v>
      </c>
      <c r="E126" s="136"/>
      <c r="F126" s="136"/>
      <c r="G126" s="136"/>
      <c r="H126" s="136"/>
      <c r="I126" s="13" t="s">
        <v>23</v>
      </c>
      <c r="J126" s="14" t="s">
        <v>23</v>
      </c>
      <c r="K126" s="14"/>
      <c r="L126" s="15">
        <f>SUM(L127:L133)</f>
        <v>0</v>
      </c>
    </row>
    <row r="127" spans="1:253" x14ac:dyDescent="0.25">
      <c r="A127" s="16">
        <v>121</v>
      </c>
      <c r="B127" s="2" t="s">
        <v>196</v>
      </c>
      <c r="C127" s="2" t="s">
        <v>101</v>
      </c>
      <c r="D127" s="83" t="s">
        <v>102</v>
      </c>
      <c r="E127" s="84"/>
      <c r="F127" s="84"/>
      <c r="G127" s="84"/>
      <c r="H127" s="84"/>
      <c r="I127" s="2" t="s">
        <v>35</v>
      </c>
      <c r="J127" s="17">
        <v>4</v>
      </c>
      <c r="K127" s="17"/>
      <c r="L127" s="18">
        <f t="shared" ref="L127:L133" si="7">ROUND(IR127*J127+IS127*J127,2)</f>
        <v>0</v>
      </c>
      <c r="HV127" s="2" t="s">
        <v>52</v>
      </c>
      <c r="HW127" s="2" t="s">
        <v>32</v>
      </c>
      <c r="IR127" s="19">
        <f t="shared" ref="IR127:IR132" si="8">K127*1</f>
        <v>0</v>
      </c>
      <c r="IS127" s="19">
        <f t="shared" ref="IS127:IS132" si="9">K127*(1-1)</f>
        <v>0</v>
      </c>
    </row>
    <row r="128" spans="1:253" x14ac:dyDescent="0.25">
      <c r="A128" s="16">
        <v>122</v>
      </c>
      <c r="B128" s="2" t="s">
        <v>196</v>
      </c>
      <c r="C128" s="2" t="s">
        <v>103</v>
      </c>
      <c r="D128" s="83" t="s">
        <v>104</v>
      </c>
      <c r="E128" s="84"/>
      <c r="F128" s="84"/>
      <c r="G128" s="84"/>
      <c r="H128" s="84"/>
      <c r="I128" s="2" t="s">
        <v>35</v>
      </c>
      <c r="J128" s="17">
        <v>2</v>
      </c>
      <c r="K128" s="17"/>
      <c r="L128" s="18">
        <f t="shared" si="7"/>
        <v>0</v>
      </c>
      <c r="HV128" s="2" t="s">
        <v>52</v>
      </c>
      <c r="HW128" s="2" t="s">
        <v>32</v>
      </c>
      <c r="IR128" s="19">
        <f t="shared" si="8"/>
        <v>0</v>
      </c>
      <c r="IS128" s="19">
        <f t="shared" si="9"/>
        <v>0</v>
      </c>
    </row>
    <row r="129" spans="1:253" x14ac:dyDescent="0.25">
      <c r="A129" s="16">
        <v>123</v>
      </c>
      <c r="B129" s="2" t="s">
        <v>196</v>
      </c>
      <c r="C129" s="2" t="s">
        <v>105</v>
      </c>
      <c r="D129" s="83" t="s">
        <v>106</v>
      </c>
      <c r="E129" s="84"/>
      <c r="F129" s="84"/>
      <c r="G129" s="84"/>
      <c r="H129" s="84"/>
      <c r="I129" s="2" t="s">
        <v>35</v>
      </c>
      <c r="J129" s="17">
        <v>11</v>
      </c>
      <c r="K129" s="17"/>
      <c r="L129" s="18">
        <f t="shared" si="7"/>
        <v>0</v>
      </c>
      <c r="HV129" s="2" t="s">
        <v>52</v>
      </c>
      <c r="HW129" s="2" t="s">
        <v>32</v>
      </c>
      <c r="IR129" s="19">
        <f t="shared" si="8"/>
        <v>0</v>
      </c>
      <c r="IS129" s="19">
        <f t="shared" si="9"/>
        <v>0</v>
      </c>
    </row>
    <row r="130" spans="1:253" x14ac:dyDescent="0.25">
      <c r="A130" s="16">
        <v>124</v>
      </c>
      <c r="B130" s="2" t="s">
        <v>196</v>
      </c>
      <c r="C130" s="2" t="s">
        <v>107</v>
      </c>
      <c r="D130" s="83" t="s">
        <v>108</v>
      </c>
      <c r="E130" s="84"/>
      <c r="F130" s="84"/>
      <c r="G130" s="84"/>
      <c r="H130" s="84"/>
      <c r="I130" s="2" t="s">
        <v>35</v>
      </c>
      <c r="J130" s="17">
        <v>2</v>
      </c>
      <c r="K130" s="17"/>
      <c r="L130" s="18">
        <f t="shared" si="7"/>
        <v>0</v>
      </c>
      <c r="HV130" s="2" t="s">
        <v>52</v>
      </c>
      <c r="HW130" s="2" t="s">
        <v>32</v>
      </c>
      <c r="IR130" s="19">
        <f t="shared" si="8"/>
        <v>0</v>
      </c>
      <c r="IS130" s="19">
        <f t="shared" si="9"/>
        <v>0</v>
      </c>
    </row>
    <row r="131" spans="1:253" x14ac:dyDescent="0.25">
      <c r="A131" s="16">
        <v>125</v>
      </c>
      <c r="B131" s="2" t="s">
        <v>196</v>
      </c>
      <c r="C131" s="2" t="s">
        <v>198</v>
      </c>
      <c r="D131" s="83" t="s">
        <v>199</v>
      </c>
      <c r="E131" s="84"/>
      <c r="F131" s="84"/>
      <c r="G131" s="84"/>
      <c r="H131" s="84"/>
      <c r="I131" s="2" t="s">
        <v>35</v>
      </c>
      <c r="J131" s="17">
        <v>3</v>
      </c>
      <c r="K131" s="17"/>
      <c r="L131" s="18">
        <f t="shared" si="7"/>
        <v>0</v>
      </c>
      <c r="HV131" s="2" t="s">
        <v>52</v>
      </c>
      <c r="HW131" s="2" t="s">
        <v>32</v>
      </c>
      <c r="IR131" s="19">
        <f t="shared" si="8"/>
        <v>0</v>
      </c>
      <c r="IS131" s="19">
        <f t="shared" si="9"/>
        <v>0</v>
      </c>
    </row>
    <row r="132" spans="1:253" x14ac:dyDescent="0.25">
      <c r="A132" s="16">
        <v>126</v>
      </c>
      <c r="B132" s="2" t="s">
        <v>196</v>
      </c>
      <c r="C132" s="2" t="s">
        <v>109</v>
      </c>
      <c r="D132" s="83" t="s">
        <v>110</v>
      </c>
      <c r="E132" s="84"/>
      <c r="F132" s="84"/>
      <c r="G132" s="84"/>
      <c r="H132" s="84"/>
      <c r="I132" s="2" t="s">
        <v>35</v>
      </c>
      <c r="J132" s="17">
        <v>5</v>
      </c>
      <c r="K132" s="17"/>
      <c r="L132" s="18">
        <f t="shared" si="7"/>
        <v>0</v>
      </c>
      <c r="HV132" s="2" t="s">
        <v>52</v>
      </c>
      <c r="HW132" s="2" t="s">
        <v>32</v>
      </c>
      <c r="IR132" s="19">
        <f t="shared" si="8"/>
        <v>0</v>
      </c>
      <c r="IS132" s="19">
        <f t="shared" si="9"/>
        <v>0</v>
      </c>
    </row>
    <row r="133" spans="1:253" x14ac:dyDescent="0.25">
      <c r="A133" s="16">
        <v>127</v>
      </c>
      <c r="B133" s="2" t="s">
        <v>196</v>
      </c>
      <c r="C133" s="2" t="s">
        <v>56</v>
      </c>
      <c r="D133" s="83" t="s">
        <v>57</v>
      </c>
      <c r="E133" s="84"/>
      <c r="F133" s="84"/>
      <c r="G133" s="84"/>
      <c r="H133" s="84"/>
      <c r="I133" s="2" t="s">
        <v>45</v>
      </c>
      <c r="J133" s="17"/>
      <c r="K133" s="17"/>
      <c r="L133" s="18">
        <f t="shared" si="7"/>
        <v>0</v>
      </c>
      <c r="HV133" s="2" t="s">
        <v>52</v>
      </c>
      <c r="HW133" s="2" t="s">
        <v>32</v>
      </c>
      <c r="IR133" s="19">
        <f>K133*0</f>
        <v>0</v>
      </c>
      <c r="IS133" s="19">
        <f>K133*(1-0)</f>
        <v>0</v>
      </c>
    </row>
    <row r="134" spans="1:253" x14ac:dyDescent="0.25">
      <c r="A134" s="12" t="s">
        <v>23</v>
      </c>
      <c r="B134" s="13" t="s">
        <v>196</v>
      </c>
      <c r="C134" s="13" t="s">
        <v>111</v>
      </c>
      <c r="D134" s="135" t="s">
        <v>112</v>
      </c>
      <c r="E134" s="136"/>
      <c r="F134" s="136"/>
      <c r="G134" s="136"/>
      <c r="H134" s="136"/>
      <c r="I134" s="13" t="s">
        <v>23</v>
      </c>
      <c r="J134" s="14" t="s">
        <v>23</v>
      </c>
      <c r="K134" s="14"/>
      <c r="L134" s="15">
        <f>SUM(L135:L171)</f>
        <v>0</v>
      </c>
    </row>
    <row r="135" spans="1:253" x14ac:dyDescent="0.25">
      <c r="A135" s="16">
        <v>128</v>
      </c>
      <c r="B135" s="2" t="s">
        <v>196</v>
      </c>
      <c r="C135" s="2" t="s">
        <v>113</v>
      </c>
      <c r="D135" s="83" t="s">
        <v>114</v>
      </c>
      <c r="E135" s="84"/>
      <c r="F135" s="84"/>
      <c r="G135" s="84"/>
      <c r="H135" s="84"/>
      <c r="I135" s="2" t="s">
        <v>31</v>
      </c>
      <c r="J135" s="17">
        <v>52</v>
      </c>
      <c r="K135" s="17"/>
      <c r="L135" s="18">
        <f t="shared" ref="L135:L171" si="10">ROUND(IR135*J135+IS135*J135,2)</f>
        <v>0</v>
      </c>
      <c r="HV135" s="2" t="s">
        <v>111</v>
      </c>
      <c r="HW135" s="2" t="s">
        <v>32</v>
      </c>
      <c r="IR135" s="19">
        <f>K135*0</f>
        <v>0</v>
      </c>
      <c r="IS135" s="19">
        <f>K135*(1-0)</f>
        <v>0</v>
      </c>
    </row>
    <row r="136" spans="1:253" x14ac:dyDescent="0.25">
      <c r="A136" s="16">
        <v>129</v>
      </c>
      <c r="B136" s="2" t="s">
        <v>196</v>
      </c>
      <c r="C136" s="2" t="s">
        <v>115</v>
      </c>
      <c r="D136" s="83" t="s">
        <v>116</v>
      </c>
      <c r="E136" s="84"/>
      <c r="F136" s="84"/>
      <c r="G136" s="84"/>
      <c r="H136" s="84"/>
      <c r="I136" s="2" t="s">
        <v>31</v>
      </c>
      <c r="J136" s="17">
        <v>51</v>
      </c>
      <c r="K136" s="17"/>
      <c r="L136" s="18">
        <f t="shared" si="10"/>
        <v>0</v>
      </c>
      <c r="HV136" s="2" t="s">
        <v>111</v>
      </c>
      <c r="HW136" s="2" t="s">
        <v>32</v>
      </c>
      <c r="IR136" s="19">
        <f>K136*0</f>
        <v>0</v>
      </c>
      <c r="IS136" s="19">
        <f>K136*(1-0)</f>
        <v>0</v>
      </c>
    </row>
    <row r="137" spans="1:253" x14ac:dyDescent="0.25">
      <c r="A137" s="16">
        <v>130</v>
      </c>
      <c r="B137" s="2" t="s">
        <v>196</v>
      </c>
      <c r="C137" s="2" t="s">
        <v>117</v>
      </c>
      <c r="D137" s="83" t="s">
        <v>118</v>
      </c>
      <c r="E137" s="84"/>
      <c r="F137" s="84"/>
      <c r="G137" s="84"/>
      <c r="H137" s="84"/>
      <c r="I137" s="2" t="s">
        <v>31</v>
      </c>
      <c r="J137" s="17">
        <v>28</v>
      </c>
      <c r="K137" s="17"/>
      <c r="L137" s="18">
        <f t="shared" si="10"/>
        <v>0</v>
      </c>
      <c r="HV137" s="2" t="s">
        <v>111</v>
      </c>
      <c r="HW137" s="2" t="s">
        <v>32</v>
      </c>
      <c r="IR137" s="19">
        <f>K137*0.433822435</f>
        <v>0</v>
      </c>
      <c r="IS137" s="19">
        <f>K137*(1-0.433822435)</f>
        <v>0</v>
      </c>
    </row>
    <row r="138" spans="1:253" x14ac:dyDescent="0.25">
      <c r="A138" s="16">
        <v>131</v>
      </c>
      <c r="B138" s="2" t="s">
        <v>196</v>
      </c>
      <c r="C138" s="2" t="s">
        <v>119</v>
      </c>
      <c r="D138" s="83" t="s">
        <v>120</v>
      </c>
      <c r="E138" s="84"/>
      <c r="F138" s="84"/>
      <c r="G138" s="84"/>
      <c r="H138" s="84"/>
      <c r="I138" s="2" t="s">
        <v>31</v>
      </c>
      <c r="J138" s="17">
        <v>13</v>
      </c>
      <c r="K138" s="17"/>
      <c r="L138" s="18">
        <f t="shared" si="10"/>
        <v>0</v>
      </c>
      <c r="HV138" s="2" t="s">
        <v>111</v>
      </c>
      <c r="HW138" s="2" t="s">
        <v>32</v>
      </c>
      <c r="IR138" s="19">
        <f>K138*0.499111111</f>
        <v>0</v>
      </c>
      <c r="IS138" s="19">
        <f>K138*(1-0.499111111)</f>
        <v>0</v>
      </c>
    </row>
    <row r="139" spans="1:253" x14ac:dyDescent="0.25">
      <c r="A139" s="16">
        <v>132</v>
      </c>
      <c r="B139" s="2" t="s">
        <v>196</v>
      </c>
      <c r="C139" s="2" t="s">
        <v>121</v>
      </c>
      <c r="D139" s="83" t="s">
        <v>122</v>
      </c>
      <c r="E139" s="84"/>
      <c r="F139" s="84"/>
      <c r="G139" s="84"/>
      <c r="H139" s="84"/>
      <c r="I139" s="2" t="s">
        <v>31</v>
      </c>
      <c r="J139" s="17">
        <v>69</v>
      </c>
      <c r="K139" s="17"/>
      <c r="L139" s="18">
        <f t="shared" si="10"/>
        <v>0</v>
      </c>
      <c r="HV139" s="2" t="s">
        <v>111</v>
      </c>
      <c r="HW139" s="2" t="s">
        <v>32</v>
      </c>
      <c r="IR139" s="19">
        <f>K139*0.578547486</f>
        <v>0</v>
      </c>
      <c r="IS139" s="19">
        <f>K139*(1-0.578547486)</f>
        <v>0</v>
      </c>
    </row>
    <row r="140" spans="1:253" x14ac:dyDescent="0.25">
      <c r="A140" s="16">
        <v>133</v>
      </c>
      <c r="B140" s="2" t="s">
        <v>196</v>
      </c>
      <c r="C140" s="2" t="s">
        <v>123</v>
      </c>
      <c r="D140" s="83" t="s">
        <v>124</v>
      </c>
      <c r="E140" s="84"/>
      <c r="F140" s="84"/>
      <c r="G140" s="84"/>
      <c r="H140" s="84"/>
      <c r="I140" s="2" t="s">
        <v>31</v>
      </c>
      <c r="J140" s="17">
        <v>13</v>
      </c>
      <c r="K140" s="17"/>
      <c r="L140" s="18">
        <f t="shared" si="10"/>
        <v>0</v>
      </c>
      <c r="HV140" s="2" t="s">
        <v>111</v>
      </c>
      <c r="HW140" s="2" t="s">
        <v>32</v>
      </c>
      <c r="IR140" s="19">
        <f>K140*0.679694377</f>
        <v>0</v>
      </c>
      <c r="IS140" s="19">
        <f>K140*(1-0.679694377)</f>
        <v>0</v>
      </c>
    </row>
    <row r="141" spans="1:253" x14ac:dyDescent="0.25">
      <c r="A141" s="16">
        <v>134</v>
      </c>
      <c r="B141" s="2" t="s">
        <v>196</v>
      </c>
      <c r="C141" s="2" t="s">
        <v>200</v>
      </c>
      <c r="D141" s="83" t="s">
        <v>201</v>
      </c>
      <c r="E141" s="84"/>
      <c r="F141" s="84"/>
      <c r="G141" s="84"/>
      <c r="H141" s="84"/>
      <c r="I141" s="2" t="s">
        <v>31</v>
      </c>
      <c r="J141" s="17">
        <v>13</v>
      </c>
      <c r="K141" s="17"/>
      <c r="L141" s="18">
        <f t="shared" si="10"/>
        <v>0</v>
      </c>
      <c r="HV141" s="2" t="s">
        <v>111</v>
      </c>
      <c r="HW141" s="2" t="s">
        <v>32</v>
      </c>
      <c r="IR141" s="19">
        <f>K141*0.677040715</f>
        <v>0</v>
      </c>
      <c r="IS141" s="19">
        <f>K141*(1-0.677040715)</f>
        <v>0</v>
      </c>
    </row>
    <row r="142" spans="1:253" x14ac:dyDescent="0.25">
      <c r="A142" s="16">
        <v>135</v>
      </c>
      <c r="B142" s="2" t="s">
        <v>196</v>
      </c>
      <c r="C142" s="2" t="s">
        <v>125</v>
      </c>
      <c r="D142" s="83" t="s">
        <v>126</v>
      </c>
      <c r="E142" s="84"/>
      <c r="F142" s="84"/>
      <c r="G142" s="84"/>
      <c r="H142" s="84"/>
      <c r="I142" s="2" t="s">
        <v>31</v>
      </c>
      <c r="J142" s="17">
        <v>25</v>
      </c>
      <c r="K142" s="17"/>
      <c r="L142" s="18">
        <f t="shared" si="10"/>
        <v>0</v>
      </c>
      <c r="HV142" s="2" t="s">
        <v>111</v>
      </c>
      <c r="HW142" s="2" t="s">
        <v>32</v>
      </c>
      <c r="IR142" s="19">
        <f>K142*0.734723375</f>
        <v>0</v>
      </c>
      <c r="IS142" s="19">
        <f>K142*(1-0.734723375)</f>
        <v>0</v>
      </c>
    </row>
    <row r="143" spans="1:253" x14ac:dyDescent="0.25">
      <c r="A143" s="16">
        <v>136</v>
      </c>
      <c r="B143" s="2" t="s">
        <v>196</v>
      </c>
      <c r="C143" s="2" t="s">
        <v>127</v>
      </c>
      <c r="D143" s="83" t="s">
        <v>128</v>
      </c>
      <c r="E143" s="84"/>
      <c r="F143" s="84"/>
      <c r="G143" s="84"/>
      <c r="H143" s="84"/>
      <c r="I143" s="2" t="s">
        <v>31</v>
      </c>
      <c r="J143" s="17">
        <v>0</v>
      </c>
      <c r="K143" s="17"/>
      <c r="L143" s="18">
        <f t="shared" si="10"/>
        <v>0</v>
      </c>
      <c r="HV143" s="2" t="s">
        <v>111</v>
      </c>
      <c r="HW143" s="2" t="s">
        <v>32</v>
      </c>
      <c r="IR143" s="19">
        <f>K143*0</f>
        <v>0</v>
      </c>
      <c r="IS143" s="19">
        <f>K143*(1-0)</f>
        <v>0</v>
      </c>
    </row>
    <row r="144" spans="1:253" x14ac:dyDescent="0.25">
      <c r="A144" s="16">
        <v>137</v>
      </c>
      <c r="B144" s="2" t="s">
        <v>196</v>
      </c>
      <c r="C144" s="2" t="s">
        <v>129</v>
      </c>
      <c r="D144" s="83" t="s">
        <v>130</v>
      </c>
      <c r="E144" s="84"/>
      <c r="F144" s="84"/>
      <c r="G144" s="84"/>
      <c r="H144" s="84"/>
      <c r="I144" s="2" t="s">
        <v>31</v>
      </c>
      <c r="J144" s="17">
        <v>31</v>
      </c>
      <c r="K144" s="17"/>
      <c r="L144" s="18">
        <f t="shared" si="10"/>
        <v>0</v>
      </c>
      <c r="HV144" s="2" t="s">
        <v>111</v>
      </c>
      <c r="HW144" s="2" t="s">
        <v>32</v>
      </c>
      <c r="IR144" s="19">
        <f>K144*0.242374429</f>
        <v>0</v>
      </c>
      <c r="IS144" s="19">
        <f>K144*(1-0.242374429)</f>
        <v>0</v>
      </c>
    </row>
    <row r="145" spans="1:253" x14ac:dyDescent="0.25">
      <c r="A145" s="16">
        <v>138</v>
      </c>
      <c r="B145" s="2" t="s">
        <v>196</v>
      </c>
      <c r="C145" s="2" t="s">
        <v>131</v>
      </c>
      <c r="D145" s="83" t="s">
        <v>132</v>
      </c>
      <c r="E145" s="84"/>
      <c r="F145" s="84"/>
      <c r="G145" s="84"/>
      <c r="H145" s="84"/>
      <c r="I145" s="2" t="s">
        <v>31</v>
      </c>
      <c r="J145" s="17">
        <v>25</v>
      </c>
      <c r="K145" s="17"/>
      <c r="L145" s="18">
        <f t="shared" si="10"/>
        <v>0</v>
      </c>
      <c r="HV145" s="2" t="s">
        <v>111</v>
      </c>
      <c r="HW145" s="2" t="s">
        <v>32</v>
      </c>
      <c r="IR145" s="19">
        <f>K145*0.336695157</f>
        <v>0</v>
      </c>
      <c r="IS145" s="19">
        <f>K145*(1-0.336695157)</f>
        <v>0</v>
      </c>
    </row>
    <row r="146" spans="1:253" x14ac:dyDescent="0.25">
      <c r="A146" s="16">
        <v>139</v>
      </c>
      <c r="B146" s="2" t="s">
        <v>196</v>
      </c>
      <c r="C146" s="2" t="s">
        <v>133</v>
      </c>
      <c r="D146" s="83" t="s">
        <v>134</v>
      </c>
      <c r="E146" s="84"/>
      <c r="F146" s="84"/>
      <c r="G146" s="84"/>
      <c r="H146" s="84"/>
      <c r="I146" s="2" t="s">
        <v>31</v>
      </c>
      <c r="J146" s="17">
        <v>28</v>
      </c>
      <c r="K146" s="17"/>
      <c r="L146" s="18">
        <f t="shared" si="10"/>
        <v>0</v>
      </c>
      <c r="HV146" s="2" t="s">
        <v>111</v>
      </c>
      <c r="HW146" s="2" t="s">
        <v>32</v>
      </c>
      <c r="IR146" s="19">
        <f>K146*0.496074089</f>
        <v>0</v>
      </c>
      <c r="IS146" s="19">
        <f>K146*(1-0.496074089)</f>
        <v>0</v>
      </c>
    </row>
    <row r="147" spans="1:253" x14ac:dyDescent="0.25">
      <c r="A147" s="16">
        <v>140</v>
      </c>
      <c r="B147" s="2" t="s">
        <v>196</v>
      </c>
      <c r="C147" s="2" t="s">
        <v>135</v>
      </c>
      <c r="D147" s="83" t="s">
        <v>136</v>
      </c>
      <c r="E147" s="84"/>
      <c r="F147" s="84"/>
      <c r="G147" s="84"/>
      <c r="H147" s="84"/>
      <c r="I147" s="2" t="s">
        <v>31</v>
      </c>
      <c r="J147" s="17">
        <v>13</v>
      </c>
      <c r="K147" s="17"/>
      <c r="L147" s="18">
        <f t="shared" si="10"/>
        <v>0</v>
      </c>
      <c r="HV147" s="2" t="s">
        <v>111</v>
      </c>
      <c r="HW147" s="2" t="s">
        <v>32</v>
      </c>
      <c r="IR147" s="19">
        <f>K147*0.523268364</f>
        <v>0</v>
      </c>
      <c r="IS147" s="19">
        <f>K147*(1-0.523268364)</f>
        <v>0</v>
      </c>
    </row>
    <row r="148" spans="1:253" x14ac:dyDescent="0.25">
      <c r="A148" s="16">
        <v>141</v>
      </c>
      <c r="B148" s="2" t="s">
        <v>196</v>
      </c>
      <c r="C148" s="2" t="s">
        <v>137</v>
      </c>
      <c r="D148" s="83" t="s">
        <v>138</v>
      </c>
      <c r="E148" s="84"/>
      <c r="F148" s="84"/>
      <c r="G148" s="84"/>
      <c r="H148" s="84"/>
      <c r="I148" s="2" t="s">
        <v>31</v>
      </c>
      <c r="J148" s="17">
        <v>38</v>
      </c>
      <c r="K148" s="17"/>
      <c r="L148" s="18">
        <f t="shared" si="10"/>
        <v>0</v>
      </c>
      <c r="HV148" s="2" t="s">
        <v>111</v>
      </c>
      <c r="HW148" s="2" t="s">
        <v>32</v>
      </c>
      <c r="IR148" s="19">
        <f>K148*0.527714286</f>
        <v>0</v>
      </c>
      <c r="IS148" s="19">
        <f>K148*(1-0.527714286)</f>
        <v>0</v>
      </c>
    </row>
    <row r="149" spans="1:253" x14ac:dyDescent="0.25">
      <c r="A149" s="16">
        <v>142</v>
      </c>
      <c r="B149" s="2" t="s">
        <v>196</v>
      </c>
      <c r="C149" s="2" t="s">
        <v>139</v>
      </c>
      <c r="D149" s="83" t="s">
        <v>140</v>
      </c>
      <c r="E149" s="84"/>
      <c r="F149" s="84"/>
      <c r="G149" s="84"/>
      <c r="H149" s="84"/>
      <c r="I149" s="2" t="s">
        <v>31</v>
      </c>
      <c r="J149" s="17">
        <v>13</v>
      </c>
      <c r="K149" s="17"/>
      <c r="L149" s="18">
        <f t="shared" si="10"/>
        <v>0</v>
      </c>
      <c r="HV149" s="2" t="s">
        <v>111</v>
      </c>
      <c r="HW149" s="2" t="s">
        <v>32</v>
      </c>
      <c r="IR149" s="19">
        <f>K149*0.526501218</f>
        <v>0</v>
      </c>
      <c r="IS149" s="19">
        <f>K149*(1-0.526501218)</f>
        <v>0</v>
      </c>
    </row>
    <row r="150" spans="1:253" x14ac:dyDescent="0.25">
      <c r="A150" s="16">
        <v>143</v>
      </c>
      <c r="B150" s="2" t="s">
        <v>196</v>
      </c>
      <c r="C150" s="2" t="s">
        <v>202</v>
      </c>
      <c r="D150" s="83" t="s">
        <v>203</v>
      </c>
      <c r="E150" s="84"/>
      <c r="F150" s="84"/>
      <c r="G150" s="84"/>
      <c r="H150" s="84"/>
      <c r="I150" s="2" t="s">
        <v>31</v>
      </c>
      <c r="J150" s="17">
        <v>12.6</v>
      </c>
      <c r="K150" s="17"/>
      <c r="L150" s="18">
        <f t="shared" si="10"/>
        <v>0</v>
      </c>
      <c r="HV150" s="2" t="s">
        <v>111</v>
      </c>
      <c r="HW150" s="2" t="s">
        <v>32</v>
      </c>
      <c r="IR150" s="19">
        <f>K150*0.562168142</f>
        <v>0</v>
      </c>
      <c r="IS150" s="19">
        <f>K150*(1-0.562168142)</f>
        <v>0</v>
      </c>
    </row>
    <row r="151" spans="1:253" x14ac:dyDescent="0.25">
      <c r="A151" s="16">
        <v>144</v>
      </c>
      <c r="B151" s="2" t="s">
        <v>196</v>
      </c>
      <c r="C151" s="2" t="s">
        <v>141</v>
      </c>
      <c r="D151" s="83" t="s">
        <v>142</v>
      </c>
      <c r="E151" s="84"/>
      <c r="F151" s="84"/>
      <c r="G151" s="84"/>
      <c r="H151" s="84"/>
      <c r="I151" s="2" t="s">
        <v>31</v>
      </c>
      <c r="J151" s="17">
        <v>22</v>
      </c>
      <c r="K151" s="17"/>
      <c r="L151" s="18">
        <f t="shared" si="10"/>
        <v>0</v>
      </c>
      <c r="HV151" s="2" t="s">
        <v>111</v>
      </c>
      <c r="HW151" s="2" t="s">
        <v>32</v>
      </c>
      <c r="IR151" s="19">
        <f t="shared" ref="IR151:IR156" si="11">K151*1</f>
        <v>0</v>
      </c>
      <c r="IS151" s="19">
        <f t="shared" ref="IS151:IS156" si="12">K151*(1-1)</f>
        <v>0</v>
      </c>
    </row>
    <row r="152" spans="1:253" x14ac:dyDescent="0.25">
      <c r="A152" s="16">
        <v>145</v>
      </c>
      <c r="B152" s="2" t="s">
        <v>196</v>
      </c>
      <c r="C152" s="2" t="s">
        <v>143</v>
      </c>
      <c r="D152" s="83" t="s">
        <v>144</v>
      </c>
      <c r="E152" s="84"/>
      <c r="F152" s="84"/>
      <c r="G152" s="84"/>
      <c r="H152" s="84"/>
      <c r="I152" s="2" t="s">
        <v>31</v>
      </c>
      <c r="J152" s="17">
        <v>24</v>
      </c>
      <c r="K152" s="17"/>
      <c r="L152" s="18">
        <f t="shared" si="10"/>
        <v>0</v>
      </c>
      <c r="HV152" s="2" t="s">
        <v>111</v>
      </c>
      <c r="HW152" s="2" t="s">
        <v>32</v>
      </c>
      <c r="IR152" s="19">
        <f t="shared" si="11"/>
        <v>0</v>
      </c>
      <c r="IS152" s="19">
        <f t="shared" si="12"/>
        <v>0</v>
      </c>
    </row>
    <row r="153" spans="1:253" x14ac:dyDescent="0.25">
      <c r="A153" s="16">
        <v>146</v>
      </c>
      <c r="B153" s="2" t="s">
        <v>196</v>
      </c>
      <c r="C153" s="2" t="s">
        <v>145</v>
      </c>
      <c r="D153" s="83" t="s">
        <v>146</v>
      </c>
      <c r="E153" s="84"/>
      <c r="F153" s="84"/>
      <c r="G153" s="84"/>
      <c r="H153" s="84"/>
      <c r="I153" s="2" t="s">
        <v>35</v>
      </c>
      <c r="J153" s="17">
        <v>30</v>
      </c>
      <c r="K153" s="17"/>
      <c r="L153" s="18">
        <f t="shared" si="10"/>
        <v>0</v>
      </c>
      <c r="HV153" s="2" t="s">
        <v>111</v>
      </c>
      <c r="HW153" s="2" t="s">
        <v>32</v>
      </c>
      <c r="IR153" s="19">
        <f t="shared" si="11"/>
        <v>0</v>
      </c>
      <c r="IS153" s="19">
        <f t="shared" si="12"/>
        <v>0</v>
      </c>
    </row>
    <row r="154" spans="1:253" x14ac:dyDescent="0.25">
      <c r="A154" s="16">
        <v>147</v>
      </c>
      <c r="B154" s="2" t="s">
        <v>196</v>
      </c>
      <c r="C154" s="2" t="s">
        <v>204</v>
      </c>
      <c r="D154" s="83" t="s">
        <v>205</v>
      </c>
      <c r="E154" s="84"/>
      <c r="F154" s="84"/>
      <c r="G154" s="84"/>
      <c r="H154" s="84"/>
      <c r="I154" s="2" t="s">
        <v>35</v>
      </c>
      <c r="J154" s="17">
        <v>2</v>
      </c>
      <c r="K154" s="17"/>
      <c r="L154" s="18">
        <f t="shared" si="10"/>
        <v>0</v>
      </c>
      <c r="HV154" s="2" t="s">
        <v>111</v>
      </c>
      <c r="HW154" s="2" t="s">
        <v>32</v>
      </c>
      <c r="IR154" s="19">
        <f t="shared" si="11"/>
        <v>0</v>
      </c>
      <c r="IS154" s="19">
        <f t="shared" si="12"/>
        <v>0</v>
      </c>
    </row>
    <row r="155" spans="1:253" x14ac:dyDescent="0.25">
      <c r="A155" s="16">
        <v>148</v>
      </c>
      <c r="B155" s="2" t="s">
        <v>196</v>
      </c>
      <c r="C155" s="2" t="s">
        <v>149</v>
      </c>
      <c r="D155" s="83" t="s">
        <v>150</v>
      </c>
      <c r="E155" s="84"/>
      <c r="F155" s="84"/>
      <c r="G155" s="84"/>
      <c r="H155" s="84"/>
      <c r="I155" s="2" t="s">
        <v>35</v>
      </c>
      <c r="J155" s="17">
        <v>25</v>
      </c>
      <c r="K155" s="17"/>
      <c r="L155" s="18">
        <f t="shared" si="10"/>
        <v>0</v>
      </c>
      <c r="HV155" s="2" t="s">
        <v>111</v>
      </c>
      <c r="HW155" s="2" t="s">
        <v>32</v>
      </c>
      <c r="IR155" s="19">
        <f t="shared" si="11"/>
        <v>0</v>
      </c>
      <c r="IS155" s="19">
        <f t="shared" si="12"/>
        <v>0</v>
      </c>
    </row>
    <row r="156" spans="1:253" x14ac:dyDescent="0.25">
      <c r="A156" s="16">
        <v>149</v>
      </c>
      <c r="B156" s="2" t="s">
        <v>196</v>
      </c>
      <c r="C156" s="2" t="s">
        <v>151</v>
      </c>
      <c r="D156" s="83" t="s">
        <v>152</v>
      </c>
      <c r="E156" s="84"/>
      <c r="F156" s="84"/>
      <c r="G156" s="84"/>
      <c r="H156" s="84"/>
      <c r="I156" s="2" t="s">
        <v>35</v>
      </c>
      <c r="J156" s="17">
        <v>1</v>
      </c>
      <c r="K156" s="17"/>
      <c r="L156" s="18">
        <f t="shared" si="10"/>
        <v>0</v>
      </c>
      <c r="HV156" s="2" t="s">
        <v>111</v>
      </c>
      <c r="HW156" s="2" t="s">
        <v>32</v>
      </c>
      <c r="IR156" s="19">
        <f t="shared" si="11"/>
        <v>0</v>
      </c>
      <c r="IS156" s="19">
        <f t="shared" si="12"/>
        <v>0</v>
      </c>
    </row>
    <row r="157" spans="1:253" x14ac:dyDescent="0.25">
      <c r="A157" s="16">
        <v>150</v>
      </c>
      <c r="B157" s="2" t="s">
        <v>196</v>
      </c>
      <c r="C157" s="2" t="s">
        <v>153</v>
      </c>
      <c r="D157" s="83" t="s">
        <v>154</v>
      </c>
      <c r="E157" s="84"/>
      <c r="F157" s="84"/>
      <c r="G157" s="84"/>
      <c r="H157" s="84"/>
      <c r="I157" s="2" t="s">
        <v>35</v>
      </c>
      <c r="J157" s="17">
        <v>6</v>
      </c>
      <c r="K157" s="17"/>
      <c r="L157" s="18">
        <f t="shared" si="10"/>
        <v>0</v>
      </c>
      <c r="HV157" s="2" t="s">
        <v>111</v>
      </c>
      <c r="HW157" s="2" t="s">
        <v>32</v>
      </c>
      <c r="IR157" s="19">
        <f>K157*0.728219476</f>
        <v>0</v>
      </c>
      <c r="IS157" s="19">
        <f>K157*(1-0.728219476)</f>
        <v>0</v>
      </c>
    </row>
    <row r="158" spans="1:253" x14ac:dyDescent="0.25">
      <c r="A158" s="16">
        <v>151</v>
      </c>
      <c r="B158" s="2" t="s">
        <v>196</v>
      </c>
      <c r="C158" s="2" t="s">
        <v>155</v>
      </c>
      <c r="D158" s="83" t="s">
        <v>156</v>
      </c>
      <c r="E158" s="84"/>
      <c r="F158" s="84"/>
      <c r="G158" s="84"/>
      <c r="H158" s="84"/>
      <c r="I158" s="2" t="s">
        <v>35</v>
      </c>
      <c r="J158" s="17">
        <v>1</v>
      </c>
      <c r="K158" s="17"/>
      <c r="L158" s="18">
        <f t="shared" si="10"/>
        <v>0</v>
      </c>
      <c r="HV158" s="2" t="s">
        <v>111</v>
      </c>
      <c r="HW158" s="2" t="s">
        <v>32</v>
      </c>
      <c r="IR158" s="19">
        <f>K158*0.758083788</f>
        <v>0</v>
      </c>
      <c r="IS158" s="19">
        <f>K158*(1-0.758083788)</f>
        <v>0</v>
      </c>
    </row>
    <row r="159" spans="1:253" x14ac:dyDescent="0.25">
      <c r="A159" s="16">
        <v>152</v>
      </c>
      <c r="B159" s="2" t="s">
        <v>196</v>
      </c>
      <c r="C159" s="2" t="s">
        <v>157</v>
      </c>
      <c r="D159" s="83" t="s">
        <v>158</v>
      </c>
      <c r="E159" s="84"/>
      <c r="F159" s="84"/>
      <c r="G159" s="84"/>
      <c r="H159" s="84"/>
      <c r="I159" s="2" t="s">
        <v>35</v>
      </c>
      <c r="J159" s="17">
        <v>13</v>
      </c>
      <c r="K159" s="17"/>
      <c r="L159" s="18">
        <f t="shared" si="10"/>
        <v>0</v>
      </c>
      <c r="HV159" s="2" t="s">
        <v>111</v>
      </c>
      <c r="HW159" s="2" t="s">
        <v>32</v>
      </c>
      <c r="IR159" s="19">
        <f>K159*0.817316456</f>
        <v>0</v>
      </c>
      <c r="IS159" s="19">
        <f>K159*(1-0.817316456)</f>
        <v>0</v>
      </c>
    </row>
    <row r="160" spans="1:253" x14ac:dyDescent="0.25">
      <c r="A160" s="16">
        <v>153</v>
      </c>
      <c r="B160" s="2" t="s">
        <v>196</v>
      </c>
      <c r="C160" s="2" t="s">
        <v>206</v>
      </c>
      <c r="D160" s="83" t="s">
        <v>207</v>
      </c>
      <c r="E160" s="84"/>
      <c r="F160" s="84"/>
      <c r="G160" s="84"/>
      <c r="H160" s="84"/>
      <c r="I160" s="2" t="s">
        <v>35</v>
      </c>
      <c r="J160" s="17">
        <v>1</v>
      </c>
      <c r="K160" s="17"/>
      <c r="L160" s="18">
        <f t="shared" si="10"/>
        <v>0</v>
      </c>
      <c r="HV160" s="2" t="s">
        <v>111</v>
      </c>
      <c r="HW160" s="2" t="s">
        <v>32</v>
      </c>
      <c r="IR160" s="19">
        <f>K160*0.843808219</f>
        <v>0</v>
      </c>
      <c r="IS160" s="19">
        <f>K160*(1-0.843808219)</f>
        <v>0</v>
      </c>
    </row>
    <row r="161" spans="1:253" x14ac:dyDescent="0.25">
      <c r="A161" s="16">
        <v>154</v>
      </c>
      <c r="B161" s="2" t="s">
        <v>196</v>
      </c>
      <c r="C161" s="2" t="s">
        <v>159</v>
      </c>
      <c r="D161" s="83" t="s">
        <v>160</v>
      </c>
      <c r="E161" s="84"/>
      <c r="F161" s="84"/>
      <c r="G161" s="84"/>
      <c r="H161" s="84"/>
      <c r="I161" s="2" t="s">
        <v>35</v>
      </c>
      <c r="J161" s="17">
        <v>1</v>
      </c>
      <c r="K161" s="17"/>
      <c r="L161" s="18">
        <f t="shared" si="10"/>
        <v>0</v>
      </c>
      <c r="HV161" s="2" t="s">
        <v>111</v>
      </c>
      <c r="HW161" s="2" t="s">
        <v>32</v>
      </c>
      <c r="IR161" s="19">
        <f>K161*0.887209205</f>
        <v>0</v>
      </c>
      <c r="IS161" s="19">
        <f>K161*(1-0.887209205)</f>
        <v>0</v>
      </c>
    </row>
    <row r="162" spans="1:253" x14ac:dyDescent="0.25">
      <c r="A162" s="16">
        <v>155</v>
      </c>
      <c r="B162" s="2" t="s">
        <v>196</v>
      </c>
      <c r="C162" s="2" t="s">
        <v>161</v>
      </c>
      <c r="D162" s="83" t="s">
        <v>162</v>
      </c>
      <c r="E162" s="84"/>
      <c r="F162" s="84"/>
      <c r="G162" s="84"/>
      <c r="H162" s="84"/>
      <c r="I162" s="2" t="s">
        <v>35</v>
      </c>
      <c r="J162" s="17">
        <v>12</v>
      </c>
      <c r="K162" s="17"/>
      <c r="L162" s="18">
        <f t="shared" si="10"/>
        <v>0</v>
      </c>
      <c r="HV162" s="2" t="s">
        <v>111</v>
      </c>
      <c r="HW162" s="2" t="s">
        <v>32</v>
      </c>
      <c r="IR162" s="19">
        <f>K162*0.339139785</f>
        <v>0</v>
      </c>
      <c r="IS162" s="19">
        <f>K162*(1-0.339139785)</f>
        <v>0</v>
      </c>
    </row>
    <row r="163" spans="1:253" x14ac:dyDescent="0.25">
      <c r="A163" s="16">
        <v>156</v>
      </c>
      <c r="B163" s="2" t="s">
        <v>196</v>
      </c>
      <c r="C163" s="2" t="s">
        <v>163</v>
      </c>
      <c r="D163" s="83" t="s">
        <v>164</v>
      </c>
      <c r="E163" s="84"/>
      <c r="F163" s="84"/>
      <c r="G163" s="84"/>
      <c r="H163" s="84"/>
      <c r="I163" s="2" t="s">
        <v>35</v>
      </c>
      <c r="J163" s="17">
        <v>12</v>
      </c>
      <c r="K163" s="17"/>
      <c r="L163" s="18">
        <f t="shared" si="10"/>
        <v>0</v>
      </c>
      <c r="HV163" s="2" t="s">
        <v>111</v>
      </c>
      <c r="HW163" s="2" t="s">
        <v>165</v>
      </c>
      <c r="IR163" s="19">
        <f>K163*1</f>
        <v>0</v>
      </c>
      <c r="IS163" s="19">
        <f>K163*(1-1)</f>
        <v>0</v>
      </c>
    </row>
    <row r="164" spans="1:253" x14ac:dyDescent="0.25">
      <c r="A164" s="16">
        <v>157</v>
      </c>
      <c r="B164" s="2" t="s">
        <v>196</v>
      </c>
      <c r="C164" s="2" t="s">
        <v>166</v>
      </c>
      <c r="D164" s="83" t="s">
        <v>167</v>
      </c>
      <c r="E164" s="84"/>
      <c r="F164" s="84"/>
      <c r="G164" s="84"/>
      <c r="H164" s="84"/>
      <c r="I164" s="2" t="s">
        <v>35</v>
      </c>
      <c r="J164" s="17">
        <v>4</v>
      </c>
      <c r="K164" s="17"/>
      <c r="L164" s="18">
        <f t="shared" si="10"/>
        <v>0</v>
      </c>
      <c r="HV164" s="2" t="s">
        <v>111</v>
      </c>
      <c r="HW164" s="2" t="s">
        <v>32</v>
      </c>
      <c r="IR164" s="19">
        <f>K164*0.03926582</f>
        <v>0</v>
      </c>
      <c r="IS164" s="19">
        <f>K164*(1-0.03926582)</f>
        <v>0</v>
      </c>
    </row>
    <row r="165" spans="1:253" x14ac:dyDescent="0.25">
      <c r="A165" s="16">
        <v>158</v>
      </c>
      <c r="B165" s="2" t="s">
        <v>196</v>
      </c>
      <c r="C165" s="2" t="s">
        <v>168</v>
      </c>
      <c r="D165" s="83" t="s">
        <v>169</v>
      </c>
      <c r="E165" s="84"/>
      <c r="F165" s="84"/>
      <c r="G165" s="84"/>
      <c r="H165" s="84"/>
      <c r="I165" s="2" t="s">
        <v>35</v>
      </c>
      <c r="J165" s="17">
        <v>4</v>
      </c>
      <c r="K165" s="17"/>
      <c r="L165" s="18">
        <f t="shared" si="10"/>
        <v>0</v>
      </c>
      <c r="HV165" s="2" t="s">
        <v>111</v>
      </c>
      <c r="HW165" s="2" t="s">
        <v>165</v>
      </c>
      <c r="IR165" s="19">
        <f>K165*1</f>
        <v>0</v>
      </c>
      <c r="IS165" s="19">
        <f>K165*(1-1)</f>
        <v>0</v>
      </c>
    </row>
    <row r="166" spans="1:253" x14ac:dyDescent="0.25">
      <c r="A166" s="16">
        <v>159</v>
      </c>
      <c r="B166" s="2" t="s">
        <v>196</v>
      </c>
      <c r="C166" s="2" t="s">
        <v>172</v>
      </c>
      <c r="D166" s="83" t="s">
        <v>173</v>
      </c>
      <c r="E166" s="84"/>
      <c r="F166" s="84"/>
      <c r="G166" s="84"/>
      <c r="H166" s="84"/>
      <c r="I166" s="2" t="s">
        <v>35</v>
      </c>
      <c r="J166" s="17">
        <v>1</v>
      </c>
      <c r="K166" s="17"/>
      <c r="L166" s="18">
        <f t="shared" si="10"/>
        <v>0</v>
      </c>
      <c r="HV166" s="2" t="s">
        <v>111</v>
      </c>
      <c r="HW166" s="2" t="s">
        <v>32</v>
      </c>
      <c r="IR166" s="19">
        <f>K166*0.05627451</f>
        <v>0</v>
      </c>
      <c r="IS166" s="19">
        <f>K166*(1-0.05627451)</f>
        <v>0</v>
      </c>
    </row>
    <row r="167" spans="1:253" x14ac:dyDescent="0.25">
      <c r="A167" s="16">
        <v>160</v>
      </c>
      <c r="B167" s="2" t="s">
        <v>196</v>
      </c>
      <c r="C167" s="2" t="s">
        <v>174</v>
      </c>
      <c r="D167" s="83" t="s">
        <v>175</v>
      </c>
      <c r="E167" s="84"/>
      <c r="F167" s="84"/>
      <c r="G167" s="84"/>
      <c r="H167" s="84"/>
      <c r="I167" s="2" t="s">
        <v>35</v>
      </c>
      <c r="J167" s="17">
        <v>1</v>
      </c>
      <c r="K167" s="17"/>
      <c r="L167" s="18">
        <f t="shared" si="10"/>
        <v>0</v>
      </c>
      <c r="HV167" s="2" t="s">
        <v>111</v>
      </c>
      <c r="HW167" s="2" t="s">
        <v>165</v>
      </c>
      <c r="IR167" s="19">
        <f>K167*1</f>
        <v>0</v>
      </c>
      <c r="IS167" s="19">
        <f>K167*(1-1)</f>
        <v>0</v>
      </c>
    </row>
    <row r="168" spans="1:253" x14ac:dyDescent="0.25">
      <c r="A168" s="16">
        <v>161</v>
      </c>
      <c r="B168" s="2" t="s">
        <v>196</v>
      </c>
      <c r="C168" s="2" t="s">
        <v>184</v>
      </c>
      <c r="D168" s="83" t="s">
        <v>185</v>
      </c>
      <c r="E168" s="84"/>
      <c r="F168" s="84"/>
      <c r="G168" s="84"/>
      <c r="H168" s="84"/>
      <c r="I168" s="2" t="s">
        <v>40</v>
      </c>
      <c r="J168" s="17">
        <v>2</v>
      </c>
      <c r="K168" s="17"/>
      <c r="L168" s="18">
        <f t="shared" si="10"/>
        <v>0</v>
      </c>
      <c r="HV168" s="2" t="s">
        <v>111</v>
      </c>
      <c r="HW168" s="2" t="s">
        <v>32</v>
      </c>
      <c r="IR168" s="19">
        <f>K168*0.615509036</f>
        <v>0</v>
      </c>
      <c r="IS168" s="19">
        <f>K168*(1-0.615509036)</f>
        <v>0</v>
      </c>
    </row>
    <row r="169" spans="1:253" x14ac:dyDescent="0.25">
      <c r="A169" s="16">
        <v>162</v>
      </c>
      <c r="B169" s="2" t="s">
        <v>196</v>
      </c>
      <c r="C169" s="2" t="s">
        <v>186</v>
      </c>
      <c r="D169" s="83" t="s">
        <v>1244</v>
      </c>
      <c r="E169" s="84"/>
      <c r="F169" s="84"/>
      <c r="G169" s="84"/>
      <c r="H169" s="84"/>
      <c r="I169" s="2" t="s">
        <v>1243</v>
      </c>
      <c r="J169" s="17">
        <v>1</v>
      </c>
      <c r="K169" s="17"/>
      <c r="L169" s="18">
        <f t="shared" si="10"/>
        <v>0</v>
      </c>
      <c r="HV169" s="2" t="s">
        <v>111</v>
      </c>
      <c r="HW169" s="2" t="s">
        <v>32</v>
      </c>
      <c r="IR169" s="19">
        <f>K169*0.014893617</f>
        <v>0</v>
      </c>
      <c r="IS169" s="19">
        <f>K169*(1-0.014893617)</f>
        <v>0</v>
      </c>
    </row>
    <row r="170" spans="1:253" x14ac:dyDescent="0.25">
      <c r="A170" s="16">
        <v>166</v>
      </c>
      <c r="B170" s="2" t="s">
        <v>196</v>
      </c>
      <c r="C170" s="2" t="s">
        <v>192</v>
      </c>
      <c r="D170" s="83" t="s">
        <v>193</v>
      </c>
      <c r="E170" s="84"/>
      <c r="F170" s="84"/>
      <c r="G170" s="84"/>
      <c r="H170" s="84"/>
      <c r="I170" s="2" t="s">
        <v>88</v>
      </c>
      <c r="J170" s="17">
        <v>0.1</v>
      </c>
      <c r="K170" s="17"/>
      <c r="L170" s="18">
        <f t="shared" si="10"/>
        <v>0</v>
      </c>
      <c r="HV170" s="2" t="s">
        <v>111</v>
      </c>
      <c r="HW170" s="2" t="s">
        <v>32</v>
      </c>
      <c r="IR170" s="19">
        <f>K170*0</f>
        <v>0</v>
      </c>
      <c r="IS170" s="19">
        <f>K170*(1-0)</f>
        <v>0</v>
      </c>
    </row>
    <row r="171" spans="1:253" x14ac:dyDescent="0.25">
      <c r="A171" s="16">
        <v>167</v>
      </c>
      <c r="B171" s="2" t="s">
        <v>196</v>
      </c>
      <c r="C171" s="2" t="s">
        <v>194</v>
      </c>
      <c r="D171" s="83" t="s">
        <v>195</v>
      </c>
      <c r="E171" s="84"/>
      <c r="F171" s="84"/>
      <c r="G171" s="84"/>
      <c r="H171" s="84"/>
      <c r="I171" s="2" t="s">
        <v>45</v>
      </c>
      <c r="J171" s="17"/>
      <c r="K171" s="17"/>
      <c r="L171" s="18">
        <f t="shared" si="10"/>
        <v>0</v>
      </c>
      <c r="HV171" s="2" t="s">
        <v>111</v>
      </c>
      <c r="HW171" s="2" t="s">
        <v>32</v>
      </c>
      <c r="IR171" s="19">
        <f>K171*0</f>
        <v>0</v>
      </c>
      <c r="IS171" s="19">
        <f>K171*(1-0)</f>
        <v>0</v>
      </c>
    </row>
    <row r="172" spans="1:253" x14ac:dyDescent="0.25">
      <c r="A172" s="12" t="s">
        <v>23</v>
      </c>
      <c r="B172" s="13" t="s">
        <v>210</v>
      </c>
      <c r="C172" s="13" t="s">
        <v>25</v>
      </c>
      <c r="D172" s="135" t="s">
        <v>211</v>
      </c>
      <c r="E172" s="136"/>
      <c r="F172" s="136"/>
      <c r="G172" s="136"/>
      <c r="H172" s="136"/>
      <c r="I172" s="13" t="s">
        <v>23</v>
      </c>
      <c r="J172" s="14" t="s">
        <v>23</v>
      </c>
      <c r="K172" s="14"/>
      <c r="L172" s="15">
        <f>L173+L180</f>
        <v>0</v>
      </c>
    </row>
    <row r="173" spans="1:253" x14ac:dyDescent="0.25">
      <c r="A173" s="12" t="s">
        <v>23</v>
      </c>
      <c r="B173" s="13" t="s">
        <v>210</v>
      </c>
      <c r="C173" s="13" t="s">
        <v>52</v>
      </c>
      <c r="D173" s="135" t="s">
        <v>53</v>
      </c>
      <c r="E173" s="136"/>
      <c r="F173" s="136"/>
      <c r="G173" s="136"/>
      <c r="H173" s="136"/>
      <c r="I173" s="13" t="s">
        <v>23</v>
      </c>
      <c r="J173" s="14" t="s">
        <v>23</v>
      </c>
      <c r="K173" s="14"/>
      <c r="L173" s="15">
        <f>SUM(L174:L179)</f>
        <v>0</v>
      </c>
    </row>
    <row r="174" spans="1:253" x14ac:dyDescent="0.25">
      <c r="A174" s="16">
        <v>168</v>
      </c>
      <c r="B174" s="2" t="s">
        <v>210</v>
      </c>
      <c r="C174" s="2" t="s">
        <v>101</v>
      </c>
      <c r="D174" s="83" t="s">
        <v>102</v>
      </c>
      <c r="E174" s="84"/>
      <c r="F174" s="84"/>
      <c r="G174" s="84"/>
      <c r="H174" s="84"/>
      <c r="I174" s="2" t="s">
        <v>35</v>
      </c>
      <c r="J174" s="17">
        <v>4</v>
      </c>
      <c r="K174" s="17"/>
      <c r="L174" s="18">
        <f t="shared" ref="L174:L179" si="13">ROUND(IR174*J174+IS174*J174,2)</f>
        <v>0</v>
      </c>
      <c r="HV174" s="2" t="s">
        <v>52</v>
      </c>
      <c r="HW174" s="2" t="s">
        <v>32</v>
      </c>
      <c r="IR174" s="19">
        <f>K174*1</f>
        <v>0</v>
      </c>
      <c r="IS174" s="19">
        <f>K174*(1-1)</f>
        <v>0</v>
      </c>
    </row>
    <row r="175" spans="1:253" x14ac:dyDescent="0.25">
      <c r="A175" s="16">
        <v>169</v>
      </c>
      <c r="B175" s="2" t="s">
        <v>210</v>
      </c>
      <c r="C175" s="2" t="s">
        <v>103</v>
      </c>
      <c r="D175" s="83" t="s">
        <v>104</v>
      </c>
      <c r="E175" s="84"/>
      <c r="F175" s="84"/>
      <c r="G175" s="84"/>
      <c r="H175" s="84"/>
      <c r="I175" s="2" t="s">
        <v>35</v>
      </c>
      <c r="J175" s="17">
        <v>2</v>
      </c>
      <c r="K175" s="17"/>
      <c r="L175" s="18">
        <f t="shared" si="13"/>
        <v>0</v>
      </c>
      <c r="HV175" s="2" t="s">
        <v>52</v>
      </c>
      <c r="HW175" s="2" t="s">
        <v>32</v>
      </c>
      <c r="IR175" s="19">
        <f>K175*1</f>
        <v>0</v>
      </c>
      <c r="IS175" s="19">
        <f>K175*(1-1)</f>
        <v>0</v>
      </c>
    </row>
    <row r="176" spans="1:253" x14ac:dyDescent="0.25">
      <c r="A176" s="16">
        <v>170</v>
      </c>
      <c r="B176" s="2" t="s">
        <v>210</v>
      </c>
      <c r="C176" s="2" t="s">
        <v>105</v>
      </c>
      <c r="D176" s="83" t="s">
        <v>106</v>
      </c>
      <c r="E176" s="84"/>
      <c r="F176" s="84"/>
      <c r="G176" s="84"/>
      <c r="H176" s="84"/>
      <c r="I176" s="2" t="s">
        <v>35</v>
      </c>
      <c r="J176" s="17">
        <v>2</v>
      </c>
      <c r="K176" s="17"/>
      <c r="L176" s="18">
        <f t="shared" si="13"/>
        <v>0</v>
      </c>
      <c r="HV176" s="2" t="s">
        <v>52</v>
      </c>
      <c r="HW176" s="2" t="s">
        <v>32</v>
      </c>
      <c r="IR176" s="19">
        <f>K176*1</f>
        <v>0</v>
      </c>
      <c r="IS176" s="19">
        <f>K176*(1-1)</f>
        <v>0</v>
      </c>
    </row>
    <row r="177" spans="1:253" x14ac:dyDescent="0.25">
      <c r="A177" s="16">
        <v>171</v>
      </c>
      <c r="B177" s="2" t="s">
        <v>210</v>
      </c>
      <c r="C177" s="2" t="s">
        <v>198</v>
      </c>
      <c r="D177" s="83" t="s">
        <v>199</v>
      </c>
      <c r="E177" s="84"/>
      <c r="F177" s="84"/>
      <c r="G177" s="84"/>
      <c r="H177" s="84"/>
      <c r="I177" s="2" t="s">
        <v>35</v>
      </c>
      <c r="J177" s="17">
        <v>2</v>
      </c>
      <c r="K177" s="17"/>
      <c r="L177" s="18">
        <f t="shared" si="13"/>
        <v>0</v>
      </c>
      <c r="HV177" s="2" t="s">
        <v>52</v>
      </c>
      <c r="HW177" s="2" t="s">
        <v>32</v>
      </c>
      <c r="IR177" s="19">
        <f>K177*1</f>
        <v>0</v>
      </c>
      <c r="IS177" s="19">
        <f>K177*(1-1)</f>
        <v>0</v>
      </c>
    </row>
    <row r="178" spans="1:253" x14ac:dyDescent="0.25">
      <c r="A178" s="16">
        <v>172</v>
      </c>
      <c r="B178" s="2" t="s">
        <v>210</v>
      </c>
      <c r="C178" s="2" t="s">
        <v>109</v>
      </c>
      <c r="D178" s="83" t="s">
        <v>110</v>
      </c>
      <c r="E178" s="84"/>
      <c r="F178" s="84"/>
      <c r="G178" s="84"/>
      <c r="H178" s="84"/>
      <c r="I178" s="2" t="s">
        <v>35</v>
      </c>
      <c r="J178" s="17">
        <v>2</v>
      </c>
      <c r="K178" s="17"/>
      <c r="L178" s="18">
        <f t="shared" si="13"/>
        <v>0</v>
      </c>
      <c r="HV178" s="2" t="s">
        <v>52</v>
      </c>
      <c r="HW178" s="2" t="s">
        <v>32</v>
      </c>
      <c r="IR178" s="19">
        <f>K178*1</f>
        <v>0</v>
      </c>
      <c r="IS178" s="19">
        <f>K178*(1-1)</f>
        <v>0</v>
      </c>
    </row>
    <row r="179" spans="1:253" x14ac:dyDescent="0.25">
      <c r="A179" s="16">
        <v>173</v>
      </c>
      <c r="B179" s="2" t="s">
        <v>210</v>
      </c>
      <c r="C179" s="2" t="s">
        <v>56</v>
      </c>
      <c r="D179" s="83" t="s">
        <v>57</v>
      </c>
      <c r="E179" s="84"/>
      <c r="F179" s="84"/>
      <c r="G179" s="84"/>
      <c r="H179" s="84"/>
      <c r="I179" s="2" t="s">
        <v>45</v>
      </c>
      <c r="J179" s="17"/>
      <c r="K179" s="17"/>
      <c r="L179" s="18">
        <f t="shared" si="13"/>
        <v>0</v>
      </c>
      <c r="HV179" s="2" t="s">
        <v>52</v>
      </c>
      <c r="HW179" s="2" t="s">
        <v>32</v>
      </c>
      <c r="IR179" s="19">
        <f>K179*0</f>
        <v>0</v>
      </c>
      <c r="IS179" s="19">
        <f>K179*(1-0)</f>
        <v>0</v>
      </c>
    </row>
    <row r="180" spans="1:253" x14ac:dyDescent="0.25">
      <c r="A180" s="12" t="s">
        <v>23</v>
      </c>
      <c r="B180" s="13" t="s">
        <v>210</v>
      </c>
      <c r="C180" s="13" t="s">
        <v>111</v>
      </c>
      <c r="D180" s="135" t="s">
        <v>112</v>
      </c>
      <c r="E180" s="136"/>
      <c r="F180" s="136"/>
      <c r="G180" s="136"/>
      <c r="H180" s="136"/>
      <c r="I180" s="13" t="s">
        <v>23</v>
      </c>
      <c r="J180" s="14" t="s">
        <v>23</v>
      </c>
      <c r="K180" s="14"/>
      <c r="L180" s="15">
        <f>SUM(L181:L216)</f>
        <v>0</v>
      </c>
    </row>
    <row r="181" spans="1:253" x14ac:dyDescent="0.25">
      <c r="A181" s="16">
        <v>174</v>
      </c>
      <c r="B181" s="2" t="s">
        <v>210</v>
      </c>
      <c r="C181" s="2" t="s">
        <v>113</v>
      </c>
      <c r="D181" s="83" t="s">
        <v>114</v>
      </c>
      <c r="E181" s="84"/>
      <c r="F181" s="84"/>
      <c r="G181" s="84"/>
      <c r="H181" s="84"/>
      <c r="I181" s="2" t="s">
        <v>31</v>
      </c>
      <c r="J181" s="17">
        <v>83</v>
      </c>
      <c r="K181" s="17"/>
      <c r="L181" s="18">
        <f t="shared" ref="L181:L216" si="14">ROUND(IR181*J181+IS181*J181,2)</f>
        <v>0</v>
      </c>
      <c r="HV181" s="2" t="s">
        <v>111</v>
      </c>
      <c r="HW181" s="2" t="s">
        <v>32</v>
      </c>
      <c r="IR181" s="19">
        <f>K181*0</f>
        <v>0</v>
      </c>
      <c r="IS181" s="19">
        <f>K181*(1-0)</f>
        <v>0</v>
      </c>
    </row>
    <row r="182" spans="1:253" x14ac:dyDescent="0.25">
      <c r="A182" s="16">
        <v>175</v>
      </c>
      <c r="B182" s="2" t="s">
        <v>210</v>
      </c>
      <c r="C182" s="2" t="s">
        <v>115</v>
      </c>
      <c r="D182" s="83" t="s">
        <v>116</v>
      </c>
      <c r="E182" s="84"/>
      <c r="F182" s="84"/>
      <c r="G182" s="84"/>
      <c r="H182" s="84"/>
      <c r="I182" s="2" t="s">
        <v>31</v>
      </c>
      <c r="J182" s="17">
        <v>45</v>
      </c>
      <c r="K182" s="17"/>
      <c r="L182" s="18">
        <f t="shared" si="14"/>
        <v>0</v>
      </c>
      <c r="HV182" s="2" t="s">
        <v>111</v>
      </c>
      <c r="HW182" s="2" t="s">
        <v>32</v>
      </c>
      <c r="IR182" s="19">
        <f>K182*0</f>
        <v>0</v>
      </c>
      <c r="IS182" s="19">
        <f>K182*(1-0)</f>
        <v>0</v>
      </c>
    </row>
    <row r="183" spans="1:253" x14ac:dyDescent="0.25">
      <c r="A183" s="16">
        <v>176</v>
      </c>
      <c r="B183" s="2" t="s">
        <v>210</v>
      </c>
      <c r="C183" s="2" t="s">
        <v>117</v>
      </c>
      <c r="D183" s="83" t="s">
        <v>118</v>
      </c>
      <c r="E183" s="84"/>
      <c r="F183" s="84"/>
      <c r="G183" s="84"/>
      <c r="H183" s="84"/>
      <c r="I183" s="2" t="s">
        <v>31</v>
      </c>
      <c r="J183" s="17">
        <v>32</v>
      </c>
      <c r="K183" s="17"/>
      <c r="L183" s="18">
        <f t="shared" si="14"/>
        <v>0</v>
      </c>
      <c r="HV183" s="2" t="s">
        <v>111</v>
      </c>
      <c r="HW183" s="2" t="s">
        <v>32</v>
      </c>
      <c r="IR183" s="19">
        <f>K183*0.433822435</f>
        <v>0</v>
      </c>
      <c r="IS183" s="19">
        <f>K183*(1-0.433822435)</f>
        <v>0</v>
      </c>
    </row>
    <row r="184" spans="1:253" x14ac:dyDescent="0.25">
      <c r="A184" s="16">
        <v>177</v>
      </c>
      <c r="B184" s="2" t="s">
        <v>210</v>
      </c>
      <c r="C184" s="2" t="s">
        <v>119</v>
      </c>
      <c r="D184" s="83" t="s">
        <v>120</v>
      </c>
      <c r="E184" s="84"/>
      <c r="F184" s="84"/>
      <c r="G184" s="84"/>
      <c r="H184" s="84"/>
      <c r="I184" s="2" t="s">
        <v>31</v>
      </c>
      <c r="J184" s="17">
        <v>18</v>
      </c>
      <c r="K184" s="17"/>
      <c r="L184" s="18">
        <f t="shared" si="14"/>
        <v>0</v>
      </c>
      <c r="HV184" s="2" t="s">
        <v>111</v>
      </c>
      <c r="HW184" s="2" t="s">
        <v>32</v>
      </c>
      <c r="IR184" s="19">
        <f>K184*0.499111111</f>
        <v>0</v>
      </c>
      <c r="IS184" s="19">
        <f>K184*(1-0.499111111)</f>
        <v>0</v>
      </c>
    </row>
    <row r="185" spans="1:253" x14ac:dyDescent="0.25">
      <c r="A185" s="16">
        <v>178</v>
      </c>
      <c r="B185" s="2" t="s">
        <v>210</v>
      </c>
      <c r="C185" s="2" t="s">
        <v>121</v>
      </c>
      <c r="D185" s="83" t="s">
        <v>122</v>
      </c>
      <c r="E185" s="84"/>
      <c r="F185" s="84"/>
      <c r="G185" s="84"/>
      <c r="H185" s="84"/>
      <c r="I185" s="2" t="s">
        <v>31</v>
      </c>
      <c r="J185" s="17">
        <v>64</v>
      </c>
      <c r="K185" s="17"/>
      <c r="L185" s="18">
        <f t="shared" si="14"/>
        <v>0</v>
      </c>
      <c r="HV185" s="2" t="s">
        <v>111</v>
      </c>
      <c r="HW185" s="2" t="s">
        <v>32</v>
      </c>
      <c r="IR185" s="19">
        <f>K185*0.578547486</f>
        <v>0</v>
      </c>
      <c r="IS185" s="19">
        <f>K185*(1-0.578547486)</f>
        <v>0</v>
      </c>
    </row>
    <row r="186" spans="1:253" x14ac:dyDescent="0.25">
      <c r="A186" s="16">
        <v>179</v>
      </c>
      <c r="B186" s="2" t="s">
        <v>210</v>
      </c>
      <c r="C186" s="2" t="s">
        <v>200</v>
      </c>
      <c r="D186" s="83" t="s">
        <v>201</v>
      </c>
      <c r="E186" s="84"/>
      <c r="F186" s="84"/>
      <c r="G186" s="84"/>
      <c r="H186" s="84"/>
      <c r="I186" s="2" t="s">
        <v>31</v>
      </c>
      <c r="J186" s="17">
        <v>31</v>
      </c>
      <c r="K186" s="17"/>
      <c r="L186" s="18">
        <f t="shared" si="14"/>
        <v>0</v>
      </c>
      <c r="HV186" s="2" t="s">
        <v>111</v>
      </c>
      <c r="HW186" s="2" t="s">
        <v>32</v>
      </c>
      <c r="IR186" s="19">
        <f>K186*0.677040715</f>
        <v>0</v>
      </c>
      <c r="IS186" s="19">
        <f>K186*(1-0.677040715)</f>
        <v>0</v>
      </c>
    </row>
    <row r="187" spans="1:253" x14ac:dyDescent="0.25">
      <c r="A187" s="16">
        <v>180</v>
      </c>
      <c r="B187" s="2" t="s">
        <v>210</v>
      </c>
      <c r="C187" s="2" t="s">
        <v>125</v>
      </c>
      <c r="D187" s="83" t="s">
        <v>126</v>
      </c>
      <c r="E187" s="84"/>
      <c r="F187" s="84"/>
      <c r="G187" s="84"/>
      <c r="H187" s="84"/>
      <c r="I187" s="2" t="s">
        <v>31</v>
      </c>
      <c r="J187" s="17">
        <v>14</v>
      </c>
      <c r="K187" s="17"/>
      <c r="L187" s="18">
        <f t="shared" si="14"/>
        <v>0</v>
      </c>
      <c r="HV187" s="2" t="s">
        <v>111</v>
      </c>
      <c r="HW187" s="2" t="s">
        <v>32</v>
      </c>
      <c r="IR187" s="19">
        <f>K187*0.734723375</f>
        <v>0</v>
      </c>
      <c r="IS187" s="19">
        <f>K187*(1-0.734723375)</f>
        <v>0</v>
      </c>
    </row>
    <row r="188" spans="1:253" x14ac:dyDescent="0.25">
      <c r="A188" s="16">
        <v>181</v>
      </c>
      <c r="B188" s="2" t="s">
        <v>210</v>
      </c>
      <c r="C188" s="2" t="s">
        <v>212</v>
      </c>
      <c r="D188" s="83" t="s">
        <v>213</v>
      </c>
      <c r="E188" s="84"/>
      <c r="F188" s="84"/>
      <c r="G188" s="84"/>
      <c r="H188" s="84"/>
      <c r="I188" s="2" t="s">
        <v>31</v>
      </c>
      <c r="J188" s="17">
        <v>2</v>
      </c>
      <c r="K188" s="17"/>
      <c r="L188" s="18">
        <f t="shared" si="14"/>
        <v>0</v>
      </c>
      <c r="HV188" s="2" t="s">
        <v>111</v>
      </c>
      <c r="HW188" s="2" t="s">
        <v>32</v>
      </c>
      <c r="IR188" s="19">
        <f>K188*0.230682632</f>
        <v>0</v>
      </c>
      <c r="IS188" s="19">
        <f>K188*(1-0.230682632)</f>
        <v>0</v>
      </c>
    </row>
    <row r="189" spans="1:253" x14ac:dyDescent="0.25">
      <c r="A189" s="16">
        <v>182</v>
      </c>
      <c r="B189" s="2" t="s">
        <v>210</v>
      </c>
      <c r="C189" s="2" t="s">
        <v>127</v>
      </c>
      <c r="D189" s="83" t="s">
        <v>128</v>
      </c>
      <c r="E189" s="84"/>
      <c r="F189" s="84"/>
      <c r="G189" s="84"/>
      <c r="H189" s="84"/>
      <c r="I189" s="2" t="s">
        <v>31</v>
      </c>
      <c r="J189" s="17">
        <v>9</v>
      </c>
      <c r="K189" s="17"/>
      <c r="L189" s="18">
        <f t="shared" si="14"/>
        <v>0</v>
      </c>
      <c r="HV189" s="2" t="s">
        <v>111</v>
      </c>
      <c r="HW189" s="2" t="s">
        <v>32</v>
      </c>
      <c r="IR189" s="19">
        <f>K189*0.244039835</f>
        <v>0</v>
      </c>
      <c r="IS189" s="19">
        <f>K189*(1-0.244039835)</f>
        <v>0</v>
      </c>
    </row>
    <row r="190" spans="1:253" x14ac:dyDescent="0.25">
      <c r="A190" s="16">
        <v>183</v>
      </c>
      <c r="B190" s="2" t="s">
        <v>210</v>
      </c>
      <c r="C190" s="2" t="s">
        <v>129</v>
      </c>
      <c r="D190" s="83" t="s">
        <v>130</v>
      </c>
      <c r="E190" s="84"/>
      <c r="F190" s="84"/>
      <c r="G190" s="84"/>
      <c r="H190" s="84"/>
      <c r="I190" s="2" t="s">
        <v>31</v>
      </c>
      <c r="J190" s="17">
        <v>23</v>
      </c>
      <c r="K190" s="17"/>
      <c r="L190" s="18">
        <f t="shared" si="14"/>
        <v>0</v>
      </c>
      <c r="HV190" s="2" t="s">
        <v>111</v>
      </c>
      <c r="HW190" s="2" t="s">
        <v>32</v>
      </c>
      <c r="IR190" s="19">
        <f>K190*0.242374429</f>
        <v>0</v>
      </c>
      <c r="IS190" s="19">
        <f>K190*(1-0.242374429)</f>
        <v>0</v>
      </c>
    </row>
    <row r="191" spans="1:253" x14ac:dyDescent="0.25">
      <c r="A191" s="16">
        <v>184</v>
      </c>
      <c r="B191" s="2" t="s">
        <v>210</v>
      </c>
      <c r="C191" s="2" t="s">
        <v>214</v>
      </c>
      <c r="D191" s="83" t="s">
        <v>215</v>
      </c>
      <c r="E191" s="84"/>
      <c r="F191" s="84"/>
      <c r="G191" s="84"/>
      <c r="H191" s="84"/>
      <c r="I191" s="2" t="s">
        <v>31</v>
      </c>
      <c r="J191" s="17">
        <v>9</v>
      </c>
      <c r="K191" s="17"/>
      <c r="L191" s="18">
        <f t="shared" si="14"/>
        <v>0</v>
      </c>
      <c r="HV191" s="2" t="s">
        <v>111</v>
      </c>
      <c r="HW191" s="2" t="s">
        <v>32</v>
      </c>
      <c r="IR191" s="19">
        <f>K191*0.270073529</f>
        <v>0</v>
      </c>
      <c r="IS191" s="19">
        <f>K191*(1-0.270073529)</f>
        <v>0</v>
      </c>
    </row>
    <row r="192" spans="1:253" x14ac:dyDescent="0.25">
      <c r="A192" s="16">
        <v>185</v>
      </c>
      <c r="B192" s="2" t="s">
        <v>210</v>
      </c>
      <c r="C192" s="2" t="s">
        <v>131</v>
      </c>
      <c r="D192" s="83" t="s">
        <v>132</v>
      </c>
      <c r="E192" s="84"/>
      <c r="F192" s="84"/>
      <c r="G192" s="84"/>
      <c r="H192" s="84"/>
      <c r="I192" s="2" t="s">
        <v>31</v>
      </c>
      <c r="J192" s="17">
        <v>14</v>
      </c>
      <c r="K192" s="17"/>
      <c r="L192" s="18">
        <f t="shared" si="14"/>
        <v>0</v>
      </c>
      <c r="HV192" s="2" t="s">
        <v>111</v>
      </c>
      <c r="HW192" s="2" t="s">
        <v>32</v>
      </c>
      <c r="IR192" s="19">
        <f>K192*0.336695157</f>
        <v>0</v>
      </c>
      <c r="IS192" s="19">
        <f>K192*(1-0.336695157)</f>
        <v>0</v>
      </c>
    </row>
    <row r="193" spans="1:253" x14ac:dyDescent="0.25">
      <c r="A193" s="16">
        <v>186</v>
      </c>
      <c r="B193" s="2" t="s">
        <v>210</v>
      </c>
      <c r="C193" s="2" t="s">
        <v>133</v>
      </c>
      <c r="D193" s="83" t="s">
        <v>134</v>
      </c>
      <c r="E193" s="84"/>
      <c r="F193" s="84"/>
      <c r="G193" s="84"/>
      <c r="H193" s="84"/>
      <c r="I193" s="2" t="s">
        <v>31</v>
      </c>
      <c r="J193" s="17">
        <v>30</v>
      </c>
      <c r="K193" s="17"/>
      <c r="L193" s="18">
        <f t="shared" si="14"/>
        <v>0</v>
      </c>
      <c r="HV193" s="2" t="s">
        <v>111</v>
      </c>
      <c r="HW193" s="2" t="s">
        <v>32</v>
      </c>
      <c r="IR193" s="19">
        <f>K193*0.496074089</f>
        <v>0</v>
      </c>
      <c r="IS193" s="19">
        <f>K193*(1-0.496074089)</f>
        <v>0</v>
      </c>
    </row>
    <row r="194" spans="1:253" x14ac:dyDescent="0.25">
      <c r="A194" s="16">
        <v>187</v>
      </c>
      <c r="B194" s="2" t="s">
        <v>210</v>
      </c>
      <c r="C194" s="2" t="s">
        <v>135</v>
      </c>
      <c r="D194" s="83" t="s">
        <v>136</v>
      </c>
      <c r="E194" s="84"/>
      <c r="F194" s="84"/>
      <c r="G194" s="84"/>
      <c r="H194" s="84"/>
      <c r="I194" s="2" t="s">
        <v>31</v>
      </c>
      <c r="J194" s="17">
        <v>9</v>
      </c>
      <c r="K194" s="17"/>
      <c r="L194" s="18">
        <f t="shared" si="14"/>
        <v>0</v>
      </c>
      <c r="HV194" s="2" t="s">
        <v>111</v>
      </c>
      <c r="HW194" s="2" t="s">
        <v>32</v>
      </c>
      <c r="IR194" s="19">
        <f>K194*0.523268364</f>
        <v>0</v>
      </c>
      <c r="IS194" s="19">
        <f>K194*(1-0.523268364)</f>
        <v>0</v>
      </c>
    </row>
    <row r="195" spans="1:253" x14ac:dyDescent="0.25">
      <c r="A195" s="16">
        <v>188</v>
      </c>
      <c r="B195" s="2" t="s">
        <v>210</v>
      </c>
      <c r="C195" s="2" t="s">
        <v>137</v>
      </c>
      <c r="D195" s="83" t="s">
        <v>138</v>
      </c>
      <c r="E195" s="84"/>
      <c r="F195" s="84"/>
      <c r="G195" s="84"/>
      <c r="H195" s="84"/>
      <c r="I195" s="2" t="s">
        <v>31</v>
      </c>
      <c r="J195" s="17">
        <v>41</v>
      </c>
      <c r="K195" s="17"/>
      <c r="L195" s="18">
        <f t="shared" si="14"/>
        <v>0</v>
      </c>
      <c r="HV195" s="2" t="s">
        <v>111</v>
      </c>
      <c r="HW195" s="2" t="s">
        <v>32</v>
      </c>
      <c r="IR195" s="19">
        <f>K195*0.527714286</f>
        <v>0</v>
      </c>
      <c r="IS195" s="19">
        <f>K195*(1-0.527714286)</f>
        <v>0</v>
      </c>
    </row>
    <row r="196" spans="1:253" x14ac:dyDescent="0.25">
      <c r="A196" s="16">
        <v>189</v>
      </c>
      <c r="B196" s="2" t="s">
        <v>210</v>
      </c>
      <c r="C196" s="2" t="s">
        <v>202</v>
      </c>
      <c r="D196" s="83" t="s">
        <v>203</v>
      </c>
      <c r="E196" s="84"/>
      <c r="F196" s="84"/>
      <c r="G196" s="84"/>
      <c r="H196" s="84"/>
      <c r="I196" s="2" t="s">
        <v>31</v>
      </c>
      <c r="J196" s="17">
        <v>23</v>
      </c>
      <c r="K196" s="17"/>
      <c r="L196" s="18">
        <f t="shared" si="14"/>
        <v>0</v>
      </c>
      <c r="HV196" s="2" t="s">
        <v>111</v>
      </c>
      <c r="HW196" s="2" t="s">
        <v>32</v>
      </c>
      <c r="IR196" s="19">
        <f>K196*0.562168142</f>
        <v>0</v>
      </c>
      <c r="IS196" s="19">
        <f>K196*(1-0.562168142)</f>
        <v>0</v>
      </c>
    </row>
    <row r="197" spans="1:253" x14ac:dyDescent="0.25">
      <c r="A197" s="16">
        <v>190</v>
      </c>
      <c r="B197" s="2" t="s">
        <v>210</v>
      </c>
      <c r="C197" s="2" t="s">
        <v>141</v>
      </c>
      <c r="D197" s="83" t="s">
        <v>142</v>
      </c>
      <c r="E197" s="84"/>
      <c r="F197" s="84"/>
      <c r="G197" s="84"/>
      <c r="H197" s="84"/>
      <c r="I197" s="2" t="s">
        <v>31</v>
      </c>
      <c r="J197" s="17">
        <v>26</v>
      </c>
      <c r="K197" s="17"/>
      <c r="L197" s="18">
        <f t="shared" si="14"/>
        <v>0</v>
      </c>
      <c r="HV197" s="2" t="s">
        <v>111</v>
      </c>
      <c r="HW197" s="2" t="s">
        <v>32</v>
      </c>
      <c r="IR197" s="19">
        <f t="shared" ref="IR197:IR202" si="15">K197*1</f>
        <v>0</v>
      </c>
      <c r="IS197" s="19">
        <f t="shared" ref="IS197:IS202" si="16">K197*(1-1)</f>
        <v>0</v>
      </c>
    </row>
    <row r="198" spans="1:253" x14ac:dyDescent="0.25">
      <c r="A198" s="16">
        <v>191</v>
      </c>
      <c r="B198" s="2" t="s">
        <v>210</v>
      </c>
      <c r="C198" s="2" t="s">
        <v>143</v>
      </c>
      <c r="D198" s="83" t="s">
        <v>144</v>
      </c>
      <c r="E198" s="84"/>
      <c r="F198" s="84"/>
      <c r="G198" s="84"/>
      <c r="H198" s="84"/>
      <c r="I198" s="2" t="s">
        <v>31</v>
      </c>
      <c r="J198" s="17">
        <v>19</v>
      </c>
      <c r="K198" s="17"/>
      <c r="L198" s="18">
        <f t="shared" si="14"/>
        <v>0</v>
      </c>
      <c r="HV198" s="2" t="s">
        <v>111</v>
      </c>
      <c r="HW198" s="2" t="s">
        <v>32</v>
      </c>
      <c r="IR198" s="19">
        <f t="shared" si="15"/>
        <v>0</v>
      </c>
      <c r="IS198" s="19">
        <f t="shared" si="16"/>
        <v>0</v>
      </c>
    </row>
    <row r="199" spans="1:253" x14ac:dyDescent="0.25">
      <c r="A199" s="16">
        <v>192</v>
      </c>
      <c r="B199" s="2" t="s">
        <v>210</v>
      </c>
      <c r="C199" s="2" t="s">
        <v>145</v>
      </c>
      <c r="D199" s="83" t="s">
        <v>146</v>
      </c>
      <c r="E199" s="84"/>
      <c r="F199" s="84"/>
      <c r="G199" s="84"/>
      <c r="H199" s="84"/>
      <c r="I199" s="2" t="s">
        <v>35</v>
      </c>
      <c r="J199" s="17">
        <v>34</v>
      </c>
      <c r="K199" s="17"/>
      <c r="L199" s="18">
        <f t="shared" si="14"/>
        <v>0</v>
      </c>
      <c r="HV199" s="2" t="s">
        <v>111</v>
      </c>
      <c r="HW199" s="2" t="s">
        <v>32</v>
      </c>
      <c r="IR199" s="19">
        <f t="shared" si="15"/>
        <v>0</v>
      </c>
      <c r="IS199" s="19">
        <f t="shared" si="16"/>
        <v>0</v>
      </c>
    </row>
    <row r="200" spans="1:253" x14ac:dyDescent="0.25">
      <c r="A200" s="16">
        <v>193</v>
      </c>
      <c r="B200" s="2" t="s">
        <v>210</v>
      </c>
      <c r="C200" s="2" t="s">
        <v>204</v>
      </c>
      <c r="D200" s="83" t="s">
        <v>205</v>
      </c>
      <c r="E200" s="84"/>
      <c r="F200" s="84"/>
      <c r="G200" s="84"/>
      <c r="H200" s="84"/>
      <c r="I200" s="2" t="s">
        <v>35</v>
      </c>
      <c r="J200" s="17">
        <v>4</v>
      </c>
      <c r="K200" s="17"/>
      <c r="L200" s="18">
        <f t="shared" si="14"/>
        <v>0</v>
      </c>
      <c r="HV200" s="2" t="s">
        <v>111</v>
      </c>
      <c r="HW200" s="2" t="s">
        <v>32</v>
      </c>
      <c r="IR200" s="19">
        <f t="shared" si="15"/>
        <v>0</v>
      </c>
      <c r="IS200" s="19">
        <f t="shared" si="16"/>
        <v>0</v>
      </c>
    </row>
    <row r="201" spans="1:253" x14ac:dyDescent="0.25">
      <c r="A201" s="16">
        <v>194</v>
      </c>
      <c r="B201" s="2" t="s">
        <v>210</v>
      </c>
      <c r="C201" s="2" t="s">
        <v>149</v>
      </c>
      <c r="D201" s="83" t="s">
        <v>150</v>
      </c>
      <c r="E201" s="84"/>
      <c r="F201" s="84"/>
      <c r="G201" s="84"/>
      <c r="H201" s="84"/>
      <c r="I201" s="2" t="s">
        <v>35</v>
      </c>
      <c r="J201" s="17">
        <v>17</v>
      </c>
      <c r="K201" s="17"/>
      <c r="L201" s="18">
        <f t="shared" si="14"/>
        <v>0</v>
      </c>
      <c r="HV201" s="2" t="s">
        <v>111</v>
      </c>
      <c r="HW201" s="2" t="s">
        <v>32</v>
      </c>
      <c r="IR201" s="19">
        <f t="shared" si="15"/>
        <v>0</v>
      </c>
      <c r="IS201" s="19">
        <f t="shared" si="16"/>
        <v>0</v>
      </c>
    </row>
    <row r="202" spans="1:253" x14ac:dyDescent="0.25">
      <c r="A202" s="16">
        <v>195</v>
      </c>
      <c r="B202" s="2" t="s">
        <v>210</v>
      </c>
      <c r="C202" s="2" t="s">
        <v>216</v>
      </c>
      <c r="D202" s="83" t="s">
        <v>217</v>
      </c>
      <c r="E202" s="84"/>
      <c r="F202" s="84"/>
      <c r="G202" s="84"/>
      <c r="H202" s="84"/>
      <c r="I202" s="2" t="s">
        <v>35</v>
      </c>
      <c r="J202" s="17">
        <v>2</v>
      </c>
      <c r="K202" s="17"/>
      <c r="L202" s="18">
        <f t="shared" si="14"/>
        <v>0</v>
      </c>
      <c r="HV202" s="2" t="s">
        <v>111</v>
      </c>
      <c r="HW202" s="2" t="s">
        <v>32</v>
      </c>
      <c r="IR202" s="19">
        <f t="shared" si="15"/>
        <v>0</v>
      </c>
      <c r="IS202" s="19">
        <f t="shared" si="16"/>
        <v>0</v>
      </c>
    </row>
    <row r="203" spans="1:253" x14ac:dyDescent="0.25">
      <c r="A203" s="16">
        <v>196</v>
      </c>
      <c r="B203" s="2" t="s">
        <v>210</v>
      </c>
      <c r="C203" s="2" t="s">
        <v>153</v>
      </c>
      <c r="D203" s="83" t="s">
        <v>154</v>
      </c>
      <c r="E203" s="84"/>
      <c r="F203" s="84"/>
      <c r="G203" s="84"/>
      <c r="H203" s="84"/>
      <c r="I203" s="2" t="s">
        <v>35</v>
      </c>
      <c r="J203" s="17">
        <v>6</v>
      </c>
      <c r="K203" s="17"/>
      <c r="L203" s="18">
        <f t="shared" si="14"/>
        <v>0</v>
      </c>
      <c r="HV203" s="2" t="s">
        <v>111</v>
      </c>
      <c r="HW203" s="2" t="s">
        <v>32</v>
      </c>
      <c r="IR203" s="19">
        <f>K203*0.728219476</f>
        <v>0</v>
      </c>
      <c r="IS203" s="19">
        <f>K203*(1-0.728219476)</f>
        <v>0</v>
      </c>
    </row>
    <row r="204" spans="1:253" x14ac:dyDescent="0.25">
      <c r="A204" s="16">
        <v>197</v>
      </c>
      <c r="B204" s="2" t="s">
        <v>210</v>
      </c>
      <c r="C204" s="2" t="s">
        <v>155</v>
      </c>
      <c r="D204" s="83" t="s">
        <v>156</v>
      </c>
      <c r="E204" s="84"/>
      <c r="F204" s="84"/>
      <c r="G204" s="84"/>
      <c r="H204" s="84"/>
      <c r="I204" s="2" t="s">
        <v>35</v>
      </c>
      <c r="J204" s="17">
        <v>2</v>
      </c>
      <c r="K204" s="17"/>
      <c r="L204" s="18">
        <f t="shared" si="14"/>
        <v>0</v>
      </c>
      <c r="HV204" s="2" t="s">
        <v>111</v>
      </c>
      <c r="HW204" s="2" t="s">
        <v>32</v>
      </c>
      <c r="IR204" s="19">
        <f>K204*0.758083788</f>
        <v>0</v>
      </c>
      <c r="IS204" s="19">
        <f>K204*(1-0.758083788)</f>
        <v>0</v>
      </c>
    </row>
    <row r="205" spans="1:253" x14ac:dyDescent="0.25">
      <c r="A205" s="16">
        <v>198</v>
      </c>
      <c r="B205" s="2" t="s">
        <v>210</v>
      </c>
      <c r="C205" s="2" t="s">
        <v>157</v>
      </c>
      <c r="D205" s="83" t="s">
        <v>158</v>
      </c>
      <c r="E205" s="84"/>
      <c r="F205" s="84"/>
      <c r="G205" s="84"/>
      <c r="H205" s="84"/>
      <c r="I205" s="2" t="s">
        <v>35</v>
      </c>
      <c r="J205" s="17">
        <v>10</v>
      </c>
      <c r="K205" s="17"/>
      <c r="L205" s="18">
        <f t="shared" si="14"/>
        <v>0</v>
      </c>
      <c r="HV205" s="2" t="s">
        <v>111</v>
      </c>
      <c r="HW205" s="2" t="s">
        <v>32</v>
      </c>
      <c r="IR205" s="19">
        <f>K205*0.817316456</f>
        <v>0</v>
      </c>
      <c r="IS205" s="19">
        <f>K205*(1-0.817316456)</f>
        <v>0</v>
      </c>
    </row>
    <row r="206" spans="1:253" x14ac:dyDescent="0.25">
      <c r="A206" s="16">
        <v>199</v>
      </c>
      <c r="B206" s="2" t="s">
        <v>210</v>
      </c>
      <c r="C206" s="2" t="s">
        <v>218</v>
      </c>
      <c r="D206" s="83" t="s">
        <v>219</v>
      </c>
      <c r="E206" s="84"/>
      <c r="F206" s="84"/>
      <c r="G206" s="84"/>
      <c r="H206" s="84"/>
      <c r="I206" s="2" t="s">
        <v>35</v>
      </c>
      <c r="J206" s="17">
        <v>2</v>
      </c>
      <c r="K206" s="17"/>
      <c r="L206" s="18">
        <f t="shared" si="14"/>
        <v>0</v>
      </c>
      <c r="HV206" s="2" t="s">
        <v>111</v>
      </c>
      <c r="HW206" s="2" t="s">
        <v>32</v>
      </c>
      <c r="IR206" s="19">
        <f>K206*0.8670943</f>
        <v>0</v>
      </c>
      <c r="IS206" s="19">
        <f>K206*(1-0.8670943)</f>
        <v>0</v>
      </c>
    </row>
    <row r="207" spans="1:253" x14ac:dyDescent="0.25">
      <c r="A207" s="16">
        <v>200</v>
      </c>
      <c r="B207" s="2" t="s">
        <v>210</v>
      </c>
      <c r="C207" s="2" t="s">
        <v>161</v>
      </c>
      <c r="D207" s="83" t="s">
        <v>162</v>
      </c>
      <c r="E207" s="84"/>
      <c r="F207" s="84"/>
      <c r="G207" s="84"/>
      <c r="H207" s="84"/>
      <c r="I207" s="2" t="s">
        <v>35</v>
      </c>
      <c r="J207" s="17">
        <v>15</v>
      </c>
      <c r="K207" s="17"/>
      <c r="L207" s="18">
        <f t="shared" si="14"/>
        <v>0</v>
      </c>
      <c r="HV207" s="2" t="s">
        <v>111</v>
      </c>
      <c r="HW207" s="2" t="s">
        <v>32</v>
      </c>
      <c r="IR207" s="19">
        <f>K207*0.339139785</f>
        <v>0</v>
      </c>
      <c r="IS207" s="19">
        <f>K207*(1-0.339139785)</f>
        <v>0</v>
      </c>
    </row>
    <row r="208" spans="1:253" x14ac:dyDescent="0.25">
      <c r="A208" s="16">
        <v>201</v>
      </c>
      <c r="B208" s="2" t="s">
        <v>210</v>
      </c>
      <c r="C208" s="2" t="s">
        <v>163</v>
      </c>
      <c r="D208" s="83" t="s">
        <v>164</v>
      </c>
      <c r="E208" s="84"/>
      <c r="F208" s="84"/>
      <c r="G208" s="84"/>
      <c r="H208" s="84"/>
      <c r="I208" s="2" t="s">
        <v>35</v>
      </c>
      <c r="J208" s="17">
        <v>15</v>
      </c>
      <c r="K208" s="17"/>
      <c r="L208" s="18">
        <f t="shared" si="14"/>
        <v>0</v>
      </c>
      <c r="HV208" s="2" t="s">
        <v>111</v>
      </c>
      <c r="HW208" s="2" t="s">
        <v>165</v>
      </c>
      <c r="IR208" s="19">
        <f>K208*1</f>
        <v>0</v>
      </c>
      <c r="IS208" s="19">
        <f>K208*(1-1)</f>
        <v>0</v>
      </c>
    </row>
    <row r="209" spans="1:253" x14ac:dyDescent="0.25">
      <c r="A209" s="16">
        <v>202</v>
      </c>
      <c r="B209" s="2" t="s">
        <v>210</v>
      </c>
      <c r="C209" s="2" t="s">
        <v>166</v>
      </c>
      <c r="D209" s="83" t="s">
        <v>167</v>
      </c>
      <c r="E209" s="84"/>
      <c r="F209" s="84"/>
      <c r="G209" s="84"/>
      <c r="H209" s="84"/>
      <c r="I209" s="2" t="s">
        <v>35</v>
      </c>
      <c r="J209" s="17">
        <v>4</v>
      </c>
      <c r="K209" s="17"/>
      <c r="L209" s="18">
        <f t="shared" si="14"/>
        <v>0</v>
      </c>
      <c r="HV209" s="2" t="s">
        <v>111</v>
      </c>
      <c r="HW209" s="2" t="s">
        <v>32</v>
      </c>
      <c r="IR209" s="19">
        <f>K209*0.03926582</f>
        <v>0</v>
      </c>
      <c r="IS209" s="19">
        <f>K209*(1-0.03926582)</f>
        <v>0</v>
      </c>
    </row>
    <row r="210" spans="1:253" x14ac:dyDescent="0.25">
      <c r="A210" s="16">
        <v>203</v>
      </c>
      <c r="B210" s="2" t="s">
        <v>210</v>
      </c>
      <c r="C210" s="2" t="s">
        <v>168</v>
      </c>
      <c r="D210" s="83" t="s">
        <v>169</v>
      </c>
      <c r="E210" s="84"/>
      <c r="F210" s="84"/>
      <c r="G210" s="84"/>
      <c r="H210" s="84"/>
      <c r="I210" s="2" t="s">
        <v>35</v>
      </c>
      <c r="J210" s="17">
        <v>4</v>
      </c>
      <c r="K210" s="17"/>
      <c r="L210" s="18">
        <f t="shared" si="14"/>
        <v>0</v>
      </c>
      <c r="HV210" s="2" t="s">
        <v>111</v>
      </c>
      <c r="HW210" s="2" t="s">
        <v>165</v>
      </c>
      <c r="IR210" s="19">
        <f>K210*1</f>
        <v>0</v>
      </c>
      <c r="IS210" s="19">
        <f>K210*(1-1)</f>
        <v>0</v>
      </c>
    </row>
    <row r="211" spans="1:253" x14ac:dyDescent="0.25">
      <c r="A211" s="16">
        <v>204</v>
      </c>
      <c r="B211" s="2" t="s">
        <v>210</v>
      </c>
      <c r="C211" s="2" t="s">
        <v>172</v>
      </c>
      <c r="D211" s="83" t="s">
        <v>173</v>
      </c>
      <c r="E211" s="84"/>
      <c r="F211" s="84"/>
      <c r="G211" s="84"/>
      <c r="H211" s="84"/>
      <c r="I211" s="2" t="s">
        <v>35</v>
      </c>
      <c r="J211" s="17">
        <v>1</v>
      </c>
      <c r="K211" s="17"/>
      <c r="L211" s="18">
        <f t="shared" si="14"/>
        <v>0</v>
      </c>
      <c r="HV211" s="2" t="s">
        <v>111</v>
      </c>
      <c r="HW211" s="2" t="s">
        <v>32</v>
      </c>
      <c r="IR211" s="19">
        <f>K211*0.05627451</f>
        <v>0</v>
      </c>
      <c r="IS211" s="19">
        <f>K211*(1-0.05627451)</f>
        <v>0</v>
      </c>
    </row>
    <row r="212" spans="1:253" x14ac:dyDescent="0.25">
      <c r="A212" s="16">
        <v>205</v>
      </c>
      <c r="B212" s="2" t="s">
        <v>210</v>
      </c>
      <c r="C212" s="2" t="s">
        <v>174</v>
      </c>
      <c r="D212" s="83" t="s">
        <v>175</v>
      </c>
      <c r="E212" s="84"/>
      <c r="F212" s="84"/>
      <c r="G212" s="84"/>
      <c r="H212" s="84"/>
      <c r="I212" s="2" t="s">
        <v>35</v>
      </c>
      <c r="J212" s="17">
        <v>1</v>
      </c>
      <c r="K212" s="17"/>
      <c r="L212" s="18">
        <f t="shared" si="14"/>
        <v>0</v>
      </c>
      <c r="HV212" s="2" t="s">
        <v>111</v>
      </c>
      <c r="HW212" s="2" t="s">
        <v>165</v>
      </c>
      <c r="IR212" s="19">
        <f>K212*1</f>
        <v>0</v>
      </c>
      <c r="IS212" s="19">
        <f>K212*(1-1)</f>
        <v>0</v>
      </c>
    </row>
    <row r="213" spans="1:253" x14ac:dyDescent="0.25">
      <c r="A213" s="16">
        <v>206</v>
      </c>
      <c r="B213" s="2" t="s">
        <v>210</v>
      </c>
      <c r="C213" s="2" t="s">
        <v>184</v>
      </c>
      <c r="D213" s="83" t="s">
        <v>185</v>
      </c>
      <c r="E213" s="84"/>
      <c r="F213" s="84"/>
      <c r="G213" s="84"/>
      <c r="H213" s="84"/>
      <c r="I213" s="2" t="s">
        <v>40</v>
      </c>
      <c r="J213" s="17">
        <v>3</v>
      </c>
      <c r="K213" s="17"/>
      <c r="L213" s="18">
        <f t="shared" si="14"/>
        <v>0</v>
      </c>
      <c r="HV213" s="2" t="s">
        <v>111</v>
      </c>
      <c r="HW213" s="2" t="s">
        <v>32</v>
      </c>
      <c r="IR213" s="19">
        <f>K213*0.615509036</f>
        <v>0</v>
      </c>
      <c r="IS213" s="19">
        <f>K213*(1-0.615509036)</f>
        <v>0</v>
      </c>
    </row>
    <row r="214" spans="1:253" x14ac:dyDescent="0.25">
      <c r="A214" s="16">
        <v>207</v>
      </c>
      <c r="B214" s="2" t="s">
        <v>210</v>
      </c>
      <c r="C214" s="2" t="s">
        <v>186</v>
      </c>
      <c r="D214" s="83" t="s">
        <v>1244</v>
      </c>
      <c r="E214" s="84"/>
      <c r="F214" s="84"/>
      <c r="G214" s="84"/>
      <c r="H214" s="84"/>
      <c r="I214" s="2" t="s">
        <v>1243</v>
      </c>
      <c r="J214" s="17">
        <v>1</v>
      </c>
      <c r="K214" s="17"/>
      <c r="L214" s="18">
        <f t="shared" si="14"/>
        <v>0</v>
      </c>
      <c r="HV214" s="2" t="s">
        <v>111</v>
      </c>
      <c r="HW214" s="2" t="s">
        <v>32</v>
      </c>
      <c r="IR214" s="19">
        <f>K214*0.014893617</f>
        <v>0</v>
      </c>
      <c r="IS214" s="19">
        <f>K214*(1-0.014893617)</f>
        <v>0</v>
      </c>
    </row>
    <row r="215" spans="1:253" x14ac:dyDescent="0.25">
      <c r="A215" s="16">
        <v>210</v>
      </c>
      <c r="B215" s="2" t="s">
        <v>210</v>
      </c>
      <c r="C215" s="2" t="s">
        <v>192</v>
      </c>
      <c r="D215" s="83" t="s">
        <v>193</v>
      </c>
      <c r="E215" s="84"/>
      <c r="F215" s="84"/>
      <c r="G215" s="84"/>
      <c r="H215" s="84"/>
      <c r="I215" s="2" t="s">
        <v>88</v>
      </c>
      <c r="J215" s="17">
        <v>0.1</v>
      </c>
      <c r="K215" s="17"/>
      <c r="L215" s="18">
        <f t="shared" si="14"/>
        <v>0</v>
      </c>
      <c r="HV215" s="2" t="s">
        <v>111</v>
      </c>
      <c r="HW215" s="2" t="s">
        <v>32</v>
      </c>
      <c r="IR215" s="19">
        <f>K215*0</f>
        <v>0</v>
      </c>
      <c r="IS215" s="19">
        <f>K215*(1-0)</f>
        <v>0</v>
      </c>
    </row>
    <row r="216" spans="1:253" x14ac:dyDescent="0.25">
      <c r="A216" s="16">
        <v>211</v>
      </c>
      <c r="B216" s="2" t="s">
        <v>210</v>
      </c>
      <c r="C216" s="2" t="s">
        <v>194</v>
      </c>
      <c r="D216" s="83" t="s">
        <v>195</v>
      </c>
      <c r="E216" s="84"/>
      <c r="F216" s="84"/>
      <c r="G216" s="84"/>
      <c r="H216" s="84"/>
      <c r="I216" s="2" t="s">
        <v>45</v>
      </c>
      <c r="J216" s="17"/>
      <c r="K216" s="17"/>
      <c r="L216" s="18">
        <f t="shared" si="14"/>
        <v>0</v>
      </c>
      <c r="HV216" s="2" t="s">
        <v>111</v>
      </c>
      <c r="HW216" s="2" t="s">
        <v>32</v>
      </c>
      <c r="IR216" s="19">
        <f>K216*0</f>
        <v>0</v>
      </c>
      <c r="IS216" s="19">
        <f>K216*(1-0)</f>
        <v>0</v>
      </c>
    </row>
    <row r="217" spans="1:253" x14ac:dyDescent="0.25">
      <c r="A217" s="12" t="s">
        <v>23</v>
      </c>
      <c r="B217" s="13" t="s">
        <v>220</v>
      </c>
      <c r="C217" s="13" t="s">
        <v>25</v>
      </c>
      <c r="D217" s="135" t="s">
        <v>221</v>
      </c>
      <c r="E217" s="136"/>
      <c r="F217" s="136"/>
      <c r="G217" s="136"/>
      <c r="H217" s="136"/>
      <c r="I217" s="13" t="s">
        <v>23</v>
      </c>
      <c r="J217" s="14" t="s">
        <v>23</v>
      </c>
      <c r="K217" s="14"/>
      <c r="L217" s="15">
        <f>L218+L223+L242</f>
        <v>0</v>
      </c>
    </row>
    <row r="218" spans="1:253" x14ac:dyDescent="0.25">
      <c r="A218" s="12" t="s">
        <v>23</v>
      </c>
      <c r="B218" s="13" t="s">
        <v>220</v>
      </c>
      <c r="C218" s="13" t="s">
        <v>52</v>
      </c>
      <c r="D218" s="135" t="s">
        <v>53</v>
      </c>
      <c r="E218" s="136"/>
      <c r="F218" s="136"/>
      <c r="G218" s="136"/>
      <c r="H218" s="136"/>
      <c r="I218" s="13" t="s">
        <v>23</v>
      </c>
      <c r="J218" s="14" t="s">
        <v>23</v>
      </c>
      <c r="K218" s="14"/>
      <c r="L218" s="15">
        <f>SUM(L219:L222)</f>
        <v>0</v>
      </c>
    </row>
    <row r="219" spans="1:253" x14ac:dyDescent="0.25">
      <c r="A219" s="16">
        <v>212</v>
      </c>
      <c r="B219" s="2" t="s">
        <v>220</v>
      </c>
      <c r="C219" s="2" t="s">
        <v>222</v>
      </c>
      <c r="D219" s="83" t="s">
        <v>223</v>
      </c>
      <c r="E219" s="84"/>
      <c r="F219" s="84"/>
      <c r="G219" s="84"/>
      <c r="H219" s="84"/>
      <c r="I219" s="2" t="s">
        <v>35</v>
      </c>
      <c r="J219" s="17">
        <v>9</v>
      </c>
      <c r="K219" s="17"/>
      <c r="L219" s="18">
        <f>ROUND(IR219*J219+IS219*J219,2)</f>
        <v>0</v>
      </c>
      <c r="HV219" s="2" t="s">
        <v>52</v>
      </c>
      <c r="HW219" s="2" t="s">
        <v>32</v>
      </c>
      <c r="IR219" s="19">
        <f>K219*1</f>
        <v>0</v>
      </c>
      <c r="IS219" s="19">
        <f>K219*(1-1)</f>
        <v>0</v>
      </c>
    </row>
    <row r="220" spans="1:253" x14ac:dyDescent="0.25">
      <c r="A220" s="16">
        <v>213</v>
      </c>
      <c r="B220" s="2" t="s">
        <v>220</v>
      </c>
      <c r="C220" s="2" t="s">
        <v>224</v>
      </c>
      <c r="D220" s="83" t="s">
        <v>225</v>
      </c>
      <c r="E220" s="84"/>
      <c r="F220" s="84"/>
      <c r="G220" s="84"/>
      <c r="H220" s="84"/>
      <c r="I220" s="2" t="s">
        <v>35</v>
      </c>
      <c r="J220" s="17">
        <v>6</v>
      </c>
      <c r="K220" s="17"/>
      <c r="L220" s="18">
        <f>ROUND(IR220*J220+IS220*J220,2)</f>
        <v>0</v>
      </c>
      <c r="HV220" s="2" t="s">
        <v>52</v>
      </c>
      <c r="HW220" s="2" t="s">
        <v>32</v>
      </c>
      <c r="IR220" s="19">
        <f>K220*1</f>
        <v>0</v>
      </c>
      <c r="IS220" s="19">
        <f>K220*(1-1)</f>
        <v>0</v>
      </c>
    </row>
    <row r="221" spans="1:253" x14ac:dyDescent="0.25">
      <c r="A221" s="16">
        <v>214</v>
      </c>
      <c r="B221" s="2" t="s">
        <v>220</v>
      </c>
      <c r="C221" s="2" t="s">
        <v>226</v>
      </c>
      <c r="D221" s="83" t="s">
        <v>227</v>
      </c>
      <c r="E221" s="84"/>
      <c r="F221" s="84"/>
      <c r="G221" s="84"/>
      <c r="H221" s="84"/>
      <c r="I221" s="2" t="s">
        <v>35</v>
      </c>
      <c r="J221" s="17">
        <v>12</v>
      </c>
      <c r="K221" s="17"/>
      <c r="L221" s="18">
        <f>ROUND(IR221*J221+IS221*J221,2)</f>
        <v>0</v>
      </c>
      <c r="HV221" s="2" t="s">
        <v>52</v>
      </c>
      <c r="HW221" s="2" t="s">
        <v>32</v>
      </c>
      <c r="IR221" s="19">
        <f>K221*1</f>
        <v>0</v>
      </c>
      <c r="IS221" s="19">
        <f>K221*(1-1)</f>
        <v>0</v>
      </c>
    </row>
    <row r="222" spans="1:253" x14ac:dyDescent="0.25">
      <c r="A222" s="16">
        <v>215</v>
      </c>
      <c r="B222" s="2" t="s">
        <v>220</v>
      </c>
      <c r="C222" s="2" t="s">
        <v>56</v>
      </c>
      <c r="D222" s="83" t="s">
        <v>57</v>
      </c>
      <c r="E222" s="84"/>
      <c r="F222" s="84"/>
      <c r="G222" s="84"/>
      <c r="H222" s="84"/>
      <c r="I222" s="2" t="s">
        <v>45</v>
      </c>
      <c r="J222" s="17"/>
      <c r="K222" s="17"/>
      <c r="L222" s="18">
        <f>ROUND(IR222*J222+IS222*J222,2)</f>
        <v>0</v>
      </c>
      <c r="HV222" s="2" t="s">
        <v>52</v>
      </c>
      <c r="HW222" s="2" t="s">
        <v>32</v>
      </c>
      <c r="IR222" s="19">
        <f>K222*0</f>
        <v>0</v>
      </c>
      <c r="IS222" s="19">
        <f>K222*(1-0)</f>
        <v>0</v>
      </c>
    </row>
    <row r="223" spans="1:253" x14ac:dyDescent="0.25">
      <c r="A223" s="12" t="s">
        <v>23</v>
      </c>
      <c r="B223" s="13" t="s">
        <v>220</v>
      </c>
      <c r="C223" s="13" t="s">
        <v>111</v>
      </c>
      <c r="D223" s="135" t="s">
        <v>112</v>
      </c>
      <c r="E223" s="136"/>
      <c r="F223" s="136"/>
      <c r="G223" s="136"/>
      <c r="H223" s="136"/>
      <c r="I223" s="13" t="s">
        <v>23</v>
      </c>
      <c r="J223" s="14" t="s">
        <v>23</v>
      </c>
      <c r="K223" s="14"/>
      <c r="L223" s="15">
        <f>SUM(L224:L241)</f>
        <v>0</v>
      </c>
    </row>
    <row r="224" spans="1:253" x14ac:dyDescent="0.25">
      <c r="A224" s="16">
        <v>216</v>
      </c>
      <c r="B224" s="2" t="s">
        <v>220</v>
      </c>
      <c r="C224" s="2" t="s">
        <v>113</v>
      </c>
      <c r="D224" s="83" t="s">
        <v>114</v>
      </c>
      <c r="E224" s="84"/>
      <c r="F224" s="84"/>
      <c r="G224" s="84"/>
      <c r="H224" s="84"/>
      <c r="I224" s="2" t="s">
        <v>31</v>
      </c>
      <c r="J224" s="17">
        <v>89</v>
      </c>
      <c r="K224" s="17"/>
      <c r="L224" s="18">
        <f t="shared" ref="L224:L241" si="17">ROUND(IR224*J224+IS224*J224,2)</f>
        <v>0</v>
      </c>
      <c r="HV224" s="2" t="s">
        <v>111</v>
      </c>
      <c r="HW224" s="2" t="s">
        <v>32</v>
      </c>
      <c r="IR224" s="19">
        <f>K224*0</f>
        <v>0</v>
      </c>
      <c r="IS224" s="19">
        <f>K224*(1-0)</f>
        <v>0</v>
      </c>
    </row>
    <row r="225" spans="1:253" x14ac:dyDescent="0.25">
      <c r="A225" s="16">
        <v>217</v>
      </c>
      <c r="B225" s="2" t="s">
        <v>220</v>
      </c>
      <c r="C225" s="2" t="s">
        <v>228</v>
      </c>
      <c r="D225" s="83" t="s">
        <v>229</v>
      </c>
      <c r="E225" s="84"/>
      <c r="F225" s="84"/>
      <c r="G225" s="84"/>
      <c r="H225" s="84"/>
      <c r="I225" s="2" t="s">
        <v>35</v>
      </c>
      <c r="J225" s="17">
        <v>18</v>
      </c>
      <c r="K225" s="17"/>
      <c r="L225" s="18">
        <f t="shared" si="17"/>
        <v>0</v>
      </c>
      <c r="HV225" s="2" t="s">
        <v>111</v>
      </c>
      <c r="HW225" s="2" t="s">
        <v>32</v>
      </c>
      <c r="IR225" s="19">
        <f>K225*0.274019715</f>
        <v>0</v>
      </c>
      <c r="IS225" s="19">
        <f>K225*(1-0.274019715)</f>
        <v>0</v>
      </c>
    </row>
    <row r="226" spans="1:253" x14ac:dyDescent="0.25">
      <c r="A226" s="16">
        <v>218</v>
      </c>
      <c r="B226" s="2" t="s">
        <v>220</v>
      </c>
      <c r="C226" s="2" t="s">
        <v>117</v>
      </c>
      <c r="D226" s="83" t="s">
        <v>118</v>
      </c>
      <c r="E226" s="84"/>
      <c r="F226" s="84"/>
      <c r="G226" s="84"/>
      <c r="H226" s="84"/>
      <c r="I226" s="2" t="s">
        <v>31</v>
      </c>
      <c r="J226" s="17">
        <v>35</v>
      </c>
      <c r="K226" s="17"/>
      <c r="L226" s="18">
        <f t="shared" si="17"/>
        <v>0</v>
      </c>
      <c r="HV226" s="2" t="s">
        <v>111</v>
      </c>
      <c r="HW226" s="2" t="s">
        <v>32</v>
      </c>
      <c r="IR226" s="19">
        <f>K226*0.433822435</f>
        <v>0</v>
      </c>
      <c r="IS226" s="19">
        <f>K226*(1-0.433822435)</f>
        <v>0</v>
      </c>
    </row>
    <row r="227" spans="1:253" x14ac:dyDescent="0.25">
      <c r="A227" s="16">
        <v>219</v>
      </c>
      <c r="B227" s="2" t="s">
        <v>220</v>
      </c>
      <c r="C227" s="2" t="s">
        <v>119</v>
      </c>
      <c r="D227" s="83" t="s">
        <v>120</v>
      </c>
      <c r="E227" s="84"/>
      <c r="F227" s="84"/>
      <c r="G227" s="84"/>
      <c r="H227" s="84"/>
      <c r="I227" s="2" t="s">
        <v>31</v>
      </c>
      <c r="J227" s="17">
        <v>18</v>
      </c>
      <c r="K227" s="17"/>
      <c r="L227" s="18">
        <f t="shared" si="17"/>
        <v>0</v>
      </c>
      <c r="HV227" s="2" t="s">
        <v>111</v>
      </c>
      <c r="HW227" s="2" t="s">
        <v>32</v>
      </c>
      <c r="IR227" s="19">
        <f>K227*0.499111111</f>
        <v>0</v>
      </c>
      <c r="IS227" s="19">
        <f>K227*(1-0.499111111)</f>
        <v>0</v>
      </c>
    </row>
    <row r="228" spans="1:253" x14ac:dyDescent="0.25">
      <c r="A228" s="16">
        <v>220</v>
      </c>
      <c r="B228" s="2" t="s">
        <v>220</v>
      </c>
      <c r="C228" s="2" t="s">
        <v>121</v>
      </c>
      <c r="D228" s="83" t="s">
        <v>122</v>
      </c>
      <c r="E228" s="84"/>
      <c r="F228" s="84"/>
      <c r="G228" s="84"/>
      <c r="H228" s="84"/>
      <c r="I228" s="2" t="s">
        <v>31</v>
      </c>
      <c r="J228" s="17">
        <v>36</v>
      </c>
      <c r="K228" s="17"/>
      <c r="L228" s="18">
        <f t="shared" si="17"/>
        <v>0</v>
      </c>
      <c r="HV228" s="2" t="s">
        <v>111</v>
      </c>
      <c r="HW228" s="2" t="s">
        <v>32</v>
      </c>
      <c r="IR228" s="19">
        <f>K228*0.578547486</f>
        <v>0</v>
      </c>
      <c r="IS228" s="19">
        <f>K228*(1-0.578547486)</f>
        <v>0</v>
      </c>
    </row>
    <row r="229" spans="1:253" x14ac:dyDescent="0.25">
      <c r="A229" s="16">
        <v>221</v>
      </c>
      <c r="B229" s="2" t="s">
        <v>220</v>
      </c>
      <c r="C229" s="2" t="s">
        <v>212</v>
      </c>
      <c r="D229" s="83" t="s">
        <v>213</v>
      </c>
      <c r="E229" s="84"/>
      <c r="F229" s="84"/>
      <c r="G229" s="84"/>
      <c r="H229" s="84"/>
      <c r="I229" s="2" t="s">
        <v>31</v>
      </c>
      <c r="J229" s="17">
        <v>9</v>
      </c>
      <c r="K229" s="17"/>
      <c r="L229" s="18">
        <f t="shared" si="17"/>
        <v>0</v>
      </c>
      <c r="HV229" s="2" t="s">
        <v>111</v>
      </c>
      <c r="HW229" s="2" t="s">
        <v>32</v>
      </c>
      <c r="IR229" s="19">
        <f>K229*0.230682632</f>
        <v>0</v>
      </c>
      <c r="IS229" s="19">
        <f>K229*(1-0.230682632)</f>
        <v>0</v>
      </c>
    </row>
    <row r="230" spans="1:253" x14ac:dyDescent="0.25">
      <c r="A230" s="16">
        <v>222</v>
      </c>
      <c r="B230" s="2" t="s">
        <v>220</v>
      </c>
      <c r="C230" s="2" t="s">
        <v>127</v>
      </c>
      <c r="D230" s="83" t="s">
        <v>128</v>
      </c>
      <c r="E230" s="84"/>
      <c r="F230" s="84"/>
      <c r="G230" s="84"/>
      <c r="H230" s="84"/>
      <c r="I230" s="2" t="s">
        <v>31</v>
      </c>
      <c r="J230" s="17">
        <v>9</v>
      </c>
      <c r="K230" s="17"/>
      <c r="L230" s="18">
        <f t="shared" si="17"/>
        <v>0</v>
      </c>
      <c r="HV230" s="2" t="s">
        <v>111</v>
      </c>
      <c r="HW230" s="2" t="s">
        <v>32</v>
      </c>
      <c r="IR230" s="19">
        <f>K230*0.244039835</f>
        <v>0</v>
      </c>
      <c r="IS230" s="19">
        <f>K230*(1-0.244039835)</f>
        <v>0</v>
      </c>
    </row>
    <row r="231" spans="1:253" x14ac:dyDescent="0.25">
      <c r="A231" s="16">
        <v>223</v>
      </c>
      <c r="B231" s="2" t="s">
        <v>220</v>
      </c>
      <c r="C231" s="2" t="s">
        <v>129</v>
      </c>
      <c r="D231" s="83" t="s">
        <v>130</v>
      </c>
      <c r="E231" s="84"/>
      <c r="F231" s="84"/>
      <c r="G231" s="84"/>
      <c r="H231" s="84"/>
      <c r="I231" s="2" t="s">
        <v>31</v>
      </c>
      <c r="J231" s="17">
        <v>18</v>
      </c>
      <c r="K231" s="17"/>
      <c r="L231" s="18">
        <f t="shared" si="17"/>
        <v>0</v>
      </c>
      <c r="HV231" s="2" t="s">
        <v>111</v>
      </c>
      <c r="HW231" s="2" t="s">
        <v>32</v>
      </c>
      <c r="IR231" s="19">
        <f>K231*0.242374429</f>
        <v>0</v>
      </c>
      <c r="IS231" s="19">
        <f>K231*(1-0.242374429)</f>
        <v>0</v>
      </c>
    </row>
    <row r="232" spans="1:253" x14ac:dyDescent="0.25">
      <c r="A232" s="16">
        <v>224</v>
      </c>
      <c r="B232" s="2" t="s">
        <v>220</v>
      </c>
      <c r="C232" s="2" t="s">
        <v>133</v>
      </c>
      <c r="D232" s="83" t="s">
        <v>134</v>
      </c>
      <c r="E232" s="84"/>
      <c r="F232" s="84"/>
      <c r="G232" s="84"/>
      <c r="H232" s="84"/>
      <c r="I232" s="2" t="s">
        <v>31</v>
      </c>
      <c r="J232" s="17">
        <v>26</v>
      </c>
      <c r="K232" s="17"/>
      <c r="L232" s="18">
        <f t="shared" si="17"/>
        <v>0</v>
      </c>
      <c r="HV232" s="2" t="s">
        <v>111</v>
      </c>
      <c r="HW232" s="2" t="s">
        <v>32</v>
      </c>
      <c r="IR232" s="19">
        <f>K232*0.496074089</f>
        <v>0</v>
      </c>
      <c r="IS232" s="19">
        <f>K232*(1-0.496074089)</f>
        <v>0</v>
      </c>
    </row>
    <row r="233" spans="1:253" x14ac:dyDescent="0.25">
      <c r="A233" s="16">
        <v>225</v>
      </c>
      <c r="B233" s="2" t="s">
        <v>220</v>
      </c>
      <c r="C233" s="2" t="s">
        <v>135</v>
      </c>
      <c r="D233" s="83" t="s">
        <v>136</v>
      </c>
      <c r="E233" s="84"/>
      <c r="F233" s="84"/>
      <c r="G233" s="84"/>
      <c r="H233" s="84"/>
      <c r="I233" s="2" t="s">
        <v>31</v>
      </c>
      <c r="J233" s="17">
        <v>9</v>
      </c>
      <c r="K233" s="17"/>
      <c r="L233" s="18">
        <f t="shared" si="17"/>
        <v>0</v>
      </c>
      <c r="HV233" s="2" t="s">
        <v>111</v>
      </c>
      <c r="HW233" s="2" t="s">
        <v>32</v>
      </c>
      <c r="IR233" s="19">
        <f>K233*0.523268364</f>
        <v>0</v>
      </c>
      <c r="IS233" s="19">
        <f>K233*(1-0.523268364)</f>
        <v>0</v>
      </c>
    </row>
    <row r="234" spans="1:253" x14ac:dyDescent="0.25">
      <c r="A234" s="16">
        <v>226</v>
      </c>
      <c r="B234" s="2" t="s">
        <v>220</v>
      </c>
      <c r="C234" s="2" t="s">
        <v>137</v>
      </c>
      <c r="D234" s="83" t="s">
        <v>138</v>
      </c>
      <c r="E234" s="84"/>
      <c r="F234" s="84"/>
      <c r="G234" s="84"/>
      <c r="H234" s="84"/>
      <c r="I234" s="2" t="s">
        <v>31</v>
      </c>
      <c r="J234" s="17">
        <v>18</v>
      </c>
      <c r="K234" s="17"/>
      <c r="L234" s="18">
        <f t="shared" si="17"/>
        <v>0</v>
      </c>
      <c r="HV234" s="2" t="s">
        <v>111</v>
      </c>
      <c r="HW234" s="2" t="s">
        <v>32</v>
      </c>
      <c r="IR234" s="19">
        <f>K234*0.527714286</f>
        <v>0</v>
      </c>
      <c r="IS234" s="19">
        <f>K234*(1-0.527714286)</f>
        <v>0</v>
      </c>
    </row>
    <row r="235" spans="1:253" x14ac:dyDescent="0.25">
      <c r="A235" s="16">
        <v>227</v>
      </c>
      <c r="B235" s="2" t="s">
        <v>220</v>
      </c>
      <c r="C235" s="2" t="s">
        <v>145</v>
      </c>
      <c r="D235" s="83" t="s">
        <v>146</v>
      </c>
      <c r="E235" s="84"/>
      <c r="F235" s="84"/>
      <c r="G235" s="84"/>
      <c r="H235" s="84"/>
      <c r="I235" s="2" t="s">
        <v>35</v>
      </c>
      <c r="J235" s="17">
        <v>36</v>
      </c>
      <c r="K235" s="17"/>
      <c r="L235" s="18">
        <f t="shared" si="17"/>
        <v>0</v>
      </c>
      <c r="HV235" s="2" t="s">
        <v>111</v>
      </c>
      <c r="HW235" s="2" t="s">
        <v>32</v>
      </c>
      <c r="IR235" s="19">
        <f>K235*1</f>
        <v>0</v>
      </c>
      <c r="IS235" s="19">
        <f>K235*(1-1)</f>
        <v>0</v>
      </c>
    </row>
    <row r="236" spans="1:253" x14ac:dyDescent="0.25">
      <c r="A236" s="16">
        <v>228</v>
      </c>
      <c r="B236" s="2" t="s">
        <v>220</v>
      </c>
      <c r="C236" s="2" t="s">
        <v>153</v>
      </c>
      <c r="D236" s="83" t="s">
        <v>230</v>
      </c>
      <c r="E236" s="84"/>
      <c r="F236" s="84"/>
      <c r="G236" s="84"/>
      <c r="H236" s="84"/>
      <c r="I236" s="2" t="s">
        <v>35</v>
      </c>
      <c r="J236" s="17">
        <v>18</v>
      </c>
      <c r="K236" s="17"/>
      <c r="L236" s="18">
        <f t="shared" si="17"/>
        <v>0</v>
      </c>
      <c r="HV236" s="2" t="s">
        <v>111</v>
      </c>
      <c r="HW236" s="2" t="s">
        <v>32</v>
      </c>
      <c r="IR236" s="19">
        <f>K236*0.728219476</f>
        <v>0</v>
      </c>
      <c r="IS236" s="19">
        <f>K236*(1-0.728219476)</f>
        <v>0</v>
      </c>
    </row>
    <row r="237" spans="1:253" x14ac:dyDescent="0.25">
      <c r="A237" s="16">
        <v>229</v>
      </c>
      <c r="B237" s="2" t="s">
        <v>220</v>
      </c>
      <c r="C237" s="2" t="s">
        <v>231</v>
      </c>
      <c r="D237" s="83" t="s">
        <v>232</v>
      </c>
      <c r="E237" s="84"/>
      <c r="F237" s="84"/>
      <c r="G237" s="84"/>
      <c r="H237" s="84"/>
      <c r="I237" s="2" t="s">
        <v>35</v>
      </c>
      <c r="J237" s="17">
        <v>18</v>
      </c>
      <c r="K237" s="17"/>
      <c r="L237" s="18">
        <f t="shared" si="17"/>
        <v>0</v>
      </c>
      <c r="HV237" s="2" t="s">
        <v>111</v>
      </c>
      <c r="HW237" s="2" t="s">
        <v>32</v>
      </c>
      <c r="IR237" s="19">
        <f>K237*0.699406894</f>
        <v>0</v>
      </c>
      <c r="IS237" s="19">
        <f>K237*(1-0.699406894)</f>
        <v>0</v>
      </c>
    </row>
    <row r="238" spans="1:253" x14ac:dyDescent="0.25">
      <c r="A238" s="16">
        <v>230</v>
      </c>
      <c r="B238" s="2" t="s">
        <v>220</v>
      </c>
      <c r="C238" s="2" t="s">
        <v>233</v>
      </c>
      <c r="D238" s="83" t="s">
        <v>1245</v>
      </c>
      <c r="E238" s="84"/>
      <c r="F238" s="84"/>
      <c r="G238" s="84"/>
      <c r="H238" s="84"/>
      <c r="I238" s="2" t="s">
        <v>35</v>
      </c>
      <c r="J238" s="17">
        <v>18</v>
      </c>
      <c r="K238" s="17"/>
      <c r="L238" s="18">
        <f t="shared" si="17"/>
        <v>0</v>
      </c>
      <c r="HV238" s="2" t="s">
        <v>111</v>
      </c>
      <c r="HW238" s="2" t="s">
        <v>32</v>
      </c>
      <c r="IR238" s="19">
        <f>K238*0</f>
        <v>0</v>
      </c>
      <c r="IS238" s="19">
        <f>K238*(1-0)</f>
        <v>0</v>
      </c>
    </row>
    <row r="239" spans="1:253" x14ac:dyDescent="0.25">
      <c r="A239" s="16">
        <v>233</v>
      </c>
      <c r="B239" s="2" t="s">
        <v>220</v>
      </c>
      <c r="C239" s="2" t="s">
        <v>186</v>
      </c>
      <c r="D239" s="83" t="s">
        <v>187</v>
      </c>
      <c r="E239" s="84"/>
      <c r="F239" s="84"/>
      <c r="G239" s="84"/>
      <c r="H239" s="84"/>
      <c r="I239" s="2" t="s">
        <v>1243</v>
      </c>
      <c r="J239" s="17">
        <v>1</v>
      </c>
      <c r="K239" s="17"/>
      <c r="L239" s="18">
        <f t="shared" si="17"/>
        <v>0</v>
      </c>
      <c r="HV239" s="2" t="s">
        <v>111</v>
      </c>
      <c r="HW239" s="2" t="s">
        <v>32</v>
      </c>
      <c r="IR239" s="19">
        <f>K239*0.014893617</f>
        <v>0</v>
      </c>
      <c r="IS239" s="19">
        <f>K239*(1-0.014893617)</f>
        <v>0</v>
      </c>
    </row>
    <row r="240" spans="1:253" x14ac:dyDescent="0.25">
      <c r="A240" s="16">
        <v>234</v>
      </c>
      <c r="B240" s="2" t="s">
        <v>220</v>
      </c>
      <c r="C240" s="2" t="s">
        <v>239</v>
      </c>
      <c r="D240" s="83" t="s">
        <v>240</v>
      </c>
      <c r="E240" s="84"/>
      <c r="F240" s="84"/>
      <c r="G240" s="84"/>
      <c r="H240" s="84"/>
      <c r="I240" s="2" t="s">
        <v>88</v>
      </c>
      <c r="J240" s="17">
        <v>0.1</v>
      </c>
      <c r="K240" s="17"/>
      <c r="L240" s="18">
        <f t="shared" si="17"/>
        <v>0</v>
      </c>
      <c r="HV240" s="2" t="s">
        <v>111</v>
      </c>
      <c r="HW240" s="2" t="s">
        <v>32</v>
      </c>
      <c r="IR240" s="19">
        <f>K240*0</f>
        <v>0</v>
      </c>
      <c r="IS240" s="19">
        <f>K240*(1-0)</f>
        <v>0</v>
      </c>
    </row>
    <row r="241" spans="1:253" x14ac:dyDescent="0.25">
      <c r="A241" s="16">
        <v>235</v>
      </c>
      <c r="B241" s="2" t="s">
        <v>220</v>
      </c>
      <c r="C241" s="2" t="s">
        <v>194</v>
      </c>
      <c r="D241" s="83" t="s">
        <v>195</v>
      </c>
      <c r="E241" s="84"/>
      <c r="F241" s="84"/>
      <c r="G241" s="84"/>
      <c r="H241" s="84"/>
      <c r="I241" s="2" t="s">
        <v>45</v>
      </c>
      <c r="J241" s="17"/>
      <c r="K241" s="17"/>
      <c r="L241" s="18">
        <f t="shared" si="17"/>
        <v>0</v>
      </c>
      <c r="HV241" s="2" t="s">
        <v>111</v>
      </c>
      <c r="HW241" s="2" t="s">
        <v>32</v>
      </c>
      <c r="IR241" s="19">
        <f>K241*0</f>
        <v>0</v>
      </c>
      <c r="IS241" s="19">
        <f>K241*(1-0)</f>
        <v>0</v>
      </c>
    </row>
    <row r="242" spans="1:253" x14ac:dyDescent="0.25">
      <c r="A242" s="12" t="s">
        <v>23</v>
      </c>
      <c r="B242" s="13" t="s">
        <v>220</v>
      </c>
      <c r="C242" s="13" t="s">
        <v>241</v>
      </c>
      <c r="D242" s="135" t="s">
        <v>242</v>
      </c>
      <c r="E242" s="136"/>
      <c r="F242" s="136"/>
      <c r="G242" s="136"/>
      <c r="H242" s="136"/>
      <c r="I242" s="13" t="s">
        <v>23</v>
      </c>
      <c r="J242" s="14" t="s">
        <v>23</v>
      </c>
      <c r="K242" s="14"/>
      <c r="L242" s="15">
        <f>SUM(L243:L247)</f>
        <v>0</v>
      </c>
    </row>
    <row r="243" spans="1:253" x14ac:dyDescent="0.25">
      <c r="A243" s="16">
        <v>236</v>
      </c>
      <c r="B243" s="2" t="s">
        <v>220</v>
      </c>
      <c r="C243" s="2" t="s">
        <v>243</v>
      </c>
      <c r="D243" s="83" t="s">
        <v>244</v>
      </c>
      <c r="E243" s="84"/>
      <c r="F243" s="84"/>
      <c r="G243" s="84"/>
      <c r="H243" s="84"/>
      <c r="I243" s="2" t="s">
        <v>40</v>
      </c>
      <c r="J243" s="17">
        <v>6</v>
      </c>
      <c r="K243" s="17"/>
      <c r="L243" s="18">
        <f>ROUND(IR243*J243+IS243*J243,2)</f>
        <v>0</v>
      </c>
      <c r="HV243" s="2" t="s">
        <v>241</v>
      </c>
      <c r="HW243" s="2" t="s">
        <v>32</v>
      </c>
      <c r="IR243" s="19">
        <f>K243*0</f>
        <v>0</v>
      </c>
      <c r="IS243" s="19">
        <f>K243*(1-0)</f>
        <v>0</v>
      </c>
    </row>
    <row r="244" spans="1:253" x14ac:dyDescent="0.25">
      <c r="A244" s="16">
        <v>237</v>
      </c>
      <c r="B244" s="2" t="s">
        <v>220</v>
      </c>
      <c r="C244" s="2" t="s">
        <v>245</v>
      </c>
      <c r="D244" s="83" t="s">
        <v>246</v>
      </c>
      <c r="E244" s="84"/>
      <c r="F244" s="84"/>
      <c r="G244" s="84"/>
      <c r="H244" s="84"/>
      <c r="I244" s="2" t="s">
        <v>40</v>
      </c>
      <c r="J244" s="17">
        <v>6</v>
      </c>
      <c r="K244" s="17"/>
      <c r="L244" s="18">
        <f>ROUND(IR244*J244+IS244*J244,2)</f>
        <v>0</v>
      </c>
      <c r="HV244" s="2" t="s">
        <v>241</v>
      </c>
      <c r="HW244" s="2" t="s">
        <v>32</v>
      </c>
      <c r="IR244" s="19">
        <f>K244*0.443493724</f>
        <v>0</v>
      </c>
      <c r="IS244" s="19">
        <f>K244*(1-0.443493724)</f>
        <v>0</v>
      </c>
    </row>
    <row r="245" spans="1:253" x14ac:dyDescent="0.25">
      <c r="A245" s="16">
        <v>238</v>
      </c>
      <c r="B245" s="2" t="s">
        <v>220</v>
      </c>
      <c r="C245" s="2" t="s">
        <v>247</v>
      </c>
      <c r="D245" s="83" t="s">
        <v>248</v>
      </c>
      <c r="E245" s="84"/>
      <c r="F245" s="84"/>
      <c r="G245" s="84"/>
      <c r="H245" s="84"/>
      <c r="I245" s="2" t="s">
        <v>40</v>
      </c>
      <c r="J245" s="17">
        <v>3</v>
      </c>
      <c r="K245" s="17"/>
      <c r="L245" s="18">
        <f>ROUND(IR245*J245+IS245*J245,2)</f>
        <v>0</v>
      </c>
      <c r="HV245" s="2" t="s">
        <v>241</v>
      </c>
      <c r="HW245" s="2" t="s">
        <v>32</v>
      </c>
      <c r="IR245" s="19">
        <f>K245*0</f>
        <v>0</v>
      </c>
      <c r="IS245" s="19">
        <f>K245*(1-0)</f>
        <v>0</v>
      </c>
    </row>
    <row r="246" spans="1:253" x14ac:dyDescent="0.25">
      <c r="A246" s="16">
        <v>239</v>
      </c>
      <c r="B246" s="2" t="s">
        <v>220</v>
      </c>
      <c r="C246" s="2" t="s">
        <v>249</v>
      </c>
      <c r="D246" s="83" t="s">
        <v>250</v>
      </c>
      <c r="E246" s="84"/>
      <c r="F246" s="84"/>
      <c r="G246" s="84"/>
      <c r="H246" s="84"/>
      <c r="I246" s="2" t="s">
        <v>35</v>
      </c>
      <c r="J246" s="17">
        <v>3</v>
      </c>
      <c r="K246" s="17"/>
      <c r="L246" s="18">
        <f>ROUND(IR246*J246+IS246*J246,2)</f>
        <v>0</v>
      </c>
      <c r="HV246" s="2" t="s">
        <v>241</v>
      </c>
      <c r="HW246" s="2" t="s">
        <v>32</v>
      </c>
      <c r="IR246" s="19">
        <f>K246*0.05555367</f>
        <v>0</v>
      </c>
      <c r="IS246" s="19">
        <f>K246*(1-0.05555367)</f>
        <v>0</v>
      </c>
    </row>
    <row r="247" spans="1:253" x14ac:dyDescent="0.25">
      <c r="A247" s="16">
        <v>240</v>
      </c>
      <c r="B247" s="2" t="s">
        <v>220</v>
      </c>
      <c r="C247" s="2" t="s">
        <v>251</v>
      </c>
      <c r="D247" s="83" t="s">
        <v>252</v>
      </c>
      <c r="E247" s="84"/>
      <c r="F247" s="84"/>
      <c r="G247" s="84"/>
      <c r="H247" s="84"/>
      <c r="I247" s="2" t="s">
        <v>45</v>
      </c>
      <c r="J247" s="17"/>
      <c r="K247" s="17"/>
      <c r="L247" s="18">
        <f>ROUND(IR247*J247+IS247*J247,2)</f>
        <v>0</v>
      </c>
      <c r="HV247" s="2" t="s">
        <v>241</v>
      </c>
      <c r="HW247" s="2" t="s">
        <v>32</v>
      </c>
      <c r="IR247" s="19">
        <f>K247*0</f>
        <v>0</v>
      </c>
      <c r="IS247" s="19">
        <f>K247*(1-0)</f>
        <v>0</v>
      </c>
    </row>
    <row r="248" spans="1:253" x14ac:dyDescent="0.25">
      <c r="A248" s="12" t="s">
        <v>23</v>
      </c>
      <c r="B248" s="13" t="s">
        <v>253</v>
      </c>
      <c r="C248" s="13" t="s">
        <v>25</v>
      </c>
      <c r="D248" s="135" t="s">
        <v>254</v>
      </c>
      <c r="E248" s="136"/>
      <c r="F248" s="136"/>
      <c r="G248" s="136"/>
      <c r="H248" s="136"/>
      <c r="I248" s="13" t="s">
        <v>23</v>
      </c>
      <c r="J248" s="14" t="s">
        <v>23</v>
      </c>
      <c r="K248" s="14"/>
      <c r="L248" s="15">
        <f>L249+L254+L273</f>
        <v>0</v>
      </c>
    </row>
    <row r="249" spans="1:253" x14ac:dyDescent="0.25">
      <c r="A249" s="12" t="s">
        <v>23</v>
      </c>
      <c r="B249" s="13" t="s">
        <v>253</v>
      </c>
      <c r="C249" s="13" t="s">
        <v>52</v>
      </c>
      <c r="D249" s="135" t="s">
        <v>53</v>
      </c>
      <c r="E249" s="136"/>
      <c r="F249" s="136"/>
      <c r="G249" s="136"/>
      <c r="H249" s="136"/>
      <c r="I249" s="13" t="s">
        <v>23</v>
      </c>
      <c r="J249" s="14" t="s">
        <v>23</v>
      </c>
      <c r="K249" s="14"/>
      <c r="L249" s="15">
        <f>SUM(L250:L253)</f>
        <v>0</v>
      </c>
    </row>
    <row r="250" spans="1:253" x14ac:dyDescent="0.25">
      <c r="A250" s="16">
        <v>241</v>
      </c>
      <c r="B250" s="2" t="s">
        <v>253</v>
      </c>
      <c r="C250" s="2" t="s">
        <v>222</v>
      </c>
      <c r="D250" s="83" t="s">
        <v>223</v>
      </c>
      <c r="E250" s="84"/>
      <c r="F250" s="84"/>
      <c r="G250" s="84"/>
      <c r="H250" s="84"/>
      <c r="I250" s="2" t="s">
        <v>35</v>
      </c>
      <c r="J250" s="17">
        <v>12</v>
      </c>
      <c r="K250" s="17"/>
      <c r="L250" s="18">
        <f>ROUND(IR250*J250+IS250*J250,2)</f>
        <v>0</v>
      </c>
      <c r="HV250" s="2" t="s">
        <v>52</v>
      </c>
      <c r="HW250" s="2" t="s">
        <v>32</v>
      </c>
      <c r="IR250" s="19">
        <f>K250*1</f>
        <v>0</v>
      </c>
      <c r="IS250" s="19">
        <f>K250*(1-1)</f>
        <v>0</v>
      </c>
    </row>
    <row r="251" spans="1:253" x14ac:dyDescent="0.25">
      <c r="A251" s="16">
        <v>242</v>
      </c>
      <c r="B251" s="2" t="s">
        <v>253</v>
      </c>
      <c r="C251" s="2" t="s">
        <v>224</v>
      </c>
      <c r="D251" s="83" t="s">
        <v>225</v>
      </c>
      <c r="E251" s="84"/>
      <c r="F251" s="84"/>
      <c r="G251" s="84"/>
      <c r="H251" s="84"/>
      <c r="I251" s="2" t="s">
        <v>35</v>
      </c>
      <c r="J251" s="17">
        <v>8</v>
      </c>
      <c r="K251" s="17"/>
      <c r="L251" s="18">
        <f>ROUND(IR251*J251+IS251*J251,2)</f>
        <v>0</v>
      </c>
      <c r="HV251" s="2" t="s">
        <v>52</v>
      </c>
      <c r="HW251" s="2" t="s">
        <v>32</v>
      </c>
      <c r="IR251" s="19">
        <f>K251*1</f>
        <v>0</v>
      </c>
      <c r="IS251" s="19">
        <f>K251*(1-1)</f>
        <v>0</v>
      </c>
    </row>
    <row r="252" spans="1:253" x14ac:dyDescent="0.25">
      <c r="A252" s="16">
        <v>243</v>
      </c>
      <c r="B252" s="2" t="s">
        <v>253</v>
      </c>
      <c r="C252" s="2" t="s">
        <v>226</v>
      </c>
      <c r="D252" s="83" t="s">
        <v>227</v>
      </c>
      <c r="E252" s="84"/>
      <c r="F252" s="84"/>
      <c r="G252" s="84"/>
      <c r="H252" s="84"/>
      <c r="I252" s="2" t="s">
        <v>35</v>
      </c>
      <c r="J252" s="17">
        <v>16</v>
      </c>
      <c r="K252" s="17"/>
      <c r="L252" s="18">
        <f>ROUND(IR252*J252+IS252*J252,2)</f>
        <v>0</v>
      </c>
      <c r="HV252" s="2" t="s">
        <v>52</v>
      </c>
      <c r="HW252" s="2" t="s">
        <v>32</v>
      </c>
      <c r="IR252" s="19">
        <f>K252*1</f>
        <v>0</v>
      </c>
      <c r="IS252" s="19">
        <f>K252*(1-1)</f>
        <v>0</v>
      </c>
    </row>
    <row r="253" spans="1:253" x14ac:dyDescent="0.25">
      <c r="A253" s="16">
        <v>244</v>
      </c>
      <c r="B253" s="2" t="s">
        <v>253</v>
      </c>
      <c r="C253" s="2" t="s">
        <v>56</v>
      </c>
      <c r="D253" s="83" t="s">
        <v>57</v>
      </c>
      <c r="E253" s="84"/>
      <c r="F253" s="84"/>
      <c r="G253" s="84"/>
      <c r="H253" s="84"/>
      <c r="I253" s="2" t="s">
        <v>45</v>
      </c>
      <c r="J253" s="17"/>
      <c r="K253" s="17"/>
      <c r="L253" s="18">
        <f>ROUND(IR253*J253+IS253*J253,2)</f>
        <v>0</v>
      </c>
      <c r="HV253" s="2" t="s">
        <v>52</v>
      </c>
      <c r="HW253" s="2" t="s">
        <v>32</v>
      </c>
      <c r="IR253" s="19">
        <f>K253*0</f>
        <v>0</v>
      </c>
      <c r="IS253" s="19">
        <f>K253*(1-0)</f>
        <v>0</v>
      </c>
    </row>
    <row r="254" spans="1:253" x14ac:dyDescent="0.25">
      <c r="A254" s="12" t="s">
        <v>23</v>
      </c>
      <c r="B254" s="13" t="s">
        <v>253</v>
      </c>
      <c r="C254" s="13" t="s">
        <v>111</v>
      </c>
      <c r="D254" s="135" t="s">
        <v>112</v>
      </c>
      <c r="E254" s="136"/>
      <c r="F254" s="136"/>
      <c r="G254" s="136"/>
      <c r="H254" s="136"/>
      <c r="I254" s="13" t="s">
        <v>23</v>
      </c>
      <c r="J254" s="14" t="s">
        <v>23</v>
      </c>
      <c r="K254" s="14"/>
      <c r="L254" s="15">
        <f>SUM(L255:L272)</f>
        <v>0</v>
      </c>
    </row>
    <row r="255" spans="1:253" x14ac:dyDescent="0.25">
      <c r="A255" s="16">
        <v>245</v>
      </c>
      <c r="B255" s="2" t="s">
        <v>253</v>
      </c>
      <c r="C255" s="2" t="s">
        <v>113</v>
      </c>
      <c r="D255" s="83" t="s">
        <v>114</v>
      </c>
      <c r="E255" s="84"/>
      <c r="F255" s="84"/>
      <c r="G255" s="84"/>
      <c r="H255" s="84"/>
      <c r="I255" s="2" t="s">
        <v>31</v>
      </c>
      <c r="J255" s="17">
        <v>118</v>
      </c>
      <c r="K255" s="17"/>
      <c r="L255" s="18">
        <f t="shared" ref="L255:L272" si="18">ROUND(IR255*J255+IS255*J255,2)</f>
        <v>0</v>
      </c>
      <c r="HV255" s="2" t="s">
        <v>111</v>
      </c>
      <c r="HW255" s="2" t="s">
        <v>32</v>
      </c>
      <c r="IR255" s="19">
        <f>K255*0</f>
        <v>0</v>
      </c>
      <c r="IS255" s="19">
        <f>K255*(1-0)</f>
        <v>0</v>
      </c>
    </row>
    <row r="256" spans="1:253" x14ac:dyDescent="0.25">
      <c r="A256" s="16">
        <v>246</v>
      </c>
      <c r="B256" s="2" t="s">
        <v>253</v>
      </c>
      <c r="C256" s="2" t="s">
        <v>228</v>
      </c>
      <c r="D256" s="83" t="s">
        <v>229</v>
      </c>
      <c r="E256" s="84"/>
      <c r="F256" s="84"/>
      <c r="G256" s="84"/>
      <c r="H256" s="84"/>
      <c r="I256" s="2" t="s">
        <v>35</v>
      </c>
      <c r="J256" s="17">
        <v>24</v>
      </c>
      <c r="K256" s="17"/>
      <c r="L256" s="18">
        <f t="shared" si="18"/>
        <v>0</v>
      </c>
      <c r="HV256" s="2" t="s">
        <v>111</v>
      </c>
      <c r="HW256" s="2" t="s">
        <v>32</v>
      </c>
      <c r="IR256" s="19">
        <f>K256*0.274019715</f>
        <v>0</v>
      </c>
      <c r="IS256" s="19">
        <f>K256*(1-0.274019715)</f>
        <v>0</v>
      </c>
    </row>
    <row r="257" spans="1:253" x14ac:dyDescent="0.25">
      <c r="A257" s="16">
        <v>247</v>
      </c>
      <c r="B257" s="2" t="s">
        <v>253</v>
      </c>
      <c r="C257" s="2" t="s">
        <v>117</v>
      </c>
      <c r="D257" s="83" t="s">
        <v>118</v>
      </c>
      <c r="E257" s="84"/>
      <c r="F257" s="84"/>
      <c r="G257" s="84"/>
      <c r="H257" s="84"/>
      <c r="I257" s="2" t="s">
        <v>31</v>
      </c>
      <c r="J257" s="17">
        <v>46</v>
      </c>
      <c r="K257" s="17"/>
      <c r="L257" s="18">
        <f t="shared" si="18"/>
        <v>0</v>
      </c>
      <c r="HV257" s="2" t="s">
        <v>111</v>
      </c>
      <c r="HW257" s="2" t="s">
        <v>32</v>
      </c>
      <c r="IR257" s="19">
        <f>K257*0.433822435</f>
        <v>0</v>
      </c>
      <c r="IS257" s="19">
        <f>K257*(1-0.433822435)</f>
        <v>0</v>
      </c>
    </row>
    <row r="258" spans="1:253" x14ac:dyDescent="0.25">
      <c r="A258" s="16">
        <v>248</v>
      </c>
      <c r="B258" s="2" t="s">
        <v>253</v>
      </c>
      <c r="C258" s="2" t="s">
        <v>119</v>
      </c>
      <c r="D258" s="83" t="s">
        <v>120</v>
      </c>
      <c r="E258" s="84"/>
      <c r="F258" s="84"/>
      <c r="G258" s="84"/>
      <c r="H258" s="84"/>
      <c r="I258" s="2" t="s">
        <v>31</v>
      </c>
      <c r="J258" s="17">
        <v>24</v>
      </c>
      <c r="K258" s="17"/>
      <c r="L258" s="18">
        <f t="shared" si="18"/>
        <v>0</v>
      </c>
      <c r="HV258" s="2" t="s">
        <v>111</v>
      </c>
      <c r="HW258" s="2" t="s">
        <v>32</v>
      </c>
      <c r="IR258" s="19">
        <f>K258*0.499111111</f>
        <v>0</v>
      </c>
      <c r="IS258" s="19">
        <f>K258*(1-0.499111111)</f>
        <v>0</v>
      </c>
    </row>
    <row r="259" spans="1:253" x14ac:dyDescent="0.25">
      <c r="A259" s="16">
        <v>249</v>
      </c>
      <c r="B259" s="2" t="s">
        <v>253</v>
      </c>
      <c r="C259" s="2" t="s">
        <v>121</v>
      </c>
      <c r="D259" s="83" t="s">
        <v>122</v>
      </c>
      <c r="E259" s="84"/>
      <c r="F259" s="84"/>
      <c r="G259" s="84"/>
      <c r="H259" s="84"/>
      <c r="I259" s="2" t="s">
        <v>31</v>
      </c>
      <c r="J259" s="17">
        <v>48</v>
      </c>
      <c r="K259" s="17"/>
      <c r="L259" s="18">
        <f t="shared" si="18"/>
        <v>0</v>
      </c>
      <c r="HV259" s="2" t="s">
        <v>111</v>
      </c>
      <c r="HW259" s="2" t="s">
        <v>32</v>
      </c>
      <c r="IR259" s="19">
        <f>K259*0.578547486</f>
        <v>0</v>
      </c>
      <c r="IS259" s="19">
        <f>K259*(1-0.578547486)</f>
        <v>0</v>
      </c>
    </row>
    <row r="260" spans="1:253" x14ac:dyDescent="0.25">
      <c r="A260" s="16">
        <v>250</v>
      </c>
      <c r="B260" s="2" t="s">
        <v>253</v>
      </c>
      <c r="C260" s="2" t="s">
        <v>212</v>
      </c>
      <c r="D260" s="83" t="s">
        <v>213</v>
      </c>
      <c r="E260" s="84"/>
      <c r="F260" s="84"/>
      <c r="G260" s="84"/>
      <c r="H260" s="84"/>
      <c r="I260" s="2" t="s">
        <v>31</v>
      </c>
      <c r="J260" s="17">
        <v>12</v>
      </c>
      <c r="K260" s="17"/>
      <c r="L260" s="18">
        <f t="shared" si="18"/>
        <v>0</v>
      </c>
      <c r="HV260" s="2" t="s">
        <v>111</v>
      </c>
      <c r="HW260" s="2" t="s">
        <v>32</v>
      </c>
      <c r="IR260" s="19">
        <f>K260*0.230682632</f>
        <v>0</v>
      </c>
      <c r="IS260" s="19">
        <f>K260*(1-0.230682632)</f>
        <v>0</v>
      </c>
    </row>
    <row r="261" spans="1:253" x14ac:dyDescent="0.25">
      <c r="A261" s="16">
        <v>251</v>
      </c>
      <c r="B261" s="2" t="s">
        <v>253</v>
      </c>
      <c r="C261" s="2" t="s">
        <v>127</v>
      </c>
      <c r="D261" s="83" t="s">
        <v>128</v>
      </c>
      <c r="E261" s="84"/>
      <c r="F261" s="84"/>
      <c r="G261" s="84"/>
      <c r="H261" s="84"/>
      <c r="I261" s="2" t="s">
        <v>31</v>
      </c>
      <c r="J261" s="17">
        <v>12</v>
      </c>
      <c r="K261" s="17"/>
      <c r="L261" s="18">
        <f t="shared" si="18"/>
        <v>0</v>
      </c>
      <c r="HV261" s="2" t="s">
        <v>111</v>
      </c>
      <c r="HW261" s="2" t="s">
        <v>32</v>
      </c>
      <c r="IR261" s="19">
        <f>K261*0.244039835</f>
        <v>0</v>
      </c>
      <c r="IS261" s="19">
        <f>K261*(1-0.244039835)</f>
        <v>0</v>
      </c>
    </row>
    <row r="262" spans="1:253" x14ac:dyDescent="0.25">
      <c r="A262" s="16">
        <v>252</v>
      </c>
      <c r="B262" s="2" t="s">
        <v>253</v>
      </c>
      <c r="C262" s="2" t="s">
        <v>129</v>
      </c>
      <c r="D262" s="83" t="s">
        <v>130</v>
      </c>
      <c r="E262" s="84"/>
      <c r="F262" s="84"/>
      <c r="G262" s="84"/>
      <c r="H262" s="84"/>
      <c r="I262" s="2" t="s">
        <v>31</v>
      </c>
      <c r="J262" s="17">
        <v>24</v>
      </c>
      <c r="K262" s="17"/>
      <c r="L262" s="18">
        <f t="shared" si="18"/>
        <v>0</v>
      </c>
      <c r="HV262" s="2" t="s">
        <v>111</v>
      </c>
      <c r="HW262" s="2" t="s">
        <v>32</v>
      </c>
      <c r="IR262" s="19">
        <f>K262*0.242374429</f>
        <v>0</v>
      </c>
      <c r="IS262" s="19">
        <f>K262*(1-0.242374429)</f>
        <v>0</v>
      </c>
    </row>
    <row r="263" spans="1:253" x14ac:dyDescent="0.25">
      <c r="A263" s="16">
        <v>253</v>
      </c>
      <c r="B263" s="2" t="s">
        <v>253</v>
      </c>
      <c r="C263" s="2" t="s">
        <v>133</v>
      </c>
      <c r="D263" s="83" t="s">
        <v>134</v>
      </c>
      <c r="E263" s="84"/>
      <c r="F263" s="84"/>
      <c r="G263" s="84"/>
      <c r="H263" s="84"/>
      <c r="I263" s="2" t="s">
        <v>31</v>
      </c>
      <c r="J263" s="17">
        <v>34</v>
      </c>
      <c r="K263" s="17"/>
      <c r="L263" s="18">
        <f t="shared" si="18"/>
        <v>0</v>
      </c>
      <c r="HV263" s="2" t="s">
        <v>111</v>
      </c>
      <c r="HW263" s="2" t="s">
        <v>32</v>
      </c>
      <c r="IR263" s="19">
        <f>K263*0.496074089</f>
        <v>0</v>
      </c>
      <c r="IS263" s="19">
        <f>K263*(1-0.496074089)</f>
        <v>0</v>
      </c>
    </row>
    <row r="264" spans="1:253" x14ac:dyDescent="0.25">
      <c r="A264" s="16">
        <v>254</v>
      </c>
      <c r="B264" s="2" t="s">
        <v>253</v>
      </c>
      <c r="C264" s="2" t="s">
        <v>135</v>
      </c>
      <c r="D264" s="83" t="s">
        <v>136</v>
      </c>
      <c r="E264" s="84"/>
      <c r="F264" s="84"/>
      <c r="G264" s="84"/>
      <c r="H264" s="84"/>
      <c r="I264" s="2" t="s">
        <v>31</v>
      </c>
      <c r="J264" s="17">
        <v>12</v>
      </c>
      <c r="K264" s="17"/>
      <c r="L264" s="18">
        <f t="shared" si="18"/>
        <v>0</v>
      </c>
      <c r="HV264" s="2" t="s">
        <v>111</v>
      </c>
      <c r="HW264" s="2" t="s">
        <v>32</v>
      </c>
      <c r="IR264" s="19">
        <f>K264*0.523268364</f>
        <v>0</v>
      </c>
      <c r="IS264" s="19">
        <f>K264*(1-0.523268364)</f>
        <v>0</v>
      </c>
    </row>
    <row r="265" spans="1:253" x14ac:dyDescent="0.25">
      <c r="A265" s="16">
        <v>255</v>
      </c>
      <c r="B265" s="2" t="s">
        <v>253</v>
      </c>
      <c r="C265" s="2" t="s">
        <v>137</v>
      </c>
      <c r="D265" s="83" t="s">
        <v>138</v>
      </c>
      <c r="E265" s="84"/>
      <c r="F265" s="84"/>
      <c r="G265" s="84"/>
      <c r="H265" s="84"/>
      <c r="I265" s="2" t="s">
        <v>31</v>
      </c>
      <c r="J265" s="17">
        <v>24</v>
      </c>
      <c r="K265" s="17"/>
      <c r="L265" s="18">
        <f t="shared" si="18"/>
        <v>0</v>
      </c>
      <c r="HV265" s="2" t="s">
        <v>111</v>
      </c>
      <c r="HW265" s="2" t="s">
        <v>32</v>
      </c>
      <c r="IR265" s="19">
        <f>K265*0.527714286</f>
        <v>0</v>
      </c>
      <c r="IS265" s="19">
        <f>K265*(1-0.527714286)</f>
        <v>0</v>
      </c>
    </row>
    <row r="266" spans="1:253" x14ac:dyDescent="0.25">
      <c r="A266" s="16">
        <v>256</v>
      </c>
      <c r="B266" s="2" t="s">
        <v>253</v>
      </c>
      <c r="C266" s="2" t="s">
        <v>145</v>
      </c>
      <c r="D266" s="83" t="s">
        <v>146</v>
      </c>
      <c r="E266" s="84"/>
      <c r="F266" s="84"/>
      <c r="G266" s="84"/>
      <c r="H266" s="84"/>
      <c r="I266" s="2" t="s">
        <v>35</v>
      </c>
      <c r="J266" s="17">
        <v>48</v>
      </c>
      <c r="K266" s="17"/>
      <c r="L266" s="18">
        <f t="shared" si="18"/>
        <v>0</v>
      </c>
      <c r="HV266" s="2" t="s">
        <v>111</v>
      </c>
      <c r="HW266" s="2" t="s">
        <v>32</v>
      </c>
      <c r="IR266" s="19">
        <f>K266*1</f>
        <v>0</v>
      </c>
      <c r="IS266" s="19">
        <f>K266*(1-1)</f>
        <v>0</v>
      </c>
    </row>
    <row r="267" spans="1:253" x14ac:dyDescent="0.25">
      <c r="A267" s="16">
        <v>257</v>
      </c>
      <c r="B267" s="2" t="s">
        <v>253</v>
      </c>
      <c r="C267" s="2" t="s">
        <v>153</v>
      </c>
      <c r="D267" s="83" t="s">
        <v>230</v>
      </c>
      <c r="E267" s="84"/>
      <c r="F267" s="84"/>
      <c r="G267" s="84"/>
      <c r="H267" s="84"/>
      <c r="I267" s="2" t="s">
        <v>35</v>
      </c>
      <c r="J267" s="17">
        <v>24</v>
      </c>
      <c r="K267" s="17"/>
      <c r="L267" s="18">
        <f t="shared" si="18"/>
        <v>0</v>
      </c>
      <c r="HV267" s="2" t="s">
        <v>111</v>
      </c>
      <c r="HW267" s="2" t="s">
        <v>32</v>
      </c>
      <c r="IR267" s="19">
        <f>K267*0.728219476</f>
        <v>0</v>
      </c>
      <c r="IS267" s="19">
        <f>K267*(1-0.728219476)</f>
        <v>0</v>
      </c>
    </row>
    <row r="268" spans="1:253" x14ac:dyDescent="0.25">
      <c r="A268" s="16">
        <v>258</v>
      </c>
      <c r="B268" s="2" t="s">
        <v>253</v>
      </c>
      <c r="C268" s="2" t="s">
        <v>231</v>
      </c>
      <c r="D268" s="83" t="s">
        <v>232</v>
      </c>
      <c r="E268" s="84"/>
      <c r="F268" s="84"/>
      <c r="G268" s="84"/>
      <c r="H268" s="84"/>
      <c r="I268" s="2" t="s">
        <v>35</v>
      </c>
      <c r="J268" s="17">
        <v>24</v>
      </c>
      <c r="K268" s="17"/>
      <c r="L268" s="18">
        <f t="shared" si="18"/>
        <v>0</v>
      </c>
      <c r="HV268" s="2" t="s">
        <v>111</v>
      </c>
      <c r="HW268" s="2" t="s">
        <v>32</v>
      </c>
      <c r="IR268" s="19">
        <f>K268*0.699406894</f>
        <v>0</v>
      </c>
      <c r="IS268" s="19">
        <f>K268*(1-0.699406894)</f>
        <v>0</v>
      </c>
    </row>
    <row r="269" spans="1:253" x14ac:dyDescent="0.25">
      <c r="A269" s="16">
        <v>259</v>
      </c>
      <c r="B269" s="2" t="s">
        <v>253</v>
      </c>
      <c r="C269" s="2" t="s">
        <v>233</v>
      </c>
      <c r="D269" s="83" t="s">
        <v>1245</v>
      </c>
      <c r="E269" s="84"/>
      <c r="F269" s="84"/>
      <c r="G269" s="84"/>
      <c r="H269" s="84"/>
      <c r="I269" s="2" t="s">
        <v>35</v>
      </c>
      <c r="J269" s="17">
        <v>24</v>
      </c>
      <c r="K269" s="17"/>
      <c r="L269" s="18">
        <f t="shared" si="18"/>
        <v>0</v>
      </c>
      <c r="HV269" s="2" t="s">
        <v>111</v>
      </c>
      <c r="HW269" s="2" t="s">
        <v>32</v>
      </c>
      <c r="IR269" s="19">
        <f>K269*0</f>
        <v>0</v>
      </c>
      <c r="IS269" s="19">
        <f>K269*(1-0)</f>
        <v>0</v>
      </c>
    </row>
    <row r="270" spans="1:253" x14ac:dyDescent="0.25">
      <c r="A270" s="16">
        <v>262</v>
      </c>
      <c r="B270" s="2" t="s">
        <v>253</v>
      </c>
      <c r="C270" s="2" t="s">
        <v>186</v>
      </c>
      <c r="D270" s="83" t="s">
        <v>187</v>
      </c>
      <c r="E270" s="84"/>
      <c r="F270" s="84"/>
      <c r="G270" s="84"/>
      <c r="H270" s="84"/>
      <c r="I270" s="2" t="s">
        <v>1243</v>
      </c>
      <c r="J270" s="17">
        <v>1</v>
      </c>
      <c r="K270" s="17"/>
      <c r="L270" s="18">
        <f t="shared" si="18"/>
        <v>0</v>
      </c>
      <c r="HV270" s="2" t="s">
        <v>111</v>
      </c>
      <c r="HW270" s="2" t="s">
        <v>32</v>
      </c>
      <c r="IR270" s="19">
        <f>K270*0.014893617</f>
        <v>0</v>
      </c>
      <c r="IS270" s="19">
        <f>K270*(1-0.014893617)</f>
        <v>0</v>
      </c>
    </row>
    <row r="271" spans="1:253" x14ac:dyDescent="0.25">
      <c r="A271" s="16">
        <v>263</v>
      </c>
      <c r="B271" s="2" t="s">
        <v>253</v>
      </c>
      <c r="C271" s="2" t="s">
        <v>239</v>
      </c>
      <c r="D271" s="83" t="s">
        <v>240</v>
      </c>
      <c r="E271" s="84"/>
      <c r="F271" s="84"/>
      <c r="G271" s="84"/>
      <c r="H271" s="84"/>
      <c r="I271" s="2" t="s">
        <v>88</v>
      </c>
      <c r="J271" s="17">
        <v>0.1</v>
      </c>
      <c r="K271" s="17"/>
      <c r="L271" s="18">
        <f t="shared" si="18"/>
        <v>0</v>
      </c>
      <c r="HV271" s="2" t="s">
        <v>111</v>
      </c>
      <c r="HW271" s="2" t="s">
        <v>32</v>
      </c>
      <c r="IR271" s="19">
        <f>K271*0</f>
        <v>0</v>
      </c>
      <c r="IS271" s="19">
        <f>K271*(1-0)</f>
        <v>0</v>
      </c>
    </row>
    <row r="272" spans="1:253" x14ac:dyDescent="0.25">
      <c r="A272" s="16">
        <v>264</v>
      </c>
      <c r="B272" s="2" t="s">
        <v>253</v>
      </c>
      <c r="C272" s="2" t="s">
        <v>194</v>
      </c>
      <c r="D272" s="83" t="s">
        <v>195</v>
      </c>
      <c r="E272" s="84"/>
      <c r="F272" s="84"/>
      <c r="G272" s="84"/>
      <c r="H272" s="84"/>
      <c r="I272" s="2" t="s">
        <v>45</v>
      </c>
      <c r="J272" s="17"/>
      <c r="K272" s="17"/>
      <c r="L272" s="18">
        <f t="shared" si="18"/>
        <v>0</v>
      </c>
      <c r="HV272" s="2" t="s">
        <v>111</v>
      </c>
      <c r="HW272" s="2" t="s">
        <v>32</v>
      </c>
      <c r="IR272" s="19">
        <f>K272*0</f>
        <v>0</v>
      </c>
      <c r="IS272" s="19">
        <f>K272*(1-0)</f>
        <v>0</v>
      </c>
    </row>
    <row r="273" spans="1:253" x14ac:dyDescent="0.25">
      <c r="A273" s="12" t="s">
        <v>23</v>
      </c>
      <c r="B273" s="13" t="s">
        <v>253</v>
      </c>
      <c r="C273" s="13" t="s">
        <v>241</v>
      </c>
      <c r="D273" s="135" t="s">
        <v>242</v>
      </c>
      <c r="E273" s="136"/>
      <c r="F273" s="136"/>
      <c r="G273" s="136"/>
      <c r="H273" s="136"/>
      <c r="I273" s="13" t="s">
        <v>23</v>
      </c>
      <c r="J273" s="14" t="s">
        <v>23</v>
      </c>
      <c r="K273" s="14"/>
      <c r="L273" s="15">
        <f>SUM(L274:L278)</f>
        <v>0</v>
      </c>
    </row>
    <row r="274" spans="1:253" x14ac:dyDescent="0.25">
      <c r="A274" s="16">
        <v>265</v>
      </c>
      <c r="B274" s="2" t="s">
        <v>253</v>
      </c>
      <c r="C274" s="2" t="s">
        <v>243</v>
      </c>
      <c r="D274" s="83" t="s">
        <v>244</v>
      </c>
      <c r="E274" s="84"/>
      <c r="F274" s="84"/>
      <c r="G274" s="84"/>
      <c r="H274" s="84"/>
      <c r="I274" s="2" t="s">
        <v>40</v>
      </c>
      <c r="J274" s="17">
        <v>6</v>
      </c>
      <c r="K274" s="17"/>
      <c r="L274" s="18">
        <f>ROUND(IR274*J274+IS274*J274,2)</f>
        <v>0</v>
      </c>
      <c r="HV274" s="2" t="s">
        <v>241</v>
      </c>
      <c r="HW274" s="2" t="s">
        <v>32</v>
      </c>
      <c r="IR274" s="19">
        <f>K274*0</f>
        <v>0</v>
      </c>
      <c r="IS274" s="19">
        <f>K274*(1-0)</f>
        <v>0</v>
      </c>
    </row>
    <row r="275" spans="1:253" x14ac:dyDescent="0.25">
      <c r="A275" s="16">
        <v>266</v>
      </c>
      <c r="B275" s="2" t="s">
        <v>253</v>
      </c>
      <c r="C275" s="2" t="s">
        <v>245</v>
      </c>
      <c r="D275" s="83" t="s">
        <v>246</v>
      </c>
      <c r="E275" s="84"/>
      <c r="F275" s="84"/>
      <c r="G275" s="84"/>
      <c r="H275" s="84"/>
      <c r="I275" s="2" t="s">
        <v>40</v>
      </c>
      <c r="J275" s="17">
        <v>6</v>
      </c>
      <c r="K275" s="17"/>
      <c r="L275" s="18">
        <f>ROUND(IR275*J275+IS275*J275,2)</f>
        <v>0</v>
      </c>
      <c r="HV275" s="2" t="s">
        <v>241</v>
      </c>
      <c r="HW275" s="2" t="s">
        <v>32</v>
      </c>
      <c r="IR275" s="19">
        <f>K275*0.443493724</f>
        <v>0</v>
      </c>
      <c r="IS275" s="19">
        <f>K275*(1-0.443493724)</f>
        <v>0</v>
      </c>
    </row>
    <row r="276" spans="1:253" x14ac:dyDescent="0.25">
      <c r="A276" s="16">
        <v>267</v>
      </c>
      <c r="B276" s="2" t="s">
        <v>253</v>
      </c>
      <c r="C276" s="2" t="s">
        <v>247</v>
      </c>
      <c r="D276" s="83" t="s">
        <v>248</v>
      </c>
      <c r="E276" s="84"/>
      <c r="F276" s="84"/>
      <c r="G276" s="84"/>
      <c r="H276" s="84"/>
      <c r="I276" s="2" t="s">
        <v>40</v>
      </c>
      <c r="J276" s="17">
        <v>6</v>
      </c>
      <c r="K276" s="17"/>
      <c r="L276" s="18">
        <f>ROUND(IR276*J276+IS276*J276,2)</f>
        <v>0</v>
      </c>
      <c r="HV276" s="2" t="s">
        <v>241</v>
      </c>
      <c r="HW276" s="2" t="s">
        <v>32</v>
      </c>
      <c r="IR276" s="19">
        <f>K276*0</f>
        <v>0</v>
      </c>
      <c r="IS276" s="19">
        <f>K276*(1-0)</f>
        <v>0</v>
      </c>
    </row>
    <row r="277" spans="1:253" x14ac:dyDescent="0.25">
      <c r="A277" s="16">
        <v>268</v>
      </c>
      <c r="B277" s="2" t="s">
        <v>253</v>
      </c>
      <c r="C277" s="2" t="s">
        <v>249</v>
      </c>
      <c r="D277" s="83" t="s">
        <v>250</v>
      </c>
      <c r="E277" s="84"/>
      <c r="F277" s="84"/>
      <c r="G277" s="84"/>
      <c r="H277" s="84"/>
      <c r="I277" s="2" t="s">
        <v>35</v>
      </c>
      <c r="J277" s="17">
        <v>6</v>
      </c>
      <c r="K277" s="17"/>
      <c r="L277" s="18">
        <f>ROUND(IR277*J277+IS277*J277,2)</f>
        <v>0</v>
      </c>
      <c r="HV277" s="2" t="s">
        <v>241</v>
      </c>
      <c r="HW277" s="2" t="s">
        <v>32</v>
      </c>
      <c r="IR277" s="19">
        <f>K277*0.05555367</f>
        <v>0</v>
      </c>
      <c r="IS277" s="19">
        <f>K277*(1-0.05555367)</f>
        <v>0</v>
      </c>
    </row>
    <row r="278" spans="1:253" x14ac:dyDescent="0.25">
      <c r="A278" s="16">
        <v>269</v>
      </c>
      <c r="B278" s="2" t="s">
        <v>253</v>
      </c>
      <c r="C278" s="2" t="s">
        <v>251</v>
      </c>
      <c r="D278" s="83" t="s">
        <v>252</v>
      </c>
      <c r="E278" s="84"/>
      <c r="F278" s="84"/>
      <c r="G278" s="84"/>
      <c r="H278" s="84"/>
      <c r="I278" s="2" t="s">
        <v>45</v>
      </c>
      <c r="J278" s="17"/>
      <c r="K278" s="17"/>
      <c r="L278" s="18">
        <f>ROUND(IR278*J278+IS278*J278,2)</f>
        <v>0</v>
      </c>
      <c r="HV278" s="2" t="s">
        <v>241</v>
      </c>
      <c r="HW278" s="2" t="s">
        <v>32</v>
      </c>
      <c r="IR278" s="19">
        <f>K278*0</f>
        <v>0</v>
      </c>
      <c r="IS278" s="19">
        <f>K278*(1-0)</f>
        <v>0</v>
      </c>
    </row>
    <row r="279" spans="1:253" x14ac:dyDescent="0.25">
      <c r="A279" s="12" t="s">
        <v>23</v>
      </c>
      <c r="B279" s="13" t="s">
        <v>255</v>
      </c>
      <c r="C279" s="13" t="s">
        <v>25</v>
      </c>
      <c r="D279" s="135" t="s">
        <v>256</v>
      </c>
      <c r="E279" s="136"/>
      <c r="F279" s="136"/>
      <c r="G279" s="136"/>
      <c r="H279" s="136"/>
      <c r="I279" s="13" t="s">
        <v>23</v>
      </c>
      <c r="J279" s="14" t="s">
        <v>23</v>
      </c>
      <c r="K279" s="14"/>
      <c r="L279" s="15">
        <f>L280+L285+L306</f>
        <v>0</v>
      </c>
    </row>
    <row r="280" spans="1:253" x14ac:dyDescent="0.25">
      <c r="A280" s="12" t="s">
        <v>23</v>
      </c>
      <c r="B280" s="13" t="s">
        <v>255</v>
      </c>
      <c r="C280" s="13" t="s">
        <v>52</v>
      </c>
      <c r="D280" s="135" t="s">
        <v>53</v>
      </c>
      <c r="E280" s="136"/>
      <c r="F280" s="136"/>
      <c r="G280" s="136"/>
      <c r="H280" s="136"/>
      <c r="I280" s="13" t="s">
        <v>23</v>
      </c>
      <c r="J280" s="14" t="s">
        <v>23</v>
      </c>
      <c r="K280" s="14"/>
      <c r="L280" s="15">
        <f>SUM(L281:L284)</f>
        <v>0</v>
      </c>
    </row>
    <row r="281" spans="1:253" x14ac:dyDescent="0.25">
      <c r="A281" s="16">
        <v>270</v>
      </c>
      <c r="B281" s="2" t="s">
        <v>255</v>
      </c>
      <c r="C281" s="2" t="s">
        <v>222</v>
      </c>
      <c r="D281" s="83" t="s">
        <v>223</v>
      </c>
      <c r="E281" s="84"/>
      <c r="F281" s="84"/>
      <c r="G281" s="84"/>
      <c r="H281" s="84"/>
      <c r="I281" s="2" t="s">
        <v>35</v>
      </c>
      <c r="J281" s="17">
        <v>12</v>
      </c>
      <c r="K281" s="17"/>
      <c r="L281" s="18">
        <f>ROUND(IR281*J281+IS281*J281,2)</f>
        <v>0</v>
      </c>
      <c r="HV281" s="2" t="s">
        <v>52</v>
      </c>
      <c r="HW281" s="2" t="s">
        <v>32</v>
      </c>
      <c r="IR281" s="19">
        <f>K281*1</f>
        <v>0</v>
      </c>
      <c r="IS281" s="19">
        <f>K281*(1-1)</f>
        <v>0</v>
      </c>
    </row>
    <row r="282" spans="1:253" x14ac:dyDescent="0.25">
      <c r="A282" s="16">
        <v>271</v>
      </c>
      <c r="B282" s="2" t="s">
        <v>255</v>
      </c>
      <c r="C282" s="2" t="s">
        <v>224</v>
      </c>
      <c r="D282" s="83" t="s">
        <v>225</v>
      </c>
      <c r="E282" s="84"/>
      <c r="F282" s="84"/>
      <c r="G282" s="84"/>
      <c r="H282" s="84"/>
      <c r="I282" s="2" t="s">
        <v>35</v>
      </c>
      <c r="J282" s="17">
        <v>12</v>
      </c>
      <c r="K282" s="17"/>
      <c r="L282" s="18">
        <f>ROUND(IR282*J282+IS282*J282,2)</f>
        <v>0</v>
      </c>
      <c r="HV282" s="2" t="s">
        <v>52</v>
      </c>
      <c r="HW282" s="2" t="s">
        <v>32</v>
      </c>
      <c r="IR282" s="19">
        <f>K282*1</f>
        <v>0</v>
      </c>
      <c r="IS282" s="19">
        <f>K282*(1-1)</f>
        <v>0</v>
      </c>
    </row>
    <row r="283" spans="1:253" x14ac:dyDescent="0.25">
      <c r="A283" s="16">
        <v>272</v>
      </c>
      <c r="B283" s="2" t="s">
        <v>255</v>
      </c>
      <c r="C283" s="2" t="s">
        <v>226</v>
      </c>
      <c r="D283" s="83" t="s">
        <v>227</v>
      </c>
      <c r="E283" s="84"/>
      <c r="F283" s="84"/>
      <c r="G283" s="84"/>
      <c r="H283" s="84"/>
      <c r="I283" s="2" t="s">
        <v>35</v>
      </c>
      <c r="J283" s="17">
        <v>12</v>
      </c>
      <c r="K283" s="17"/>
      <c r="L283" s="18">
        <f>ROUND(IR283*J283+IS283*J283,2)</f>
        <v>0</v>
      </c>
      <c r="HV283" s="2" t="s">
        <v>52</v>
      </c>
      <c r="HW283" s="2" t="s">
        <v>32</v>
      </c>
      <c r="IR283" s="19">
        <f>K283*1</f>
        <v>0</v>
      </c>
      <c r="IS283" s="19">
        <f>K283*(1-1)</f>
        <v>0</v>
      </c>
    </row>
    <row r="284" spans="1:253" x14ac:dyDescent="0.25">
      <c r="A284" s="16">
        <v>273</v>
      </c>
      <c r="B284" s="2" t="s">
        <v>255</v>
      </c>
      <c r="C284" s="2" t="s">
        <v>56</v>
      </c>
      <c r="D284" s="83" t="s">
        <v>57</v>
      </c>
      <c r="E284" s="84"/>
      <c r="F284" s="84"/>
      <c r="G284" s="84"/>
      <c r="H284" s="84"/>
      <c r="I284" s="2" t="s">
        <v>45</v>
      </c>
      <c r="J284" s="17">
        <v>134</v>
      </c>
      <c r="K284" s="17"/>
      <c r="L284" s="18">
        <f>ROUND(IR284*J284+IS284*J284,2)</f>
        <v>0</v>
      </c>
      <c r="HV284" s="2" t="s">
        <v>52</v>
      </c>
      <c r="HW284" s="2" t="s">
        <v>32</v>
      </c>
      <c r="IR284" s="19">
        <f>K284*0</f>
        <v>0</v>
      </c>
      <c r="IS284" s="19">
        <f>K284*(1-0)</f>
        <v>0</v>
      </c>
    </row>
    <row r="285" spans="1:253" x14ac:dyDescent="0.25">
      <c r="A285" s="12" t="s">
        <v>23</v>
      </c>
      <c r="B285" s="13" t="s">
        <v>255</v>
      </c>
      <c r="C285" s="13" t="s">
        <v>111</v>
      </c>
      <c r="D285" s="135" t="s">
        <v>112</v>
      </c>
      <c r="E285" s="136"/>
      <c r="F285" s="136"/>
      <c r="G285" s="136"/>
      <c r="H285" s="136"/>
      <c r="I285" s="13" t="s">
        <v>23</v>
      </c>
      <c r="J285" s="14" t="s">
        <v>23</v>
      </c>
      <c r="K285" s="14"/>
      <c r="L285" s="15">
        <f>SUM(L286:L305)</f>
        <v>0</v>
      </c>
    </row>
    <row r="286" spans="1:253" x14ac:dyDescent="0.25">
      <c r="A286" s="16">
        <v>274</v>
      </c>
      <c r="B286" s="2" t="s">
        <v>255</v>
      </c>
      <c r="C286" s="2" t="s">
        <v>113</v>
      </c>
      <c r="D286" s="83" t="s">
        <v>114</v>
      </c>
      <c r="E286" s="84"/>
      <c r="F286" s="84"/>
      <c r="G286" s="84"/>
      <c r="H286" s="84"/>
      <c r="I286" s="2" t="s">
        <v>31</v>
      </c>
      <c r="J286" s="17">
        <v>118</v>
      </c>
      <c r="K286" s="17"/>
      <c r="L286" s="18">
        <f t="shared" ref="L286:L305" si="19">ROUND(IR286*J286+IS286*J286,2)</f>
        <v>0</v>
      </c>
      <c r="HV286" s="2" t="s">
        <v>111</v>
      </c>
      <c r="HW286" s="2" t="s">
        <v>32</v>
      </c>
      <c r="IR286" s="19">
        <f>K286*0</f>
        <v>0</v>
      </c>
      <c r="IS286" s="19">
        <f>K286*(1-0)</f>
        <v>0</v>
      </c>
    </row>
    <row r="287" spans="1:253" x14ac:dyDescent="0.25">
      <c r="A287" s="16">
        <v>275</v>
      </c>
      <c r="B287" s="2" t="s">
        <v>255</v>
      </c>
      <c r="C287" s="2" t="s">
        <v>228</v>
      </c>
      <c r="D287" s="83" t="s">
        <v>229</v>
      </c>
      <c r="E287" s="84"/>
      <c r="F287" s="84"/>
      <c r="G287" s="84"/>
      <c r="H287" s="84"/>
      <c r="I287" s="2" t="s">
        <v>35</v>
      </c>
      <c r="J287" s="17">
        <v>24</v>
      </c>
      <c r="K287" s="17"/>
      <c r="L287" s="18">
        <f t="shared" si="19"/>
        <v>0</v>
      </c>
      <c r="HV287" s="2" t="s">
        <v>111</v>
      </c>
      <c r="HW287" s="2" t="s">
        <v>32</v>
      </c>
      <c r="IR287" s="19">
        <f>K287*0.274019715</f>
        <v>0</v>
      </c>
      <c r="IS287" s="19">
        <f>K287*(1-0.274019715)</f>
        <v>0</v>
      </c>
    </row>
    <row r="288" spans="1:253" x14ac:dyDescent="0.25">
      <c r="A288" s="16">
        <v>276</v>
      </c>
      <c r="B288" s="2" t="s">
        <v>255</v>
      </c>
      <c r="C288" s="2" t="s">
        <v>117</v>
      </c>
      <c r="D288" s="83" t="s">
        <v>118</v>
      </c>
      <c r="E288" s="84"/>
      <c r="F288" s="84"/>
      <c r="G288" s="84"/>
      <c r="H288" s="84"/>
      <c r="I288" s="2" t="s">
        <v>31</v>
      </c>
      <c r="J288" s="17">
        <v>46</v>
      </c>
      <c r="K288" s="17"/>
      <c r="L288" s="18">
        <f t="shared" si="19"/>
        <v>0</v>
      </c>
      <c r="HV288" s="2" t="s">
        <v>111</v>
      </c>
      <c r="HW288" s="2" t="s">
        <v>32</v>
      </c>
      <c r="IR288" s="19">
        <f>K288*0.433822435</f>
        <v>0</v>
      </c>
      <c r="IS288" s="19">
        <f>K288*(1-0.433822435)</f>
        <v>0</v>
      </c>
    </row>
    <row r="289" spans="1:253" x14ac:dyDescent="0.25">
      <c r="A289" s="16">
        <v>277</v>
      </c>
      <c r="B289" s="2" t="s">
        <v>255</v>
      </c>
      <c r="C289" s="2" t="s">
        <v>119</v>
      </c>
      <c r="D289" s="83" t="s">
        <v>120</v>
      </c>
      <c r="E289" s="84"/>
      <c r="F289" s="84"/>
      <c r="G289" s="84"/>
      <c r="H289" s="84"/>
      <c r="I289" s="2" t="s">
        <v>31</v>
      </c>
      <c r="J289" s="17">
        <v>36</v>
      </c>
      <c r="K289" s="17"/>
      <c r="L289" s="18">
        <f t="shared" si="19"/>
        <v>0</v>
      </c>
      <c r="HV289" s="2" t="s">
        <v>111</v>
      </c>
      <c r="HW289" s="2" t="s">
        <v>32</v>
      </c>
      <c r="IR289" s="19">
        <f>K289*0.499111111</f>
        <v>0</v>
      </c>
      <c r="IS289" s="19">
        <f>K289*(1-0.499111111)</f>
        <v>0</v>
      </c>
    </row>
    <row r="290" spans="1:253" x14ac:dyDescent="0.25">
      <c r="A290" s="16">
        <v>278</v>
      </c>
      <c r="B290" s="2" t="s">
        <v>255</v>
      </c>
      <c r="C290" s="2" t="s">
        <v>121</v>
      </c>
      <c r="D290" s="83" t="s">
        <v>122</v>
      </c>
      <c r="E290" s="84"/>
      <c r="F290" s="84"/>
      <c r="G290" s="84"/>
      <c r="H290" s="84"/>
      <c r="I290" s="2" t="s">
        <v>31</v>
      </c>
      <c r="J290" s="17">
        <v>36</v>
      </c>
      <c r="K290" s="17"/>
      <c r="L290" s="18">
        <f t="shared" si="19"/>
        <v>0</v>
      </c>
      <c r="HV290" s="2" t="s">
        <v>111</v>
      </c>
      <c r="HW290" s="2" t="s">
        <v>32</v>
      </c>
      <c r="IR290" s="19">
        <f>K290*0.578547486</f>
        <v>0</v>
      </c>
      <c r="IS290" s="19">
        <f>K290*(1-0.578547486)</f>
        <v>0</v>
      </c>
    </row>
    <row r="291" spans="1:253" x14ac:dyDescent="0.25">
      <c r="A291" s="16">
        <v>279</v>
      </c>
      <c r="B291" s="2" t="s">
        <v>255</v>
      </c>
      <c r="C291" s="2" t="s">
        <v>212</v>
      </c>
      <c r="D291" s="83" t="s">
        <v>213</v>
      </c>
      <c r="E291" s="84"/>
      <c r="F291" s="84"/>
      <c r="G291" s="84"/>
      <c r="H291" s="84"/>
      <c r="I291" s="2" t="s">
        <v>31</v>
      </c>
      <c r="J291" s="17">
        <v>12</v>
      </c>
      <c r="K291" s="17"/>
      <c r="L291" s="18">
        <f t="shared" si="19"/>
        <v>0</v>
      </c>
      <c r="HV291" s="2" t="s">
        <v>111</v>
      </c>
      <c r="HW291" s="2" t="s">
        <v>32</v>
      </c>
      <c r="IR291" s="19">
        <f>K291*0.230682632</f>
        <v>0</v>
      </c>
      <c r="IS291" s="19">
        <f>K291*(1-0.230682632)</f>
        <v>0</v>
      </c>
    </row>
    <row r="292" spans="1:253" x14ac:dyDescent="0.25">
      <c r="A292" s="16">
        <v>280</v>
      </c>
      <c r="B292" s="2" t="s">
        <v>255</v>
      </c>
      <c r="C292" s="2" t="s">
        <v>127</v>
      </c>
      <c r="D292" s="83" t="s">
        <v>128</v>
      </c>
      <c r="E292" s="84"/>
      <c r="F292" s="84"/>
      <c r="G292" s="84"/>
      <c r="H292" s="84"/>
      <c r="I292" s="2" t="s">
        <v>31</v>
      </c>
      <c r="J292" s="17">
        <v>18</v>
      </c>
      <c r="K292" s="17"/>
      <c r="L292" s="18">
        <f t="shared" si="19"/>
        <v>0</v>
      </c>
      <c r="HV292" s="2" t="s">
        <v>111</v>
      </c>
      <c r="HW292" s="2" t="s">
        <v>32</v>
      </c>
      <c r="IR292" s="19">
        <f>K292*0.244039835</f>
        <v>0</v>
      </c>
      <c r="IS292" s="19">
        <f>K292*(1-0.244039835)</f>
        <v>0</v>
      </c>
    </row>
    <row r="293" spans="1:253" x14ac:dyDescent="0.25">
      <c r="A293" s="16">
        <v>281</v>
      </c>
      <c r="B293" s="2" t="s">
        <v>255</v>
      </c>
      <c r="C293" s="2" t="s">
        <v>129</v>
      </c>
      <c r="D293" s="83" t="s">
        <v>130</v>
      </c>
      <c r="E293" s="84"/>
      <c r="F293" s="84"/>
      <c r="G293" s="84"/>
      <c r="H293" s="84"/>
      <c r="I293" s="2" t="s">
        <v>31</v>
      </c>
      <c r="J293" s="17">
        <v>18</v>
      </c>
      <c r="K293" s="17"/>
      <c r="L293" s="18">
        <f t="shared" si="19"/>
        <v>0</v>
      </c>
      <c r="HV293" s="2" t="s">
        <v>111</v>
      </c>
      <c r="HW293" s="2" t="s">
        <v>32</v>
      </c>
      <c r="IR293" s="19">
        <f>K293*0.242374429</f>
        <v>0</v>
      </c>
      <c r="IS293" s="19">
        <f>K293*(1-0.242374429)</f>
        <v>0</v>
      </c>
    </row>
    <row r="294" spans="1:253" x14ac:dyDescent="0.25">
      <c r="A294" s="16">
        <v>282</v>
      </c>
      <c r="B294" s="2" t="s">
        <v>255</v>
      </c>
      <c r="C294" s="2" t="s">
        <v>133</v>
      </c>
      <c r="D294" s="83" t="s">
        <v>134</v>
      </c>
      <c r="E294" s="84"/>
      <c r="F294" s="84"/>
      <c r="G294" s="84"/>
      <c r="H294" s="84"/>
      <c r="I294" s="2" t="s">
        <v>31</v>
      </c>
      <c r="J294" s="17">
        <v>34</v>
      </c>
      <c r="K294" s="17"/>
      <c r="L294" s="18">
        <f t="shared" si="19"/>
        <v>0</v>
      </c>
      <c r="HV294" s="2" t="s">
        <v>111</v>
      </c>
      <c r="HW294" s="2" t="s">
        <v>32</v>
      </c>
      <c r="IR294" s="19">
        <f>K294*0.496074089</f>
        <v>0</v>
      </c>
      <c r="IS294" s="19">
        <f>K294*(1-0.496074089)</f>
        <v>0</v>
      </c>
    </row>
    <row r="295" spans="1:253" x14ac:dyDescent="0.25">
      <c r="A295" s="16">
        <v>283</v>
      </c>
      <c r="B295" s="2" t="s">
        <v>255</v>
      </c>
      <c r="C295" s="2" t="s">
        <v>135</v>
      </c>
      <c r="D295" s="83" t="s">
        <v>136</v>
      </c>
      <c r="E295" s="84"/>
      <c r="F295" s="84"/>
      <c r="G295" s="84"/>
      <c r="H295" s="84"/>
      <c r="I295" s="2" t="s">
        <v>31</v>
      </c>
      <c r="J295" s="17">
        <v>18</v>
      </c>
      <c r="K295" s="17"/>
      <c r="L295" s="18">
        <f t="shared" si="19"/>
        <v>0</v>
      </c>
      <c r="HV295" s="2" t="s">
        <v>111</v>
      </c>
      <c r="HW295" s="2" t="s">
        <v>32</v>
      </c>
      <c r="IR295" s="19">
        <f>K295*0.523268364</f>
        <v>0</v>
      </c>
      <c r="IS295" s="19">
        <f>K295*(1-0.523268364)</f>
        <v>0</v>
      </c>
    </row>
    <row r="296" spans="1:253" x14ac:dyDescent="0.25">
      <c r="A296" s="16">
        <v>284</v>
      </c>
      <c r="B296" s="2" t="s">
        <v>255</v>
      </c>
      <c r="C296" s="2" t="s">
        <v>137</v>
      </c>
      <c r="D296" s="83" t="s">
        <v>138</v>
      </c>
      <c r="E296" s="84"/>
      <c r="F296" s="84"/>
      <c r="G296" s="84"/>
      <c r="H296" s="84"/>
      <c r="I296" s="2" t="s">
        <v>31</v>
      </c>
      <c r="J296" s="17">
        <v>18</v>
      </c>
      <c r="K296" s="17"/>
      <c r="L296" s="18">
        <f t="shared" si="19"/>
        <v>0</v>
      </c>
      <c r="HV296" s="2" t="s">
        <v>111</v>
      </c>
      <c r="HW296" s="2" t="s">
        <v>32</v>
      </c>
      <c r="IR296" s="19">
        <f>K296*0.527714286</f>
        <v>0</v>
      </c>
      <c r="IS296" s="19">
        <f>K296*(1-0.527714286)</f>
        <v>0</v>
      </c>
    </row>
    <row r="297" spans="1:253" x14ac:dyDescent="0.25">
      <c r="A297" s="16">
        <v>285</v>
      </c>
      <c r="B297" s="2" t="s">
        <v>255</v>
      </c>
      <c r="C297" s="2" t="s">
        <v>145</v>
      </c>
      <c r="D297" s="83" t="s">
        <v>146</v>
      </c>
      <c r="E297" s="84"/>
      <c r="F297" s="84"/>
      <c r="G297" s="84"/>
      <c r="H297" s="84"/>
      <c r="I297" s="2" t="s">
        <v>35</v>
      </c>
      <c r="J297" s="17">
        <v>48</v>
      </c>
      <c r="K297" s="17"/>
      <c r="L297" s="18">
        <f t="shared" si="19"/>
        <v>0</v>
      </c>
      <c r="HV297" s="2" t="s">
        <v>111</v>
      </c>
      <c r="HW297" s="2" t="s">
        <v>32</v>
      </c>
      <c r="IR297" s="19">
        <f>K297*1</f>
        <v>0</v>
      </c>
      <c r="IS297" s="19">
        <f>K297*(1-1)</f>
        <v>0</v>
      </c>
    </row>
    <row r="298" spans="1:253" x14ac:dyDescent="0.25">
      <c r="A298" s="16">
        <v>286</v>
      </c>
      <c r="B298" s="2" t="s">
        <v>255</v>
      </c>
      <c r="C298" s="2" t="s">
        <v>153</v>
      </c>
      <c r="D298" s="83" t="s">
        <v>230</v>
      </c>
      <c r="E298" s="84"/>
      <c r="F298" s="84"/>
      <c r="G298" s="84"/>
      <c r="H298" s="84"/>
      <c r="I298" s="2" t="s">
        <v>35</v>
      </c>
      <c r="J298" s="17">
        <v>24</v>
      </c>
      <c r="K298" s="17"/>
      <c r="L298" s="18">
        <f t="shared" si="19"/>
        <v>0</v>
      </c>
      <c r="HV298" s="2" t="s">
        <v>111</v>
      </c>
      <c r="HW298" s="2" t="s">
        <v>32</v>
      </c>
      <c r="IR298" s="19">
        <f>K298*0.728219476</f>
        <v>0</v>
      </c>
      <c r="IS298" s="19">
        <f>K298*(1-0.728219476)</f>
        <v>0</v>
      </c>
    </row>
    <row r="299" spans="1:253" x14ac:dyDescent="0.25">
      <c r="A299" s="16">
        <v>287</v>
      </c>
      <c r="B299" s="2" t="s">
        <v>255</v>
      </c>
      <c r="C299" s="2" t="s">
        <v>231</v>
      </c>
      <c r="D299" s="83" t="s">
        <v>232</v>
      </c>
      <c r="E299" s="84"/>
      <c r="F299" s="84"/>
      <c r="G299" s="84"/>
      <c r="H299" s="84"/>
      <c r="I299" s="2" t="s">
        <v>35</v>
      </c>
      <c r="J299" s="17">
        <v>24</v>
      </c>
      <c r="K299" s="17"/>
      <c r="L299" s="18">
        <f t="shared" si="19"/>
        <v>0</v>
      </c>
      <c r="HV299" s="2" t="s">
        <v>111</v>
      </c>
      <c r="HW299" s="2" t="s">
        <v>32</v>
      </c>
      <c r="IR299" s="19">
        <f>K299*0.699406894</f>
        <v>0</v>
      </c>
      <c r="IS299" s="19">
        <f>K299*(1-0.699406894)</f>
        <v>0</v>
      </c>
    </row>
    <row r="300" spans="1:253" x14ac:dyDescent="0.25">
      <c r="A300" s="16">
        <v>288</v>
      </c>
      <c r="B300" s="2" t="s">
        <v>255</v>
      </c>
      <c r="C300" s="2" t="s">
        <v>233</v>
      </c>
      <c r="D300" s="83" t="s">
        <v>234</v>
      </c>
      <c r="E300" s="84"/>
      <c r="F300" s="84"/>
      <c r="G300" s="84"/>
      <c r="H300" s="84"/>
      <c r="I300" s="2" t="s">
        <v>35</v>
      </c>
      <c r="J300" s="17">
        <v>24</v>
      </c>
      <c r="K300" s="17"/>
      <c r="L300" s="18">
        <f t="shared" si="19"/>
        <v>0</v>
      </c>
      <c r="HV300" s="2" t="s">
        <v>111</v>
      </c>
      <c r="HW300" s="2" t="s">
        <v>32</v>
      </c>
      <c r="IR300" s="19">
        <f>K300*0</f>
        <v>0</v>
      </c>
      <c r="IS300" s="19">
        <f>K300*(1-0)</f>
        <v>0</v>
      </c>
    </row>
    <row r="301" spans="1:253" x14ac:dyDescent="0.25">
      <c r="A301" s="16">
        <v>289</v>
      </c>
      <c r="B301" s="2" t="s">
        <v>255</v>
      </c>
      <c r="C301" s="2" t="s">
        <v>235</v>
      </c>
      <c r="D301" s="83" t="s">
        <v>236</v>
      </c>
      <c r="E301" s="84"/>
      <c r="F301" s="84"/>
      <c r="G301" s="84"/>
      <c r="H301" s="84"/>
      <c r="I301" s="2" t="s">
        <v>35</v>
      </c>
      <c r="J301" s="17">
        <v>24</v>
      </c>
      <c r="K301" s="17"/>
      <c r="L301" s="18">
        <f t="shared" si="19"/>
        <v>0</v>
      </c>
      <c r="HV301" s="2" t="s">
        <v>111</v>
      </c>
      <c r="HW301" s="2" t="s">
        <v>32</v>
      </c>
      <c r="IR301" s="19">
        <f>K301*0.034752475</f>
        <v>0</v>
      </c>
      <c r="IS301" s="19">
        <f>K301*(1-0.034752475)</f>
        <v>0</v>
      </c>
    </row>
    <row r="302" spans="1:253" x14ac:dyDescent="0.25">
      <c r="A302" s="16">
        <v>290</v>
      </c>
      <c r="B302" s="2" t="s">
        <v>255</v>
      </c>
      <c r="C302" s="2" t="s">
        <v>237</v>
      </c>
      <c r="D302" s="83" t="s">
        <v>238</v>
      </c>
      <c r="E302" s="84"/>
      <c r="F302" s="84"/>
      <c r="G302" s="84"/>
      <c r="H302" s="84"/>
      <c r="I302" s="2" t="s">
        <v>35</v>
      </c>
      <c r="J302" s="17">
        <v>24</v>
      </c>
      <c r="K302" s="17"/>
      <c r="L302" s="18">
        <f t="shared" si="19"/>
        <v>0</v>
      </c>
      <c r="HV302" s="2" t="s">
        <v>111</v>
      </c>
      <c r="HW302" s="2" t="s">
        <v>32</v>
      </c>
      <c r="IR302" s="19">
        <f>K302*0.166666667</f>
        <v>0</v>
      </c>
      <c r="IS302" s="19">
        <f>K302*(1-0.166666667)</f>
        <v>0</v>
      </c>
    </row>
    <row r="303" spans="1:253" x14ac:dyDescent="0.25">
      <c r="A303" s="16">
        <v>291</v>
      </c>
      <c r="B303" s="2" t="s">
        <v>255</v>
      </c>
      <c r="C303" s="2" t="s">
        <v>186</v>
      </c>
      <c r="D303" s="83" t="s">
        <v>187</v>
      </c>
      <c r="E303" s="84"/>
      <c r="F303" s="84"/>
      <c r="G303" s="84"/>
      <c r="H303" s="84"/>
      <c r="I303" s="2" t="s">
        <v>31</v>
      </c>
      <c r="J303" s="17">
        <v>118</v>
      </c>
      <c r="K303" s="17"/>
      <c r="L303" s="18">
        <f t="shared" si="19"/>
        <v>0</v>
      </c>
      <c r="HV303" s="2" t="s">
        <v>111</v>
      </c>
      <c r="HW303" s="2" t="s">
        <v>32</v>
      </c>
      <c r="IR303" s="19">
        <f>K303*0.014893617</f>
        <v>0</v>
      </c>
      <c r="IS303" s="19">
        <f>K303*(1-0.014893617)</f>
        <v>0</v>
      </c>
    </row>
    <row r="304" spans="1:253" x14ac:dyDescent="0.25">
      <c r="A304" s="16">
        <v>292</v>
      </c>
      <c r="B304" s="2" t="s">
        <v>255</v>
      </c>
      <c r="C304" s="2" t="s">
        <v>239</v>
      </c>
      <c r="D304" s="83" t="s">
        <v>240</v>
      </c>
      <c r="E304" s="84"/>
      <c r="F304" s="84"/>
      <c r="G304" s="84"/>
      <c r="H304" s="84"/>
      <c r="I304" s="2" t="s">
        <v>88</v>
      </c>
      <c r="J304" s="17">
        <v>0.1</v>
      </c>
      <c r="K304" s="17"/>
      <c r="L304" s="18">
        <f t="shared" si="19"/>
        <v>0</v>
      </c>
      <c r="HV304" s="2" t="s">
        <v>111</v>
      </c>
      <c r="HW304" s="2" t="s">
        <v>32</v>
      </c>
      <c r="IR304" s="19">
        <f>K304*0</f>
        <v>0</v>
      </c>
      <c r="IS304" s="19">
        <f>K304*(1-0)</f>
        <v>0</v>
      </c>
    </row>
    <row r="305" spans="1:253" x14ac:dyDescent="0.25">
      <c r="A305" s="16">
        <v>293</v>
      </c>
      <c r="B305" s="2" t="s">
        <v>255</v>
      </c>
      <c r="C305" s="2" t="s">
        <v>194</v>
      </c>
      <c r="D305" s="83" t="s">
        <v>195</v>
      </c>
      <c r="E305" s="84"/>
      <c r="F305" s="84"/>
      <c r="G305" s="84"/>
      <c r="H305" s="84"/>
      <c r="I305" s="2" t="s">
        <v>45</v>
      </c>
      <c r="J305" s="17"/>
      <c r="K305" s="17"/>
      <c r="L305" s="18">
        <f t="shared" si="19"/>
        <v>0</v>
      </c>
      <c r="HV305" s="2" t="s">
        <v>111</v>
      </c>
      <c r="HW305" s="2" t="s">
        <v>32</v>
      </c>
      <c r="IR305" s="19">
        <f>K305*0</f>
        <v>0</v>
      </c>
      <c r="IS305" s="19">
        <f>K305*(1-0)</f>
        <v>0</v>
      </c>
    </row>
    <row r="306" spans="1:253" x14ac:dyDescent="0.25">
      <c r="A306" s="12" t="s">
        <v>23</v>
      </c>
      <c r="B306" s="13" t="s">
        <v>255</v>
      </c>
      <c r="C306" s="13" t="s">
        <v>241</v>
      </c>
      <c r="D306" s="135" t="s">
        <v>242</v>
      </c>
      <c r="E306" s="136"/>
      <c r="F306" s="136"/>
      <c r="G306" s="136"/>
      <c r="H306" s="136"/>
      <c r="I306" s="13" t="s">
        <v>23</v>
      </c>
      <c r="J306" s="14" t="s">
        <v>23</v>
      </c>
      <c r="K306" s="14"/>
      <c r="L306" s="15">
        <f>SUM(L307:L311)</f>
        <v>0</v>
      </c>
    </row>
    <row r="307" spans="1:253" x14ac:dyDescent="0.25">
      <c r="A307" s="16">
        <v>294</v>
      </c>
      <c r="B307" s="2" t="s">
        <v>255</v>
      </c>
      <c r="C307" s="2" t="s">
        <v>243</v>
      </c>
      <c r="D307" s="83" t="s">
        <v>244</v>
      </c>
      <c r="E307" s="84"/>
      <c r="F307" s="84"/>
      <c r="G307" s="84"/>
      <c r="H307" s="84"/>
      <c r="I307" s="2" t="s">
        <v>40</v>
      </c>
      <c r="J307" s="17">
        <v>6</v>
      </c>
      <c r="K307" s="17"/>
      <c r="L307" s="18">
        <f>ROUND(IR307*J307+IS307*J307,2)</f>
        <v>0</v>
      </c>
      <c r="HV307" s="2" t="s">
        <v>241</v>
      </c>
      <c r="HW307" s="2" t="s">
        <v>32</v>
      </c>
      <c r="IR307" s="19">
        <f>K307*0</f>
        <v>0</v>
      </c>
      <c r="IS307" s="19">
        <f>K307*(1-0)</f>
        <v>0</v>
      </c>
    </row>
    <row r="308" spans="1:253" x14ac:dyDescent="0.25">
      <c r="A308" s="16">
        <v>295</v>
      </c>
      <c r="B308" s="2" t="s">
        <v>255</v>
      </c>
      <c r="C308" s="2" t="s">
        <v>245</v>
      </c>
      <c r="D308" s="83" t="s">
        <v>246</v>
      </c>
      <c r="E308" s="84"/>
      <c r="F308" s="84"/>
      <c r="G308" s="84"/>
      <c r="H308" s="84"/>
      <c r="I308" s="2" t="s">
        <v>40</v>
      </c>
      <c r="J308" s="17">
        <v>6</v>
      </c>
      <c r="K308" s="17"/>
      <c r="L308" s="18">
        <f>ROUND(IR308*J308+IS308*J308,2)</f>
        <v>0</v>
      </c>
      <c r="HV308" s="2" t="s">
        <v>241</v>
      </c>
      <c r="HW308" s="2" t="s">
        <v>32</v>
      </c>
      <c r="IR308" s="19">
        <f>K308*0.443493724</f>
        <v>0</v>
      </c>
      <c r="IS308" s="19">
        <f>K308*(1-0.443493724)</f>
        <v>0</v>
      </c>
    </row>
    <row r="309" spans="1:253" x14ac:dyDescent="0.25">
      <c r="A309" s="16">
        <v>296</v>
      </c>
      <c r="B309" s="2" t="s">
        <v>255</v>
      </c>
      <c r="C309" s="2" t="s">
        <v>247</v>
      </c>
      <c r="D309" s="83" t="s">
        <v>248</v>
      </c>
      <c r="E309" s="84"/>
      <c r="F309" s="84"/>
      <c r="G309" s="84"/>
      <c r="H309" s="84"/>
      <c r="I309" s="2" t="s">
        <v>40</v>
      </c>
      <c r="J309" s="17">
        <v>3</v>
      </c>
      <c r="K309" s="17"/>
      <c r="L309" s="18">
        <f>ROUND(IR309*J309+IS309*J309,2)</f>
        <v>0</v>
      </c>
      <c r="HV309" s="2" t="s">
        <v>241</v>
      </c>
      <c r="HW309" s="2" t="s">
        <v>32</v>
      </c>
      <c r="IR309" s="19">
        <f>K309*0</f>
        <v>0</v>
      </c>
      <c r="IS309" s="19">
        <f>K309*(1-0)</f>
        <v>0</v>
      </c>
    </row>
    <row r="310" spans="1:253" x14ac:dyDescent="0.25">
      <c r="A310" s="16">
        <v>297</v>
      </c>
      <c r="B310" s="2" t="s">
        <v>255</v>
      </c>
      <c r="C310" s="2" t="s">
        <v>249</v>
      </c>
      <c r="D310" s="83" t="s">
        <v>250</v>
      </c>
      <c r="E310" s="84"/>
      <c r="F310" s="84"/>
      <c r="G310" s="84"/>
      <c r="H310" s="84"/>
      <c r="I310" s="2" t="s">
        <v>35</v>
      </c>
      <c r="J310" s="17">
        <v>3</v>
      </c>
      <c r="K310" s="17"/>
      <c r="L310" s="18">
        <f>ROUND(IR310*J310+IS310*J310,2)</f>
        <v>0</v>
      </c>
      <c r="HV310" s="2" t="s">
        <v>241</v>
      </c>
      <c r="HW310" s="2" t="s">
        <v>32</v>
      </c>
      <c r="IR310" s="19">
        <f>K310*0.05555367</f>
        <v>0</v>
      </c>
      <c r="IS310" s="19">
        <f>K310*(1-0.05555367)</f>
        <v>0</v>
      </c>
    </row>
    <row r="311" spans="1:253" x14ac:dyDescent="0.25">
      <c r="A311" s="16">
        <v>298</v>
      </c>
      <c r="B311" s="2" t="s">
        <v>255</v>
      </c>
      <c r="C311" s="2" t="s">
        <v>251</v>
      </c>
      <c r="D311" s="83" t="s">
        <v>252</v>
      </c>
      <c r="E311" s="84"/>
      <c r="F311" s="84"/>
      <c r="G311" s="84"/>
      <c r="H311" s="84"/>
      <c r="I311" s="2" t="s">
        <v>45</v>
      </c>
      <c r="J311" s="17"/>
      <c r="K311" s="17"/>
      <c r="L311" s="18">
        <f>ROUND(IR311*J311+IS311*J311,2)</f>
        <v>0</v>
      </c>
      <c r="HV311" s="2" t="s">
        <v>241</v>
      </c>
      <c r="HW311" s="2" t="s">
        <v>32</v>
      </c>
      <c r="IR311" s="19">
        <f>K311*0</f>
        <v>0</v>
      </c>
      <c r="IS311" s="19">
        <f>K311*(1-0)</f>
        <v>0</v>
      </c>
    </row>
    <row r="312" spans="1:253" x14ac:dyDescent="0.25">
      <c r="A312" s="12" t="s">
        <v>23</v>
      </c>
      <c r="B312" s="13" t="s">
        <v>257</v>
      </c>
      <c r="C312" s="13" t="s">
        <v>25</v>
      </c>
      <c r="D312" s="135" t="s">
        <v>258</v>
      </c>
      <c r="E312" s="136"/>
      <c r="F312" s="136"/>
      <c r="G312" s="136"/>
      <c r="H312" s="136"/>
      <c r="I312" s="13" t="s">
        <v>23</v>
      </c>
      <c r="J312" s="14" t="s">
        <v>23</v>
      </c>
      <c r="K312" s="14"/>
      <c r="L312" s="15">
        <f>L313</f>
        <v>0</v>
      </c>
    </row>
    <row r="313" spans="1:253" x14ac:dyDescent="0.25">
      <c r="A313" s="12" t="s">
        <v>23</v>
      </c>
      <c r="B313" s="13" t="s">
        <v>257</v>
      </c>
      <c r="C313" s="13" t="s">
        <v>259</v>
      </c>
      <c r="D313" s="135" t="s">
        <v>260</v>
      </c>
      <c r="E313" s="136"/>
      <c r="F313" s="136"/>
      <c r="G313" s="136"/>
      <c r="H313" s="136"/>
      <c r="I313" s="13" t="s">
        <v>23</v>
      </c>
      <c r="J313" s="14" t="s">
        <v>23</v>
      </c>
      <c r="K313" s="14"/>
      <c r="L313" s="15">
        <f>SUM(L314:L338)</f>
        <v>0</v>
      </c>
    </row>
    <row r="314" spans="1:253" x14ac:dyDescent="0.25">
      <c r="A314" s="16">
        <v>299</v>
      </c>
      <c r="B314" s="2" t="s">
        <v>257</v>
      </c>
      <c r="C314" s="2" t="s">
        <v>261</v>
      </c>
      <c r="D314" s="83" t="s">
        <v>262</v>
      </c>
      <c r="E314" s="84"/>
      <c r="F314" s="84"/>
      <c r="G314" s="84"/>
      <c r="H314" s="84"/>
      <c r="I314" s="2" t="s">
        <v>31</v>
      </c>
      <c r="J314" s="17">
        <v>42</v>
      </c>
      <c r="K314" s="17"/>
      <c r="L314" s="18">
        <f t="shared" ref="L314:L338" si="20">ROUND(IR314*J314+IS314*J314,2)</f>
        <v>0</v>
      </c>
      <c r="HV314" s="2" t="s">
        <v>259</v>
      </c>
      <c r="HW314" s="2" t="s">
        <v>32</v>
      </c>
      <c r="IR314" s="19">
        <f>K314*0.884450262</f>
        <v>0</v>
      </c>
      <c r="IS314" s="19">
        <f>K314*(1-0.884450262)</f>
        <v>0</v>
      </c>
    </row>
    <row r="315" spans="1:253" x14ac:dyDescent="0.25">
      <c r="A315" s="16">
        <v>300</v>
      </c>
      <c r="B315" s="2" t="s">
        <v>257</v>
      </c>
      <c r="C315" s="2" t="s">
        <v>263</v>
      </c>
      <c r="D315" s="83" t="s">
        <v>264</v>
      </c>
      <c r="E315" s="84"/>
      <c r="F315" s="84"/>
      <c r="G315" s="84"/>
      <c r="H315" s="84"/>
      <c r="I315" s="2" t="s">
        <v>35</v>
      </c>
      <c r="J315" s="17">
        <v>1</v>
      </c>
      <c r="K315" s="17"/>
      <c r="L315" s="18">
        <f t="shared" si="20"/>
        <v>0</v>
      </c>
      <c r="HV315" s="2" t="s">
        <v>259</v>
      </c>
      <c r="HW315" s="2" t="s">
        <v>32</v>
      </c>
      <c r="IR315" s="19">
        <f>K315*0.496760436</f>
        <v>0</v>
      </c>
      <c r="IS315" s="19">
        <f>K315*(1-0.496760436)</f>
        <v>0</v>
      </c>
    </row>
    <row r="316" spans="1:253" x14ac:dyDescent="0.25">
      <c r="A316" s="16">
        <v>301</v>
      </c>
      <c r="B316" s="2" t="s">
        <v>257</v>
      </c>
      <c r="C316" s="2" t="s">
        <v>265</v>
      </c>
      <c r="D316" s="83" t="s">
        <v>266</v>
      </c>
      <c r="E316" s="84"/>
      <c r="F316" s="84"/>
      <c r="G316" s="84"/>
      <c r="H316" s="84"/>
      <c r="I316" s="2" t="s">
        <v>31</v>
      </c>
      <c r="J316" s="17">
        <v>42</v>
      </c>
      <c r="K316" s="17"/>
      <c r="L316" s="18">
        <f t="shared" si="20"/>
        <v>0</v>
      </c>
      <c r="HV316" s="2" t="s">
        <v>259</v>
      </c>
      <c r="HW316" s="2" t="s">
        <v>32</v>
      </c>
      <c r="IR316" s="19">
        <f>K316*0.758216433</f>
        <v>0</v>
      </c>
      <c r="IS316" s="19">
        <f>K316*(1-0.758216433)</f>
        <v>0</v>
      </c>
    </row>
    <row r="317" spans="1:253" x14ac:dyDescent="0.25">
      <c r="A317" s="16">
        <v>302</v>
      </c>
      <c r="B317" s="2" t="s">
        <v>257</v>
      </c>
      <c r="C317" s="2" t="s">
        <v>267</v>
      </c>
      <c r="D317" s="83" t="s">
        <v>268</v>
      </c>
      <c r="E317" s="84"/>
      <c r="F317" s="84"/>
      <c r="G317" s="84"/>
      <c r="H317" s="84"/>
      <c r="I317" s="2" t="s">
        <v>31</v>
      </c>
      <c r="J317" s="17">
        <v>4.5</v>
      </c>
      <c r="K317" s="17"/>
      <c r="L317" s="18">
        <f t="shared" si="20"/>
        <v>0</v>
      </c>
      <c r="HV317" s="2" t="s">
        <v>259</v>
      </c>
      <c r="HW317" s="2" t="s">
        <v>32</v>
      </c>
      <c r="IR317" s="19">
        <f>K317*0.80177043</f>
        <v>0</v>
      </c>
      <c r="IS317" s="19">
        <f>K317*(1-0.80177043)</f>
        <v>0</v>
      </c>
    </row>
    <row r="318" spans="1:253" x14ac:dyDescent="0.25">
      <c r="A318" s="16">
        <v>303</v>
      </c>
      <c r="B318" s="2" t="s">
        <v>257</v>
      </c>
      <c r="C318" s="2" t="s">
        <v>269</v>
      </c>
      <c r="D318" s="83" t="s">
        <v>270</v>
      </c>
      <c r="E318" s="84"/>
      <c r="F318" s="84"/>
      <c r="G318" s="84"/>
      <c r="H318" s="84"/>
      <c r="I318" s="2" t="s">
        <v>35</v>
      </c>
      <c r="J318" s="17">
        <v>7</v>
      </c>
      <c r="K318" s="17"/>
      <c r="L318" s="18">
        <f t="shared" si="20"/>
        <v>0</v>
      </c>
      <c r="HV318" s="2" t="s">
        <v>259</v>
      </c>
      <c r="HW318" s="2" t="s">
        <v>32</v>
      </c>
      <c r="IR318" s="19">
        <f>K318*0.75954071</f>
        <v>0</v>
      </c>
      <c r="IS318" s="19">
        <f>K318*(1-0.75954071)</f>
        <v>0</v>
      </c>
    </row>
    <row r="319" spans="1:253" x14ac:dyDescent="0.25">
      <c r="A319" s="16">
        <v>304</v>
      </c>
      <c r="B319" s="2" t="s">
        <v>257</v>
      </c>
      <c r="C319" s="2" t="s">
        <v>271</v>
      </c>
      <c r="D319" s="83" t="s">
        <v>272</v>
      </c>
      <c r="E319" s="84"/>
      <c r="F319" s="84"/>
      <c r="G319" s="84"/>
      <c r="H319" s="84"/>
      <c r="I319" s="2" t="s">
        <v>35</v>
      </c>
      <c r="J319" s="17">
        <v>10</v>
      </c>
      <c r="K319" s="17"/>
      <c r="L319" s="18">
        <f t="shared" si="20"/>
        <v>0</v>
      </c>
      <c r="HV319" s="2" t="s">
        <v>259</v>
      </c>
      <c r="HW319" s="2" t="s">
        <v>32</v>
      </c>
      <c r="IR319" s="19">
        <f>K319*0.84311753</f>
        <v>0</v>
      </c>
      <c r="IS319" s="19">
        <f>K319*(1-0.84311753)</f>
        <v>0</v>
      </c>
    </row>
    <row r="320" spans="1:253" x14ac:dyDescent="0.25">
      <c r="A320" s="16">
        <v>305</v>
      </c>
      <c r="B320" s="2" t="s">
        <v>257</v>
      </c>
      <c r="C320" s="2" t="s">
        <v>273</v>
      </c>
      <c r="D320" s="83" t="s">
        <v>274</v>
      </c>
      <c r="E320" s="84"/>
      <c r="F320" s="84"/>
      <c r="G320" s="84"/>
      <c r="H320" s="84"/>
      <c r="I320" s="2" t="s">
        <v>35</v>
      </c>
      <c r="J320" s="17">
        <v>1</v>
      </c>
      <c r="K320" s="17"/>
      <c r="L320" s="18">
        <f t="shared" si="20"/>
        <v>0</v>
      </c>
      <c r="HV320" s="2" t="s">
        <v>259</v>
      </c>
      <c r="HW320" s="2" t="s">
        <v>32</v>
      </c>
      <c r="IR320" s="19">
        <f>K320*0.886601872</f>
        <v>0</v>
      </c>
      <c r="IS320" s="19">
        <f>K320*(1-0.886601872)</f>
        <v>0</v>
      </c>
    </row>
    <row r="321" spans="1:253" x14ac:dyDescent="0.25">
      <c r="A321" s="16">
        <v>306</v>
      </c>
      <c r="B321" s="2" t="s">
        <v>257</v>
      </c>
      <c r="C321" s="2" t="s">
        <v>275</v>
      </c>
      <c r="D321" s="83" t="s">
        <v>276</v>
      </c>
      <c r="E321" s="84"/>
      <c r="F321" s="84"/>
      <c r="G321" s="84"/>
      <c r="H321" s="84"/>
      <c r="I321" s="2" t="s">
        <v>31</v>
      </c>
      <c r="J321" s="17">
        <v>42</v>
      </c>
      <c r="K321" s="17"/>
      <c r="L321" s="18">
        <f t="shared" si="20"/>
        <v>0</v>
      </c>
      <c r="HV321" s="2" t="s">
        <v>259</v>
      </c>
      <c r="HW321" s="2" t="s">
        <v>32</v>
      </c>
      <c r="IR321" s="19">
        <f>K321*0</f>
        <v>0</v>
      </c>
      <c r="IS321" s="19">
        <f>K321*(1-0)</f>
        <v>0</v>
      </c>
    </row>
    <row r="322" spans="1:253" x14ac:dyDescent="0.25">
      <c r="A322" s="16">
        <v>307</v>
      </c>
      <c r="B322" s="2" t="s">
        <v>257</v>
      </c>
      <c r="C322" s="2" t="s">
        <v>277</v>
      </c>
      <c r="D322" s="83" t="s">
        <v>278</v>
      </c>
      <c r="E322" s="84"/>
      <c r="F322" s="84"/>
      <c r="G322" s="84"/>
      <c r="H322" s="84"/>
      <c r="I322" s="2" t="s">
        <v>35</v>
      </c>
      <c r="J322" s="17">
        <v>6</v>
      </c>
      <c r="K322" s="17"/>
      <c r="L322" s="18">
        <f t="shared" si="20"/>
        <v>0</v>
      </c>
      <c r="HV322" s="2" t="s">
        <v>259</v>
      </c>
      <c r="HW322" s="2" t="s">
        <v>32</v>
      </c>
      <c r="IR322" s="19">
        <f>K322*0</f>
        <v>0</v>
      </c>
      <c r="IS322" s="19">
        <f>K322*(1-0)</f>
        <v>0</v>
      </c>
    </row>
    <row r="323" spans="1:253" x14ac:dyDescent="0.25">
      <c r="A323" s="16">
        <v>308</v>
      </c>
      <c r="B323" s="2" t="s">
        <v>257</v>
      </c>
      <c r="C323" s="2" t="s">
        <v>279</v>
      </c>
      <c r="D323" s="83" t="s">
        <v>280</v>
      </c>
      <c r="E323" s="84"/>
      <c r="F323" s="84"/>
      <c r="G323" s="84"/>
      <c r="H323" s="84"/>
      <c r="I323" s="2" t="s">
        <v>35</v>
      </c>
      <c r="J323" s="17">
        <v>3</v>
      </c>
      <c r="K323" s="17"/>
      <c r="L323" s="18">
        <f t="shared" si="20"/>
        <v>0</v>
      </c>
      <c r="HV323" s="2" t="s">
        <v>259</v>
      </c>
      <c r="HW323" s="2" t="s">
        <v>32</v>
      </c>
      <c r="IR323" s="19">
        <f>K323*0</f>
        <v>0</v>
      </c>
      <c r="IS323" s="19">
        <f>K323*(1-0)</f>
        <v>0</v>
      </c>
    </row>
    <row r="324" spans="1:253" x14ac:dyDescent="0.25">
      <c r="A324" s="16">
        <v>309</v>
      </c>
      <c r="B324" s="2" t="s">
        <v>257</v>
      </c>
      <c r="C324" s="2" t="s">
        <v>281</v>
      </c>
      <c r="D324" s="83" t="s">
        <v>282</v>
      </c>
      <c r="E324" s="84"/>
      <c r="F324" s="84"/>
      <c r="G324" s="84"/>
      <c r="H324" s="84"/>
      <c r="I324" s="2" t="s">
        <v>40</v>
      </c>
      <c r="J324" s="17">
        <v>3</v>
      </c>
      <c r="K324" s="17"/>
      <c r="L324" s="18">
        <f t="shared" si="20"/>
        <v>0</v>
      </c>
      <c r="HV324" s="2" t="s">
        <v>259</v>
      </c>
      <c r="HW324" s="2" t="s">
        <v>32</v>
      </c>
      <c r="IR324" s="19">
        <f>K324*0</f>
        <v>0</v>
      </c>
      <c r="IS324" s="19">
        <f>K324*(1-0)</f>
        <v>0</v>
      </c>
    </row>
    <row r="325" spans="1:253" x14ac:dyDescent="0.25">
      <c r="A325" s="16">
        <v>310</v>
      </c>
      <c r="B325" s="2" t="s">
        <v>257</v>
      </c>
      <c r="C325" s="2" t="s">
        <v>283</v>
      </c>
      <c r="D325" s="83" t="s">
        <v>284</v>
      </c>
      <c r="E325" s="84"/>
      <c r="F325" s="84"/>
      <c r="G325" s="84"/>
      <c r="H325" s="84"/>
      <c r="I325" s="2" t="s">
        <v>35</v>
      </c>
      <c r="J325" s="17">
        <v>2</v>
      </c>
      <c r="K325" s="17"/>
      <c r="L325" s="18">
        <f t="shared" si="20"/>
        <v>0</v>
      </c>
      <c r="HV325" s="2" t="s">
        <v>259</v>
      </c>
      <c r="HW325" s="2" t="s">
        <v>32</v>
      </c>
      <c r="IR325" s="19">
        <f>K325*0.133333333</f>
        <v>0</v>
      </c>
      <c r="IS325" s="19">
        <f>K325*(1-0.133333333)</f>
        <v>0</v>
      </c>
    </row>
    <row r="326" spans="1:253" x14ac:dyDescent="0.25">
      <c r="A326" s="16">
        <v>311</v>
      </c>
      <c r="B326" s="2" t="s">
        <v>257</v>
      </c>
      <c r="C326" s="2" t="s">
        <v>285</v>
      </c>
      <c r="D326" s="83" t="s">
        <v>286</v>
      </c>
      <c r="E326" s="84"/>
      <c r="F326" s="84"/>
      <c r="G326" s="84"/>
      <c r="H326" s="84"/>
      <c r="I326" s="2" t="s">
        <v>35</v>
      </c>
      <c r="J326" s="17">
        <v>7</v>
      </c>
      <c r="K326" s="17"/>
      <c r="L326" s="18">
        <f t="shared" si="20"/>
        <v>0</v>
      </c>
      <c r="HV326" s="2" t="s">
        <v>259</v>
      </c>
      <c r="HW326" s="2" t="s">
        <v>32</v>
      </c>
      <c r="IR326" s="19">
        <f>K326*0</f>
        <v>0</v>
      </c>
      <c r="IS326" s="19">
        <f>K326*(1-0)</f>
        <v>0</v>
      </c>
    </row>
    <row r="327" spans="1:253" x14ac:dyDescent="0.25">
      <c r="A327" s="16">
        <v>312</v>
      </c>
      <c r="B327" s="2" t="s">
        <v>257</v>
      </c>
      <c r="C327" s="2" t="s">
        <v>287</v>
      </c>
      <c r="D327" s="83" t="s">
        <v>288</v>
      </c>
      <c r="E327" s="84"/>
      <c r="F327" s="84"/>
      <c r="G327" s="84"/>
      <c r="H327" s="84"/>
      <c r="I327" s="2" t="s">
        <v>289</v>
      </c>
      <c r="J327" s="17">
        <v>7</v>
      </c>
      <c r="K327" s="17"/>
      <c r="L327" s="18">
        <f t="shared" si="20"/>
        <v>0</v>
      </c>
      <c r="HV327" s="2" t="s">
        <v>259</v>
      </c>
      <c r="HW327" s="2" t="s">
        <v>32</v>
      </c>
      <c r="IR327" s="19">
        <f>K327*0</f>
        <v>0</v>
      </c>
      <c r="IS327" s="19">
        <f>K327*(1-0)</f>
        <v>0</v>
      </c>
    </row>
    <row r="328" spans="1:253" x14ac:dyDescent="0.25">
      <c r="A328" s="16">
        <v>313</v>
      </c>
      <c r="B328" s="2" t="s">
        <v>257</v>
      </c>
      <c r="C328" s="2" t="s">
        <v>290</v>
      </c>
      <c r="D328" s="83" t="s">
        <v>291</v>
      </c>
      <c r="E328" s="84"/>
      <c r="F328" s="84"/>
      <c r="G328" s="84"/>
      <c r="H328" s="84"/>
      <c r="I328" s="2" t="s">
        <v>40</v>
      </c>
      <c r="J328" s="17">
        <v>7</v>
      </c>
      <c r="K328" s="17"/>
      <c r="L328" s="18">
        <f t="shared" si="20"/>
        <v>0</v>
      </c>
      <c r="HV328" s="2" t="s">
        <v>259</v>
      </c>
      <c r="HW328" s="2" t="s">
        <v>32</v>
      </c>
      <c r="IR328" s="19">
        <f>K328*0.062206897</f>
        <v>0</v>
      </c>
      <c r="IS328" s="19">
        <f>K328*(1-0.062206897)</f>
        <v>0</v>
      </c>
    </row>
    <row r="329" spans="1:253" x14ac:dyDescent="0.25">
      <c r="A329" s="16">
        <v>314</v>
      </c>
      <c r="B329" s="2" t="s">
        <v>257</v>
      </c>
      <c r="C329" s="2" t="s">
        <v>292</v>
      </c>
      <c r="D329" s="83" t="s">
        <v>293</v>
      </c>
      <c r="E329" s="84"/>
      <c r="F329" s="84"/>
      <c r="G329" s="84"/>
      <c r="H329" s="84"/>
      <c r="I329" s="2" t="s">
        <v>40</v>
      </c>
      <c r="J329" s="17">
        <v>7</v>
      </c>
      <c r="K329" s="17"/>
      <c r="L329" s="18">
        <f t="shared" si="20"/>
        <v>0</v>
      </c>
      <c r="HV329" s="2" t="s">
        <v>259</v>
      </c>
      <c r="HW329" s="2" t="s">
        <v>32</v>
      </c>
      <c r="IR329" s="19">
        <f>K329*0.474440677</f>
        <v>0</v>
      </c>
      <c r="IS329" s="19">
        <f>K329*(1-0.474440677)</f>
        <v>0</v>
      </c>
    </row>
    <row r="330" spans="1:253" x14ac:dyDescent="0.25">
      <c r="A330" s="16">
        <v>315</v>
      </c>
      <c r="B330" s="2" t="s">
        <v>257</v>
      </c>
      <c r="C330" s="2" t="s">
        <v>294</v>
      </c>
      <c r="D330" s="83" t="s">
        <v>295</v>
      </c>
      <c r="E330" s="84"/>
      <c r="F330" s="84"/>
      <c r="G330" s="84"/>
      <c r="H330" s="84"/>
      <c r="I330" s="2" t="s">
        <v>35</v>
      </c>
      <c r="J330" s="17">
        <v>7</v>
      </c>
      <c r="K330" s="17"/>
      <c r="L330" s="18">
        <f t="shared" si="20"/>
        <v>0</v>
      </c>
      <c r="HV330" s="2" t="s">
        <v>259</v>
      </c>
      <c r="HW330" s="2" t="s">
        <v>32</v>
      </c>
      <c r="IR330" s="19">
        <f>K330*0.219753184</f>
        <v>0</v>
      </c>
      <c r="IS330" s="19">
        <f>K330*(1-0.219753184)</f>
        <v>0</v>
      </c>
    </row>
    <row r="331" spans="1:253" x14ac:dyDescent="0.25">
      <c r="A331" s="16">
        <v>316</v>
      </c>
      <c r="B331" s="2" t="s">
        <v>257</v>
      </c>
      <c r="C331" s="2" t="s">
        <v>296</v>
      </c>
      <c r="D331" s="83" t="s">
        <v>297</v>
      </c>
      <c r="E331" s="84"/>
      <c r="F331" s="84"/>
      <c r="G331" s="84"/>
      <c r="H331" s="84"/>
      <c r="I331" s="2" t="s">
        <v>35</v>
      </c>
      <c r="J331" s="17">
        <v>7</v>
      </c>
      <c r="K331" s="17"/>
      <c r="L331" s="18">
        <f t="shared" si="20"/>
        <v>0</v>
      </c>
      <c r="HV331" s="2" t="s">
        <v>259</v>
      </c>
      <c r="HW331" s="2" t="s">
        <v>32</v>
      </c>
      <c r="IR331" s="19">
        <f>K331*0.250093458</f>
        <v>0</v>
      </c>
      <c r="IS331" s="19">
        <f>K331*(1-0.250093458)</f>
        <v>0</v>
      </c>
    </row>
    <row r="332" spans="1:253" x14ac:dyDescent="0.25">
      <c r="A332" s="16">
        <v>317</v>
      </c>
      <c r="B332" s="2" t="s">
        <v>257</v>
      </c>
      <c r="C332" s="2" t="s">
        <v>298</v>
      </c>
      <c r="D332" s="83" t="s">
        <v>299</v>
      </c>
      <c r="E332" s="84"/>
      <c r="F332" s="84"/>
      <c r="G332" s="84"/>
      <c r="H332" s="84"/>
      <c r="I332" s="2" t="s">
        <v>35</v>
      </c>
      <c r="J332" s="17">
        <v>7</v>
      </c>
      <c r="K332" s="17"/>
      <c r="L332" s="18">
        <f t="shared" si="20"/>
        <v>0</v>
      </c>
      <c r="HV332" s="2" t="s">
        <v>259</v>
      </c>
      <c r="HW332" s="2" t="s">
        <v>32</v>
      </c>
      <c r="IR332" s="19">
        <f>K332*0.125</f>
        <v>0</v>
      </c>
      <c r="IS332" s="19">
        <f>K332*(1-0.125)</f>
        <v>0</v>
      </c>
    </row>
    <row r="333" spans="1:253" x14ac:dyDescent="0.25">
      <c r="A333" s="16">
        <v>318</v>
      </c>
      <c r="B333" s="2" t="s">
        <v>257</v>
      </c>
      <c r="C333" s="2" t="s">
        <v>300</v>
      </c>
      <c r="D333" s="83" t="s">
        <v>301</v>
      </c>
      <c r="E333" s="84"/>
      <c r="F333" s="84"/>
      <c r="G333" s="84"/>
      <c r="H333" s="84"/>
      <c r="I333" s="2" t="s">
        <v>40</v>
      </c>
      <c r="J333" s="17">
        <v>7</v>
      </c>
      <c r="K333" s="17"/>
      <c r="L333" s="18">
        <f t="shared" si="20"/>
        <v>0</v>
      </c>
      <c r="HV333" s="2" t="s">
        <v>259</v>
      </c>
      <c r="HW333" s="2" t="s">
        <v>32</v>
      </c>
      <c r="IR333" s="19">
        <f>K333*0.692307692</f>
        <v>0</v>
      </c>
      <c r="IS333" s="19">
        <f>K333*(1-0.692307692)</f>
        <v>0</v>
      </c>
    </row>
    <row r="334" spans="1:253" x14ac:dyDescent="0.25">
      <c r="A334" s="16">
        <v>319</v>
      </c>
      <c r="B334" s="2" t="s">
        <v>257</v>
      </c>
      <c r="C334" s="2" t="s">
        <v>302</v>
      </c>
      <c r="D334" s="83" t="s">
        <v>303</v>
      </c>
      <c r="E334" s="84"/>
      <c r="F334" s="84"/>
      <c r="G334" s="84"/>
      <c r="H334" s="84"/>
      <c r="I334" s="2" t="s">
        <v>31</v>
      </c>
      <c r="J334" s="17">
        <v>42</v>
      </c>
      <c r="K334" s="17"/>
      <c r="L334" s="18">
        <f t="shared" si="20"/>
        <v>0</v>
      </c>
      <c r="HV334" s="2" t="s">
        <v>259</v>
      </c>
      <c r="HW334" s="2" t="s">
        <v>32</v>
      </c>
      <c r="IR334" s="19">
        <f>K334*0.5</f>
        <v>0</v>
      </c>
      <c r="IS334" s="19">
        <f>K334*(1-0.5)</f>
        <v>0</v>
      </c>
    </row>
    <row r="335" spans="1:253" x14ac:dyDescent="0.25">
      <c r="A335" s="16">
        <v>320</v>
      </c>
      <c r="B335" s="2" t="s">
        <v>257</v>
      </c>
      <c r="C335" s="2" t="s">
        <v>304</v>
      </c>
      <c r="D335" s="83" t="s">
        <v>305</v>
      </c>
      <c r="E335" s="84"/>
      <c r="F335" s="84"/>
      <c r="G335" s="84"/>
      <c r="H335" s="84"/>
      <c r="I335" s="2" t="s">
        <v>40</v>
      </c>
      <c r="J335" s="17">
        <v>3</v>
      </c>
      <c r="K335" s="17"/>
      <c r="L335" s="18">
        <f t="shared" si="20"/>
        <v>0</v>
      </c>
      <c r="HV335" s="2" t="s">
        <v>259</v>
      </c>
      <c r="HW335" s="2" t="s">
        <v>32</v>
      </c>
      <c r="IR335" s="19">
        <f>K335*0.391304348</f>
        <v>0</v>
      </c>
      <c r="IS335" s="19">
        <f>K335*(1-0.391304348)</f>
        <v>0</v>
      </c>
    </row>
    <row r="336" spans="1:253" x14ac:dyDescent="0.25">
      <c r="A336" s="16">
        <v>321</v>
      </c>
      <c r="B336" s="2" t="s">
        <v>257</v>
      </c>
      <c r="C336" s="2" t="s">
        <v>306</v>
      </c>
      <c r="D336" s="83" t="s">
        <v>307</v>
      </c>
      <c r="E336" s="84"/>
      <c r="F336" s="84"/>
      <c r="G336" s="84"/>
      <c r="H336" s="84"/>
      <c r="I336" s="2" t="s">
        <v>35</v>
      </c>
      <c r="J336" s="17">
        <v>9</v>
      </c>
      <c r="K336" s="17"/>
      <c r="L336" s="18">
        <f t="shared" si="20"/>
        <v>0</v>
      </c>
      <c r="HV336" s="2" t="s">
        <v>259</v>
      </c>
      <c r="HW336" s="2" t="s">
        <v>32</v>
      </c>
      <c r="IR336" s="19">
        <f>K336*0.5</f>
        <v>0</v>
      </c>
      <c r="IS336" s="19">
        <f>K336*(1-0.5)</f>
        <v>0</v>
      </c>
    </row>
    <row r="337" spans="1:253" x14ac:dyDescent="0.25">
      <c r="A337" s="16">
        <v>322</v>
      </c>
      <c r="B337" s="2" t="s">
        <v>257</v>
      </c>
      <c r="C337" s="2" t="s">
        <v>308</v>
      </c>
      <c r="D337" s="83" t="s">
        <v>309</v>
      </c>
      <c r="E337" s="84"/>
      <c r="F337" s="84"/>
      <c r="G337" s="84"/>
      <c r="H337" s="84"/>
      <c r="I337" s="2" t="s">
        <v>88</v>
      </c>
      <c r="J337" s="17">
        <v>0.2</v>
      </c>
      <c r="K337" s="17"/>
      <c r="L337" s="18">
        <f t="shared" si="20"/>
        <v>0</v>
      </c>
      <c r="HV337" s="2" t="s">
        <v>259</v>
      </c>
      <c r="HW337" s="2" t="s">
        <v>32</v>
      </c>
      <c r="IR337" s="19">
        <f>K337*0</f>
        <v>0</v>
      </c>
      <c r="IS337" s="19">
        <f>K337*(1-0)</f>
        <v>0</v>
      </c>
    </row>
    <row r="338" spans="1:253" x14ac:dyDescent="0.25">
      <c r="A338" s="16">
        <v>323</v>
      </c>
      <c r="B338" s="2" t="s">
        <v>257</v>
      </c>
      <c r="C338" s="2" t="s">
        <v>310</v>
      </c>
      <c r="D338" s="83" t="s">
        <v>311</v>
      </c>
      <c r="E338" s="84"/>
      <c r="F338" s="84"/>
      <c r="G338" s="84"/>
      <c r="H338" s="84"/>
      <c r="I338" s="2" t="s">
        <v>45</v>
      </c>
      <c r="J338" s="17"/>
      <c r="K338" s="17"/>
      <c r="L338" s="18">
        <f t="shared" si="20"/>
        <v>0</v>
      </c>
      <c r="HV338" s="2" t="s">
        <v>259</v>
      </c>
      <c r="HW338" s="2" t="s">
        <v>32</v>
      </c>
      <c r="IR338" s="19">
        <f>K338*0</f>
        <v>0</v>
      </c>
      <c r="IS338" s="19">
        <f>K338*(1-0)</f>
        <v>0</v>
      </c>
    </row>
    <row r="339" spans="1:253" x14ac:dyDescent="0.25">
      <c r="A339" s="12" t="s">
        <v>23</v>
      </c>
      <c r="B339" s="13" t="s">
        <v>312</v>
      </c>
      <c r="C339" s="13" t="s">
        <v>25</v>
      </c>
      <c r="D339" s="135" t="s">
        <v>313</v>
      </c>
      <c r="E339" s="136"/>
      <c r="F339" s="136"/>
      <c r="G339" s="136"/>
      <c r="H339" s="136"/>
      <c r="I339" s="13" t="s">
        <v>23</v>
      </c>
      <c r="J339" s="14" t="s">
        <v>23</v>
      </c>
      <c r="K339" s="14"/>
      <c r="L339" s="15">
        <f>L340</f>
        <v>0</v>
      </c>
    </row>
    <row r="340" spans="1:253" x14ac:dyDescent="0.25">
      <c r="A340" s="12" t="s">
        <v>23</v>
      </c>
      <c r="B340" s="13" t="s">
        <v>312</v>
      </c>
      <c r="C340" s="13" t="s">
        <v>259</v>
      </c>
      <c r="D340" s="135" t="s">
        <v>260</v>
      </c>
      <c r="E340" s="136"/>
      <c r="F340" s="136"/>
      <c r="G340" s="136"/>
      <c r="H340" s="136"/>
      <c r="I340" s="13" t="s">
        <v>23</v>
      </c>
      <c r="J340" s="14" t="s">
        <v>23</v>
      </c>
      <c r="K340" s="14"/>
      <c r="L340" s="15">
        <f>SUM(L341:L365)</f>
        <v>0</v>
      </c>
    </row>
    <row r="341" spans="1:253" x14ac:dyDescent="0.25">
      <c r="A341" s="16">
        <v>324</v>
      </c>
      <c r="B341" s="2" t="s">
        <v>312</v>
      </c>
      <c r="C341" s="2" t="s">
        <v>261</v>
      </c>
      <c r="D341" s="83" t="s">
        <v>262</v>
      </c>
      <c r="E341" s="84"/>
      <c r="F341" s="84"/>
      <c r="G341" s="84"/>
      <c r="H341" s="84"/>
      <c r="I341" s="2" t="s">
        <v>31</v>
      </c>
      <c r="J341" s="17">
        <v>31</v>
      </c>
      <c r="K341" s="17"/>
      <c r="L341" s="18">
        <f t="shared" ref="L341:L365" si="21">ROUND(IR341*J341+IS341*J341,2)</f>
        <v>0</v>
      </c>
      <c r="HV341" s="2" t="s">
        <v>259</v>
      </c>
      <c r="HW341" s="2" t="s">
        <v>32</v>
      </c>
      <c r="IR341" s="19">
        <f>K341*0.884450262</f>
        <v>0</v>
      </c>
      <c r="IS341" s="19">
        <f>K341*(1-0.884450262)</f>
        <v>0</v>
      </c>
    </row>
    <row r="342" spans="1:253" x14ac:dyDescent="0.25">
      <c r="A342" s="16">
        <v>325</v>
      </c>
      <c r="B342" s="2" t="s">
        <v>312</v>
      </c>
      <c r="C342" s="2" t="s">
        <v>263</v>
      </c>
      <c r="D342" s="83" t="s">
        <v>264</v>
      </c>
      <c r="E342" s="84"/>
      <c r="F342" s="84"/>
      <c r="G342" s="84"/>
      <c r="H342" s="84"/>
      <c r="I342" s="2" t="s">
        <v>35</v>
      </c>
      <c r="J342" s="17">
        <v>1</v>
      </c>
      <c r="K342" s="17"/>
      <c r="L342" s="18">
        <f t="shared" si="21"/>
        <v>0</v>
      </c>
      <c r="HV342" s="2" t="s">
        <v>259</v>
      </c>
      <c r="HW342" s="2" t="s">
        <v>32</v>
      </c>
      <c r="IR342" s="19">
        <f>K342*0.496760436</f>
        <v>0</v>
      </c>
      <c r="IS342" s="19">
        <f>K342*(1-0.496760436)</f>
        <v>0</v>
      </c>
    </row>
    <row r="343" spans="1:253" x14ac:dyDescent="0.25">
      <c r="A343" s="16">
        <v>326</v>
      </c>
      <c r="B343" s="2" t="s">
        <v>312</v>
      </c>
      <c r="C343" s="2" t="s">
        <v>265</v>
      </c>
      <c r="D343" s="83" t="s">
        <v>266</v>
      </c>
      <c r="E343" s="84"/>
      <c r="F343" s="84"/>
      <c r="G343" s="84"/>
      <c r="H343" s="84"/>
      <c r="I343" s="2" t="s">
        <v>31</v>
      </c>
      <c r="J343" s="17">
        <v>31</v>
      </c>
      <c r="K343" s="17"/>
      <c r="L343" s="18">
        <f t="shared" si="21"/>
        <v>0</v>
      </c>
      <c r="HV343" s="2" t="s">
        <v>259</v>
      </c>
      <c r="HW343" s="2" t="s">
        <v>32</v>
      </c>
      <c r="IR343" s="19">
        <f>K343*0.758216433</f>
        <v>0</v>
      </c>
      <c r="IS343" s="19">
        <f>K343*(1-0.758216433)</f>
        <v>0</v>
      </c>
    </row>
    <row r="344" spans="1:253" x14ac:dyDescent="0.25">
      <c r="A344" s="16">
        <v>327</v>
      </c>
      <c r="B344" s="2" t="s">
        <v>312</v>
      </c>
      <c r="C344" s="2" t="s">
        <v>267</v>
      </c>
      <c r="D344" s="83" t="s">
        <v>268</v>
      </c>
      <c r="E344" s="84"/>
      <c r="F344" s="84"/>
      <c r="G344" s="84"/>
      <c r="H344" s="84"/>
      <c r="I344" s="2" t="s">
        <v>31</v>
      </c>
      <c r="J344" s="17">
        <v>3.9</v>
      </c>
      <c r="K344" s="17"/>
      <c r="L344" s="18">
        <f t="shared" si="21"/>
        <v>0</v>
      </c>
      <c r="HV344" s="2" t="s">
        <v>259</v>
      </c>
      <c r="HW344" s="2" t="s">
        <v>32</v>
      </c>
      <c r="IR344" s="19">
        <f>K344*0.80177043</f>
        <v>0</v>
      </c>
      <c r="IS344" s="19">
        <f>K344*(1-0.80177043)</f>
        <v>0</v>
      </c>
    </row>
    <row r="345" spans="1:253" x14ac:dyDescent="0.25">
      <c r="A345" s="16">
        <v>328</v>
      </c>
      <c r="B345" s="2" t="s">
        <v>312</v>
      </c>
      <c r="C345" s="2" t="s">
        <v>269</v>
      </c>
      <c r="D345" s="83" t="s">
        <v>270</v>
      </c>
      <c r="E345" s="84"/>
      <c r="F345" s="84"/>
      <c r="G345" s="84"/>
      <c r="H345" s="84"/>
      <c r="I345" s="2" t="s">
        <v>35</v>
      </c>
      <c r="J345" s="17">
        <v>6</v>
      </c>
      <c r="K345" s="17"/>
      <c r="L345" s="18">
        <f t="shared" si="21"/>
        <v>0</v>
      </c>
      <c r="HV345" s="2" t="s">
        <v>259</v>
      </c>
      <c r="HW345" s="2" t="s">
        <v>32</v>
      </c>
      <c r="IR345" s="19">
        <f>K345*0.75954071</f>
        <v>0</v>
      </c>
      <c r="IS345" s="19">
        <f>K345*(1-0.75954071)</f>
        <v>0</v>
      </c>
    </row>
    <row r="346" spans="1:253" x14ac:dyDescent="0.25">
      <c r="A346" s="16">
        <v>329</v>
      </c>
      <c r="B346" s="2" t="s">
        <v>312</v>
      </c>
      <c r="C346" s="2" t="s">
        <v>271</v>
      </c>
      <c r="D346" s="83" t="s">
        <v>272</v>
      </c>
      <c r="E346" s="84"/>
      <c r="F346" s="84"/>
      <c r="G346" s="84"/>
      <c r="H346" s="84"/>
      <c r="I346" s="2" t="s">
        <v>35</v>
      </c>
      <c r="J346" s="17">
        <v>9</v>
      </c>
      <c r="K346" s="17"/>
      <c r="L346" s="18">
        <f t="shared" si="21"/>
        <v>0</v>
      </c>
      <c r="HV346" s="2" t="s">
        <v>259</v>
      </c>
      <c r="HW346" s="2" t="s">
        <v>32</v>
      </c>
      <c r="IR346" s="19">
        <f>K346*0.84311753</f>
        <v>0</v>
      </c>
      <c r="IS346" s="19">
        <f>K346*(1-0.84311753)</f>
        <v>0</v>
      </c>
    </row>
    <row r="347" spans="1:253" x14ac:dyDescent="0.25">
      <c r="A347" s="16">
        <v>330</v>
      </c>
      <c r="B347" s="2" t="s">
        <v>312</v>
      </c>
      <c r="C347" s="2" t="s">
        <v>273</v>
      </c>
      <c r="D347" s="83" t="s">
        <v>274</v>
      </c>
      <c r="E347" s="84"/>
      <c r="F347" s="84"/>
      <c r="G347" s="84"/>
      <c r="H347" s="84"/>
      <c r="I347" s="2" t="s">
        <v>35</v>
      </c>
      <c r="J347" s="17">
        <v>1</v>
      </c>
      <c r="K347" s="17"/>
      <c r="L347" s="18">
        <f t="shared" si="21"/>
        <v>0</v>
      </c>
      <c r="HV347" s="2" t="s">
        <v>259</v>
      </c>
      <c r="HW347" s="2" t="s">
        <v>32</v>
      </c>
      <c r="IR347" s="19">
        <f>K347*0.886601872</f>
        <v>0</v>
      </c>
      <c r="IS347" s="19">
        <f>K347*(1-0.886601872)</f>
        <v>0</v>
      </c>
    </row>
    <row r="348" spans="1:253" x14ac:dyDescent="0.25">
      <c r="A348" s="16">
        <v>331</v>
      </c>
      <c r="B348" s="2" t="s">
        <v>312</v>
      </c>
      <c r="C348" s="2" t="s">
        <v>275</v>
      </c>
      <c r="D348" s="83" t="s">
        <v>276</v>
      </c>
      <c r="E348" s="84"/>
      <c r="F348" s="84"/>
      <c r="G348" s="84"/>
      <c r="H348" s="84"/>
      <c r="I348" s="2" t="s">
        <v>31</v>
      </c>
      <c r="J348" s="17">
        <v>31</v>
      </c>
      <c r="K348" s="17"/>
      <c r="L348" s="18">
        <f t="shared" si="21"/>
        <v>0</v>
      </c>
      <c r="HV348" s="2" t="s">
        <v>259</v>
      </c>
      <c r="HW348" s="2" t="s">
        <v>32</v>
      </c>
      <c r="IR348" s="19">
        <f>K348*0</f>
        <v>0</v>
      </c>
      <c r="IS348" s="19">
        <f>K348*(1-0)</f>
        <v>0</v>
      </c>
    </row>
    <row r="349" spans="1:253" x14ac:dyDescent="0.25">
      <c r="A349" s="16">
        <v>332</v>
      </c>
      <c r="B349" s="2" t="s">
        <v>312</v>
      </c>
      <c r="C349" s="2" t="s">
        <v>277</v>
      </c>
      <c r="D349" s="83" t="s">
        <v>278</v>
      </c>
      <c r="E349" s="84"/>
      <c r="F349" s="84"/>
      <c r="G349" s="84"/>
      <c r="H349" s="84"/>
      <c r="I349" s="2" t="s">
        <v>35</v>
      </c>
      <c r="J349" s="17">
        <v>6</v>
      </c>
      <c r="K349" s="17"/>
      <c r="L349" s="18">
        <f t="shared" si="21"/>
        <v>0</v>
      </c>
      <c r="HV349" s="2" t="s">
        <v>259</v>
      </c>
      <c r="HW349" s="2" t="s">
        <v>32</v>
      </c>
      <c r="IR349" s="19">
        <f>K349*0</f>
        <v>0</v>
      </c>
      <c r="IS349" s="19">
        <f>K349*(1-0)</f>
        <v>0</v>
      </c>
    </row>
    <row r="350" spans="1:253" x14ac:dyDescent="0.25">
      <c r="A350" s="16">
        <v>333</v>
      </c>
      <c r="B350" s="2" t="s">
        <v>312</v>
      </c>
      <c r="C350" s="2" t="s">
        <v>279</v>
      </c>
      <c r="D350" s="83" t="s">
        <v>280</v>
      </c>
      <c r="E350" s="84"/>
      <c r="F350" s="84"/>
      <c r="G350" s="84"/>
      <c r="H350" s="84"/>
      <c r="I350" s="2" t="s">
        <v>35</v>
      </c>
      <c r="J350" s="17">
        <v>3</v>
      </c>
      <c r="K350" s="17"/>
      <c r="L350" s="18">
        <f t="shared" si="21"/>
        <v>0</v>
      </c>
      <c r="HV350" s="2" t="s">
        <v>259</v>
      </c>
      <c r="HW350" s="2" t="s">
        <v>32</v>
      </c>
      <c r="IR350" s="19">
        <f>K350*0</f>
        <v>0</v>
      </c>
      <c r="IS350" s="19">
        <f>K350*(1-0)</f>
        <v>0</v>
      </c>
    </row>
    <row r="351" spans="1:253" x14ac:dyDescent="0.25">
      <c r="A351" s="16">
        <v>334</v>
      </c>
      <c r="B351" s="2" t="s">
        <v>312</v>
      </c>
      <c r="C351" s="2" t="s">
        <v>281</v>
      </c>
      <c r="D351" s="83" t="s">
        <v>282</v>
      </c>
      <c r="E351" s="84"/>
      <c r="F351" s="84"/>
      <c r="G351" s="84"/>
      <c r="H351" s="84"/>
      <c r="I351" s="2" t="s">
        <v>40</v>
      </c>
      <c r="J351" s="17">
        <v>3</v>
      </c>
      <c r="K351" s="17"/>
      <c r="L351" s="18">
        <f t="shared" si="21"/>
        <v>0</v>
      </c>
      <c r="HV351" s="2" t="s">
        <v>259</v>
      </c>
      <c r="HW351" s="2" t="s">
        <v>32</v>
      </c>
      <c r="IR351" s="19">
        <f>K351*0</f>
        <v>0</v>
      </c>
      <c r="IS351" s="19">
        <f>K351*(1-0)</f>
        <v>0</v>
      </c>
    </row>
    <row r="352" spans="1:253" x14ac:dyDescent="0.25">
      <c r="A352" s="16">
        <v>335</v>
      </c>
      <c r="B352" s="2" t="s">
        <v>312</v>
      </c>
      <c r="C352" s="2" t="s">
        <v>283</v>
      </c>
      <c r="D352" s="83" t="s">
        <v>284</v>
      </c>
      <c r="E352" s="84"/>
      <c r="F352" s="84"/>
      <c r="G352" s="84"/>
      <c r="H352" s="84"/>
      <c r="I352" s="2" t="s">
        <v>35</v>
      </c>
      <c r="J352" s="17">
        <v>2</v>
      </c>
      <c r="K352" s="17"/>
      <c r="L352" s="18">
        <f t="shared" si="21"/>
        <v>0</v>
      </c>
      <c r="HV352" s="2" t="s">
        <v>259</v>
      </c>
      <c r="HW352" s="2" t="s">
        <v>32</v>
      </c>
      <c r="IR352" s="19">
        <f>K352*0.133333333</f>
        <v>0</v>
      </c>
      <c r="IS352" s="19">
        <f>K352*(1-0.133333333)</f>
        <v>0</v>
      </c>
    </row>
    <row r="353" spans="1:253" x14ac:dyDescent="0.25">
      <c r="A353" s="16">
        <v>336</v>
      </c>
      <c r="B353" s="2" t="s">
        <v>312</v>
      </c>
      <c r="C353" s="2" t="s">
        <v>285</v>
      </c>
      <c r="D353" s="83" t="s">
        <v>286</v>
      </c>
      <c r="E353" s="84"/>
      <c r="F353" s="84"/>
      <c r="G353" s="84"/>
      <c r="H353" s="84"/>
      <c r="I353" s="2" t="s">
        <v>35</v>
      </c>
      <c r="J353" s="17">
        <v>6</v>
      </c>
      <c r="K353" s="17"/>
      <c r="L353" s="18">
        <f t="shared" si="21"/>
        <v>0</v>
      </c>
      <c r="HV353" s="2" t="s">
        <v>259</v>
      </c>
      <c r="HW353" s="2" t="s">
        <v>32</v>
      </c>
      <c r="IR353" s="19">
        <f>K353*0</f>
        <v>0</v>
      </c>
      <c r="IS353" s="19">
        <f>K353*(1-0)</f>
        <v>0</v>
      </c>
    </row>
    <row r="354" spans="1:253" x14ac:dyDescent="0.25">
      <c r="A354" s="16">
        <v>337</v>
      </c>
      <c r="B354" s="2" t="s">
        <v>312</v>
      </c>
      <c r="C354" s="2" t="s">
        <v>287</v>
      </c>
      <c r="D354" s="83" t="s">
        <v>288</v>
      </c>
      <c r="E354" s="84"/>
      <c r="F354" s="84"/>
      <c r="G354" s="84"/>
      <c r="H354" s="84"/>
      <c r="I354" s="2" t="s">
        <v>289</v>
      </c>
      <c r="J354" s="17">
        <v>6</v>
      </c>
      <c r="K354" s="17"/>
      <c r="L354" s="18">
        <f t="shared" si="21"/>
        <v>0</v>
      </c>
      <c r="HV354" s="2" t="s">
        <v>259</v>
      </c>
      <c r="HW354" s="2" t="s">
        <v>32</v>
      </c>
      <c r="IR354" s="19">
        <f>K354*0</f>
        <v>0</v>
      </c>
      <c r="IS354" s="19">
        <f>K354*(1-0)</f>
        <v>0</v>
      </c>
    </row>
    <row r="355" spans="1:253" x14ac:dyDescent="0.25">
      <c r="A355" s="16">
        <v>338</v>
      </c>
      <c r="B355" s="2" t="s">
        <v>312</v>
      </c>
      <c r="C355" s="2" t="s">
        <v>290</v>
      </c>
      <c r="D355" s="83" t="s">
        <v>291</v>
      </c>
      <c r="E355" s="84"/>
      <c r="F355" s="84"/>
      <c r="G355" s="84"/>
      <c r="H355" s="84"/>
      <c r="I355" s="2" t="s">
        <v>40</v>
      </c>
      <c r="J355" s="17">
        <v>6</v>
      </c>
      <c r="K355" s="17"/>
      <c r="L355" s="18">
        <f t="shared" si="21"/>
        <v>0</v>
      </c>
      <c r="HV355" s="2" t="s">
        <v>259</v>
      </c>
      <c r="HW355" s="2" t="s">
        <v>32</v>
      </c>
      <c r="IR355" s="19">
        <f>K355*0.062206897</f>
        <v>0</v>
      </c>
      <c r="IS355" s="19">
        <f>K355*(1-0.062206897)</f>
        <v>0</v>
      </c>
    </row>
    <row r="356" spans="1:253" x14ac:dyDescent="0.25">
      <c r="A356" s="16">
        <v>339</v>
      </c>
      <c r="B356" s="2" t="s">
        <v>312</v>
      </c>
      <c r="C356" s="2" t="s">
        <v>292</v>
      </c>
      <c r="D356" s="83" t="s">
        <v>293</v>
      </c>
      <c r="E356" s="84"/>
      <c r="F356" s="84"/>
      <c r="G356" s="84"/>
      <c r="H356" s="84"/>
      <c r="I356" s="2" t="s">
        <v>40</v>
      </c>
      <c r="J356" s="17">
        <v>6</v>
      </c>
      <c r="K356" s="17"/>
      <c r="L356" s="18">
        <f t="shared" si="21"/>
        <v>0</v>
      </c>
      <c r="HV356" s="2" t="s">
        <v>259</v>
      </c>
      <c r="HW356" s="2" t="s">
        <v>32</v>
      </c>
      <c r="IR356" s="19">
        <f>K356*0.474440677</f>
        <v>0</v>
      </c>
      <c r="IS356" s="19">
        <f>K356*(1-0.474440677)</f>
        <v>0</v>
      </c>
    </row>
    <row r="357" spans="1:253" x14ac:dyDescent="0.25">
      <c r="A357" s="16">
        <v>340</v>
      </c>
      <c r="B357" s="2" t="s">
        <v>312</v>
      </c>
      <c r="C357" s="2" t="s">
        <v>294</v>
      </c>
      <c r="D357" s="83" t="s">
        <v>295</v>
      </c>
      <c r="E357" s="84"/>
      <c r="F357" s="84"/>
      <c r="G357" s="84"/>
      <c r="H357" s="84"/>
      <c r="I357" s="2" t="s">
        <v>35</v>
      </c>
      <c r="J357" s="17">
        <v>6</v>
      </c>
      <c r="K357" s="17"/>
      <c r="L357" s="18">
        <f t="shared" si="21"/>
        <v>0</v>
      </c>
      <c r="HV357" s="2" t="s">
        <v>259</v>
      </c>
      <c r="HW357" s="2" t="s">
        <v>32</v>
      </c>
      <c r="IR357" s="19">
        <f>K357*0.219753184</f>
        <v>0</v>
      </c>
      <c r="IS357" s="19">
        <f>K357*(1-0.219753184)</f>
        <v>0</v>
      </c>
    </row>
    <row r="358" spans="1:253" x14ac:dyDescent="0.25">
      <c r="A358" s="16">
        <v>341</v>
      </c>
      <c r="B358" s="2" t="s">
        <v>312</v>
      </c>
      <c r="C358" s="2" t="s">
        <v>296</v>
      </c>
      <c r="D358" s="83" t="s">
        <v>297</v>
      </c>
      <c r="E358" s="84"/>
      <c r="F358" s="84"/>
      <c r="G358" s="84"/>
      <c r="H358" s="84"/>
      <c r="I358" s="2" t="s">
        <v>35</v>
      </c>
      <c r="J358" s="17">
        <v>6</v>
      </c>
      <c r="K358" s="17"/>
      <c r="L358" s="18">
        <f t="shared" si="21"/>
        <v>0</v>
      </c>
      <c r="HV358" s="2" t="s">
        <v>259</v>
      </c>
      <c r="HW358" s="2" t="s">
        <v>32</v>
      </c>
      <c r="IR358" s="19">
        <f>K358*0.250093458</f>
        <v>0</v>
      </c>
      <c r="IS358" s="19">
        <f>K358*(1-0.250093458)</f>
        <v>0</v>
      </c>
    </row>
    <row r="359" spans="1:253" x14ac:dyDescent="0.25">
      <c r="A359" s="16">
        <v>342</v>
      </c>
      <c r="B359" s="2" t="s">
        <v>312</v>
      </c>
      <c r="C359" s="2" t="s">
        <v>298</v>
      </c>
      <c r="D359" s="83" t="s">
        <v>299</v>
      </c>
      <c r="E359" s="84"/>
      <c r="F359" s="84"/>
      <c r="G359" s="84"/>
      <c r="H359" s="84"/>
      <c r="I359" s="2" t="s">
        <v>35</v>
      </c>
      <c r="J359" s="17">
        <v>6</v>
      </c>
      <c r="K359" s="17"/>
      <c r="L359" s="18">
        <f t="shared" si="21"/>
        <v>0</v>
      </c>
      <c r="HV359" s="2" t="s">
        <v>259</v>
      </c>
      <c r="HW359" s="2" t="s">
        <v>32</v>
      </c>
      <c r="IR359" s="19">
        <f>K359*0.125</f>
        <v>0</v>
      </c>
      <c r="IS359" s="19">
        <f>K359*(1-0.125)</f>
        <v>0</v>
      </c>
    </row>
    <row r="360" spans="1:253" x14ac:dyDescent="0.25">
      <c r="A360" s="16">
        <v>343</v>
      </c>
      <c r="B360" s="2" t="s">
        <v>312</v>
      </c>
      <c r="C360" s="2" t="s">
        <v>300</v>
      </c>
      <c r="D360" s="83" t="s">
        <v>301</v>
      </c>
      <c r="E360" s="84"/>
      <c r="F360" s="84"/>
      <c r="G360" s="84"/>
      <c r="H360" s="84"/>
      <c r="I360" s="2" t="s">
        <v>40</v>
      </c>
      <c r="J360" s="17">
        <v>6</v>
      </c>
      <c r="K360" s="17"/>
      <c r="L360" s="18">
        <f t="shared" si="21"/>
        <v>0</v>
      </c>
      <c r="HV360" s="2" t="s">
        <v>259</v>
      </c>
      <c r="HW360" s="2" t="s">
        <v>32</v>
      </c>
      <c r="IR360" s="19">
        <f>K360*0.692307692</f>
        <v>0</v>
      </c>
      <c r="IS360" s="19">
        <f>K360*(1-0.692307692)</f>
        <v>0</v>
      </c>
    </row>
    <row r="361" spans="1:253" x14ac:dyDescent="0.25">
      <c r="A361" s="16">
        <v>344</v>
      </c>
      <c r="B361" s="2" t="s">
        <v>312</v>
      </c>
      <c r="C361" s="2" t="s">
        <v>302</v>
      </c>
      <c r="D361" s="83" t="s">
        <v>303</v>
      </c>
      <c r="E361" s="84"/>
      <c r="F361" s="84"/>
      <c r="G361" s="84"/>
      <c r="H361" s="84"/>
      <c r="I361" s="2" t="s">
        <v>31</v>
      </c>
      <c r="J361" s="17">
        <v>31</v>
      </c>
      <c r="K361" s="17"/>
      <c r="L361" s="18">
        <f t="shared" si="21"/>
        <v>0</v>
      </c>
      <c r="HV361" s="2" t="s">
        <v>259</v>
      </c>
      <c r="HW361" s="2" t="s">
        <v>32</v>
      </c>
      <c r="IR361" s="19">
        <f>K361*0.5</f>
        <v>0</v>
      </c>
      <c r="IS361" s="19">
        <f>K361*(1-0.5)</f>
        <v>0</v>
      </c>
    </row>
    <row r="362" spans="1:253" x14ac:dyDescent="0.25">
      <c r="A362" s="16">
        <v>345</v>
      </c>
      <c r="B362" s="2" t="s">
        <v>312</v>
      </c>
      <c r="C362" s="2" t="s">
        <v>304</v>
      </c>
      <c r="D362" s="83" t="s">
        <v>305</v>
      </c>
      <c r="E362" s="84"/>
      <c r="F362" s="84"/>
      <c r="G362" s="84"/>
      <c r="H362" s="84"/>
      <c r="I362" s="2" t="s">
        <v>40</v>
      </c>
      <c r="J362" s="17">
        <v>3</v>
      </c>
      <c r="K362" s="17"/>
      <c r="L362" s="18">
        <f t="shared" si="21"/>
        <v>0</v>
      </c>
      <c r="HV362" s="2" t="s">
        <v>259</v>
      </c>
      <c r="HW362" s="2" t="s">
        <v>32</v>
      </c>
      <c r="IR362" s="19">
        <f>K362*0.391304348</f>
        <v>0</v>
      </c>
      <c r="IS362" s="19">
        <f>K362*(1-0.391304348)</f>
        <v>0</v>
      </c>
    </row>
    <row r="363" spans="1:253" x14ac:dyDescent="0.25">
      <c r="A363" s="16">
        <v>346</v>
      </c>
      <c r="B363" s="2" t="s">
        <v>312</v>
      </c>
      <c r="C363" s="2" t="s">
        <v>306</v>
      </c>
      <c r="D363" s="83" t="s">
        <v>307</v>
      </c>
      <c r="E363" s="84"/>
      <c r="F363" s="84"/>
      <c r="G363" s="84"/>
      <c r="H363" s="84"/>
      <c r="I363" s="2" t="s">
        <v>35</v>
      </c>
      <c r="J363" s="17">
        <v>8</v>
      </c>
      <c r="K363" s="17"/>
      <c r="L363" s="18">
        <f t="shared" si="21"/>
        <v>0</v>
      </c>
      <c r="HV363" s="2" t="s">
        <v>259</v>
      </c>
      <c r="HW363" s="2" t="s">
        <v>32</v>
      </c>
      <c r="IR363" s="19">
        <f>K363*0.5</f>
        <v>0</v>
      </c>
      <c r="IS363" s="19">
        <f>K363*(1-0.5)</f>
        <v>0</v>
      </c>
    </row>
    <row r="364" spans="1:253" x14ac:dyDescent="0.25">
      <c r="A364" s="16">
        <v>347</v>
      </c>
      <c r="B364" s="2" t="s">
        <v>312</v>
      </c>
      <c r="C364" s="2" t="s">
        <v>308</v>
      </c>
      <c r="D364" s="83" t="s">
        <v>309</v>
      </c>
      <c r="E364" s="84"/>
      <c r="F364" s="84"/>
      <c r="G364" s="84"/>
      <c r="H364" s="84"/>
      <c r="I364" s="2" t="s">
        <v>88</v>
      </c>
      <c r="J364" s="17">
        <v>0.2</v>
      </c>
      <c r="K364" s="17"/>
      <c r="L364" s="18">
        <f t="shared" si="21"/>
        <v>0</v>
      </c>
      <c r="HV364" s="2" t="s">
        <v>259</v>
      </c>
      <c r="HW364" s="2" t="s">
        <v>32</v>
      </c>
      <c r="IR364" s="19">
        <f>K364*0</f>
        <v>0</v>
      </c>
      <c r="IS364" s="19">
        <f>K364*(1-0)</f>
        <v>0</v>
      </c>
    </row>
    <row r="365" spans="1:253" x14ac:dyDescent="0.25">
      <c r="A365" s="16">
        <v>348</v>
      </c>
      <c r="B365" s="2" t="s">
        <v>312</v>
      </c>
      <c r="C365" s="2" t="s">
        <v>310</v>
      </c>
      <c r="D365" s="83" t="s">
        <v>311</v>
      </c>
      <c r="E365" s="84"/>
      <c r="F365" s="84"/>
      <c r="G365" s="84"/>
      <c r="H365" s="84"/>
      <c r="I365" s="2" t="s">
        <v>45</v>
      </c>
      <c r="J365" s="17"/>
      <c r="K365" s="17"/>
      <c r="L365" s="18">
        <f t="shared" si="21"/>
        <v>0</v>
      </c>
      <c r="HV365" s="2" t="s">
        <v>259</v>
      </c>
      <c r="HW365" s="2" t="s">
        <v>32</v>
      </c>
      <c r="IR365" s="19">
        <f>K365*0</f>
        <v>0</v>
      </c>
      <c r="IS365" s="19">
        <f>K365*(1-0)</f>
        <v>0</v>
      </c>
    </row>
    <row r="366" spans="1:253" x14ac:dyDescent="0.25">
      <c r="A366" s="12" t="s">
        <v>23</v>
      </c>
      <c r="B366" s="13" t="s">
        <v>314</v>
      </c>
      <c r="C366" s="13" t="s">
        <v>25</v>
      </c>
      <c r="D366" s="135" t="s">
        <v>315</v>
      </c>
      <c r="E366" s="136"/>
      <c r="F366" s="136"/>
      <c r="G366" s="136"/>
      <c r="H366" s="136"/>
      <c r="I366" s="13" t="s">
        <v>23</v>
      </c>
      <c r="J366" s="14" t="s">
        <v>23</v>
      </c>
      <c r="K366" s="14"/>
      <c r="L366" s="15">
        <f>L367</f>
        <v>0</v>
      </c>
    </row>
    <row r="367" spans="1:253" x14ac:dyDescent="0.25">
      <c r="A367" s="12" t="s">
        <v>23</v>
      </c>
      <c r="B367" s="13" t="s">
        <v>314</v>
      </c>
      <c r="C367" s="13" t="s">
        <v>259</v>
      </c>
      <c r="D367" s="135" t="s">
        <v>260</v>
      </c>
      <c r="E367" s="136"/>
      <c r="F367" s="136"/>
      <c r="G367" s="136"/>
      <c r="H367" s="136"/>
      <c r="I367" s="13" t="s">
        <v>23</v>
      </c>
      <c r="J367" s="14" t="s">
        <v>23</v>
      </c>
      <c r="K367" s="14"/>
      <c r="L367" s="15">
        <f>SUM(L368:L392)</f>
        <v>0</v>
      </c>
    </row>
    <row r="368" spans="1:253" x14ac:dyDescent="0.25">
      <c r="A368" s="16">
        <v>349</v>
      </c>
      <c r="B368" s="2" t="s">
        <v>314</v>
      </c>
      <c r="C368" s="2" t="s">
        <v>261</v>
      </c>
      <c r="D368" s="83" t="s">
        <v>262</v>
      </c>
      <c r="E368" s="84"/>
      <c r="F368" s="84"/>
      <c r="G368" s="84"/>
      <c r="H368" s="84"/>
      <c r="I368" s="2" t="s">
        <v>31</v>
      </c>
      <c r="J368" s="17">
        <v>39</v>
      </c>
      <c r="K368" s="17"/>
      <c r="L368" s="18">
        <f t="shared" ref="L368:L392" si="22">ROUND(IR368*J368+IS368*J368,2)</f>
        <v>0</v>
      </c>
      <c r="HV368" s="2" t="s">
        <v>259</v>
      </c>
      <c r="HW368" s="2" t="s">
        <v>32</v>
      </c>
      <c r="IR368" s="19">
        <f>K368*0.884450262</f>
        <v>0</v>
      </c>
      <c r="IS368" s="19">
        <f>K368*(1-0.884450262)</f>
        <v>0</v>
      </c>
    </row>
    <row r="369" spans="1:253" x14ac:dyDescent="0.25">
      <c r="A369" s="16">
        <v>350</v>
      </c>
      <c r="B369" s="2" t="s">
        <v>314</v>
      </c>
      <c r="C369" s="2" t="s">
        <v>263</v>
      </c>
      <c r="D369" s="83" t="s">
        <v>264</v>
      </c>
      <c r="E369" s="84"/>
      <c r="F369" s="84"/>
      <c r="G369" s="84"/>
      <c r="H369" s="84"/>
      <c r="I369" s="2" t="s">
        <v>35</v>
      </c>
      <c r="J369" s="17">
        <v>1</v>
      </c>
      <c r="K369" s="17"/>
      <c r="L369" s="18">
        <f t="shared" si="22"/>
        <v>0</v>
      </c>
      <c r="HV369" s="2" t="s">
        <v>259</v>
      </c>
      <c r="HW369" s="2" t="s">
        <v>32</v>
      </c>
      <c r="IR369" s="19">
        <f>K369*0.496760436</f>
        <v>0</v>
      </c>
      <c r="IS369" s="19">
        <f>K369*(1-0.496760436)</f>
        <v>0</v>
      </c>
    </row>
    <row r="370" spans="1:253" x14ac:dyDescent="0.25">
      <c r="A370" s="16">
        <v>351</v>
      </c>
      <c r="B370" s="2" t="s">
        <v>314</v>
      </c>
      <c r="C370" s="2" t="s">
        <v>265</v>
      </c>
      <c r="D370" s="83" t="s">
        <v>266</v>
      </c>
      <c r="E370" s="84"/>
      <c r="F370" s="84"/>
      <c r="G370" s="84"/>
      <c r="H370" s="84"/>
      <c r="I370" s="2" t="s">
        <v>31</v>
      </c>
      <c r="J370" s="17">
        <v>39</v>
      </c>
      <c r="K370" s="17"/>
      <c r="L370" s="18">
        <f t="shared" si="22"/>
        <v>0</v>
      </c>
      <c r="HV370" s="2" t="s">
        <v>259</v>
      </c>
      <c r="HW370" s="2" t="s">
        <v>32</v>
      </c>
      <c r="IR370" s="19">
        <f>K370*0.758216433</f>
        <v>0</v>
      </c>
      <c r="IS370" s="19">
        <f>K370*(1-0.758216433)</f>
        <v>0</v>
      </c>
    </row>
    <row r="371" spans="1:253" x14ac:dyDescent="0.25">
      <c r="A371" s="16">
        <v>352</v>
      </c>
      <c r="B371" s="2" t="s">
        <v>314</v>
      </c>
      <c r="C371" s="2" t="s">
        <v>267</v>
      </c>
      <c r="D371" s="83" t="s">
        <v>268</v>
      </c>
      <c r="E371" s="84"/>
      <c r="F371" s="84"/>
      <c r="G371" s="84"/>
      <c r="H371" s="84"/>
      <c r="I371" s="2" t="s">
        <v>31</v>
      </c>
      <c r="J371" s="17">
        <v>3.9</v>
      </c>
      <c r="K371" s="17"/>
      <c r="L371" s="18">
        <f t="shared" si="22"/>
        <v>0</v>
      </c>
      <c r="HV371" s="2" t="s">
        <v>259</v>
      </c>
      <c r="HW371" s="2" t="s">
        <v>32</v>
      </c>
      <c r="IR371" s="19">
        <f>K371*0.80177043</f>
        <v>0</v>
      </c>
      <c r="IS371" s="19">
        <f>K371*(1-0.80177043)</f>
        <v>0</v>
      </c>
    </row>
    <row r="372" spans="1:253" x14ac:dyDescent="0.25">
      <c r="A372" s="16">
        <v>353</v>
      </c>
      <c r="B372" s="2" t="s">
        <v>314</v>
      </c>
      <c r="C372" s="2" t="s">
        <v>269</v>
      </c>
      <c r="D372" s="83" t="s">
        <v>270</v>
      </c>
      <c r="E372" s="84"/>
      <c r="F372" s="84"/>
      <c r="G372" s="84"/>
      <c r="H372" s="84"/>
      <c r="I372" s="2" t="s">
        <v>35</v>
      </c>
      <c r="J372" s="17">
        <v>7</v>
      </c>
      <c r="K372" s="17"/>
      <c r="L372" s="18">
        <f t="shared" si="22"/>
        <v>0</v>
      </c>
      <c r="HV372" s="2" t="s">
        <v>259</v>
      </c>
      <c r="HW372" s="2" t="s">
        <v>32</v>
      </c>
      <c r="IR372" s="19">
        <f>K372*0.75954071</f>
        <v>0</v>
      </c>
      <c r="IS372" s="19">
        <f>K372*(1-0.75954071)</f>
        <v>0</v>
      </c>
    </row>
    <row r="373" spans="1:253" x14ac:dyDescent="0.25">
      <c r="A373" s="16">
        <v>354</v>
      </c>
      <c r="B373" s="2" t="s">
        <v>314</v>
      </c>
      <c r="C373" s="2" t="s">
        <v>271</v>
      </c>
      <c r="D373" s="83" t="s">
        <v>272</v>
      </c>
      <c r="E373" s="84"/>
      <c r="F373" s="84"/>
      <c r="G373" s="84"/>
      <c r="H373" s="84"/>
      <c r="I373" s="2" t="s">
        <v>35</v>
      </c>
      <c r="J373" s="17">
        <v>10</v>
      </c>
      <c r="K373" s="17"/>
      <c r="L373" s="18">
        <f t="shared" si="22"/>
        <v>0</v>
      </c>
      <c r="HV373" s="2" t="s">
        <v>259</v>
      </c>
      <c r="HW373" s="2" t="s">
        <v>32</v>
      </c>
      <c r="IR373" s="19">
        <f>K373*0.84311753</f>
        <v>0</v>
      </c>
      <c r="IS373" s="19">
        <f>K373*(1-0.84311753)</f>
        <v>0</v>
      </c>
    </row>
    <row r="374" spans="1:253" x14ac:dyDescent="0.25">
      <c r="A374" s="16">
        <v>355</v>
      </c>
      <c r="B374" s="2" t="s">
        <v>314</v>
      </c>
      <c r="C374" s="2" t="s">
        <v>273</v>
      </c>
      <c r="D374" s="83" t="s">
        <v>274</v>
      </c>
      <c r="E374" s="84"/>
      <c r="F374" s="84"/>
      <c r="G374" s="84"/>
      <c r="H374" s="84"/>
      <c r="I374" s="2" t="s">
        <v>35</v>
      </c>
      <c r="J374" s="17">
        <v>1</v>
      </c>
      <c r="K374" s="17"/>
      <c r="L374" s="18">
        <f t="shared" si="22"/>
        <v>0</v>
      </c>
      <c r="HV374" s="2" t="s">
        <v>259</v>
      </c>
      <c r="HW374" s="2" t="s">
        <v>32</v>
      </c>
      <c r="IR374" s="19">
        <f>K374*0.886601872</f>
        <v>0</v>
      </c>
      <c r="IS374" s="19">
        <f>K374*(1-0.886601872)</f>
        <v>0</v>
      </c>
    </row>
    <row r="375" spans="1:253" x14ac:dyDescent="0.25">
      <c r="A375" s="16">
        <v>356</v>
      </c>
      <c r="B375" s="2" t="s">
        <v>314</v>
      </c>
      <c r="C375" s="2" t="s">
        <v>275</v>
      </c>
      <c r="D375" s="83" t="s">
        <v>276</v>
      </c>
      <c r="E375" s="84"/>
      <c r="F375" s="84"/>
      <c r="G375" s="84"/>
      <c r="H375" s="84"/>
      <c r="I375" s="2" t="s">
        <v>31</v>
      </c>
      <c r="J375" s="17">
        <v>39</v>
      </c>
      <c r="K375" s="17"/>
      <c r="L375" s="18">
        <f t="shared" si="22"/>
        <v>0</v>
      </c>
      <c r="HV375" s="2" t="s">
        <v>259</v>
      </c>
      <c r="HW375" s="2" t="s">
        <v>32</v>
      </c>
      <c r="IR375" s="19">
        <f>K375*0</f>
        <v>0</v>
      </c>
      <c r="IS375" s="19">
        <f>K375*(1-0)</f>
        <v>0</v>
      </c>
    </row>
    <row r="376" spans="1:253" x14ac:dyDescent="0.25">
      <c r="A376" s="16">
        <v>357</v>
      </c>
      <c r="B376" s="2" t="s">
        <v>314</v>
      </c>
      <c r="C376" s="2" t="s">
        <v>277</v>
      </c>
      <c r="D376" s="83" t="s">
        <v>278</v>
      </c>
      <c r="E376" s="84"/>
      <c r="F376" s="84"/>
      <c r="G376" s="84"/>
      <c r="H376" s="84"/>
      <c r="I376" s="2" t="s">
        <v>35</v>
      </c>
      <c r="J376" s="17">
        <v>6</v>
      </c>
      <c r="K376" s="17"/>
      <c r="L376" s="18">
        <f t="shared" si="22"/>
        <v>0</v>
      </c>
      <c r="HV376" s="2" t="s">
        <v>259</v>
      </c>
      <c r="HW376" s="2" t="s">
        <v>32</v>
      </c>
      <c r="IR376" s="19">
        <f>K376*0</f>
        <v>0</v>
      </c>
      <c r="IS376" s="19">
        <f>K376*(1-0)</f>
        <v>0</v>
      </c>
    </row>
    <row r="377" spans="1:253" x14ac:dyDescent="0.25">
      <c r="A377" s="16">
        <v>358</v>
      </c>
      <c r="B377" s="2" t="s">
        <v>314</v>
      </c>
      <c r="C377" s="2" t="s">
        <v>279</v>
      </c>
      <c r="D377" s="83" t="s">
        <v>280</v>
      </c>
      <c r="E377" s="84"/>
      <c r="F377" s="84"/>
      <c r="G377" s="84"/>
      <c r="H377" s="84"/>
      <c r="I377" s="2" t="s">
        <v>35</v>
      </c>
      <c r="J377" s="17">
        <v>3</v>
      </c>
      <c r="K377" s="17"/>
      <c r="L377" s="18">
        <f t="shared" si="22"/>
        <v>0</v>
      </c>
      <c r="HV377" s="2" t="s">
        <v>259</v>
      </c>
      <c r="HW377" s="2" t="s">
        <v>32</v>
      </c>
      <c r="IR377" s="19">
        <f>K377*0</f>
        <v>0</v>
      </c>
      <c r="IS377" s="19">
        <f>K377*(1-0)</f>
        <v>0</v>
      </c>
    </row>
    <row r="378" spans="1:253" x14ac:dyDescent="0.25">
      <c r="A378" s="16">
        <v>359</v>
      </c>
      <c r="B378" s="2" t="s">
        <v>314</v>
      </c>
      <c r="C378" s="2" t="s">
        <v>281</v>
      </c>
      <c r="D378" s="83" t="s">
        <v>282</v>
      </c>
      <c r="E378" s="84"/>
      <c r="F378" s="84"/>
      <c r="G378" s="84"/>
      <c r="H378" s="84"/>
      <c r="I378" s="2" t="s">
        <v>40</v>
      </c>
      <c r="J378" s="17">
        <v>3</v>
      </c>
      <c r="K378" s="17"/>
      <c r="L378" s="18">
        <f t="shared" si="22"/>
        <v>0</v>
      </c>
      <c r="HV378" s="2" t="s">
        <v>259</v>
      </c>
      <c r="HW378" s="2" t="s">
        <v>32</v>
      </c>
      <c r="IR378" s="19">
        <f>K378*0</f>
        <v>0</v>
      </c>
      <c r="IS378" s="19">
        <f>K378*(1-0)</f>
        <v>0</v>
      </c>
    </row>
    <row r="379" spans="1:253" x14ac:dyDescent="0.25">
      <c r="A379" s="16">
        <v>360</v>
      </c>
      <c r="B379" s="2" t="s">
        <v>314</v>
      </c>
      <c r="C379" s="2" t="s">
        <v>283</v>
      </c>
      <c r="D379" s="83" t="s">
        <v>284</v>
      </c>
      <c r="E379" s="84"/>
      <c r="F379" s="84"/>
      <c r="G379" s="84"/>
      <c r="H379" s="84"/>
      <c r="I379" s="2" t="s">
        <v>35</v>
      </c>
      <c r="J379" s="17">
        <v>2</v>
      </c>
      <c r="K379" s="17"/>
      <c r="L379" s="18">
        <f t="shared" si="22"/>
        <v>0</v>
      </c>
      <c r="HV379" s="2" t="s">
        <v>259</v>
      </c>
      <c r="HW379" s="2" t="s">
        <v>32</v>
      </c>
      <c r="IR379" s="19">
        <f>K379*0.133333333</f>
        <v>0</v>
      </c>
      <c r="IS379" s="19">
        <f>K379*(1-0.133333333)</f>
        <v>0</v>
      </c>
    </row>
    <row r="380" spans="1:253" x14ac:dyDescent="0.25">
      <c r="A380" s="16">
        <v>361</v>
      </c>
      <c r="B380" s="2" t="s">
        <v>314</v>
      </c>
      <c r="C380" s="2" t="s">
        <v>285</v>
      </c>
      <c r="D380" s="83" t="s">
        <v>286</v>
      </c>
      <c r="E380" s="84"/>
      <c r="F380" s="84"/>
      <c r="G380" s="84"/>
      <c r="H380" s="84"/>
      <c r="I380" s="2" t="s">
        <v>35</v>
      </c>
      <c r="J380" s="17">
        <v>7</v>
      </c>
      <c r="K380" s="17"/>
      <c r="L380" s="18">
        <f t="shared" si="22"/>
        <v>0</v>
      </c>
      <c r="HV380" s="2" t="s">
        <v>259</v>
      </c>
      <c r="HW380" s="2" t="s">
        <v>32</v>
      </c>
      <c r="IR380" s="19">
        <f>K380*0</f>
        <v>0</v>
      </c>
      <c r="IS380" s="19">
        <f>K380*(1-0)</f>
        <v>0</v>
      </c>
    </row>
    <row r="381" spans="1:253" x14ac:dyDescent="0.25">
      <c r="A381" s="16">
        <v>362</v>
      </c>
      <c r="B381" s="2" t="s">
        <v>314</v>
      </c>
      <c r="C381" s="2" t="s">
        <v>287</v>
      </c>
      <c r="D381" s="83" t="s">
        <v>288</v>
      </c>
      <c r="E381" s="84"/>
      <c r="F381" s="84"/>
      <c r="G381" s="84"/>
      <c r="H381" s="84"/>
      <c r="I381" s="2" t="s">
        <v>289</v>
      </c>
      <c r="J381" s="17">
        <v>7</v>
      </c>
      <c r="K381" s="17"/>
      <c r="L381" s="18">
        <f t="shared" si="22"/>
        <v>0</v>
      </c>
      <c r="HV381" s="2" t="s">
        <v>259</v>
      </c>
      <c r="HW381" s="2" t="s">
        <v>32</v>
      </c>
      <c r="IR381" s="19">
        <f>K381*0</f>
        <v>0</v>
      </c>
      <c r="IS381" s="19">
        <f>K381*(1-0)</f>
        <v>0</v>
      </c>
    </row>
    <row r="382" spans="1:253" x14ac:dyDescent="0.25">
      <c r="A382" s="16">
        <v>363</v>
      </c>
      <c r="B382" s="2" t="s">
        <v>314</v>
      </c>
      <c r="C382" s="2" t="s">
        <v>290</v>
      </c>
      <c r="D382" s="83" t="s">
        <v>291</v>
      </c>
      <c r="E382" s="84"/>
      <c r="F382" s="84"/>
      <c r="G382" s="84"/>
      <c r="H382" s="84"/>
      <c r="I382" s="2" t="s">
        <v>40</v>
      </c>
      <c r="J382" s="17">
        <v>7</v>
      </c>
      <c r="K382" s="17"/>
      <c r="L382" s="18">
        <f t="shared" si="22"/>
        <v>0</v>
      </c>
      <c r="HV382" s="2" t="s">
        <v>259</v>
      </c>
      <c r="HW382" s="2" t="s">
        <v>32</v>
      </c>
      <c r="IR382" s="19">
        <f>K382*0.062206897</f>
        <v>0</v>
      </c>
      <c r="IS382" s="19">
        <f>K382*(1-0.062206897)</f>
        <v>0</v>
      </c>
    </row>
    <row r="383" spans="1:253" x14ac:dyDescent="0.25">
      <c r="A383" s="16">
        <v>364</v>
      </c>
      <c r="B383" s="2" t="s">
        <v>314</v>
      </c>
      <c r="C383" s="2" t="s">
        <v>292</v>
      </c>
      <c r="D383" s="83" t="s">
        <v>293</v>
      </c>
      <c r="E383" s="84"/>
      <c r="F383" s="84"/>
      <c r="G383" s="84"/>
      <c r="H383" s="84"/>
      <c r="I383" s="2" t="s">
        <v>40</v>
      </c>
      <c r="J383" s="17">
        <v>7</v>
      </c>
      <c r="K383" s="17"/>
      <c r="L383" s="18">
        <f t="shared" si="22"/>
        <v>0</v>
      </c>
      <c r="HV383" s="2" t="s">
        <v>259</v>
      </c>
      <c r="HW383" s="2" t="s">
        <v>32</v>
      </c>
      <c r="IR383" s="19">
        <f>K383*0.474440677</f>
        <v>0</v>
      </c>
      <c r="IS383" s="19">
        <f>K383*(1-0.474440677)</f>
        <v>0</v>
      </c>
    </row>
    <row r="384" spans="1:253" x14ac:dyDescent="0.25">
      <c r="A384" s="16">
        <v>365</v>
      </c>
      <c r="B384" s="2" t="s">
        <v>314</v>
      </c>
      <c r="C384" s="2" t="s">
        <v>294</v>
      </c>
      <c r="D384" s="83" t="s">
        <v>295</v>
      </c>
      <c r="E384" s="84"/>
      <c r="F384" s="84"/>
      <c r="G384" s="84"/>
      <c r="H384" s="84"/>
      <c r="I384" s="2" t="s">
        <v>35</v>
      </c>
      <c r="J384" s="17">
        <v>7</v>
      </c>
      <c r="K384" s="17"/>
      <c r="L384" s="18">
        <f t="shared" si="22"/>
        <v>0</v>
      </c>
      <c r="HV384" s="2" t="s">
        <v>259</v>
      </c>
      <c r="HW384" s="2" t="s">
        <v>32</v>
      </c>
      <c r="IR384" s="19">
        <f>K384*0.219753184</f>
        <v>0</v>
      </c>
      <c r="IS384" s="19">
        <f>K384*(1-0.219753184)</f>
        <v>0</v>
      </c>
    </row>
    <row r="385" spans="1:253" x14ac:dyDescent="0.25">
      <c r="A385" s="16">
        <v>366</v>
      </c>
      <c r="B385" s="2" t="s">
        <v>314</v>
      </c>
      <c r="C385" s="2" t="s">
        <v>296</v>
      </c>
      <c r="D385" s="83" t="s">
        <v>297</v>
      </c>
      <c r="E385" s="84"/>
      <c r="F385" s="84"/>
      <c r="G385" s="84"/>
      <c r="H385" s="84"/>
      <c r="I385" s="2" t="s">
        <v>35</v>
      </c>
      <c r="J385" s="17">
        <v>7</v>
      </c>
      <c r="K385" s="17"/>
      <c r="L385" s="18">
        <f t="shared" si="22"/>
        <v>0</v>
      </c>
      <c r="HV385" s="2" t="s">
        <v>259</v>
      </c>
      <c r="HW385" s="2" t="s">
        <v>32</v>
      </c>
      <c r="IR385" s="19">
        <f>K385*0.250093458</f>
        <v>0</v>
      </c>
      <c r="IS385" s="19">
        <f>K385*(1-0.250093458)</f>
        <v>0</v>
      </c>
    </row>
    <row r="386" spans="1:253" x14ac:dyDescent="0.25">
      <c r="A386" s="16">
        <v>367</v>
      </c>
      <c r="B386" s="2" t="s">
        <v>314</v>
      </c>
      <c r="C386" s="2" t="s">
        <v>298</v>
      </c>
      <c r="D386" s="83" t="s">
        <v>299</v>
      </c>
      <c r="E386" s="84"/>
      <c r="F386" s="84"/>
      <c r="G386" s="84"/>
      <c r="H386" s="84"/>
      <c r="I386" s="2" t="s">
        <v>35</v>
      </c>
      <c r="J386" s="17">
        <v>7</v>
      </c>
      <c r="K386" s="17"/>
      <c r="L386" s="18">
        <f t="shared" si="22"/>
        <v>0</v>
      </c>
      <c r="HV386" s="2" t="s">
        <v>259</v>
      </c>
      <c r="HW386" s="2" t="s">
        <v>32</v>
      </c>
      <c r="IR386" s="19">
        <f>K386*0.125</f>
        <v>0</v>
      </c>
      <c r="IS386" s="19">
        <f>K386*(1-0.125)</f>
        <v>0</v>
      </c>
    </row>
    <row r="387" spans="1:253" x14ac:dyDescent="0.25">
      <c r="A387" s="16">
        <v>368</v>
      </c>
      <c r="B387" s="2" t="s">
        <v>314</v>
      </c>
      <c r="C387" s="2" t="s">
        <v>300</v>
      </c>
      <c r="D387" s="83" t="s">
        <v>301</v>
      </c>
      <c r="E387" s="84"/>
      <c r="F387" s="84"/>
      <c r="G387" s="84"/>
      <c r="H387" s="84"/>
      <c r="I387" s="2" t="s">
        <v>40</v>
      </c>
      <c r="J387" s="17">
        <v>7</v>
      </c>
      <c r="K387" s="17"/>
      <c r="L387" s="18">
        <f t="shared" si="22"/>
        <v>0</v>
      </c>
      <c r="HV387" s="2" t="s">
        <v>259</v>
      </c>
      <c r="HW387" s="2" t="s">
        <v>32</v>
      </c>
      <c r="IR387" s="19">
        <f>K387*0.692307692</f>
        <v>0</v>
      </c>
      <c r="IS387" s="19">
        <f>K387*(1-0.692307692)</f>
        <v>0</v>
      </c>
    </row>
    <row r="388" spans="1:253" x14ac:dyDescent="0.25">
      <c r="A388" s="16">
        <v>369</v>
      </c>
      <c r="B388" s="2" t="s">
        <v>314</v>
      </c>
      <c r="C388" s="2" t="s">
        <v>302</v>
      </c>
      <c r="D388" s="83" t="s">
        <v>303</v>
      </c>
      <c r="E388" s="84"/>
      <c r="F388" s="84"/>
      <c r="G388" s="84"/>
      <c r="H388" s="84"/>
      <c r="I388" s="2" t="s">
        <v>31</v>
      </c>
      <c r="J388" s="17">
        <v>39</v>
      </c>
      <c r="K388" s="17"/>
      <c r="L388" s="18">
        <f t="shared" si="22"/>
        <v>0</v>
      </c>
      <c r="HV388" s="2" t="s">
        <v>259</v>
      </c>
      <c r="HW388" s="2" t="s">
        <v>32</v>
      </c>
      <c r="IR388" s="19">
        <f>K388*0.5</f>
        <v>0</v>
      </c>
      <c r="IS388" s="19">
        <f>K388*(1-0.5)</f>
        <v>0</v>
      </c>
    </row>
    <row r="389" spans="1:253" x14ac:dyDescent="0.25">
      <c r="A389" s="16">
        <v>370</v>
      </c>
      <c r="B389" s="2" t="s">
        <v>314</v>
      </c>
      <c r="C389" s="2" t="s">
        <v>304</v>
      </c>
      <c r="D389" s="83" t="s">
        <v>305</v>
      </c>
      <c r="E389" s="84"/>
      <c r="F389" s="84"/>
      <c r="G389" s="84"/>
      <c r="H389" s="84"/>
      <c r="I389" s="2" t="s">
        <v>40</v>
      </c>
      <c r="J389" s="17">
        <v>3</v>
      </c>
      <c r="K389" s="17"/>
      <c r="L389" s="18">
        <f t="shared" si="22"/>
        <v>0</v>
      </c>
      <c r="HV389" s="2" t="s">
        <v>259</v>
      </c>
      <c r="HW389" s="2" t="s">
        <v>32</v>
      </c>
      <c r="IR389" s="19">
        <f>K389*0.391304348</f>
        <v>0</v>
      </c>
      <c r="IS389" s="19">
        <f>K389*(1-0.391304348)</f>
        <v>0</v>
      </c>
    </row>
    <row r="390" spans="1:253" x14ac:dyDescent="0.25">
      <c r="A390" s="16">
        <v>371</v>
      </c>
      <c r="B390" s="2" t="s">
        <v>314</v>
      </c>
      <c r="C390" s="2" t="s">
        <v>306</v>
      </c>
      <c r="D390" s="83" t="s">
        <v>307</v>
      </c>
      <c r="E390" s="84"/>
      <c r="F390" s="84"/>
      <c r="G390" s="84"/>
      <c r="H390" s="84"/>
      <c r="I390" s="2" t="s">
        <v>35</v>
      </c>
      <c r="J390" s="17">
        <v>8</v>
      </c>
      <c r="K390" s="17"/>
      <c r="L390" s="18">
        <f t="shared" si="22"/>
        <v>0</v>
      </c>
      <c r="HV390" s="2" t="s">
        <v>259</v>
      </c>
      <c r="HW390" s="2" t="s">
        <v>32</v>
      </c>
      <c r="IR390" s="19">
        <f>K390*0.5</f>
        <v>0</v>
      </c>
      <c r="IS390" s="19">
        <f>K390*(1-0.5)</f>
        <v>0</v>
      </c>
    </row>
    <row r="391" spans="1:253" x14ac:dyDescent="0.25">
      <c r="A391" s="16">
        <v>372</v>
      </c>
      <c r="B391" s="2" t="s">
        <v>314</v>
      </c>
      <c r="C391" s="2" t="s">
        <v>308</v>
      </c>
      <c r="D391" s="83" t="s">
        <v>309</v>
      </c>
      <c r="E391" s="84"/>
      <c r="F391" s="84"/>
      <c r="G391" s="84"/>
      <c r="H391" s="84"/>
      <c r="I391" s="2" t="s">
        <v>88</v>
      </c>
      <c r="J391" s="17">
        <v>0.2</v>
      </c>
      <c r="K391" s="17"/>
      <c r="L391" s="18">
        <f t="shared" si="22"/>
        <v>0</v>
      </c>
      <c r="HV391" s="2" t="s">
        <v>259</v>
      </c>
      <c r="HW391" s="2" t="s">
        <v>32</v>
      </c>
      <c r="IR391" s="19">
        <f>K391*0</f>
        <v>0</v>
      </c>
      <c r="IS391" s="19">
        <f>K391*(1-0)</f>
        <v>0</v>
      </c>
    </row>
    <row r="392" spans="1:253" x14ac:dyDescent="0.25">
      <c r="A392" s="16">
        <v>373</v>
      </c>
      <c r="B392" s="2" t="s">
        <v>314</v>
      </c>
      <c r="C392" s="2" t="s">
        <v>310</v>
      </c>
      <c r="D392" s="83" t="s">
        <v>311</v>
      </c>
      <c r="E392" s="84"/>
      <c r="F392" s="84"/>
      <c r="G392" s="84"/>
      <c r="H392" s="84"/>
      <c r="I392" s="2" t="s">
        <v>45</v>
      </c>
      <c r="J392" s="17"/>
      <c r="K392" s="17"/>
      <c r="L392" s="18">
        <f t="shared" si="22"/>
        <v>0</v>
      </c>
      <c r="HV392" s="2" t="s">
        <v>259</v>
      </c>
      <c r="HW392" s="2" t="s">
        <v>32</v>
      </c>
      <c r="IR392" s="19">
        <f>K392*0</f>
        <v>0</v>
      </c>
      <c r="IS392" s="19">
        <f>K392*(1-0)</f>
        <v>0</v>
      </c>
    </row>
    <row r="393" spans="1:253" x14ac:dyDescent="0.25">
      <c r="A393" s="12" t="s">
        <v>23</v>
      </c>
      <c r="B393" s="13" t="s">
        <v>316</v>
      </c>
      <c r="C393" s="13" t="s">
        <v>25</v>
      </c>
      <c r="D393" s="135" t="s">
        <v>317</v>
      </c>
      <c r="E393" s="136"/>
      <c r="F393" s="136"/>
      <c r="G393" s="136"/>
      <c r="H393" s="136"/>
      <c r="I393" s="13" t="s">
        <v>23</v>
      </c>
      <c r="J393" s="14" t="s">
        <v>23</v>
      </c>
      <c r="K393" s="14"/>
      <c r="L393" s="15">
        <f>L394</f>
        <v>0</v>
      </c>
    </row>
    <row r="394" spans="1:253" x14ac:dyDescent="0.25">
      <c r="A394" s="12" t="s">
        <v>23</v>
      </c>
      <c r="B394" s="13" t="s">
        <v>316</v>
      </c>
      <c r="C394" s="13" t="s">
        <v>259</v>
      </c>
      <c r="D394" s="135" t="s">
        <v>260</v>
      </c>
      <c r="E394" s="136"/>
      <c r="F394" s="136"/>
      <c r="G394" s="136"/>
      <c r="H394" s="136"/>
      <c r="I394" s="13" t="s">
        <v>23</v>
      </c>
      <c r="J394" s="14" t="s">
        <v>23</v>
      </c>
      <c r="K394" s="14"/>
      <c r="L394" s="15">
        <f>SUM(L395:L407)</f>
        <v>0</v>
      </c>
    </row>
    <row r="395" spans="1:253" x14ac:dyDescent="0.25">
      <c r="A395" s="16">
        <v>374</v>
      </c>
      <c r="B395" s="2" t="s">
        <v>316</v>
      </c>
      <c r="C395" s="2" t="s">
        <v>318</v>
      </c>
      <c r="D395" s="83" t="s">
        <v>319</v>
      </c>
      <c r="E395" s="84"/>
      <c r="F395" s="84"/>
      <c r="G395" s="84"/>
      <c r="H395" s="84"/>
      <c r="I395" s="2" t="s">
        <v>31</v>
      </c>
      <c r="J395" s="17">
        <v>32</v>
      </c>
      <c r="K395" s="17"/>
      <c r="L395" s="18">
        <f t="shared" ref="L395:L407" si="23">ROUND(IR395*J395+IS395*J395,2)</f>
        <v>0</v>
      </c>
      <c r="HV395" s="2" t="s">
        <v>259</v>
      </c>
      <c r="HW395" s="2" t="s">
        <v>32</v>
      </c>
      <c r="IR395" s="19">
        <f>K395*0.767182663</f>
        <v>0</v>
      </c>
      <c r="IS395" s="19">
        <f>K395*(1-0.767182663)</f>
        <v>0</v>
      </c>
    </row>
    <row r="396" spans="1:253" x14ac:dyDescent="0.25">
      <c r="A396" s="16">
        <v>375</v>
      </c>
      <c r="B396" s="2" t="s">
        <v>316</v>
      </c>
      <c r="C396" s="2" t="s">
        <v>320</v>
      </c>
      <c r="D396" s="83" t="s">
        <v>321</v>
      </c>
      <c r="E396" s="84"/>
      <c r="F396" s="84"/>
      <c r="G396" s="84"/>
      <c r="H396" s="84"/>
      <c r="I396" s="2" t="s">
        <v>31</v>
      </c>
      <c r="J396" s="17">
        <v>32</v>
      </c>
      <c r="K396" s="17"/>
      <c r="L396" s="18">
        <f t="shared" si="23"/>
        <v>0</v>
      </c>
      <c r="HV396" s="2" t="s">
        <v>259</v>
      </c>
      <c r="HW396" s="2" t="s">
        <v>32</v>
      </c>
      <c r="IR396" s="19">
        <f>K396*0.600590476</f>
        <v>0</v>
      </c>
      <c r="IS396" s="19">
        <f>K396*(1-0.600590476)</f>
        <v>0</v>
      </c>
    </row>
    <row r="397" spans="1:253" x14ac:dyDescent="0.25">
      <c r="A397" s="16">
        <v>376</v>
      </c>
      <c r="B397" s="2" t="s">
        <v>316</v>
      </c>
      <c r="C397" s="2" t="s">
        <v>322</v>
      </c>
      <c r="D397" s="83" t="s">
        <v>323</v>
      </c>
      <c r="E397" s="84"/>
      <c r="F397" s="84"/>
      <c r="G397" s="84"/>
      <c r="H397" s="84"/>
      <c r="I397" s="2" t="s">
        <v>31</v>
      </c>
      <c r="J397" s="17">
        <v>1.1000000000000001</v>
      </c>
      <c r="K397" s="17"/>
      <c r="L397" s="18">
        <f t="shared" si="23"/>
        <v>0</v>
      </c>
      <c r="HV397" s="2" t="s">
        <v>259</v>
      </c>
      <c r="HW397" s="2" t="s">
        <v>32</v>
      </c>
      <c r="IR397" s="19">
        <f>K397*0.646386294</f>
        <v>0</v>
      </c>
      <c r="IS397" s="19">
        <f>K397*(1-0.646386294)</f>
        <v>0</v>
      </c>
    </row>
    <row r="398" spans="1:253" x14ac:dyDescent="0.25">
      <c r="A398" s="16">
        <v>377</v>
      </c>
      <c r="B398" s="2" t="s">
        <v>316</v>
      </c>
      <c r="C398" s="2" t="s">
        <v>324</v>
      </c>
      <c r="D398" s="83" t="s">
        <v>325</v>
      </c>
      <c r="E398" s="84"/>
      <c r="F398" s="84"/>
      <c r="G398" s="84"/>
      <c r="H398" s="84"/>
      <c r="I398" s="2" t="s">
        <v>35</v>
      </c>
      <c r="J398" s="17">
        <v>7</v>
      </c>
      <c r="K398" s="17"/>
      <c r="L398" s="18">
        <f t="shared" si="23"/>
        <v>0</v>
      </c>
      <c r="HV398" s="2" t="s">
        <v>259</v>
      </c>
      <c r="HW398" s="2" t="s">
        <v>32</v>
      </c>
      <c r="IR398" s="19">
        <f>K398*0.373567625</f>
        <v>0</v>
      </c>
      <c r="IS398" s="19">
        <f>K398*(1-0.373567625)</f>
        <v>0</v>
      </c>
    </row>
    <row r="399" spans="1:253" x14ac:dyDescent="0.25">
      <c r="A399" s="16">
        <v>378</v>
      </c>
      <c r="B399" s="2" t="s">
        <v>316</v>
      </c>
      <c r="C399" s="2" t="s">
        <v>277</v>
      </c>
      <c r="D399" s="83" t="s">
        <v>278</v>
      </c>
      <c r="E399" s="84"/>
      <c r="F399" s="84"/>
      <c r="G399" s="84"/>
      <c r="H399" s="84"/>
      <c r="I399" s="2" t="s">
        <v>35</v>
      </c>
      <c r="J399" s="17">
        <v>7</v>
      </c>
      <c r="K399" s="17"/>
      <c r="L399" s="18">
        <f t="shared" si="23"/>
        <v>0</v>
      </c>
      <c r="HV399" s="2" t="s">
        <v>259</v>
      </c>
      <c r="HW399" s="2" t="s">
        <v>32</v>
      </c>
      <c r="IR399" s="19">
        <f>K399*0</f>
        <v>0</v>
      </c>
      <c r="IS399" s="19">
        <f>K399*(1-0)</f>
        <v>0</v>
      </c>
    </row>
    <row r="400" spans="1:253" x14ac:dyDescent="0.25">
      <c r="A400" s="16">
        <v>379</v>
      </c>
      <c r="B400" s="2" t="s">
        <v>316</v>
      </c>
      <c r="C400" s="2" t="s">
        <v>275</v>
      </c>
      <c r="D400" s="83" t="s">
        <v>276</v>
      </c>
      <c r="E400" s="84"/>
      <c r="F400" s="84"/>
      <c r="G400" s="84"/>
      <c r="H400" s="84"/>
      <c r="I400" s="2" t="s">
        <v>31</v>
      </c>
      <c r="J400" s="17">
        <v>33</v>
      </c>
      <c r="K400" s="17"/>
      <c r="L400" s="18">
        <f t="shared" si="23"/>
        <v>0</v>
      </c>
      <c r="HV400" s="2" t="s">
        <v>259</v>
      </c>
      <c r="HW400" s="2" t="s">
        <v>32</v>
      </c>
      <c r="IR400" s="19">
        <f>K400*0</f>
        <v>0</v>
      </c>
      <c r="IS400" s="19">
        <f>K400*(1-0)</f>
        <v>0</v>
      </c>
    </row>
    <row r="401" spans="1:253" x14ac:dyDescent="0.25">
      <c r="A401" s="16">
        <v>380</v>
      </c>
      <c r="B401" s="2" t="s">
        <v>316</v>
      </c>
      <c r="C401" s="2" t="s">
        <v>279</v>
      </c>
      <c r="D401" s="83" t="s">
        <v>280</v>
      </c>
      <c r="E401" s="84"/>
      <c r="F401" s="84"/>
      <c r="G401" s="84"/>
      <c r="H401" s="84"/>
      <c r="I401" s="2" t="s">
        <v>35</v>
      </c>
      <c r="J401" s="17">
        <v>7</v>
      </c>
      <c r="K401" s="17"/>
      <c r="L401" s="18">
        <f t="shared" si="23"/>
        <v>0</v>
      </c>
      <c r="HV401" s="2" t="s">
        <v>259</v>
      </c>
      <c r="HW401" s="2" t="s">
        <v>32</v>
      </c>
      <c r="IR401" s="19">
        <f>K401*0</f>
        <v>0</v>
      </c>
      <c r="IS401" s="19">
        <f>K401*(1-0)</f>
        <v>0</v>
      </c>
    </row>
    <row r="402" spans="1:253" x14ac:dyDescent="0.25">
      <c r="A402" s="16">
        <v>381</v>
      </c>
      <c r="B402" s="2" t="s">
        <v>316</v>
      </c>
      <c r="C402" s="2" t="s">
        <v>326</v>
      </c>
      <c r="D402" s="83" t="s">
        <v>327</v>
      </c>
      <c r="E402" s="84"/>
      <c r="F402" s="84"/>
      <c r="G402" s="84"/>
      <c r="H402" s="84"/>
      <c r="I402" s="2" t="s">
        <v>40</v>
      </c>
      <c r="J402" s="17">
        <v>7</v>
      </c>
      <c r="K402" s="17"/>
      <c r="L402" s="18">
        <f t="shared" si="23"/>
        <v>0</v>
      </c>
      <c r="HV402" s="2" t="s">
        <v>259</v>
      </c>
      <c r="HW402" s="2" t="s">
        <v>32</v>
      </c>
      <c r="IR402" s="19">
        <f>K402*0</f>
        <v>0</v>
      </c>
      <c r="IS402" s="19">
        <f>K402*(1-0)</f>
        <v>0</v>
      </c>
    </row>
    <row r="403" spans="1:253" x14ac:dyDescent="0.25">
      <c r="A403" s="16">
        <v>382</v>
      </c>
      <c r="B403" s="2" t="s">
        <v>316</v>
      </c>
      <c r="C403" s="2" t="s">
        <v>328</v>
      </c>
      <c r="D403" s="83" t="s">
        <v>329</v>
      </c>
      <c r="E403" s="84"/>
      <c r="F403" s="84"/>
      <c r="G403" s="84"/>
      <c r="H403" s="84"/>
      <c r="I403" s="2" t="s">
        <v>35</v>
      </c>
      <c r="J403" s="17">
        <v>7</v>
      </c>
      <c r="K403" s="17"/>
      <c r="L403" s="18">
        <f t="shared" si="23"/>
        <v>0</v>
      </c>
      <c r="HV403" s="2" t="s">
        <v>259</v>
      </c>
      <c r="HW403" s="2" t="s">
        <v>32</v>
      </c>
      <c r="IR403" s="19">
        <f>K403*0.039514536</f>
        <v>0</v>
      </c>
      <c r="IS403" s="19">
        <f>K403*(1-0.039514536)</f>
        <v>0</v>
      </c>
    </row>
    <row r="404" spans="1:253" x14ac:dyDescent="0.25">
      <c r="A404" s="16">
        <v>383</v>
      </c>
      <c r="B404" s="2" t="s">
        <v>316</v>
      </c>
      <c r="C404" s="2" t="s">
        <v>330</v>
      </c>
      <c r="D404" s="83" t="s">
        <v>331</v>
      </c>
      <c r="E404" s="84"/>
      <c r="F404" s="84"/>
      <c r="G404" s="84"/>
      <c r="H404" s="84"/>
      <c r="I404" s="2" t="s">
        <v>40</v>
      </c>
      <c r="J404" s="17">
        <v>7</v>
      </c>
      <c r="K404" s="17"/>
      <c r="L404" s="18">
        <f t="shared" si="23"/>
        <v>0</v>
      </c>
      <c r="HV404" s="2" t="s">
        <v>259</v>
      </c>
      <c r="HW404" s="2" t="s">
        <v>165</v>
      </c>
      <c r="IR404" s="19">
        <f>K404*1</f>
        <v>0</v>
      </c>
      <c r="IS404" s="19">
        <f>K404*(1-1)</f>
        <v>0</v>
      </c>
    </row>
    <row r="405" spans="1:253" x14ac:dyDescent="0.25">
      <c r="A405" s="16">
        <v>384</v>
      </c>
      <c r="B405" s="2" t="s">
        <v>316</v>
      </c>
      <c r="C405" s="2" t="s">
        <v>332</v>
      </c>
      <c r="D405" s="83" t="s">
        <v>333</v>
      </c>
      <c r="E405" s="84"/>
      <c r="F405" s="84"/>
      <c r="G405" s="84"/>
      <c r="H405" s="84"/>
      <c r="I405" s="2" t="s">
        <v>40</v>
      </c>
      <c r="J405" s="17">
        <v>7</v>
      </c>
      <c r="K405" s="17"/>
      <c r="L405" s="18">
        <f t="shared" si="23"/>
        <v>0</v>
      </c>
      <c r="HV405" s="2" t="s">
        <v>259</v>
      </c>
      <c r="HW405" s="2" t="s">
        <v>32</v>
      </c>
      <c r="IR405" s="19">
        <f>K405*0</f>
        <v>0</v>
      </c>
      <c r="IS405" s="19">
        <f>K405*(1-0)</f>
        <v>0</v>
      </c>
    </row>
    <row r="406" spans="1:253" x14ac:dyDescent="0.25">
      <c r="A406" s="16">
        <v>385</v>
      </c>
      <c r="B406" s="2" t="s">
        <v>316</v>
      </c>
      <c r="C406" s="2" t="s">
        <v>308</v>
      </c>
      <c r="D406" s="83" t="s">
        <v>309</v>
      </c>
      <c r="E406" s="84"/>
      <c r="F406" s="84"/>
      <c r="G406" s="84"/>
      <c r="H406" s="84"/>
      <c r="I406" s="2" t="s">
        <v>88</v>
      </c>
      <c r="J406" s="17">
        <v>0.1</v>
      </c>
      <c r="K406" s="17"/>
      <c r="L406" s="18">
        <f t="shared" si="23"/>
        <v>0</v>
      </c>
      <c r="HV406" s="2" t="s">
        <v>259</v>
      </c>
      <c r="HW406" s="2" t="s">
        <v>32</v>
      </c>
      <c r="IR406" s="19">
        <f>K406*0</f>
        <v>0</v>
      </c>
      <c r="IS406" s="19">
        <f>K406*(1-0)</f>
        <v>0</v>
      </c>
    </row>
    <row r="407" spans="1:253" x14ac:dyDescent="0.25">
      <c r="A407" s="16">
        <v>386</v>
      </c>
      <c r="B407" s="2" t="s">
        <v>316</v>
      </c>
      <c r="C407" s="2" t="s">
        <v>310</v>
      </c>
      <c r="D407" s="83" t="s">
        <v>311</v>
      </c>
      <c r="E407" s="84"/>
      <c r="F407" s="84"/>
      <c r="G407" s="84"/>
      <c r="H407" s="84"/>
      <c r="I407" s="2" t="s">
        <v>45</v>
      </c>
      <c r="J407" s="17"/>
      <c r="K407" s="17"/>
      <c r="L407" s="18">
        <f t="shared" si="23"/>
        <v>0</v>
      </c>
      <c r="HV407" s="2" t="s">
        <v>259</v>
      </c>
      <c r="HW407" s="2" t="s">
        <v>32</v>
      </c>
      <c r="IR407" s="19">
        <f>K407*0</f>
        <v>0</v>
      </c>
      <c r="IS407" s="19">
        <f>K407*(1-0)</f>
        <v>0</v>
      </c>
    </row>
    <row r="408" spans="1:253" x14ac:dyDescent="0.25">
      <c r="A408" s="12" t="s">
        <v>23</v>
      </c>
      <c r="B408" s="13" t="s">
        <v>334</v>
      </c>
      <c r="C408" s="13" t="s">
        <v>25</v>
      </c>
      <c r="D408" s="135" t="s">
        <v>335</v>
      </c>
      <c r="E408" s="136"/>
      <c r="F408" s="136"/>
      <c r="G408" s="136"/>
      <c r="H408" s="136"/>
      <c r="I408" s="13" t="s">
        <v>23</v>
      </c>
      <c r="J408" s="14" t="s">
        <v>23</v>
      </c>
      <c r="K408" s="14"/>
      <c r="L408" s="15">
        <f>L409</f>
        <v>0</v>
      </c>
    </row>
    <row r="409" spans="1:253" x14ac:dyDescent="0.25">
      <c r="A409" s="12" t="s">
        <v>23</v>
      </c>
      <c r="B409" s="13" t="s">
        <v>334</v>
      </c>
      <c r="C409" s="13" t="s">
        <v>259</v>
      </c>
      <c r="D409" s="135" t="s">
        <v>260</v>
      </c>
      <c r="E409" s="136"/>
      <c r="F409" s="136"/>
      <c r="G409" s="136"/>
      <c r="H409" s="136"/>
      <c r="I409" s="13" t="s">
        <v>23</v>
      </c>
      <c r="J409" s="14" t="s">
        <v>23</v>
      </c>
      <c r="K409" s="14"/>
      <c r="L409" s="15">
        <f>SUM(L410:L422)</f>
        <v>0</v>
      </c>
    </row>
    <row r="410" spans="1:253" x14ac:dyDescent="0.25">
      <c r="A410" s="16">
        <v>387</v>
      </c>
      <c r="B410" s="2" t="s">
        <v>334</v>
      </c>
      <c r="C410" s="2" t="s">
        <v>318</v>
      </c>
      <c r="D410" s="83" t="s">
        <v>319</v>
      </c>
      <c r="E410" s="84"/>
      <c r="F410" s="84"/>
      <c r="G410" s="84"/>
      <c r="H410" s="84"/>
      <c r="I410" s="2" t="s">
        <v>31</v>
      </c>
      <c r="J410" s="17">
        <v>21</v>
      </c>
      <c r="K410" s="17"/>
      <c r="L410" s="18">
        <f t="shared" ref="L410:L422" si="24">ROUND(IR410*J410+IS410*J410,2)</f>
        <v>0</v>
      </c>
      <c r="HV410" s="2" t="s">
        <v>259</v>
      </c>
      <c r="HW410" s="2" t="s">
        <v>32</v>
      </c>
      <c r="IR410" s="19">
        <f>K410*0.767182663</f>
        <v>0</v>
      </c>
      <c r="IS410" s="19">
        <f>K410*(1-0.767182663)</f>
        <v>0</v>
      </c>
    </row>
    <row r="411" spans="1:253" x14ac:dyDescent="0.25">
      <c r="A411" s="16">
        <v>388</v>
      </c>
      <c r="B411" s="2" t="s">
        <v>334</v>
      </c>
      <c r="C411" s="2" t="s">
        <v>320</v>
      </c>
      <c r="D411" s="83" t="s">
        <v>321</v>
      </c>
      <c r="E411" s="84"/>
      <c r="F411" s="84"/>
      <c r="G411" s="84"/>
      <c r="H411" s="84"/>
      <c r="I411" s="2" t="s">
        <v>31</v>
      </c>
      <c r="J411" s="17">
        <v>21</v>
      </c>
      <c r="K411" s="17"/>
      <c r="L411" s="18">
        <f t="shared" si="24"/>
        <v>0</v>
      </c>
      <c r="HV411" s="2" t="s">
        <v>259</v>
      </c>
      <c r="HW411" s="2" t="s">
        <v>32</v>
      </c>
      <c r="IR411" s="19">
        <f>K411*0.600590476</f>
        <v>0</v>
      </c>
      <c r="IS411" s="19">
        <f>K411*(1-0.600590476)</f>
        <v>0</v>
      </c>
    </row>
    <row r="412" spans="1:253" x14ac:dyDescent="0.25">
      <c r="A412" s="16">
        <v>389</v>
      </c>
      <c r="B412" s="2" t="s">
        <v>334</v>
      </c>
      <c r="C412" s="2" t="s">
        <v>322</v>
      </c>
      <c r="D412" s="83" t="s">
        <v>323</v>
      </c>
      <c r="E412" s="84"/>
      <c r="F412" s="84"/>
      <c r="G412" s="84"/>
      <c r="H412" s="84"/>
      <c r="I412" s="2" t="s">
        <v>31</v>
      </c>
      <c r="J412" s="17">
        <v>0.9</v>
      </c>
      <c r="K412" s="17"/>
      <c r="L412" s="18">
        <f t="shared" si="24"/>
        <v>0</v>
      </c>
      <c r="HV412" s="2" t="s">
        <v>259</v>
      </c>
      <c r="HW412" s="2" t="s">
        <v>32</v>
      </c>
      <c r="IR412" s="19">
        <f>K412*0.646386294</f>
        <v>0</v>
      </c>
      <c r="IS412" s="19">
        <f>K412*(1-0.646386294)</f>
        <v>0</v>
      </c>
    </row>
    <row r="413" spans="1:253" x14ac:dyDescent="0.25">
      <c r="A413" s="16">
        <v>390</v>
      </c>
      <c r="B413" s="2" t="s">
        <v>334</v>
      </c>
      <c r="C413" s="2" t="s">
        <v>324</v>
      </c>
      <c r="D413" s="83" t="s">
        <v>325</v>
      </c>
      <c r="E413" s="84"/>
      <c r="F413" s="84"/>
      <c r="G413" s="84"/>
      <c r="H413" s="84"/>
      <c r="I413" s="2" t="s">
        <v>35</v>
      </c>
      <c r="J413" s="17">
        <v>6</v>
      </c>
      <c r="K413" s="17"/>
      <c r="L413" s="18">
        <f t="shared" si="24"/>
        <v>0</v>
      </c>
      <c r="HV413" s="2" t="s">
        <v>259</v>
      </c>
      <c r="HW413" s="2" t="s">
        <v>32</v>
      </c>
      <c r="IR413" s="19">
        <f>K413*0.373567625</f>
        <v>0</v>
      </c>
      <c r="IS413" s="19">
        <f>K413*(1-0.373567625)</f>
        <v>0</v>
      </c>
    </row>
    <row r="414" spans="1:253" x14ac:dyDescent="0.25">
      <c r="A414" s="16">
        <v>391</v>
      </c>
      <c r="B414" s="2" t="s">
        <v>334</v>
      </c>
      <c r="C414" s="2" t="s">
        <v>277</v>
      </c>
      <c r="D414" s="83" t="s">
        <v>278</v>
      </c>
      <c r="E414" s="84"/>
      <c r="F414" s="84"/>
      <c r="G414" s="84"/>
      <c r="H414" s="84"/>
      <c r="I414" s="2" t="s">
        <v>35</v>
      </c>
      <c r="J414" s="17">
        <v>6</v>
      </c>
      <c r="K414" s="17"/>
      <c r="L414" s="18">
        <f t="shared" si="24"/>
        <v>0</v>
      </c>
      <c r="HV414" s="2" t="s">
        <v>259</v>
      </c>
      <c r="HW414" s="2" t="s">
        <v>32</v>
      </c>
      <c r="IR414" s="19">
        <f>K414*0</f>
        <v>0</v>
      </c>
      <c r="IS414" s="19">
        <f>K414*(1-0)</f>
        <v>0</v>
      </c>
    </row>
    <row r="415" spans="1:253" x14ac:dyDescent="0.25">
      <c r="A415" s="16">
        <v>392</v>
      </c>
      <c r="B415" s="2" t="s">
        <v>334</v>
      </c>
      <c r="C415" s="2" t="s">
        <v>275</v>
      </c>
      <c r="D415" s="83" t="s">
        <v>276</v>
      </c>
      <c r="E415" s="84"/>
      <c r="F415" s="84"/>
      <c r="G415" s="84"/>
      <c r="H415" s="84"/>
      <c r="I415" s="2" t="s">
        <v>31</v>
      </c>
      <c r="J415" s="17">
        <v>21</v>
      </c>
      <c r="K415" s="17"/>
      <c r="L415" s="18">
        <f t="shared" si="24"/>
        <v>0</v>
      </c>
      <c r="HV415" s="2" t="s">
        <v>259</v>
      </c>
      <c r="HW415" s="2" t="s">
        <v>32</v>
      </c>
      <c r="IR415" s="19">
        <f>K415*0</f>
        <v>0</v>
      </c>
      <c r="IS415" s="19">
        <f>K415*(1-0)</f>
        <v>0</v>
      </c>
    </row>
    <row r="416" spans="1:253" x14ac:dyDescent="0.25">
      <c r="A416" s="16">
        <v>393</v>
      </c>
      <c r="B416" s="2" t="s">
        <v>334</v>
      </c>
      <c r="C416" s="2" t="s">
        <v>279</v>
      </c>
      <c r="D416" s="83" t="s">
        <v>280</v>
      </c>
      <c r="E416" s="84"/>
      <c r="F416" s="84"/>
      <c r="G416" s="84"/>
      <c r="H416" s="84"/>
      <c r="I416" s="2" t="s">
        <v>35</v>
      </c>
      <c r="J416" s="17">
        <v>6</v>
      </c>
      <c r="K416" s="17"/>
      <c r="L416" s="18">
        <f t="shared" si="24"/>
        <v>0</v>
      </c>
      <c r="HV416" s="2" t="s">
        <v>259</v>
      </c>
      <c r="HW416" s="2" t="s">
        <v>32</v>
      </c>
      <c r="IR416" s="19">
        <f>K416*0</f>
        <v>0</v>
      </c>
      <c r="IS416" s="19">
        <f>K416*(1-0)</f>
        <v>0</v>
      </c>
    </row>
    <row r="417" spans="1:253" x14ac:dyDescent="0.25">
      <c r="A417" s="16">
        <v>394</v>
      </c>
      <c r="B417" s="2" t="s">
        <v>334</v>
      </c>
      <c r="C417" s="2" t="s">
        <v>326</v>
      </c>
      <c r="D417" s="83" t="s">
        <v>327</v>
      </c>
      <c r="E417" s="84"/>
      <c r="F417" s="84"/>
      <c r="G417" s="84"/>
      <c r="H417" s="84"/>
      <c r="I417" s="2" t="s">
        <v>40</v>
      </c>
      <c r="J417" s="17">
        <v>6</v>
      </c>
      <c r="K417" s="17"/>
      <c r="L417" s="18">
        <f t="shared" si="24"/>
        <v>0</v>
      </c>
      <c r="HV417" s="2" t="s">
        <v>259</v>
      </c>
      <c r="HW417" s="2" t="s">
        <v>32</v>
      </c>
      <c r="IR417" s="19">
        <f>K417*0</f>
        <v>0</v>
      </c>
      <c r="IS417" s="19">
        <f>K417*(1-0)</f>
        <v>0</v>
      </c>
    </row>
    <row r="418" spans="1:253" x14ac:dyDescent="0.25">
      <c r="A418" s="16">
        <v>395</v>
      </c>
      <c r="B418" s="2" t="s">
        <v>334</v>
      </c>
      <c r="C418" s="2" t="s">
        <v>328</v>
      </c>
      <c r="D418" s="83" t="s">
        <v>329</v>
      </c>
      <c r="E418" s="84"/>
      <c r="F418" s="84"/>
      <c r="G418" s="84"/>
      <c r="H418" s="84"/>
      <c r="I418" s="2" t="s">
        <v>35</v>
      </c>
      <c r="J418" s="17">
        <v>6</v>
      </c>
      <c r="K418" s="17"/>
      <c r="L418" s="18">
        <f t="shared" si="24"/>
        <v>0</v>
      </c>
      <c r="HV418" s="2" t="s">
        <v>259</v>
      </c>
      <c r="HW418" s="2" t="s">
        <v>32</v>
      </c>
      <c r="IR418" s="19">
        <f>K418*0.039514536</f>
        <v>0</v>
      </c>
      <c r="IS418" s="19">
        <f>K418*(1-0.039514536)</f>
        <v>0</v>
      </c>
    </row>
    <row r="419" spans="1:253" x14ac:dyDescent="0.25">
      <c r="A419" s="16">
        <v>396</v>
      </c>
      <c r="B419" s="2" t="s">
        <v>334</v>
      </c>
      <c r="C419" s="2" t="s">
        <v>330</v>
      </c>
      <c r="D419" s="83" t="s">
        <v>331</v>
      </c>
      <c r="E419" s="84"/>
      <c r="F419" s="84"/>
      <c r="G419" s="84"/>
      <c r="H419" s="84"/>
      <c r="I419" s="2" t="s">
        <v>40</v>
      </c>
      <c r="J419" s="17">
        <v>6</v>
      </c>
      <c r="K419" s="17"/>
      <c r="L419" s="18">
        <f t="shared" si="24"/>
        <v>0</v>
      </c>
      <c r="HV419" s="2" t="s">
        <v>259</v>
      </c>
      <c r="HW419" s="2" t="s">
        <v>165</v>
      </c>
      <c r="IR419" s="19">
        <f>K419*1</f>
        <v>0</v>
      </c>
      <c r="IS419" s="19">
        <f>K419*(1-1)</f>
        <v>0</v>
      </c>
    </row>
    <row r="420" spans="1:253" x14ac:dyDescent="0.25">
      <c r="A420" s="16">
        <v>397</v>
      </c>
      <c r="B420" s="2" t="s">
        <v>334</v>
      </c>
      <c r="C420" s="2" t="s">
        <v>332</v>
      </c>
      <c r="D420" s="83" t="s">
        <v>333</v>
      </c>
      <c r="E420" s="84"/>
      <c r="F420" s="84"/>
      <c r="G420" s="84"/>
      <c r="H420" s="84"/>
      <c r="I420" s="2" t="s">
        <v>40</v>
      </c>
      <c r="J420" s="17">
        <v>6</v>
      </c>
      <c r="K420" s="17"/>
      <c r="L420" s="18">
        <f t="shared" si="24"/>
        <v>0</v>
      </c>
      <c r="HV420" s="2" t="s">
        <v>259</v>
      </c>
      <c r="HW420" s="2" t="s">
        <v>32</v>
      </c>
      <c r="IR420" s="19">
        <f>K420*0</f>
        <v>0</v>
      </c>
      <c r="IS420" s="19">
        <f>K420*(1-0)</f>
        <v>0</v>
      </c>
    </row>
    <row r="421" spans="1:253" x14ac:dyDescent="0.25">
      <c r="A421" s="16">
        <v>398</v>
      </c>
      <c r="B421" s="2" t="s">
        <v>334</v>
      </c>
      <c r="C421" s="2" t="s">
        <v>308</v>
      </c>
      <c r="D421" s="83" t="s">
        <v>309</v>
      </c>
      <c r="E421" s="84"/>
      <c r="F421" s="84"/>
      <c r="G421" s="84"/>
      <c r="H421" s="84"/>
      <c r="I421" s="2" t="s">
        <v>88</v>
      </c>
      <c r="J421" s="17">
        <v>0.1</v>
      </c>
      <c r="K421" s="17"/>
      <c r="L421" s="18">
        <f t="shared" si="24"/>
        <v>0</v>
      </c>
      <c r="HV421" s="2" t="s">
        <v>259</v>
      </c>
      <c r="HW421" s="2" t="s">
        <v>32</v>
      </c>
      <c r="IR421" s="19">
        <f>K421*0</f>
        <v>0</v>
      </c>
      <c r="IS421" s="19">
        <f>K421*(1-0)</f>
        <v>0</v>
      </c>
    </row>
    <row r="422" spans="1:253" x14ac:dyDescent="0.25">
      <c r="A422" s="16">
        <v>399</v>
      </c>
      <c r="B422" s="2" t="s">
        <v>334</v>
      </c>
      <c r="C422" s="2" t="s">
        <v>310</v>
      </c>
      <c r="D422" s="83" t="s">
        <v>311</v>
      </c>
      <c r="E422" s="84"/>
      <c r="F422" s="84"/>
      <c r="G422" s="84"/>
      <c r="H422" s="84"/>
      <c r="I422" s="2" t="s">
        <v>45</v>
      </c>
      <c r="J422" s="17"/>
      <c r="K422" s="17"/>
      <c r="L422" s="18">
        <f t="shared" si="24"/>
        <v>0</v>
      </c>
      <c r="HV422" s="2" t="s">
        <v>259</v>
      </c>
      <c r="HW422" s="2" t="s">
        <v>32</v>
      </c>
      <c r="IR422" s="19">
        <f>K422*0</f>
        <v>0</v>
      </c>
      <c r="IS422" s="19">
        <f>K422*(1-0)</f>
        <v>0</v>
      </c>
    </row>
    <row r="423" spans="1:253" x14ac:dyDescent="0.25">
      <c r="A423" s="12" t="s">
        <v>23</v>
      </c>
      <c r="B423" s="13" t="s">
        <v>336</v>
      </c>
      <c r="C423" s="13" t="s">
        <v>25</v>
      </c>
      <c r="D423" s="135" t="s">
        <v>337</v>
      </c>
      <c r="E423" s="136"/>
      <c r="F423" s="136"/>
      <c r="G423" s="136"/>
      <c r="H423" s="136"/>
      <c r="I423" s="13" t="s">
        <v>23</v>
      </c>
      <c r="J423" s="14" t="s">
        <v>23</v>
      </c>
      <c r="K423" s="14"/>
      <c r="L423" s="15">
        <f>L424</f>
        <v>0</v>
      </c>
    </row>
    <row r="424" spans="1:253" x14ac:dyDescent="0.25">
      <c r="A424" s="12" t="s">
        <v>23</v>
      </c>
      <c r="B424" s="13" t="s">
        <v>336</v>
      </c>
      <c r="C424" s="13" t="s">
        <v>259</v>
      </c>
      <c r="D424" s="135" t="s">
        <v>260</v>
      </c>
      <c r="E424" s="136"/>
      <c r="F424" s="136"/>
      <c r="G424" s="136"/>
      <c r="H424" s="136"/>
      <c r="I424" s="13" t="s">
        <v>23</v>
      </c>
      <c r="J424" s="14" t="s">
        <v>23</v>
      </c>
      <c r="K424" s="14"/>
      <c r="L424" s="15">
        <f>SUM(L425:L437)</f>
        <v>0</v>
      </c>
    </row>
    <row r="425" spans="1:253" x14ac:dyDescent="0.25">
      <c r="A425" s="16">
        <v>400</v>
      </c>
      <c r="B425" s="2" t="s">
        <v>336</v>
      </c>
      <c r="C425" s="2" t="s">
        <v>318</v>
      </c>
      <c r="D425" s="83" t="s">
        <v>319</v>
      </c>
      <c r="E425" s="84"/>
      <c r="F425" s="84"/>
      <c r="G425" s="84"/>
      <c r="H425" s="84"/>
      <c r="I425" s="2" t="s">
        <v>31</v>
      </c>
      <c r="J425" s="17">
        <v>46</v>
      </c>
      <c r="K425" s="17"/>
      <c r="L425" s="18">
        <f t="shared" ref="L425:L437" si="25">ROUND(IR425*J425+IS425*J425,2)</f>
        <v>0</v>
      </c>
      <c r="HV425" s="2" t="s">
        <v>259</v>
      </c>
      <c r="HW425" s="2" t="s">
        <v>32</v>
      </c>
      <c r="IR425" s="19">
        <f>K425*0.767182663</f>
        <v>0</v>
      </c>
      <c r="IS425" s="19">
        <f>K425*(1-0.767182663)</f>
        <v>0</v>
      </c>
    </row>
    <row r="426" spans="1:253" x14ac:dyDescent="0.25">
      <c r="A426" s="16">
        <v>401</v>
      </c>
      <c r="B426" s="2" t="s">
        <v>336</v>
      </c>
      <c r="C426" s="2" t="s">
        <v>320</v>
      </c>
      <c r="D426" s="83" t="s">
        <v>321</v>
      </c>
      <c r="E426" s="84"/>
      <c r="F426" s="84"/>
      <c r="G426" s="84"/>
      <c r="H426" s="84"/>
      <c r="I426" s="2" t="s">
        <v>31</v>
      </c>
      <c r="J426" s="17">
        <v>46</v>
      </c>
      <c r="K426" s="17"/>
      <c r="L426" s="18">
        <f t="shared" si="25"/>
        <v>0</v>
      </c>
      <c r="HV426" s="2" t="s">
        <v>259</v>
      </c>
      <c r="HW426" s="2" t="s">
        <v>32</v>
      </c>
      <c r="IR426" s="19">
        <f>K426*0.600590476</f>
        <v>0</v>
      </c>
      <c r="IS426" s="19">
        <f>K426*(1-0.600590476)</f>
        <v>0</v>
      </c>
    </row>
    <row r="427" spans="1:253" x14ac:dyDescent="0.25">
      <c r="A427" s="16">
        <v>402</v>
      </c>
      <c r="B427" s="2" t="s">
        <v>336</v>
      </c>
      <c r="C427" s="2" t="s">
        <v>322</v>
      </c>
      <c r="D427" s="83" t="s">
        <v>323</v>
      </c>
      <c r="E427" s="84"/>
      <c r="F427" s="84"/>
      <c r="G427" s="84"/>
      <c r="H427" s="84"/>
      <c r="I427" s="2" t="s">
        <v>31</v>
      </c>
      <c r="J427" s="17">
        <v>1.1000000000000001</v>
      </c>
      <c r="K427" s="17"/>
      <c r="L427" s="18">
        <f t="shared" si="25"/>
        <v>0</v>
      </c>
      <c r="HV427" s="2" t="s">
        <v>259</v>
      </c>
      <c r="HW427" s="2" t="s">
        <v>32</v>
      </c>
      <c r="IR427" s="19">
        <f>K427*0.646386294</f>
        <v>0</v>
      </c>
      <c r="IS427" s="19">
        <f>K427*(1-0.646386294)</f>
        <v>0</v>
      </c>
    </row>
    <row r="428" spans="1:253" x14ac:dyDescent="0.25">
      <c r="A428" s="16">
        <v>403</v>
      </c>
      <c r="B428" s="2" t="s">
        <v>336</v>
      </c>
      <c r="C428" s="2" t="s">
        <v>324</v>
      </c>
      <c r="D428" s="83" t="s">
        <v>325</v>
      </c>
      <c r="E428" s="84"/>
      <c r="F428" s="84"/>
      <c r="G428" s="84"/>
      <c r="H428" s="84"/>
      <c r="I428" s="2" t="s">
        <v>35</v>
      </c>
      <c r="J428" s="17">
        <v>7</v>
      </c>
      <c r="K428" s="17"/>
      <c r="L428" s="18">
        <f t="shared" si="25"/>
        <v>0</v>
      </c>
      <c r="HV428" s="2" t="s">
        <v>259</v>
      </c>
      <c r="HW428" s="2" t="s">
        <v>32</v>
      </c>
      <c r="IR428" s="19">
        <f>K428*0.373567625</f>
        <v>0</v>
      </c>
      <c r="IS428" s="19">
        <f>K428*(1-0.373567625)</f>
        <v>0</v>
      </c>
    </row>
    <row r="429" spans="1:253" x14ac:dyDescent="0.25">
      <c r="A429" s="16">
        <v>404</v>
      </c>
      <c r="B429" s="2" t="s">
        <v>336</v>
      </c>
      <c r="C429" s="2" t="s">
        <v>277</v>
      </c>
      <c r="D429" s="83" t="s">
        <v>278</v>
      </c>
      <c r="E429" s="84"/>
      <c r="F429" s="84"/>
      <c r="G429" s="84"/>
      <c r="H429" s="84"/>
      <c r="I429" s="2" t="s">
        <v>35</v>
      </c>
      <c r="J429" s="17">
        <v>7</v>
      </c>
      <c r="K429" s="17"/>
      <c r="L429" s="18">
        <f t="shared" si="25"/>
        <v>0</v>
      </c>
      <c r="HV429" s="2" t="s">
        <v>259</v>
      </c>
      <c r="HW429" s="2" t="s">
        <v>32</v>
      </c>
      <c r="IR429" s="19">
        <f>K429*0</f>
        <v>0</v>
      </c>
      <c r="IS429" s="19">
        <f>K429*(1-0)</f>
        <v>0</v>
      </c>
    </row>
    <row r="430" spans="1:253" x14ac:dyDescent="0.25">
      <c r="A430" s="16">
        <v>405</v>
      </c>
      <c r="B430" s="2" t="s">
        <v>336</v>
      </c>
      <c r="C430" s="2" t="s">
        <v>275</v>
      </c>
      <c r="D430" s="83" t="s">
        <v>276</v>
      </c>
      <c r="E430" s="84"/>
      <c r="F430" s="84"/>
      <c r="G430" s="84"/>
      <c r="H430" s="84"/>
      <c r="I430" s="2" t="s">
        <v>31</v>
      </c>
      <c r="J430" s="17">
        <v>33</v>
      </c>
      <c r="K430" s="17"/>
      <c r="L430" s="18">
        <f t="shared" si="25"/>
        <v>0</v>
      </c>
      <c r="HV430" s="2" t="s">
        <v>259</v>
      </c>
      <c r="HW430" s="2" t="s">
        <v>32</v>
      </c>
      <c r="IR430" s="19">
        <f>K430*0</f>
        <v>0</v>
      </c>
      <c r="IS430" s="19">
        <f>K430*(1-0)</f>
        <v>0</v>
      </c>
    </row>
    <row r="431" spans="1:253" x14ac:dyDescent="0.25">
      <c r="A431" s="16">
        <v>406</v>
      </c>
      <c r="B431" s="2" t="s">
        <v>336</v>
      </c>
      <c r="C431" s="2" t="s">
        <v>279</v>
      </c>
      <c r="D431" s="83" t="s">
        <v>280</v>
      </c>
      <c r="E431" s="84"/>
      <c r="F431" s="84"/>
      <c r="G431" s="84"/>
      <c r="H431" s="84"/>
      <c r="I431" s="2" t="s">
        <v>35</v>
      </c>
      <c r="J431" s="17">
        <v>7</v>
      </c>
      <c r="K431" s="17"/>
      <c r="L431" s="18">
        <f t="shared" si="25"/>
        <v>0</v>
      </c>
      <c r="HV431" s="2" t="s">
        <v>259</v>
      </c>
      <c r="HW431" s="2" t="s">
        <v>32</v>
      </c>
      <c r="IR431" s="19">
        <f>K431*0</f>
        <v>0</v>
      </c>
      <c r="IS431" s="19">
        <f>K431*(1-0)</f>
        <v>0</v>
      </c>
    </row>
    <row r="432" spans="1:253" x14ac:dyDescent="0.25">
      <c r="A432" s="16">
        <v>407</v>
      </c>
      <c r="B432" s="2" t="s">
        <v>336</v>
      </c>
      <c r="C432" s="2" t="s">
        <v>326</v>
      </c>
      <c r="D432" s="83" t="s">
        <v>327</v>
      </c>
      <c r="E432" s="84"/>
      <c r="F432" s="84"/>
      <c r="G432" s="84"/>
      <c r="H432" s="84"/>
      <c r="I432" s="2" t="s">
        <v>40</v>
      </c>
      <c r="J432" s="17">
        <v>7</v>
      </c>
      <c r="K432" s="17"/>
      <c r="L432" s="18">
        <f t="shared" si="25"/>
        <v>0</v>
      </c>
      <c r="HV432" s="2" t="s">
        <v>259</v>
      </c>
      <c r="HW432" s="2" t="s">
        <v>32</v>
      </c>
      <c r="IR432" s="19">
        <f>K432*0</f>
        <v>0</v>
      </c>
      <c r="IS432" s="19">
        <f>K432*(1-0)</f>
        <v>0</v>
      </c>
    </row>
    <row r="433" spans="1:253" x14ac:dyDescent="0.25">
      <c r="A433" s="16">
        <v>408</v>
      </c>
      <c r="B433" s="2" t="s">
        <v>336</v>
      </c>
      <c r="C433" s="2" t="s">
        <v>328</v>
      </c>
      <c r="D433" s="83" t="s">
        <v>329</v>
      </c>
      <c r="E433" s="84"/>
      <c r="F433" s="84"/>
      <c r="G433" s="84"/>
      <c r="H433" s="84"/>
      <c r="I433" s="2" t="s">
        <v>35</v>
      </c>
      <c r="J433" s="17">
        <v>7</v>
      </c>
      <c r="K433" s="17"/>
      <c r="L433" s="18">
        <f t="shared" si="25"/>
        <v>0</v>
      </c>
      <c r="HV433" s="2" t="s">
        <v>259</v>
      </c>
      <c r="HW433" s="2" t="s">
        <v>32</v>
      </c>
      <c r="IR433" s="19">
        <f>K433*0.039514536</f>
        <v>0</v>
      </c>
      <c r="IS433" s="19">
        <f>K433*(1-0.039514536)</f>
        <v>0</v>
      </c>
    </row>
    <row r="434" spans="1:253" x14ac:dyDescent="0.25">
      <c r="A434" s="16">
        <v>409</v>
      </c>
      <c r="B434" s="2" t="s">
        <v>336</v>
      </c>
      <c r="C434" s="2" t="s">
        <v>330</v>
      </c>
      <c r="D434" s="83" t="s">
        <v>331</v>
      </c>
      <c r="E434" s="84"/>
      <c r="F434" s="84"/>
      <c r="G434" s="84"/>
      <c r="H434" s="84"/>
      <c r="I434" s="2" t="s">
        <v>40</v>
      </c>
      <c r="J434" s="17">
        <v>7</v>
      </c>
      <c r="K434" s="17"/>
      <c r="L434" s="18">
        <f t="shared" si="25"/>
        <v>0</v>
      </c>
      <c r="HV434" s="2" t="s">
        <v>259</v>
      </c>
      <c r="HW434" s="2" t="s">
        <v>165</v>
      </c>
      <c r="IR434" s="19">
        <f>K434*1</f>
        <v>0</v>
      </c>
      <c r="IS434" s="19">
        <f>K434*(1-1)</f>
        <v>0</v>
      </c>
    </row>
    <row r="435" spans="1:253" x14ac:dyDescent="0.25">
      <c r="A435" s="16">
        <v>410</v>
      </c>
      <c r="B435" s="2" t="s">
        <v>336</v>
      </c>
      <c r="C435" s="2" t="s">
        <v>332</v>
      </c>
      <c r="D435" s="83" t="s">
        <v>333</v>
      </c>
      <c r="E435" s="84"/>
      <c r="F435" s="84"/>
      <c r="G435" s="84"/>
      <c r="H435" s="84"/>
      <c r="I435" s="2" t="s">
        <v>40</v>
      </c>
      <c r="J435" s="17">
        <v>7</v>
      </c>
      <c r="K435" s="17"/>
      <c r="L435" s="18">
        <f t="shared" si="25"/>
        <v>0</v>
      </c>
      <c r="HV435" s="2" t="s">
        <v>259</v>
      </c>
      <c r="HW435" s="2" t="s">
        <v>32</v>
      </c>
      <c r="IR435" s="19">
        <f>K435*0</f>
        <v>0</v>
      </c>
      <c r="IS435" s="19">
        <f>K435*(1-0)</f>
        <v>0</v>
      </c>
    </row>
    <row r="436" spans="1:253" x14ac:dyDescent="0.25">
      <c r="A436" s="16">
        <v>411</v>
      </c>
      <c r="B436" s="2" t="s">
        <v>336</v>
      </c>
      <c r="C436" s="2" t="s">
        <v>308</v>
      </c>
      <c r="D436" s="83" t="s">
        <v>309</v>
      </c>
      <c r="E436" s="84"/>
      <c r="F436" s="84"/>
      <c r="G436" s="84"/>
      <c r="H436" s="84"/>
      <c r="I436" s="2" t="s">
        <v>88</v>
      </c>
      <c r="J436" s="17">
        <v>0.1</v>
      </c>
      <c r="K436" s="17"/>
      <c r="L436" s="18">
        <f t="shared" si="25"/>
        <v>0</v>
      </c>
      <c r="HV436" s="2" t="s">
        <v>259</v>
      </c>
      <c r="HW436" s="2" t="s">
        <v>32</v>
      </c>
      <c r="IR436" s="19">
        <f>K436*0</f>
        <v>0</v>
      </c>
      <c r="IS436" s="19">
        <f>K436*(1-0)</f>
        <v>0</v>
      </c>
    </row>
    <row r="437" spans="1:253" x14ac:dyDescent="0.25">
      <c r="A437" s="16">
        <v>412</v>
      </c>
      <c r="B437" s="2" t="s">
        <v>336</v>
      </c>
      <c r="C437" s="2" t="s">
        <v>310</v>
      </c>
      <c r="D437" s="83" t="s">
        <v>311</v>
      </c>
      <c r="E437" s="84"/>
      <c r="F437" s="84"/>
      <c r="G437" s="84"/>
      <c r="H437" s="84"/>
      <c r="I437" s="2" t="s">
        <v>45</v>
      </c>
      <c r="J437" s="17"/>
      <c r="K437" s="17"/>
      <c r="L437" s="18">
        <f t="shared" si="25"/>
        <v>0</v>
      </c>
      <c r="HV437" s="2" t="s">
        <v>259</v>
      </c>
      <c r="HW437" s="2" t="s">
        <v>32</v>
      </c>
      <c r="IR437" s="19">
        <f>K437*0</f>
        <v>0</v>
      </c>
      <c r="IS437" s="19">
        <f>K437*(1-0)</f>
        <v>0</v>
      </c>
    </row>
    <row r="438" spans="1:253" x14ac:dyDescent="0.25">
      <c r="A438" s="12" t="s">
        <v>23</v>
      </c>
      <c r="B438" s="13" t="s">
        <v>338</v>
      </c>
      <c r="C438" s="13" t="s">
        <v>25</v>
      </c>
      <c r="D438" s="135" t="s">
        <v>339</v>
      </c>
      <c r="E438" s="136"/>
      <c r="F438" s="136"/>
      <c r="G438" s="136"/>
      <c r="H438" s="136"/>
      <c r="I438" s="13" t="s">
        <v>23</v>
      </c>
      <c r="J438" s="14" t="s">
        <v>23</v>
      </c>
      <c r="K438" s="14"/>
      <c r="L438" s="15">
        <f>L439+L447+L451+L455+L457+L465+L470+L473+L475+L477+L480</f>
        <v>0</v>
      </c>
    </row>
    <row r="439" spans="1:253" x14ac:dyDescent="0.25">
      <c r="A439" s="12" t="s">
        <v>23</v>
      </c>
      <c r="B439" s="13" t="s">
        <v>338</v>
      </c>
      <c r="C439" s="13" t="s">
        <v>340</v>
      </c>
      <c r="D439" s="135" t="s">
        <v>341</v>
      </c>
      <c r="E439" s="136"/>
      <c r="F439" s="136"/>
      <c r="G439" s="136"/>
      <c r="H439" s="136"/>
      <c r="I439" s="13" t="s">
        <v>23</v>
      </c>
      <c r="J439" s="14" t="s">
        <v>23</v>
      </c>
      <c r="K439" s="14"/>
      <c r="L439" s="15">
        <f>SUM(L440:L446)</f>
        <v>0</v>
      </c>
    </row>
    <row r="440" spans="1:253" x14ac:dyDescent="0.25">
      <c r="A440" s="16">
        <v>413</v>
      </c>
      <c r="B440" s="2" t="s">
        <v>338</v>
      </c>
      <c r="C440" s="2" t="s">
        <v>342</v>
      </c>
      <c r="D440" s="83" t="s">
        <v>343</v>
      </c>
      <c r="E440" s="84"/>
      <c r="F440" s="84"/>
      <c r="G440" s="84"/>
      <c r="H440" s="84"/>
      <c r="I440" s="2" t="s">
        <v>40</v>
      </c>
      <c r="J440" s="17">
        <v>9</v>
      </c>
      <c r="K440" s="17"/>
      <c r="L440" s="18">
        <f t="shared" ref="L440:L446" si="26">ROUND(IR440*J440+IS440*J440,2)</f>
        <v>0</v>
      </c>
      <c r="HV440" s="2" t="s">
        <v>340</v>
      </c>
      <c r="HW440" s="2" t="s">
        <v>32</v>
      </c>
      <c r="IR440" s="19">
        <f>K440*0</f>
        <v>0</v>
      </c>
      <c r="IS440" s="19">
        <f>K440*(1-0)</f>
        <v>0</v>
      </c>
    </row>
    <row r="441" spans="1:253" x14ac:dyDescent="0.25">
      <c r="A441" s="16">
        <v>414</v>
      </c>
      <c r="B441" s="2" t="s">
        <v>338</v>
      </c>
      <c r="C441" s="2" t="s">
        <v>344</v>
      </c>
      <c r="D441" s="83" t="s">
        <v>345</v>
      </c>
      <c r="E441" s="84"/>
      <c r="F441" s="84"/>
      <c r="G441" s="84"/>
      <c r="H441" s="84"/>
      <c r="I441" s="2" t="s">
        <v>40</v>
      </c>
      <c r="J441" s="17">
        <v>9</v>
      </c>
      <c r="K441" s="17"/>
      <c r="L441" s="18">
        <f t="shared" si="26"/>
        <v>0</v>
      </c>
      <c r="HV441" s="2" t="s">
        <v>340</v>
      </c>
      <c r="HW441" s="2" t="s">
        <v>32</v>
      </c>
      <c r="IR441" s="19">
        <f>K441*0</f>
        <v>0</v>
      </c>
      <c r="IS441" s="19">
        <f>K441*(1-0)</f>
        <v>0</v>
      </c>
    </row>
    <row r="442" spans="1:253" x14ac:dyDescent="0.25">
      <c r="A442" s="16">
        <v>415</v>
      </c>
      <c r="B442" s="2" t="s">
        <v>338</v>
      </c>
      <c r="C442" s="2" t="s">
        <v>346</v>
      </c>
      <c r="D442" s="83" t="s">
        <v>347</v>
      </c>
      <c r="E442" s="84"/>
      <c r="F442" s="84"/>
      <c r="G442" s="84"/>
      <c r="H442" s="84"/>
      <c r="I442" s="2" t="s">
        <v>35</v>
      </c>
      <c r="J442" s="17">
        <v>9</v>
      </c>
      <c r="K442" s="17"/>
      <c r="L442" s="18">
        <f t="shared" si="26"/>
        <v>0</v>
      </c>
      <c r="HV442" s="2" t="s">
        <v>340</v>
      </c>
      <c r="HW442" s="2" t="s">
        <v>165</v>
      </c>
      <c r="IR442" s="19">
        <f>K442*1</f>
        <v>0</v>
      </c>
      <c r="IS442" s="19">
        <f>K442*(1-1)</f>
        <v>0</v>
      </c>
    </row>
    <row r="443" spans="1:253" x14ac:dyDescent="0.25">
      <c r="A443" s="16">
        <v>416</v>
      </c>
      <c r="B443" s="2" t="s">
        <v>338</v>
      </c>
      <c r="C443" s="2" t="s">
        <v>348</v>
      </c>
      <c r="D443" s="83" t="s">
        <v>349</v>
      </c>
      <c r="E443" s="84"/>
      <c r="F443" s="84"/>
      <c r="G443" s="84"/>
      <c r="H443" s="84"/>
      <c r="I443" s="2" t="s">
        <v>35</v>
      </c>
      <c r="J443" s="17">
        <v>9</v>
      </c>
      <c r="K443" s="17"/>
      <c r="L443" s="18">
        <f t="shared" si="26"/>
        <v>0</v>
      </c>
      <c r="HV443" s="2" t="s">
        <v>340</v>
      </c>
      <c r="HW443" s="2" t="s">
        <v>32</v>
      </c>
      <c r="IR443" s="19">
        <f>K443*0.022540953</f>
        <v>0</v>
      </c>
      <c r="IS443" s="19">
        <f>K443*(1-0.022540953)</f>
        <v>0</v>
      </c>
    </row>
    <row r="444" spans="1:253" x14ac:dyDescent="0.25">
      <c r="A444" s="16">
        <v>417</v>
      </c>
      <c r="B444" s="2" t="s">
        <v>338</v>
      </c>
      <c r="C444" s="2" t="s">
        <v>350</v>
      </c>
      <c r="D444" s="83" t="s">
        <v>351</v>
      </c>
      <c r="E444" s="84"/>
      <c r="F444" s="84"/>
      <c r="G444" s="84"/>
      <c r="H444" s="84"/>
      <c r="I444" s="2" t="s">
        <v>35</v>
      </c>
      <c r="J444" s="17">
        <v>9</v>
      </c>
      <c r="K444" s="17"/>
      <c r="L444" s="18">
        <f t="shared" si="26"/>
        <v>0</v>
      </c>
      <c r="HV444" s="2" t="s">
        <v>340</v>
      </c>
      <c r="HW444" s="2" t="s">
        <v>165</v>
      </c>
      <c r="IR444" s="19">
        <f>K444*1</f>
        <v>0</v>
      </c>
      <c r="IS444" s="19">
        <f>K444*(1-1)</f>
        <v>0</v>
      </c>
    </row>
    <row r="445" spans="1:253" x14ac:dyDescent="0.25">
      <c r="A445" s="16">
        <v>418</v>
      </c>
      <c r="B445" s="2" t="s">
        <v>338</v>
      </c>
      <c r="C445" s="2" t="s">
        <v>352</v>
      </c>
      <c r="D445" s="83" t="s">
        <v>353</v>
      </c>
      <c r="E445" s="84"/>
      <c r="F445" s="84"/>
      <c r="G445" s="84"/>
      <c r="H445" s="84"/>
      <c r="I445" s="2" t="s">
        <v>354</v>
      </c>
      <c r="J445" s="17">
        <v>0.9</v>
      </c>
      <c r="K445" s="17"/>
      <c r="L445" s="18">
        <f t="shared" si="26"/>
        <v>0</v>
      </c>
      <c r="HV445" s="2" t="s">
        <v>340</v>
      </c>
      <c r="HW445" s="2" t="s">
        <v>32</v>
      </c>
      <c r="IR445" s="19">
        <f>K445*0.488714499</f>
        <v>0</v>
      </c>
      <c r="IS445" s="19">
        <f>K445*(1-0.488714499)</f>
        <v>0</v>
      </c>
    </row>
    <row r="446" spans="1:253" x14ac:dyDescent="0.25">
      <c r="A446" s="16">
        <v>419</v>
      </c>
      <c r="B446" s="2" t="s">
        <v>338</v>
      </c>
      <c r="C446" s="2" t="s">
        <v>355</v>
      </c>
      <c r="D446" s="83" t="s">
        <v>356</v>
      </c>
      <c r="E446" s="84"/>
      <c r="F446" s="84"/>
      <c r="G446" s="84"/>
      <c r="H446" s="84"/>
      <c r="I446" s="2" t="s">
        <v>88</v>
      </c>
      <c r="J446" s="17">
        <v>0.5</v>
      </c>
      <c r="K446" s="17"/>
      <c r="L446" s="18">
        <f t="shared" si="26"/>
        <v>0</v>
      </c>
      <c r="HV446" s="2" t="s">
        <v>340</v>
      </c>
      <c r="HW446" s="2" t="s">
        <v>32</v>
      </c>
      <c r="IR446" s="19">
        <f>K446*0</f>
        <v>0</v>
      </c>
      <c r="IS446" s="19">
        <f>K446*(1-0)</f>
        <v>0</v>
      </c>
    </row>
    <row r="447" spans="1:253" x14ac:dyDescent="0.25">
      <c r="A447" s="12" t="s">
        <v>23</v>
      </c>
      <c r="B447" s="13" t="s">
        <v>338</v>
      </c>
      <c r="C447" s="13" t="s">
        <v>357</v>
      </c>
      <c r="D447" s="135" t="s">
        <v>358</v>
      </c>
      <c r="E447" s="136"/>
      <c r="F447" s="136"/>
      <c r="G447" s="136"/>
      <c r="H447" s="136"/>
      <c r="I447" s="13" t="s">
        <v>23</v>
      </c>
      <c r="J447" s="14" t="s">
        <v>23</v>
      </c>
      <c r="K447" s="14"/>
      <c r="L447" s="15">
        <f>SUM(L448:L450)</f>
        <v>0</v>
      </c>
    </row>
    <row r="448" spans="1:253" x14ac:dyDescent="0.25">
      <c r="A448" s="16">
        <v>420</v>
      </c>
      <c r="B448" s="2" t="s">
        <v>338</v>
      </c>
      <c r="C448" s="2" t="s">
        <v>359</v>
      </c>
      <c r="D448" s="83" t="s">
        <v>360</v>
      </c>
      <c r="E448" s="84"/>
      <c r="F448" s="84"/>
      <c r="G448" s="84"/>
      <c r="H448" s="84"/>
      <c r="I448" s="2" t="s">
        <v>35</v>
      </c>
      <c r="J448" s="17">
        <v>12</v>
      </c>
      <c r="K448" s="17"/>
      <c r="L448" s="18">
        <f>ROUND(IR448*J448+IS448*J448,2)</f>
        <v>0</v>
      </c>
      <c r="HV448" s="2" t="s">
        <v>357</v>
      </c>
      <c r="HW448" s="2" t="s">
        <v>32</v>
      </c>
      <c r="IR448" s="19">
        <f>K448*0.310217028</f>
        <v>0</v>
      </c>
      <c r="IS448" s="19">
        <f>K448*(1-0.310217028)</f>
        <v>0</v>
      </c>
    </row>
    <row r="449" spans="1:253" x14ac:dyDescent="0.25">
      <c r="A449" s="16">
        <v>421</v>
      </c>
      <c r="B449" s="2" t="s">
        <v>338</v>
      </c>
      <c r="C449" s="2" t="s">
        <v>361</v>
      </c>
      <c r="D449" s="83" t="s">
        <v>362</v>
      </c>
      <c r="E449" s="84"/>
      <c r="F449" s="84"/>
      <c r="G449" s="84"/>
      <c r="H449" s="84"/>
      <c r="I449" s="2" t="s">
        <v>35</v>
      </c>
      <c r="J449" s="17">
        <v>12</v>
      </c>
      <c r="K449" s="17"/>
      <c r="L449" s="18">
        <f>ROUND(IR449*J449+IS449*J449,2)</f>
        <v>0</v>
      </c>
      <c r="HV449" s="2" t="s">
        <v>357</v>
      </c>
      <c r="HW449" s="2" t="s">
        <v>32</v>
      </c>
      <c r="IR449" s="19">
        <f>K449*0.127201817</f>
        <v>0</v>
      </c>
      <c r="IS449" s="19">
        <f>K449*(1-0.127201817)</f>
        <v>0</v>
      </c>
    </row>
    <row r="450" spans="1:253" x14ac:dyDescent="0.25">
      <c r="A450" s="16">
        <v>422</v>
      </c>
      <c r="B450" s="2" t="s">
        <v>338</v>
      </c>
      <c r="C450" s="2" t="s">
        <v>355</v>
      </c>
      <c r="D450" s="83" t="s">
        <v>356</v>
      </c>
      <c r="E450" s="84"/>
      <c r="F450" s="84"/>
      <c r="G450" s="84"/>
      <c r="H450" s="84"/>
      <c r="I450" s="2" t="s">
        <v>88</v>
      </c>
      <c r="J450" s="17">
        <v>0.8</v>
      </c>
      <c r="K450" s="17"/>
      <c r="L450" s="18">
        <f>ROUND(IR450*J450+IS450*J450,2)</f>
        <v>0</v>
      </c>
      <c r="HV450" s="2" t="s">
        <v>357</v>
      </c>
      <c r="HW450" s="2" t="s">
        <v>32</v>
      </c>
      <c r="IR450" s="19">
        <f>K450*0</f>
        <v>0</v>
      </c>
      <c r="IS450" s="19">
        <f>K450*(1-0)</f>
        <v>0</v>
      </c>
    </row>
    <row r="451" spans="1:253" x14ac:dyDescent="0.25">
      <c r="A451" s="12" t="s">
        <v>23</v>
      </c>
      <c r="B451" s="13" t="s">
        <v>338</v>
      </c>
      <c r="C451" s="13" t="s">
        <v>363</v>
      </c>
      <c r="D451" s="135" t="s">
        <v>364</v>
      </c>
      <c r="E451" s="136"/>
      <c r="F451" s="136"/>
      <c r="G451" s="136"/>
      <c r="H451" s="136"/>
      <c r="I451" s="13" t="s">
        <v>23</v>
      </c>
      <c r="J451" s="14" t="s">
        <v>23</v>
      </c>
      <c r="K451" s="14"/>
      <c r="L451" s="15">
        <f>SUM(L452:L454)</f>
        <v>0</v>
      </c>
    </row>
    <row r="452" spans="1:253" x14ac:dyDescent="0.25">
      <c r="A452" s="16">
        <v>423</v>
      </c>
      <c r="B452" s="2" t="s">
        <v>338</v>
      </c>
      <c r="C452" s="2" t="s">
        <v>365</v>
      </c>
      <c r="D452" s="83" t="s">
        <v>366</v>
      </c>
      <c r="E452" s="84"/>
      <c r="F452" s="84"/>
      <c r="G452" s="84"/>
      <c r="H452" s="84"/>
      <c r="I452" s="2" t="s">
        <v>354</v>
      </c>
      <c r="J452" s="17">
        <v>3</v>
      </c>
      <c r="K452" s="17"/>
      <c r="L452" s="18">
        <f>ROUND(IR452*J452+IS452*J452,2)</f>
        <v>0</v>
      </c>
      <c r="HV452" s="2" t="s">
        <v>363</v>
      </c>
      <c r="HW452" s="2" t="s">
        <v>32</v>
      </c>
      <c r="IR452" s="19">
        <f>K452*0.55103125</f>
        <v>0</v>
      </c>
      <c r="IS452" s="19">
        <f>K452*(1-0.55103125)</f>
        <v>0</v>
      </c>
    </row>
    <row r="453" spans="1:253" x14ac:dyDescent="0.25">
      <c r="A453" s="16">
        <v>424</v>
      </c>
      <c r="B453" s="2" t="s">
        <v>338</v>
      </c>
      <c r="C453" s="2" t="s">
        <v>367</v>
      </c>
      <c r="D453" s="83" t="s">
        <v>368</v>
      </c>
      <c r="E453" s="84"/>
      <c r="F453" s="84"/>
      <c r="G453" s="84"/>
      <c r="H453" s="84"/>
      <c r="I453" s="2" t="s">
        <v>354</v>
      </c>
      <c r="J453" s="17">
        <v>3</v>
      </c>
      <c r="K453" s="17"/>
      <c r="L453" s="18">
        <f>ROUND(IR453*J453+IS453*J453,2)</f>
        <v>0</v>
      </c>
      <c r="HV453" s="2" t="s">
        <v>363</v>
      </c>
      <c r="HW453" s="2" t="s">
        <v>165</v>
      </c>
      <c r="IR453" s="19">
        <f>K453*1</f>
        <v>0</v>
      </c>
      <c r="IS453" s="19">
        <f>K453*(1-1)</f>
        <v>0</v>
      </c>
    </row>
    <row r="454" spans="1:253" x14ac:dyDescent="0.25">
      <c r="A454" s="16">
        <v>425</v>
      </c>
      <c r="B454" s="2" t="s">
        <v>338</v>
      </c>
      <c r="C454" s="2" t="s">
        <v>369</v>
      </c>
      <c r="D454" s="83" t="s">
        <v>370</v>
      </c>
      <c r="E454" s="84"/>
      <c r="F454" s="84"/>
      <c r="G454" s="84"/>
      <c r="H454" s="84"/>
      <c r="I454" s="2" t="s">
        <v>45</v>
      </c>
      <c r="J454" s="17"/>
      <c r="K454" s="17"/>
      <c r="L454" s="18">
        <f>ROUND(IR454*J454+IS454*J454,2)</f>
        <v>0</v>
      </c>
      <c r="HV454" s="2" t="s">
        <v>363</v>
      </c>
      <c r="HW454" s="2" t="s">
        <v>32</v>
      </c>
      <c r="IR454" s="19">
        <f>K454*0</f>
        <v>0</v>
      </c>
      <c r="IS454" s="19">
        <f>K454*(1-0)</f>
        <v>0</v>
      </c>
    </row>
    <row r="455" spans="1:253" x14ac:dyDescent="0.25">
      <c r="A455" s="12" t="s">
        <v>23</v>
      </c>
      <c r="B455" s="13" t="s">
        <v>338</v>
      </c>
      <c r="C455" s="13" t="s">
        <v>371</v>
      </c>
      <c r="D455" s="135" t="s">
        <v>372</v>
      </c>
      <c r="E455" s="136"/>
      <c r="F455" s="136"/>
      <c r="G455" s="136"/>
      <c r="H455" s="136"/>
      <c r="I455" s="13" t="s">
        <v>23</v>
      </c>
      <c r="J455" s="14" t="s">
        <v>23</v>
      </c>
      <c r="K455" s="14"/>
      <c r="L455" s="15">
        <f>SUM(L456:L456)</f>
        <v>0</v>
      </c>
    </row>
    <row r="456" spans="1:253" x14ac:dyDescent="0.25">
      <c r="A456" s="16">
        <v>426</v>
      </c>
      <c r="B456" s="2" t="s">
        <v>338</v>
      </c>
      <c r="C456" s="2" t="s">
        <v>373</v>
      </c>
      <c r="D456" s="83" t="s">
        <v>374</v>
      </c>
      <c r="E456" s="84"/>
      <c r="F456" s="84"/>
      <c r="G456" s="84"/>
      <c r="H456" s="84"/>
      <c r="I456" s="2" t="s">
        <v>40</v>
      </c>
      <c r="J456" s="17">
        <v>7</v>
      </c>
      <c r="K456" s="17"/>
      <c r="L456" s="18">
        <f>ROUND(IR456*J456+IS456*J456,2)</f>
        <v>0</v>
      </c>
      <c r="HV456" s="2" t="s">
        <v>371</v>
      </c>
      <c r="HW456" s="2" t="s">
        <v>32</v>
      </c>
      <c r="IR456" s="19">
        <f>K456*0.5</f>
        <v>0</v>
      </c>
      <c r="IS456" s="19">
        <f>K456*(1-0.5)</f>
        <v>0</v>
      </c>
    </row>
    <row r="457" spans="1:253" x14ac:dyDescent="0.25">
      <c r="A457" s="12" t="s">
        <v>23</v>
      </c>
      <c r="B457" s="13" t="s">
        <v>338</v>
      </c>
      <c r="C457" s="13" t="s">
        <v>375</v>
      </c>
      <c r="D457" s="135" t="s">
        <v>376</v>
      </c>
      <c r="E457" s="136"/>
      <c r="F457" s="136"/>
      <c r="G457" s="136"/>
      <c r="H457" s="136"/>
      <c r="I457" s="13" t="s">
        <v>23</v>
      </c>
      <c r="J457" s="14" t="s">
        <v>23</v>
      </c>
      <c r="K457" s="14"/>
      <c r="L457" s="15">
        <f>SUM(L458:L464)</f>
        <v>0</v>
      </c>
    </row>
    <row r="458" spans="1:253" x14ac:dyDescent="0.25">
      <c r="A458" s="16">
        <v>427</v>
      </c>
      <c r="B458" s="2" t="s">
        <v>338</v>
      </c>
      <c r="C458" s="2" t="s">
        <v>377</v>
      </c>
      <c r="D458" s="83" t="s">
        <v>378</v>
      </c>
      <c r="E458" s="84"/>
      <c r="F458" s="84"/>
      <c r="G458" s="84"/>
      <c r="H458" s="84"/>
      <c r="I458" s="2" t="s">
        <v>379</v>
      </c>
      <c r="J458" s="17">
        <v>36</v>
      </c>
      <c r="K458" s="17"/>
      <c r="L458" s="18">
        <f t="shared" ref="L458:L464" si="27">ROUND(IR458*J458+IS458*J458,2)</f>
        <v>0</v>
      </c>
      <c r="HV458" s="2" t="s">
        <v>375</v>
      </c>
      <c r="HW458" s="2" t="s">
        <v>32</v>
      </c>
      <c r="IR458" s="19">
        <f>K458*0.425441941</f>
        <v>0</v>
      </c>
      <c r="IS458" s="19">
        <f>K458*(1-0.425441941)</f>
        <v>0</v>
      </c>
    </row>
    <row r="459" spans="1:253" x14ac:dyDescent="0.25">
      <c r="A459" s="16">
        <v>428</v>
      </c>
      <c r="B459" s="2" t="s">
        <v>338</v>
      </c>
      <c r="C459" s="2" t="s">
        <v>380</v>
      </c>
      <c r="D459" s="83" t="s">
        <v>381</v>
      </c>
      <c r="E459" s="84"/>
      <c r="F459" s="84"/>
      <c r="G459" s="84"/>
      <c r="H459" s="84"/>
      <c r="I459" s="2" t="s">
        <v>35</v>
      </c>
      <c r="J459" s="17">
        <v>18</v>
      </c>
      <c r="K459" s="17"/>
      <c r="L459" s="18">
        <f t="shared" si="27"/>
        <v>0</v>
      </c>
      <c r="HV459" s="2" t="s">
        <v>375</v>
      </c>
      <c r="HW459" s="2" t="s">
        <v>165</v>
      </c>
      <c r="IR459" s="19">
        <f>K459*1</f>
        <v>0</v>
      </c>
      <c r="IS459" s="19">
        <f>K459*(1-1)</f>
        <v>0</v>
      </c>
    </row>
    <row r="460" spans="1:253" x14ac:dyDescent="0.25">
      <c r="A460" s="16">
        <v>429</v>
      </c>
      <c r="B460" s="2" t="s">
        <v>338</v>
      </c>
      <c r="C460" s="2" t="s">
        <v>382</v>
      </c>
      <c r="D460" s="83" t="s">
        <v>383</v>
      </c>
      <c r="E460" s="84"/>
      <c r="F460" s="84"/>
      <c r="G460" s="84"/>
      <c r="H460" s="84"/>
      <c r="I460" s="2" t="s">
        <v>35</v>
      </c>
      <c r="J460" s="17">
        <v>36</v>
      </c>
      <c r="K460" s="17"/>
      <c r="L460" s="18">
        <f t="shared" si="27"/>
        <v>0</v>
      </c>
      <c r="HV460" s="2" t="s">
        <v>375</v>
      </c>
      <c r="HW460" s="2" t="s">
        <v>165</v>
      </c>
      <c r="IR460" s="19">
        <f>K460*1</f>
        <v>0</v>
      </c>
      <c r="IS460" s="19">
        <f>K460*(1-1)</f>
        <v>0</v>
      </c>
    </row>
    <row r="461" spans="1:253" x14ac:dyDescent="0.25">
      <c r="A461" s="16">
        <v>430</v>
      </c>
      <c r="B461" s="2" t="s">
        <v>338</v>
      </c>
      <c r="C461" s="2" t="s">
        <v>384</v>
      </c>
      <c r="D461" s="83" t="s">
        <v>385</v>
      </c>
      <c r="E461" s="84"/>
      <c r="F461" s="84"/>
      <c r="G461" s="84"/>
      <c r="H461" s="84"/>
      <c r="I461" s="2" t="s">
        <v>354</v>
      </c>
      <c r="J461" s="17">
        <v>15.6</v>
      </c>
      <c r="K461" s="17"/>
      <c r="L461" s="18">
        <f t="shared" si="27"/>
        <v>0</v>
      </c>
      <c r="HV461" s="2" t="s">
        <v>375</v>
      </c>
      <c r="HW461" s="2" t="s">
        <v>32</v>
      </c>
      <c r="IR461" s="19">
        <f>K461*0</f>
        <v>0</v>
      </c>
      <c r="IS461" s="19">
        <f>K461*(1-0)</f>
        <v>0</v>
      </c>
    </row>
    <row r="462" spans="1:253" x14ac:dyDescent="0.25">
      <c r="A462" s="16">
        <v>431</v>
      </c>
      <c r="B462" s="2" t="s">
        <v>338</v>
      </c>
      <c r="C462" s="2" t="s">
        <v>386</v>
      </c>
      <c r="D462" s="83" t="s">
        <v>387</v>
      </c>
      <c r="E462" s="84"/>
      <c r="F462" s="84"/>
      <c r="G462" s="84"/>
      <c r="H462" s="84"/>
      <c r="I462" s="2" t="s">
        <v>354</v>
      </c>
      <c r="J462" s="17">
        <v>15.6</v>
      </c>
      <c r="K462" s="17"/>
      <c r="L462" s="18">
        <f t="shared" si="27"/>
        <v>0</v>
      </c>
      <c r="HV462" s="2" t="s">
        <v>375</v>
      </c>
      <c r="HW462" s="2" t="s">
        <v>32</v>
      </c>
      <c r="IR462" s="19">
        <f>K462*0.336810431</f>
        <v>0</v>
      </c>
      <c r="IS462" s="19">
        <f>K462*(1-0.336810431)</f>
        <v>0</v>
      </c>
    </row>
    <row r="463" spans="1:253" x14ac:dyDescent="0.25">
      <c r="A463" s="16">
        <v>432</v>
      </c>
      <c r="B463" s="2" t="s">
        <v>338</v>
      </c>
      <c r="C463" s="2" t="s">
        <v>388</v>
      </c>
      <c r="D463" s="83" t="s">
        <v>389</v>
      </c>
      <c r="E463" s="84"/>
      <c r="F463" s="84"/>
      <c r="G463" s="84"/>
      <c r="H463" s="84"/>
      <c r="I463" s="2" t="s">
        <v>354</v>
      </c>
      <c r="J463" s="17">
        <v>15.6</v>
      </c>
      <c r="K463" s="17"/>
      <c r="L463" s="18">
        <f t="shared" si="27"/>
        <v>0</v>
      </c>
      <c r="HV463" s="2" t="s">
        <v>375</v>
      </c>
      <c r="HW463" s="2" t="s">
        <v>32</v>
      </c>
      <c r="IR463" s="19">
        <f>K463*0.658987486</f>
        <v>0</v>
      </c>
      <c r="IS463" s="19">
        <f>K463*(1-0.658987486)</f>
        <v>0</v>
      </c>
    </row>
    <row r="464" spans="1:253" x14ac:dyDescent="0.25">
      <c r="A464" s="16">
        <v>433</v>
      </c>
      <c r="B464" s="2" t="s">
        <v>338</v>
      </c>
      <c r="C464" s="2" t="s">
        <v>390</v>
      </c>
      <c r="D464" s="83" t="s">
        <v>391</v>
      </c>
      <c r="E464" s="84"/>
      <c r="F464" s="84"/>
      <c r="G464" s="84"/>
      <c r="H464" s="84"/>
      <c r="I464" s="2" t="s">
        <v>45</v>
      </c>
      <c r="J464" s="17"/>
      <c r="K464" s="17"/>
      <c r="L464" s="18">
        <f t="shared" si="27"/>
        <v>0</v>
      </c>
      <c r="HV464" s="2" t="s">
        <v>375</v>
      </c>
      <c r="HW464" s="2" t="s">
        <v>32</v>
      </c>
      <c r="IR464" s="19">
        <f>K464*0</f>
        <v>0</v>
      </c>
      <c r="IS464" s="19">
        <f>K464*(1-0)</f>
        <v>0</v>
      </c>
    </row>
    <row r="465" spans="1:253" x14ac:dyDescent="0.25">
      <c r="A465" s="12" t="s">
        <v>23</v>
      </c>
      <c r="B465" s="13" t="s">
        <v>338</v>
      </c>
      <c r="C465" s="13" t="s">
        <v>392</v>
      </c>
      <c r="D465" s="135" t="s">
        <v>393</v>
      </c>
      <c r="E465" s="136"/>
      <c r="F465" s="136"/>
      <c r="G465" s="136"/>
      <c r="H465" s="136"/>
      <c r="I465" s="13" t="s">
        <v>23</v>
      </c>
      <c r="J465" s="14" t="s">
        <v>23</v>
      </c>
      <c r="K465" s="14"/>
      <c r="L465" s="15">
        <f>SUM(L466:L469)</f>
        <v>0</v>
      </c>
    </row>
    <row r="466" spans="1:253" x14ac:dyDescent="0.25">
      <c r="A466" s="16">
        <v>434</v>
      </c>
      <c r="B466" s="2" t="s">
        <v>338</v>
      </c>
      <c r="C466" s="2" t="s">
        <v>394</v>
      </c>
      <c r="D466" s="83" t="s">
        <v>395</v>
      </c>
      <c r="E466" s="84"/>
      <c r="F466" s="84"/>
      <c r="G466" s="84"/>
      <c r="H466" s="84"/>
      <c r="I466" s="2" t="s">
        <v>354</v>
      </c>
      <c r="J466" s="17">
        <v>16.7</v>
      </c>
      <c r="K466" s="17"/>
      <c r="L466" s="18">
        <f t="shared" ref="L466:L469" si="28">ROUND(IR466*J466+IS466*J466,2)</f>
        <v>0</v>
      </c>
      <c r="HV466" s="2" t="s">
        <v>392</v>
      </c>
      <c r="HW466" s="2" t="s">
        <v>32</v>
      </c>
      <c r="IR466" s="19">
        <f>K466*0.447130435</f>
        <v>0</v>
      </c>
      <c r="IS466" s="19">
        <f>K466*(1-0.447130435)</f>
        <v>0</v>
      </c>
    </row>
    <row r="467" spans="1:253" x14ac:dyDescent="0.25">
      <c r="A467" s="16">
        <v>435</v>
      </c>
      <c r="B467" s="2" t="s">
        <v>338</v>
      </c>
      <c r="C467" s="2" t="s">
        <v>396</v>
      </c>
      <c r="D467" s="83" t="s">
        <v>397</v>
      </c>
      <c r="E467" s="84"/>
      <c r="F467" s="84"/>
      <c r="G467" s="84"/>
      <c r="H467" s="84"/>
      <c r="I467" s="2" t="s">
        <v>354</v>
      </c>
      <c r="J467" s="17">
        <v>16.7</v>
      </c>
      <c r="K467" s="17"/>
      <c r="L467" s="18">
        <f t="shared" si="28"/>
        <v>0</v>
      </c>
      <c r="HV467" s="2" t="s">
        <v>392</v>
      </c>
      <c r="HW467" s="2" t="s">
        <v>32</v>
      </c>
      <c r="IR467" s="19">
        <f>K467*0</f>
        <v>0</v>
      </c>
      <c r="IS467" s="19">
        <f>K467*(1-0)</f>
        <v>0</v>
      </c>
    </row>
    <row r="468" spans="1:253" x14ac:dyDescent="0.25">
      <c r="A468" s="16">
        <v>437</v>
      </c>
      <c r="B468" s="2" t="s">
        <v>338</v>
      </c>
      <c r="C468" s="2" t="s">
        <v>400</v>
      </c>
      <c r="D468" s="83" t="s">
        <v>401</v>
      </c>
      <c r="E468" s="84"/>
      <c r="F468" s="84"/>
      <c r="G468" s="84"/>
      <c r="H468" s="84"/>
      <c r="I468" s="2" t="s">
        <v>354</v>
      </c>
      <c r="J468" s="17">
        <v>18.399999999999999</v>
      </c>
      <c r="K468" s="17"/>
      <c r="L468" s="18">
        <f t="shared" si="28"/>
        <v>0</v>
      </c>
      <c r="HV468" s="2" t="s">
        <v>392</v>
      </c>
      <c r="HW468" s="2" t="s">
        <v>165</v>
      </c>
      <c r="IR468" s="19">
        <f>K468*1</f>
        <v>0</v>
      </c>
      <c r="IS468" s="19">
        <f>K468*(1-1)</f>
        <v>0</v>
      </c>
    </row>
    <row r="469" spans="1:253" x14ac:dyDescent="0.25">
      <c r="A469" s="16">
        <v>439</v>
      </c>
      <c r="B469" s="2" t="s">
        <v>338</v>
      </c>
      <c r="C469" s="2" t="s">
        <v>404</v>
      </c>
      <c r="D469" s="83" t="s">
        <v>405</v>
      </c>
      <c r="E469" s="84"/>
      <c r="F469" s="84"/>
      <c r="G469" s="84"/>
      <c r="H469" s="84"/>
      <c r="I469" s="2" t="s">
        <v>45</v>
      </c>
      <c r="J469" s="17"/>
      <c r="K469" s="17"/>
      <c r="L469" s="18">
        <f t="shared" si="28"/>
        <v>0</v>
      </c>
      <c r="HV469" s="2" t="s">
        <v>392</v>
      </c>
      <c r="HW469" s="2" t="s">
        <v>32</v>
      </c>
      <c r="IR469" s="19">
        <f>K469*0</f>
        <v>0</v>
      </c>
      <c r="IS469" s="19">
        <f>K469*(1-0)</f>
        <v>0</v>
      </c>
    </row>
    <row r="470" spans="1:253" x14ac:dyDescent="0.25">
      <c r="A470" s="12" t="s">
        <v>23</v>
      </c>
      <c r="B470" s="13" t="s">
        <v>338</v>
      </c>
      <c r="C470" s="13" t="s">
        <v>406</v>
      </c>
      <c r="D470" s="135" t="s">
        <v>407</v>
      </c>
      <c r="E470" s="136"/>
      <c r="F470" s="136"/>
      <c r="G470" s="136"/>
      <c r="H470" s="136"/>
      <c r="I470" s="13" t="s">
        <v>23</v>
      </c>
      <c r="J470" s="14" t="s">
        <v>23</v>
      </c>
      <c r="K470" s="14"/>
      <c r="L470" s="15">
        <f>SUM(L471:L472)</f>
        <v>0</v>
      </c>
    </row>
    <row r="471" spans="1:253" x14ac:dyDescent="0.25">
      <c r="A471" s="16">
        <v>440</v>
      </c>
      <c r="B471" s="2" t="s">
        <v>338</v>
      </c>
      <c r="C471" s="2" t="s">
        <v>408</v>
      </c>
      <c r="D471" s="83" t="s">
        <v>409</v>
      </c>
      <c r="E471" s="84"/>
      <c r="F471" s="84"/>
      <c r="G471" s="84"/>
      <c r="H471" s="84"/>
      <c r="I471" s="2" t="s">
        <v>354</v>
      </c>
      <c r="J471" s="17">
        <v>3.2</v>
      </c>
      <c r="K471" s="17"/>
      <c r="L471" s="18">
        <f>ROUND(IR471*J471+IS471*J471,2)</f>
        <v>0</v>
      </c>
      <c r="HV471" s="2" t="s">
        <v>406</v>
      </c>
      <c r="HW471" s="2" t="s">
        <v>32</v>
      </c>
      <c r="IR471" s="19">
        <f>K471*0</f>
        <v>0</v>
      </c>
      <c r="IS471" s="19">
        <f>K471*(1-0)</f>
        <v>0</v>
      </c>
    </row>
    <row r="472" spans="1:253" x14ac:dyDescent="0.25">
      <c r="A472" s="16">
        <v>441</v>
      </c>
      <c r="B472" s="2" t="s">
        <v>338</v>
      </c>
      <c r="C472" s="2" t="s">
        <v>410</v>
      </c>
      <c r="D472" s="83" t="s">
        <v>411</v>
      </c>
      <c r="E472" s="84"/>
      <c r="F472" s="84"/>
      <c r="G472" s="84"/>
      <c r="H472" s="84"/>
      <c r="I472" s="2" t="s">
        <v>412</v>
      </c>
      <c r="J472" s="17">
        <v>6.1</v>
      </c>
      <c r="K472" s="17"/>
      <c r="L472" s="18">
        <f>ROUND(IR472*J472+IS472*J472,2)</f>
        <v>0</v>
      </c>
      <c r="HV472" s="2" t="s">
        <v>406</v>
      </c>
      <c r="HW472" s="2" t="s">
        <v>165</v>
      </c>
      <c r="IR472" s="19">
        <f>K472*1</f>
        <v>0</v>
      </c>
      <c r="IS472" s="19">
        <f>K472*(1-1)</f>
        <v>0</v>
      </c>
    </row>
    <row r="473" spans="1:253" x14ac:dyDescent="0.25">
      <c r="A473" s="12" t="s">
        <v>23</v>
      </c>
      <c r="B473" s="13" t="s">
        <v>338</v>
      </c>
      <c r="C473" s="13" t="s">
        <v>413</v>
      </c>
      <c r="D473" s="135" t="s">
        <v>414</v>
      </c>
      <c r="E473" s="136"/>
      <c r="F473" s="136"/>
      <c r="G473" s="136"/>
      <c r="H473" s="136"/>
      <c r="I473" s="13" t="s">
        <v>23</v>
      </c>
      <c r="J473" s="14" t="s">
        <v>23</v>
      </c>
      <c r="K473" s="14"/>
      <c r="L473" s="15">
        <f>SUM(L474:L474)</f>
        <v>0</v>
      </c>
    </row>
    <row r="474" spans="1:253" x14ac:dyDescent="0.25">
      <c r="A474" s="16">
        <v>442</v>
      </c>
      <c r="B474" s="2" t="s">
        <v>338</v>
      </c>
      <c r="C474" s="2" t="s">
        <v>415</v>
      </c>
      <c r="D474" s="83" t="s">
        <v>416</v>
      </c>
      <c r="E474" s="84"/>
      <c r="F474" s="84"/>
      <c r="G474" s="84"/>
      <c r="H474" s="84"/>
      <c r="I474" s="2" t="s">
        <v>354</v>
      </c>
      <c r="J474" s="17">
        <v>27</v>
      </c>
      <c r="K474" s="17"/>
      <c r="L474" s="18">
        <f>ROUND(IR474*J474+IS474*J474,2)</f>
        <v>0</v>
      </c>
      <c r="HV474" s="2" t="s">
        <v>413</v>
      </c>
      <c r="HW474" s="2" t="s">
        <v>32</v>
      </c>
      <c r="IR474" s="19">
        <f>K474*0.201505646</f>
        <v>0</v>
      </c>
      <c r="IS474" s="19">
        <f>K474*(1-0.201505646)</f>
        <v>0</v>
      </c>
    </row>
    <row r="475" spans="1:253" x14ac:dyDescent="0.25">
      <c r="A475" s="12" t="s">
        <v>23</v>
      </c>
      <c r="B475" s="13" t="s">
        <v>338</v>
      </c>
      <c r="C475" s="13" t="s">
        <v>421</v>
      </c>
      <c r="D475" s="135" t="s">
        <v>422</v>
      </c>
      <c r="E475" s="136"/>
      <c r="F475" s="136"/>
      <c r="G475" s="136"/>
      <c r="H475" s="136"/>
      <c r="I475" s="13" t="s">
        <v>23</v>
      </c>
      <c r="J475" s="14" t="s">
        <v>23</v>
      </c>
      <c r="K475" s="14"/>
      <c r="L475" s="15">
        <f>SUM(L476:L476)</f>
        <v>0</v>
      </c>
    </row>
    <row r="476" spans="1:253" x14ac:dyDescent="0.25">
      <c r="A476" s="16">
        <v>444</v>
      </c>
      <c r="B476" s="2" t="s">
        <v>338</v>
      </c>
      <c r="C476" s="2" t="s">
        <v>423</v>
      </c>
      <c r="D476" s="83" t="s">
        <v>424</v>
      </c>
      <c r="E476" s="84"/>
      <c r="F476" s="84"/>
      <c r="G476" s="84"/>
      <c r="H476" s="84"/>
      <c r="I476" s="2" t="s">
        <v>354</v>
      </c>
      <c r="J476" s="17">
        <v>21.1</v>
      </c>
      <c r="K476" s="17"/>
      <c r="L476" s="18">
        <f>ROUND(IR476*J476+IS476*J476,2)</f>
        <v>0</v>
      </c>
      <c r="HV476" s="2" t="s">
        <v>421</v>
      </c>
      <c r="HW476" s="2" t="s">
        <v>32</v>
      </c>
      <c r="IR476" s="19">
        <f>K476*0.197058824</f>
        <v>0</v>
      </c>
      <c r="IS476" s="19">
        <f>K476*(1-0.197058824)</f>
        <v>0</v>
      </c>
    </row>
    <row r="477" spans="1:253" x14ac:dyDescent="0.25">
      <c r="A477" s="12" t="s">
        <v>23</v>
      </c>
      <c r="B477" s="13" t="s">
        <v>338</v>
      </c>
      <c r="C477" s="13" t="s">
        <v>425</v>
      </c>
      <c r="D477" s="135" t="s">
        <v>426</v>
      </c>
      <c r="E477" s="136"/>
      <c r="F477" s="136"/>
      <c r="G477" s="136"/>
      <c r="H477" s="136"/>
      <c r="I477" s="13" t="s">
        <v>23</v>
      </c>
      <c r="J477" s="14" t="s">
        <v>23</v>
      </c>
      <c r="K477" s="14"/>
      <c r="L477" s="15">
        <f>SUM(L478:L479)</f>
        <v>0</v>
      </c>
    </row>
    <row r="478" spans="1:253" x14ac:dyDescent="0.25">
      <c r="A478" s="16">
        <v>445</v>
      </c>
      <c r="B478" s="2" t="s">
        <v>338</v>
      </c>
      <c r="C478" s="2" t="s">
        <v>427</v>
      </c>
      <c r="D478" s="83" t="s">
        <v>428</v>
      </c>
      <c r="E478" s="84"/>
      <c r="F478" s="84"/>
      <c r="G478" s="84"/>
      <c r="H478" s="84"/>
      <c r="I478" s="2" t="s">
        <v>35</v>
      </c>
      <c r="J478" s="17">
        <v>9</v>
      </c>
      <c r="K478" s="17"/>
      <c r="L478" s="18">
        <f>ROUND(IR478*J478+IS478*J478,2)</f>
        <v>0</v>
      </c>
      <c r="HV478" s="2" t="s">
        <v>425</v>
      </c>
      <c r="HW478" s="2" t="s">
        <v>32</v>
      </c>
      <c r="IR478" s="19">
        <f>K478*0</f>
        <v>0</v>
      </c>
      <c r="IS478" s="19">
        <f>K478*(1-0)</f>
        <v>0</v>
      </c>
    </row>
    <row r="479" spans="1:253" x14ac:dyDescent="0.25">
      <c r="A479" s="16">
        <v>446</v>
      </c>
      <c r="B479" s="2" t="s">
        <v>338</v>
      </c>
      <c r="C479" s="2" t="s">
        <v>429</v>
      </c>
      <c r="D479" s="83" t="s">
        <v>430</v>
      </c>
      <c r="E479" s="84"/>
      <c r="F479" s="84"/>
      <c r="G479" s="84"/>
      <c r="H479" s="84"/>
      <c r="I479" s="2" t="s">
        <v>31</v>
      </c>
      <c r="J479" s="17">
        <v>4.2</v>
      </c>
      <c r="K479" s="17"/>
      <c r="L479" s="18">
        <f>ROUND(IR479*J479+IS479*J479,2)</f>
        <v>0</v>
      </c>
      <c r="HV479" s="2" t="s">
        <v>425</v>
      </c>
      <c r="HW479" s="2" t="s">
        <v>32</v>
      </c>
      <c r="IR479" s="19">
        <f>K479*0.298440895</f>
        <v>0</v>
      </c>
      <c r="IS479" s="19">
        <f>K479*(1-0.298440895)</f>
        <v>0</v>
      </c>
    </row>
    <row r="480" spans="1:253" x14ac:dyDescent="0.25">
      <c r="A480" s="12" t="s">
        <v>23</v>
      </c>
      <c r="B480" s="13" t="s">
        <v>338</v>
      </c>
      <c r="C480" s="13" t="s">
        <v>437</v>
      </c>
      <c r="D480" s="135" t="s">
        <v>438</v>
      </c>
      <c r="E480" s="136"/>
      <c r="F480" s="136"/>
      <c r="G480" s="136"/>
      <c r="H480" s="136"/>
      <c r="I480" s="13" t="s">
        <v>23</v>
      </c>
      <c r="J480" s="14" t="s">
        <v>23</v>
      </c>
      <c r="K480" s="14"/>
      <c r="L480" s="15">
        <f>SUM(L481:L488)</f>
        <v>0</v>
      </c>
    </row>
    <row r="481" spans="1:253" x14ac:dyDescent="0.25">
      <c r="A481" s="16">
        <v>450</v>
      </c>
      <c r="B481" s="2" t="s">
        <v>338</v>
      </c>
      <c r="C481" s="2" t="s">
        <v>439</v>
      </c>
      <c r="D481" s="83" t="s">
        <v>440</v>
      </c>
      <c r="E481" s="84"/>
      <c r="F481" s="84"/>
      <c r="G481" s="84"/>
      <c r="H481" s="84"/>
      <c r="I481" s="2" t="s">
        <v>441</v>
      </c>
      <c r="J481" s="17">
        <v>30</v>
      </c>
      <c r="K481" s="17"/>
      <c r="L481" s="18">
        <f t="shared" ref="L481:L488" si="29">ROUND(IR481*J481+IS481*J481,2)</f>
        <v>0</v>
      </c>
      <c r="HV481" s="2" t="s">
        <v>437</v>
      </c>
      <c r="HW481" s="2" t="s">
        <v>32</v>
      </c>
      <c r="IR481" s="19">
        <f t="shared" ref="IR481:IR488" si="30">K481*0</f>
        <v>0</v>
      </c>
      <c r="IS481" s="19">
        <f t="shared" ref="IS481:IS488" si="31">K481*(1-0)</f>
        <v>0</v>
      </c>
    </row>
    <row r="482" spans="1:253" x14ac:dyDescent="0.25">
      <c r="A482" s="16">
        <v>451</v>
      </c>
      <c r="B482" s="2" t="s">
        <v>338</v>
      </c>
      <c r="C482" s="2" t="s">
        <v>442</v>
      </c>
      <c r="D482" s="83" t="s">
        <v>443</v>
      </c>
      <c r="E482" s="84"/>
      <c r="F482" s="84"/>
      <c r="G482" s="84"/>
      <c r="H482" s="84"/>
      <c r="I482" s="2" t="s">
        <v>88</v>
      </c>
      <c r="J482" s="17">
        <v>3.2</v>
      </c>
      <c r="K482" s="17"/>
      <c r="L482" s="18">
        <f t="shared" si="29"/>
        <v>0</v>
      </c>
      <c r="HV482" s="2" t="s">
        <v>437</v>
      </c>
      <c r="HW482" s="2" t="s">
        <v>32</v>
      </c>
      <c r="IR482" s="19">
        <f t="shared" si="30"/>
        <v>0</v>
      </c>
      <c r="IS482" s="19">
        <f t="shared" si="31"/>
        <v>0</v>
      </c>
    </row>
    <row r="483" spans="1:253" x14ac:dyDescent="0.25">
      <c r="A483" s="16">
        <v>452</v>
      </c>
      <c r="B483" s="2" t="s">
        <v>338</v>
      </c>
      <c r="C483" s="2" t="s">
        <v>444</v>
      </c>
      <c r="D483" s="83" t="s">
        <v>445</v>
      </c>
      <c r="E483" s="84"/>
      <c r="F483" s="84"/>
      <c r="G483" s="84"/>
      <c r="H483" s="84"/>
      <c r="I483" s="2" t="s">
        <v>88</v>
      </c>
      <c r="J483" s="17">
        <v>3.2</v>
      </c>
      <c r="K483" s="17"/>
      <c r="L483" s="18">
        <f t="shared" si="29"/>
        <v>0</v>
      </c>
      <c r="HV483" s="2" t="s">
        <v>437</v>
      </c>
      <c r="HW483" s="2" t="s">
        <v>32</v>
      </c>
      <c r="IR483" s="19">
        <f t="shared" si="30"/>
        <v>0</v>
      </c>
      <c r="IS483" s="19">
        <f t="shared" si="31"/>
        <v>0</v>
      </c>
    </row>
    <row r="484" spans="1:253" x14ac:dyDescent="0.25">
      <c r="A484" s="16">
        <v>453</v>
      </c>
      <c r="B484" s="2" t="s">
        <v>338</v>
      </c>
      <c r="C484" s="2" t="s">
        <v>446</v>
      </c>
      <c r="D484" s="83" t="s">
        <v>447</v>
      </c>
      <c r="E484" s="84"/>
      <c r="F484" s="84"/>
      <c r="G484" s="84"/>
      <c r="H484" s="84"/>
      <c r="I484" s="2" t="s">
        <v>88</v>
      </c>
      <c r="J484" s="17">
        <v>3.2</v>
      </c>
      <c r="K484" s="17"/>
      <c r="L484" s="18">
        <f t="shared" si="29"/>
        <v>0</v>
      </c>
      <c r="HV484" s="2" t="s">
        <v>437</v>
      </c>
      <c r="HW484" s="2" t="s">
        <v>32</v>
      </c>
      <c r="IR484" s="19">
        <f t="shared" si="30"/>
        <v>0</v>
      </c>
      <c r="IS484" s="19">
        <f t="shared" si="31"/>
        <v>0</v>
      </c>
    </row>
    <row r="485" spans="1:253" x14ac:dyDescent="0.25">
      <c r="A485" s="16">
        <v>454</v>
      </c>
      <c r="B485" s="2" t="s">
        <v>338</v>
      </c>
      <c r="C485" s="2" t="s">
        <v>448</v>
      </c>
      <c r="D485" s="83" t="s">
        <v>449</v>
      </c>
      <c r="E485" s="84"/>
      <c r="F485" s="84"/>
      <c r="G485" s="84"/>
      <c r="H485" s="84"/>
      <c r="I485" s="2" t="s">
        <v>88</v>
      </c>
      <c r="J485" s="17">
        <v>3.2</v>
      </c>
      <c r="K485" s="17"/>
      <c r="L485" s="18">
        <f t="shared" si="29"/>
        <v>0</v>
      </c>
      <c r="HV485" s="2" t="s">
        <v>437</v>
      </c>
      <c r="HW485" s="2" t="s">
        <v>32</v>
      </c>
      <c r="IR485" s="19">
        <f t="shared" si="30"/>
        <v>0</v>
      </c>
      <c r="IS485" s="19">
        <f t="shared" si="31"/>
        <v>0</v>
      </c>
    </row>
    <row r="486" spans="1:253" x14ac:dyDescent="0.25">
      <c r="A486" s="16">
        <v>455</v>
      </c>
      <c r="B486" s="2" t="s">
        <v>338</v>
      </c>
      <c r="C486" s="2" t="s">
        <v>450</v>
      </c>
      <c r="D486" s="83" t="s">
        <v>451</v>
      </c>
      <c r="E486" s="84"/>
      <c r="F486" s="84"/>
      <c r="G486" s="84"/>
      <c r="H486" s="84"/>
      <c r="I486" s="2" t="s">
        <v>88</v>
      </c>
      <c r="J486" s="17">
        <v>32</v>
      </c>
      <c r="K486" s="17"/>
      <c r="L486" s="18">
        <f t="shared" si="29"/>
        <v>0</v>
      </c>
      <c r="HV486" s="2" t="s">
        <v>437</v>
      </c>
      <c r="HW486" s="2" t="s">
        <v>32</v>
      </c>
      <c r="IR486" s="19">
        <f t="shared" si="30"/>
        <v>0</v>
      </c>
      <c r="IS486" s="19">
        <f t="shared" si="31"/>
        <v>0</v>
      </c>
    </row>
    <row r="487" spans="1:253" x14ac:dyDescent="0.25">
      <c r="A487" s="16">
        <v>456</v>
      </c>
      <c r="B487" s="2" t="s">
        <v>338</v>
      </c>
      <c r="C487" s="2" t="s">
        <v>452</v>
      </c>
      <c r="D487" s="83" t="s">
        <v>453</v>
      </c>
      <c r="E487" s="84"/>
      <c r="F487" s="84"/>
      <c r="G487" s="84"/>
      <c r="H487" s="84"/>
      <c r="I487" s="2" t="s">
        <v>88</v>
      </c>
      <c r="J487" s="17">
        <v>3.2</v>
      </c>
      <c r="K487" s="17"/>
      <c r="L487" s="18">
        <f t="shared" si="29"/>
        <v>0</v>
      </c>
      <c r="HV487" s="2" t="s">
        <v>437</v>
      </c>
      <c r="HW487" s="2" t="s">
        <v>32</v>
      </c>
      <c r="IR487" s="19">
        <f t="shared" si="30"/>
        <v>0</v>
      </c>
      <c r="IS487" s="19">
        <f t="shared" si="31"/>
        <v>0</v>
      </c>
    </row>
    <row r="488" spans="1:253" x14ac:dyDescent="0.25">
      <c r="A488" s="16">
        <v>457</v>
      </c>
      <c r="B488" s="2" t="s">
        <v>338</v>
      </c>
      <c r="C488" s="2" t="s">
        <v>454</v>
      </c>
      <c r="D488" s="83" t="s">
        <v>455</v>
      </c>
      <c r="E488" s="84"/>
      <c r="F488" s="84"/>
      <c r="G488" s="84"/>
      <c r="H488" s="84"/>
      <c r="I488" s="2" t="s">
        <v>88</v>
      </c>
      <c r="J488" s="17">
        <v>0.2</v>
      </c>
      <c r="K488" s="17"/>
      <c r="L488" s="18">
        <f t="shared" si="29"/>
        <v>0</v>
      </c>
      <c r="HV488" s="2" t="s">
        <v>437</v>
      </c>
      <c r="HW488" s="2" t="s">
        <v>32</v>
      </c>
      <c r="IR488" s="19">
        <f t="shared" si="30"/>
        <v>0</v>
      </c>
      <c r="IS488" s="19">
        <f t="shared" si="31"/>
        <v>0</v>
      </c>
    </row>
    <row r="489" spans="1:253" x14ac:dyDescent="0.25">
      <c r="A489" s="12" t="s">
        <v>23</v>
      </c>
      <c r="B489" s="13" t="s">
        <v>456</v>
      </c>
      <c r="C489" s="13" t="s">
        <v>25</v>
      </c>
      <c r="D489" s="135" t="s">
        <v>457</v>
      </c>
      <c r="E489" s="136"/>
      <c r="F489" s="136"/>
      <c r="G489" s="136"/>
      <c r="H489" s="136"/>
      <c r="I489" s="13" t="s">
        <v>23</v>
      </c>
      <c r="J489" s="14" t="s">
        <v>23</v>
      </c>
      <c r="K489" s="14"/>
      <c r="L489" s="15">
        <f>L490+L498+L502+L506+L508+L516+L521+L524+L526+L528+L531</f>
        <v>0</v>
      </c>
    </row>
    <row r="490" spans="1:253" x14ac:dyDescent="0.25">
      <c r="A490" s="12" t="s">
        <v>23</v>
      </c>
      <c r="B490" s="13" t="s">
        <v>456</v>
      </c>
      <c r="C490" s="13" t="s">
        <v>340</v>
      </c>
      <c r="D490" s="135" t="s">
        <v>341</v>
      </c>
      <c r="E490" s="136"/>
      <c r="F490" s="136"/>
      <c r="G490" s="136"/>
      <c r="H490" s="136"/>
      <c r="I490" s="13" t="s">
        <v>23</v>
      </c>
      <c r="J490" s="14" t="s">
        <v>23</v>
      </c>
      <c r="K490" s="14"/>
      <c r="L490" s="15">
        <f>SUM(L491:L497)</f>
        <v>0</v>
      </c>
    </row>
    <row r="491" spans="1:253" x14ac:dyDescent="0.25">
      <c r="A491" s="16">
        <v>458</v>
      </c>
      <c r="B491" s="2" t="s">
        <v>456</v>
      </c>
      <c r="C491" s="2" t="s">
        <v>342</v>
      </c>
      <c r="D491" s="83" t="s">
        <v>343</v>
      </c>
      <c r="E491" s="84"/>
      <c r="F491" s="84"/>
      <c r="G491" s="84"/>
      <c r="H491" s="84"/>
      <c r="I491" s="2" t="s">
        <v>40</v>
      </c>
      <c r="J491" s="17">
        <v>12</v>
      </c>
      <c r="K491" s="17"/>
      <c r="L491" s="18">
        <f t="shared" ref="L491:L497" si="32">ROUND(IR491*J491+IS491*J491,2)</f>
        <v>0</v>
      </c>
      <c r="HV491" s="2" t="s">
        <v>340</v>
      </c>
      <c r="HW491" s="2" t="s">
        <v>32</v>
      </c>
      <c r="IR491" s="19">
        <f>K491*0</f>
        <v>0</v>
      </c>
      <c r="IS491" s="19">
        <f>K491*(1-0)</f>
        <v>0</v>
      </c>
    </row>
    <row r="492" spans="1:253" x14ac:dyDescent="0.25">
      <c r="A492" s="16">
        <v>459</v>
      </c>
      <c r="B492" s="2" t="s">
        <v>456</v>
      </c>
      <c r="C492" s="2" t="s">
        <v>344</v>
      </c>
      <c r="D492" s="83" t="s">
        <v>345</v>
      </c>
      <c r="E492" s="84"/>
      <c r="F492" s="84"/>
      <c r="G492" s="84"/>
      <c r="H492" s="84"/>
      <c r="I492" s="2" t="s">
        <v>40</v>
      </c>
      <c r="J492" s="17">
        <v>12</v>
      </c>
      <c r="K492" s="17"/>
      <c r="L492" s="18">
        <f t="shared" si="32"/>
        <v>0</v>
      </c>
      <c r="HV492" s="2" t="s">
        <v>340</v>
      </c>
      <c r="HW492" s="2" t="s">
        <v>32</v>
      </c>
      <c r="IR492" s="19">
        <f>K492*0</f>
        <v>0</v>
      </c>
      <c r="IS492" s="19">
        <f>K492*(1-0)</f>
        <v>0</v>
      </c>
    </row>
    <row r="493" spans="1:253" x14ac:dyDescent="0.25">
      <c r="A493" s="16">
        <v>460</v>
      </c>
      <c r="B493" s="2" t="s">
        <v>456</v>
      </c>
      <c r="C493" s="2" t="s">
        <v>346</v>
      </c>
      <c r="D493" s="83" t="s">
        <v>347</v>
      </c>
      <c r="E493" s="84"/>
      <c r="F493" s="84"/>
      <c r="G493" s="84"/>
      <c r="H493" s="84"/>
      <c r="I493" s="2" t="s">
        <v>35</v>
      </c>
      <c r="J493" s="17">
        <v>12</v>
      </c>
      <c r="K493" s="17"/>
      <c r="L493" s="18">
        <f t="shared" si="32"/>
        <v>0</v>
      </c>
      <c r="HV493" s="2" t="s">
        <v>340</v>
      </c>
      <c r="HW493" s="2" t="s">
        <v>165</v>
      </c>
      <c r="IR493" s="19">
        <f>K493*1</f>
        <v>0</v>
      </c>
      <c r="IS493" s="19">
        <f>K493*(1-1)</f>
        <v>0</v>
      </c>
    </row>
    <row r="494" spans="1:253" x14ac:dyDescent="0.25">
      <c r="A494" s="16">
        <v>461</v>
      </c>
      <c r="B494" s="2" t="s">
        <v>456</v>
      </c>
      <c r="C494" s="2" t="s">
        <v>348</v>
      </c>
      <c r="D494" s="83" t="s">
        <v>349</v>
      </c>
      <c r="E494" s="84"/>
      <c r="F494" s="84"/>
      <c r="G494" s="84"/>
      <c r="H494" s="84"/>
      <c r="I494" s="2" t="s">
        <v>35</v>
      </c>
      <c r="J494" s="17">
        <v>12</v>
      </c>
      <c r="K494" s="17"/>
      <c r="L494" s="18">
        <f t="shared" si="32"/>
        <v>0</v>
      </c>
      <c r="HV494" s="2" t="s">
        <v>340</v>
      </c>
      <c r="HW494" s="2" t="s">
        <v>32</v>
      </c>
      <c r="IR494" s="19">
        <f>K494*0.022540953</f>
        <v>0</v>
      </c>
      <c r="IS494" s="19">
        <f>K494*(1-0.022540953)</f>
        <v>0</v>
      </c>
    </row>
    <row r="495" spans="1:253" x14ac:dyDescent="0.25">
      <c r="A495" s="16">
        <v>462</v>
      </c>
      <c r="B495" s="2" t="s">
        <v>456</v>
      </c>
      <c r="C495" s="2" t="s">
        <v>350</v>
      </c>
      <c r="D495" s="83" t="s">
        <v>351</v>
      </c>
      <c r="E495" s="84"/>
      <c r="F495" s="84"/>
      <c r="G495" s="84"/>
      <c r="H495" s="84"/>
      <c r="I495" s="2" t="s">
        <v>35</v>
      </c>
      <c r="J495" s="17">
        <v>12</v>
      </c>
      <c r="K495" s="17"/>
      <c r="L495" s="18">
        <f t="shared" si="32"/>
        <v>0</v>
      </c>
      <c r="HV495" s="2" t="s">
        <v>340</v>
      </c>
      <c r="HW495" s="2" t="s">
        <v>165</v>
      </c>
      <c r="IR495" s="19">
        <f>K495*1</f>
        <v>0</v>
      </c>
      <c r="IS495" s="19">
        <f>K495*(1-1)</f>
        <v>0</v>
      </c>
    </row>
    <row r="496" spans="1:253" x14ac:dyDescent="0.25">
      <c r="A496" s="16">
        <v>463</v>
      </c>
      <c r="B496" s="2" t="s">
        <v>456</v>
      </c>
      <c r="C496" s="2" t="s">
        <v>352</v>
      </c>
      <c r="D496" s="83" t="s">
        <v>353</v>
      </c>
      <c r="E496" s="84"/>
      <c r="F496" s="84"/>
      <c r="G496" s="84"/>
      <c r="H496" s="84"/>
      <c r="I496" s="2" t="s">
        <v>354</v>
      </c>
      <c r="J496" s="17">
        <v>1.2</v>
      </c>
      <c r="K496" s="17"/>
      <c r="L496" s="18">
        <f t="shared" si="32"/>
        <v>0</v>
      </c>
      <c r="HV496" s="2" t="s">
        <v>340</v>
      </c>
      <c r="HW496" s="2" t="s">
        <v>32</v>
      </c>
      <c r="IR496" s="19">
        <f>K496*0.488714499</f>
        <v>0</v>
      </c>
      <c r="IS496" s="19">
        <f>K496*(1-0.488714499)</f>
        <v>0</v>
      </c>
    </row>
    <row r="497" spans="1:253" x14ac:dyDescent="0.25">
      <c r="A497" s="16">
        <v>464</v>
      </c>
      <c r="B497" s="2" t="s">
        <v>456</v>
      </c>
      <c r="C497" s="2" t="s">
        <v>355</v>
      </c>
      <c r="D497" s="83" t="s">
        <v>356</v>
      </c>
      <c r="E497" s="84"/>
      <c r="F497" s="84"/>
      <c r="G497" s="84"/>
      <c r="H497" s="84"/>
      <c r="I497" s="2" t="s">
        <v>88</v>
      </c>
      <c r="J497" s="17">
        <v>0.6</v>
      </c>
      <c r="K497" s="17"/>
      <c r="L497" s="18">
        <f t="shared" si="32"/>
        <v>0</v>
      </c>
      <c r="HV497" s="2" t="s">
        <v>340</v>
      </c>
      <c r="HW497" s="2" t="s">
        <v>32</v>
      </c>
      <c r="IR497" s="19">
        <f>K497*0</f>
        <v>0</v>
      </c>
      <c r="IS497" s="19">
        <f>K497*(1-0)</f>
        <v>0</v>
      </c>
    </row>
    <row r="498" spans="1:253" x14ac:dyDescent="0.25">
      <c r="A498" s="12" t="s">
        <v>23</v>
      </c>
      <c r="B498" s="13" t="s">
        <v>456</v>
      </c>
      <c r="C498" s="13" t="s">
        <v>357</v>
      </c>
      <c r="D498" s="135" t="s">
        <v>358</v>
      </c>
      <c r="E498" s="136"/>
      <c r="F498" s="136"/>
      <c r="G498" s="136"/>
      <c r="H498" s="136"/>
      <c r="I498" s="13" t="s">
        <v>23</v>
      </c>
      <c r="J498" s="14" t="s">
        <v>23</v>
      </c>
      <c r="K498" s="14"/>
      <c r="L498" s="15">
        <f>SUM(L499:L501)</f>
        <v>0</v>
      </c>
    </row>
    <row r="499" spans="1:253" x14ac:dyDescent="0.25">
      <c r="A499" s="16">
        <v>465</v>
      </c>
      <c r="B499" s="2" t="s">
        <v>456</v>
      </c>
      <c r="C499" s="2" t="s">
        <v>359</v>
      </c>
      <c r="D499" s="83" t="s">
        <v>360</v>
      </c>
      <c r="E499" s="84"/>
      <c r="F499" s="84"/>
      <c r="G499" s="84"/>
      <c r="H499" s="84"/>
      <c r="I499" s="2" t="s">
        <v>35</v>
      </c>
      <c r="J499" s="17">
        <v>16</v>
      </c>
      <c r="K499" s="17"/>
      <c r="L499" s="18">
        <f>ROUND(IR499*J499+IS499*J499,2)</f>
        <v>0</v>
      </c>
      <c r="HV499" s="2" t="s">
        <v>357</v>
      </c>
      <c r="HW499" s="2" t="s">
        <v>32</v>
      </c>
      <c r="IR499" s="19">
        <f>K499*0.310217028</f>
        <v>0</v>
      </c>
      <c r="IS499" s="19">
        <f>K499*(1-0.310217028)</f>
        <v>0</v>
      </c>
    </row>
    <row r="500" spans="1:253" x14ac:dyDescent="0.25">
      <c r="A500" s="16">
        <v>466</v>
      </c>
      <c r="B500" s="2" t="s">
        <v>456</v>
      </c>
      <c r="C500" s="2" t="s">
        <v>361</v>
      </c>
      <c r="D500" s="83" t="s">
        <v>362</v>
      </c>
      <c r="E500" s="84"/>
      <c r="F500" s="84"/>
      <c r="G500" s="84"/>
      <c r="H500" s="84"/>
      <c r="I500" s="2" t="s">
        <v>35</v>
      </c>
      <c r="J500" s="17">
        <v>16</v>
      </c>
      <c r="K500" s="17"/>
      <c r="L500" s="18">
        <f>ROUND(IR500*J500+IS500*J500,2)</f>
        <v>0</v>
      </c>
      <c r="HV500" s="2" t="s">
        <v>357</v>
      </c>
      <c r="HW500" s="2" t="s">
        <v>32</v>
      </c>
      <c r="IR500" s="19">
        <f>K500*0.127201817</f>
        <v>0</v>
      </c>
      <c r="IS500" s="19">
        <f>K500*(1-0.127201817)</f>
        <v>0</v>
      </c>
    </row>
    <row r="501" spans="1:253" x14ac:dyDescent="0.25">
      <c r="A501" s="16">
        <v>467</v>
      </c>
      <c r="B501" s="2" t="s">
        <v>456</v>
      </c>
      <c r="C501" s="2" t="s">
        <v>355</v>
      </c>
      <c r="D501" s="83" t="s">
        <v>356</v>
      </c>
      <c r="E501" s="84"/>
      <c r="F501" s="84"/>
      <c r="G501" s="84"/>
      <c r="H501" s="84"/>
      <c r="I501" s="2" t="s">
        <v>88</v>
      </c>
      <c r="J501" s="17">
        <v>1</v>
      </c>
      <c r="K501" s="17"/>
      <c r="L501" s="18">
        <f>ROUND(IR501*J501+IS501*J501,2)</f>
        <v>0</v>
      </c>
      <c r="HV501" s="2" t="s">
        <v>357</v>
      </c>
      <c r="HW501" s="2" t="s">
        <v>32</v>
      </c>
      <c r="IR501" s="19">
        <f>K501*0</f>
        <v>0</v>
      </c>
      <c r="IS501" s="19">
        <f>K501*(1-0)</f>
        <v>0</v>
      </c>
    </row>
    <row r="502" spans="1:253" x14ac:dyDescent="0.25">
      <c r="A502" s="12" t="s">
        <v>23</v>
      </c>
      <c r="B502" s="13" t="s">
        <v>456</v>
      </c>
      <c r="C502" s="13" t="s">
        <v>363</v>
      </c>
      <c r="D502" s="135" t="s">
        <v>364</v>
      </c>
      <c r="E502" s="136"/>
      <c r="F502" s="136"/>
      <c r="G502" s="136"/>
      <c r="H502" s="136"/>
      <c r="I502" s="13" t="s">
        <v>23</v>
      </c>
      <c r="J502" s="14" t="s">
        <v>23</v>
      </c>
      <c r="K502" s="14"/>
      <c r="L502" s="15">
        <f>SUM(L503:L505)</f>
        <v>0</v>
      </c>
    </row>
    <row r="503" spans="1:253" x14ac:dyDescent="0.25">
      <c r="A503" s="16">
        <v>468</v>
      </c>
      <c r="B503" s="2" t="s">
        <v>456</v>
      </c>
      <c r="C503" s="2" t="s">
        <v>365</v>
      </c>
      <c r="D503" s="83" t="s">
        <v>366</v>
      </c>
      <c r="E503" s="84"/>
      <c r="F503" s="84"/>
      <c r="G503" s="84"/>
      <c r="H503" s="84"/>
      <c r="I503" s="2" t="s">
        <v>354</v>
      </c>
      <c r="J503" s="17">
        <v>3</v>
      </c>
      <c r="K503" s="17"/>
      <c r="L503" s="18">
        <f>ROUND(IR503*J503+IS503*J503,2)</f>
        <v>0</v>
      </c>
      <c r="HV503" s="2" t="s">
        <v>363</v>
      </c>
      <c r="HW503" s="2" t="s">
        <v>32</v>
      </c>
      <c r="IR503" s="19">
        <f>K503*0.55103125</f>
        <v>0</v>
      </c>
      <c r="IS503" s="19">
        <f>K503*(1-0.55103125)</f>
        <v>0</v>
      </c>
    </row>
    <row r="504" spans="1:253" x14ac:dyDescent="0.25">
      <c r="A504" s="16">
        <v>469</v>
      </c>
      <c r="B504" s="2" t="s">
        <v>456</v>
      </c>
      <c r="C504" s="2" t="s">
        <v>367</v>
      </c>
      <c r="D504" s="83" t="s">
        <v>368</v>
      </c>
      <c r="E504" s="84"/>
      <c r="F504" s="84"/>
      <c r="G504" s="84"/>
      <c r="H504" s="84"/>
      <c r="I504" s="2" t="s">
        <v>354</v>
      </c>
      <c r="J504" s="17">
        <v>3</v>
      </c>
      <c r="K504" s="17"/>
      <c r="L504" s="18">
        <f>ROUND(IR504*J504+IS504*J504,2)</f>
        <v>0</v>
      </c>
      <c r="HV504" s="2" t="s">
        <v>363</v>
      </c>
      <c r="HW504" s="2" t="s">
        <v>165</v>
      </c>
      <c r="IR504" s="19">
        <f>K504*1</f>
        <v>0</v>
      </c>
      <c r="IS504" s="19">
        <f>K504*(1-1)</f>
        <v>0</v>
      </c>
    </row>
    <row r="505" spans="1:253" x14ac:dyDescent="0.25">
      <c r="A505" s="16">
        <v>470</v>
      </c>
      <c r="B505" s="2" t="s">
        <v>456</v>
      </c>
      <c r="C505" s="2" t="s">
        <v>369</v>
      </c>
      <c r="D505" s="83" t="s">
        <v>370</v>
      </c>
      <c r="E505" s="84"/>
      <c r="F505" s="84"/>
      <c r="G505" s="84"/>
      <c r="H505" s="84"/>
      <c r="I505" s="2" t="s">
        <v>45</v>
      </c>
      <c r="J505" s="17"/>
      <c r="K505" s="17"/>
      <c r="L505" s="18">
        <f>ROUND(IR505*J505+IS505*J505,2)</f>
        <v>0</v>
      </c>
      <c r="HV505" s="2" t="s">
        <v>363</v>
      </c>
      <c r="HW505" s="2" t="s">
        <v>32</v>
      </c>
      <c r="IR505" s="19">
        <f>K505*0</f>
        <v>0</v>
      </c>
      <c r="IS505" s="19">
        <f>K505*(1-0)</f>
        <v>0</v>
      </c>
    </row>
    <row r="506" spans="1:253" x14ac:dyDescent="0.25">
      <c r="A506" s="12" t="s">
        <v>23</v>
      </c>
      <c r="B506" s="13" t="s">
        <v>456</v>
      </c>
      <c r="C506" s="13" t="s">
        <v>371</v>
      </c>
      <c r="D506" s="135" t="s">
        <v>372</v>
      </c>
      <c r="E506" s="136"/>
      <c r="F506" s="136"/>
      <c r="G506" s="136"/>
      <c r="H506" s="136"/>
      <c r="I506" s="13" t="s">
        <v>23</v>
      </c>
      <c r="J506" s="14" t="s">
        <v>23</v>
      </c>
      <c r="K506" s="14"/>
      <c r="L506" s="15">
        <f>SUM(L507:L507)</f>
        <v>0</v>
      </c>
    </row>
    <row r="507" spans="1:253" x14ac:dyDescent="0.25">
      <c r="A507" s="16">
        <v>471</v>
      </c>
      <c r="B507" s="2" t="s">
        <v>456</v>
      </c>
      <c r="C507" s="2" t="s">
        <v>373</v>
      </c>
      <c r="D507" s="83" t="s">
        <v>374</v>
      </c>
      <c r="E507" s="84"/>
      <c r="F507" s="84"/>
      <c r="G507" s="84"/>
      <c r="H507" s="84"/>
      <c r="I507" s="2" t="s">
        <v>40</v>
      </c>
      <c r="J507" s="17">
        <v>6</v>
      </c>
      <c r="K507" s="17"/>
      <c r="L507" s="18">
        <f>ROUND(IR507*J507+IS507*J507,2)</f>
        <v>0</v>
      </c>
      <c r="HV507" s="2" t="s">
        <v>371</v>
      </c>
      <c r="HW507" s="2" t="s">
        <v>32</v>
      </c>
      <c r="IR507" s="19">
        <f>K507*0.5</f>
        <v>0</v>
      </c>
      <c r="IS507" s="19">
        <f>K507*(1-0.5)</f>
        <v>0</v>
      </c>
    </row>
    <row r="508" spans="1:253" x14ac:dyDescent="0.25">
      <c r="A508" s="12" t="s">
        <v>23</v>
      </c>
      <c r="B508" s="13" t="s">
        <v>456</v>
      </c>
      <c r="C508" s="13" t="s">
        <v>375</v>
      </c>
      <c r="D508" s="135" t="s">
        <v>376</v>
      </c>
      <c r="E508" s="136"/>
      <c r="F508" s="136"/>
      <c r="G508" s="136"/>
      <c r="H508" s="136"/>
      <c r="I508" s="13" t="s">
        <v>23</v>
      </c>
      <c r="J508" s="14" t="s">
        <v>23</v>
      </c>
      <c r="K508" s="14"/>
      <c r="L508" s="15">
        <f>SUM(L509:L515)</f>
        <v>0</v>
      </c>
    </row>
    <row r="509" spans="1:253" x14ac:dyDescent="0.25">
      <c r="A509" s="16">
        <v>472</v>
      </c>
      <c r="B509" s="2" t="s">
        <v>456</v>
      </c>
      <c r="C509" s="2" t="s">
        <v>377</v>
      </c>
      <c r="D509" s="83" t="s">
        <v>378</v>
      </c>
      <c r="E509" s="84"/>
      <c r="F509" s="84"/>
      <c r="G509" s="84"/>
      <c r="H509" s="84"/>
      <c r="I509" s="2" t="s">
        <v>379</v>
      </c>
      <c r="J509" s="17">
        <v>48</v>
      </c>
      <c r="K509" s="17"/>
      <c r="L509" s="18">
        <f t="shared" ref="L509:L515" si="33">ROUND(IR509*J509+IS509*J509,2)</f>
        <v>0</v>
      </c>
      <c r="HV509" s="2" t="s">
        <v>375</v>
      </c>
      <c r="HW509" s="2" t="s">
        <v>32</v>
      </c>
      <c r="IR509" s="19">
        <f>K509*0.425441941</f>
        <v>0</v>
      </c>
      <c r="IS509" s="19">
        <f>K509*(1-0.425441941)</f>
        <v>0</v>
      </c>
    </row>
    <row r="510" spans="1:253" x14ac:dyDescent="0.25">
      <c r="A510" s="16">
        <v>473</v>
      </c>
      <c r="B510" s="2" t="s">
        <v>456</v>
      </c>
      <c r="C510" s="2" t="s">
        <v>380</v>
      </c>
      <c r="D510" s="83" t="s">
        <v>381</v>
      </c>
      <c r="E510" s="84"/>
      <c r="F510" s="84"/>
      <c r="G510" s="84"/>
      <c r="H510" s="84"/>
      <c r="I510" s="2" t="s">
        <v>35</v>
      </c>
      <c r="J510" s="17">
        <v>24</v>
      </c>
      <c r="K510" s="17"/>
      <c r="L510" s="18">
        <f t="shared" si="33"/>
        <v>0</v>
      </c>
      <c r="HV510" s="2" t="s">
        <v>375</v>
      </c>
      <c r="HW510" s="2" t="s">
        <v>165</v>
      </c>
      <c r="IR510" s="19">
        <f>K510*1</f>
        <v>0</v>
      </c>
      <c r="IS510" s="19">
        <f>K510*(1-1)</f>
        <v>0</v>
      </c>
    </row>
    <row r="511" spans="1:253" x14ac:dyDescent="0.25">
      <c r="A511" s="16">
        <v>474</v>
      </c>
      <c r="B511" s="2" t="s">
        <v>456</v>
      </c>
      <c r="C511" s="2" t="s">
        <v>382</v>
      </c>
      <c r="D511" s="83" t="s">
        <v>383</v>
      </c>
      <c r="E511" s="84"/>
      <c r="F511" s="84"/>
      <c r="G511" s="84"/>
      <c r="H511" s="84"/>
      <c r="I511" s="2" t="s">
        <v>35</v>
      </c>
      <c r="J511" s="17">
        <v>48</v>
      </c>
      <c r="K511" s="17"/>
      <c r="L511" s="18">
        <f t="shared" si="33"/>
        <v>0</v>
      </c>
      <c r="HV511" s="2" t="s">
        <v>375</v>
      </c>
      <c r="HW511" s="2" t="s">
        <v>165</v>
      </c>
      <c r="IR511" s="19">
        <f>K511*1</f>
        <v>0</v>
      </c>
      <c r="IS511" s="19">
        <f>K511*(1-1)</f>
        <v>0</v>
      </c>
    </row>
    <row r="512" spans="1:253" x14ac:dyDescent="0.25">
      <c r="A512" s="16">
        <v>475</v>
      </c>
      <c r="B512" s="2" t="s">
        <v>456</v>
      </c>
      <c r="C512" s="2" t="s">
        <v>384</v>
      </c>
      <c r="D512" s="83" t="s">
        <v>385</v>
      </c>
      <c r="E512" s="84"/>
      <c r="F512" s="84"/>
      <c r="G512" s="84"/>
      <c r="H512" s="84"/>
      <c r="I512" s="2" t="s">
        <v>354</v>
      </c>
      <c r="J512" s="17">
        <v>15.6</v>
      </c>
      <c r="K512" s="17"/>
      <c r="L512" s="18">
        <f t="shared" si="33"/>
        <v>0</v>
      </c>
      <c r="HV512" s="2" t="s">
        <v>375</v>
      </c>
      <c r="HW512" s="2" t="s">
        <v>32</v>
      </c>
      <c r="IR512" s="19">
        <f>K512*0</f>
        <v>0</v>
      </c>
      <c r="IS512" s="19">
        <f>K512*(1-0)</f>
        <v>0</v>
      </c>
    </row>
    <row r="513" spans="1:253" x14ac:dyDescent="0.25">
      <c r="A513" s="16">
        <v>476</v>
      </c>
      <c r="B513" s="2" t="s">
        <v>456</v>
      </c>
      <c r="C513" s="2" t="s">
        <v>386</v>
      </c>
      <c r="D513" s="83" t="s">
        <v>387</v>
      </c>
      <c r="E513" s="84"/>
      <c r="F513" s="84"/>
      <c r="G513" s="84"/>
      <c r="H513" s="84"/>
      <c r="I513" s="2" t="s">
        <v>354</v>
      </c>
      <c r="J513" s="17">
        <v>15.6</v>
      </c>
      <c r="K513" s="17"/>
      <c r="L513" s="18">
        <f t="shared" si="33"/>
        <v>0</v>
      </c>
      <c r="HV513" s="2" t="s">
        <v>375</v>
      </c>
      <c r="HW513" s="2" t="s">
        <v>32</v>
      </c>
      <c r="IR513" s="19">
        <f>K513*0.336810431</f>
        <v>0</v>
      </c>
      <c r="IS513" s="19">
        <f>K513*(1-0.336810431)</f>
        <v>0</v>
      </c>
    </row>
    <row r="514" spans="1:253" x14ac:dyDescent="0.25">
      <c r="A514" s="16">
        <v>477</v>
      </c>
      <c r="B514" s="2" t="s">
        <v>456</v>
      </c>
      <c r="C514" s="2" t="s">
        <v>388</v>
      </c>
      <c r="D514" s="83" t="s">
        <v>389</v>
      </c>
      <c r="E514" s="84"/>
      <c r="F514" s="84"/>
      <c r="G514" s="84"/>
      <c r="H514" s="84"/>
      <c r="I514" s="2" t="s">
        <v>354</v>
      </c>
      <c r="J514" s="17">
        <v>15.6</v>
      </c>
      <c r="K514" s="17"/>
      <c r="L514" s="18">
        <f t="shared" si="33"/>
        <v>0</v>
      </c>
      <c r="HV514" s="2" t="s">
        <v>375</v>
      </c>
      <c r="HW514" s="2" t="s">
        <v>32</v>
      </c>
      <c r="IR514" s="19">
        <f>K514*0.658987486</f>
        <v>0</v>
      </c>
      <c r="IS514" s="19">
        <f>K514*(1-0.658987486)</f>
        <v>0</v>
      </c>
    </row>
    <row r="515" spans="1:253" x14ac:dyDescent="0.25">
      <c r="A515" s="16">
        <v>478</v>
      </c>
      <c r="B515" s="2" t="s">
        <v>456</v>
      </c>
      <c r="C515" s="2" t="s">
        <v>390</v>
      </c>
      <c r="D515" s="83" t="s">
        <v>391</v>
      </c>
      <c r="E515" s="84"/>
      <c r="F515" s="84"/>
      <c r="G515" s="84"/>
      <c r="H515" s="84"/>
      <c r="I515" s="2" t="s">
        <v>45</v>
      </c>
      <c r="J515" s="17"/>
      <c r="K515" s="17"/>
      <c r="L515" s="18">
        <f t="shared" si="33"/>
        <v>0</v>
      </c>
      <c r="HV515" s="2" t="s">
        <v>375</v>
      </c>
      <c r="HW515" s="2" t="s">
        <v>32</v>
      </c>
      <c r="IR515" s="19">
        <f>K515*0</f>
        <v>0</v>
      </c>
      <c r="IS515" s="19">
        <f>K515*(1-0)</f>
        <v>0</v>
      </c>
    </row>
    <row r="516" spans="1:253" x14ac:dyDescent="0.25">
      <c r="A516" s="12" t="s">
        <v>23</v>
      </c>
      <c r="B516" s="13" t="s">
        <v>456</v>
      </c>
      <c r="C516" s="13" t="s">
        <v>392</v>
      </c>
      <c r="D516" s="135" t="s">
        <v>393</v>
      </c>
      <c r="E516" s="136"/>
      <c r="F516" s="136"/>
      <c r="G516" s="136"/>
      <c r="H516" s="136"/>
      <c r="I516" s="13" t="s">
        <v>23</v>
      </c>
      <c r="J516" s="14" t="s">
        <v>23</v>
      </c>
      <c r="K516" s="14"/>
      <c r="L516" s="15">
        <f>SUM(L517:L520)</f>
        <v>0</v>
      </c>
    </row>
    <row r="517" spans="1:253" x14ac:dyDescent="0.25">
      <c r="A517" s="16">
        <v>479</v>
      </c>
      <c r="B517" s="2" t="s">
        <v>456</v>
      </c>
      <c r="C517" s="2" t="s">
        <v>394</v>
      </c>
      <c r="D517" s="83" t="s">
        <v>395</v>
      </c>
      <c r="E517" s="84"/>
      <c r="F517" s="84"/>
      <c r="G517" s="84"/>
      <c r="H517" s="84"/>
      <c r="I517" s="2" t="s">
        <v>354</v>
      </c>
      <c r="J517" s="17">
        <v>22.2</v>
      </c>
      <c r="K517" s="17"/>
      <c r="L517" s="18">
        <f t="shared" ref="L517:L520" si="34">ROUND(IR517*J517+IS517*J517,2)</f>
        <v>0</v>
      </c>
      <c r="HV517" s="2" t="s">
        <v>392</v>
      </c>
      <c r="HW517" s="2" t="s">
        <v>32</v>
      </c>
      <c r="IR517" s="19">
        <f>K517*0.447130435</f>
        <v>0</v>
      </c>
      <c r="IS517" s="19">
        <f>K517*(1-0.447130435)</f>
        <v>0</v>
      </c>
    </row>
    <row r="518" spans="1:253" x14ac:dyDescent="0.25">
      <c r="A518" s="16">
        <v>480</v>
      </c>
      <c r="B518" s="2" t="s">
        <v>456</v>
      </c>
      <c r="C518" s="2" t="s">
        <v>396</v>
      </c>
      <c r="D518" s="83" t="s">
        <v>397</v>
      </c>
      <c r="E518" s="84"/>
      <c r="F518" s="84"/>
      <c r="G518" s="84"/>
      <c r="H518" s="84"/>
      <c r="I518" s="2" t="s">
        <v>354</v>
      </c>
      <c r="J518" s="17">
        <v>22.2</v>
      </c>
      <c r="K518" s="17"/>
      <c r="L518" s="18">
        <f t="shared" si="34"/>
        <v>0</v>
      </c>
      <c r="HV518" s="2" t="s">
        <v>392</v>
      </c>
      <c r="HW518" s="2" t="s">
        <v>32</v>
      </c>
      <c r="IR518" s="19">
        <f>K518*0</f>
        <v>0</v>
      </c>
      <c r="IS518" s="19">
        <f>K518*(1-0)</f>
        <v>0</v>
      </c>
    </row>
    <row r="519" spans="1:253" x14ac:dyDescent="0.25">
      <c r="A519" s="16">
        <v>481</v>
      </c>
      <c r="B519" s="2" t="s">
        <v>456</v>
      </c>
      <c r="C519" s="2" t="s">
        <v>400</v>
      </c>
      <c r="D519" s="83" t="s">
        <v>401</v>
      </c>
      <c r="E519" s="84"/>
      <c r="F519" s="84"/>
      <c r="G519" s="84"/>
      <c r="H519" s="84"/>
      <c r="I519" s="2" t="s">
        <v>354</v>
      </c>
      <c r="J519" s="17">
        <v>24.5</v>
      </c>
      <c r="K519" s="17"/>
      <c r="L519" s="18">
        <f t="shared" si="34"/>
        <v>0</v>
      </c>
      <c r="HV519" s="2" t="s">
        <v>392</v>
      </c>
      <c r="HW519" s="2" t="s">
        <v>165</v>
      </c>
      <c r="IR519" s="19">
        <f>K519*1</f>
        <v>0</v>
      </c>
      <c r="IS519" s="19">
        <f>K519*(1-1)</f>
        <v>0</v>
      </c>
    </row>
    <row r="520" spans="1:253" x14ac:dyDescent="0.25">
      <c r="A520" s="16">
        <v>484</v>
      </c>
      <c r="B520" s="2" t="s">
        <v>456</v>
      </c>
      <c r="C520" s="2" t="s">
        <v>404</v>
      </c>
      <c r="D520" s="83" t="s">
        <v>405</v>
      </c>
      <c r="E520" s="84"/>
      <c r="F520" s="84"/>
      <c r="G520" s="84"/>
      <c r="H520" s="84"/>
      <c r="I520" s="2" t="s">
        <v>45</v>
      </c>
      <c r="J520" s="17"/>
      <c r="K520" s="17"/>
      <c r="L520" s="18">
        <f t="shared" si="34"/>
        <v>0</v>
      </c>
      <c r="HV520" s="2" t="s">
        <v>392</v>
      </c>
      <c r="HW520" s="2" t="s">
        <v>32</v>
      </c>
      <c r="IR520" s="19">
        <f>K520*0</f>
        <v>0</v>
      </c>
      <c r="IS520" s="19">
        <f>K520*(1-0)</f>
        <v>0</v>
      </c>
    </row>
    <row r="521" spans="1:253" x14ac:dyDescent="0.25">
      <c r="A521" s="12" t="s">
        <v>23</v>
      </c>
      <c r="B521" s="13" t="s">
        <v>456</v>
      </c>
      <c r="C521" s="13" t="s">
        <v>406</v>
      </c>
      <c r="D521" s="135" t="s">
        <v>407</v>
      </c>
      <c r="E521" s="136"/>
      <c r="F521" s="136"/>
      <c r="G521" s="136"/>
      <c r="H521" s="136"/>
      <c r="I521" s="13" t="s">
        <v>23</v>
      </c>
      <c r="J521" s="14" t="s">
        <v>23</v>
      </c>
      <c r="K521" s="14"/>
      <c r="L521" s="15">
        <f>SUM(L522:L523)</f>
        <v>0</v>
      </c>
    </row>
    <row r="522" spans="1:253" x14ac:dyDescent="0.25">
      <c r="A522" s="16">
        <v>485</v>
      </c>
      <c r="B522" s="2" t="s">
        <v>456</v>
      </c>
      <c r="C522" s="2" t="s">
        <v>408</v>
      </c>
      <c r="D522" s="83" t="s">
        <v>409</v>
      </c>
      <c r="E522" s="84"/>
      <c r="F522" s="84"/>
      <c r="G522" s="84"/>
      <c r="H522" s="84"/>
      <c r="I522" s="2" t="s">
        <v>354</v>
      </c>
      <c r="J522" s="17">
        <v>4.2</v>
      </c>
      <c r="K522" s="17"/>
      <c r="L522" s="18">
        <f>ROUND(IR522*J522+IS522*J522,2)</f>
        <v>0</v>
      </c>
      <c r="HV522" s="2" t="s">
        <v>406</v>
      </c>
      <c r="HW522" s="2" t="s">
        <v>32</v>
      </c>
      <c r="IR522" s="19">
        <f>K522*0</f>
        <v>0</v>
      </c>
      <c r="IS522" s="19">
        <f>K522*(1-0)</f>
        <v>0</v>
      </c>
    </row>
    <row r="523" spans="1:253" x14ac:dyDescent="0.25">
      <c r="A523" s="16">
        <v>486</v>
      </c>
      <c r="B523" s="2" t="s">
        <v>456</v>
      </c>
      <c r="C523" s="2" t="s">
        <v>410</v>
      </c>
      <c r="D523" s="83" t="s">
        <v>411</v>
      </c>
      <c r="E523" s="84"/>
      <c r="F523" s="84"/>
      <c r="G523" s="84"/>
      <c r="H523" s="84"/>
      <c r="I523" s="2" t="s">
        <v>412</v>
      </c>
      <c r="J523" s="17">
        <v>8</v>
      </c>
      <c r="K523" s="17"/>
      <c r="L523" s="18">
        <f>ROUND(IR523*J523+IS523*J523,2)</f>
        <v>0</v>
      </c>
      <c r="HV523" s="2" t="s">
        <v>406</v>
      </c>
      <c r="HW523" s="2" t="s">
        <v>165</v>
      </c>
      <c r="IR523" s="19">
        <f>K523*1</f>
        <v>0</v>
      </c>
      <c r="IS523" s="19">
        <f>K523*(1-1)</f>
        <v>0</v>
      </c>
    </row>
    <row r="524" spans="1:253" x14ac:dyDescent="0.25">
      <c r="A524" s="12" t="s">
        <v>23</v>
      </c>
      <c r="B524" s="13" t="s">
        <v>456</v>
      </c>
      <c r="C524" s="13" t="s">
        <v>413</v>
      </c>
      <c r="D524" s="135" t="s">
        <v>414</v>
      </c>
      <c r="E524" s="136"/>
      <c r="F524" s="136"/>
      <c r="G524" s="136"/>
      <c r="H524" s="136"/>
      <c r="I524" s="13" t="s">
        <v>23</v>
      </c>
      <c r="J524" s="14" t="s">
        <v>23</v>
      </c>
      <c r="K524" s="14"/>
      <c r="L524" s="15">
        <f>SUM(L525:L525)</f>
        <v>0</v>
      </c>
    </row>
    <row r="525" spans="1:253" x14ac:dyDescent="0.25">
      <c r="A525" s="16">
        <v>487</v>
      </c>
      <c r="B525" s="2" t="s">
        <v>456</v>
      </c>
      <c r="C525" s="2" t="s">
        <v>415</v>
      </c>
      <c r="D525" s="83" t="s">
        <v>416</v>
      </c>
      <c r="E525" s="84"/>
      <c r="F525" s="84"/>
      <c r="G525" s="84"/>
      <c r="H525" s="84"/>
      <c r="I525" s="2" t="s">
        <v>354</v>
      </c>
      <c r="J525" s="17">
        <v>36</v>
      </c>
      <c r="K525" s="17"/>
      <c r="L525" s="18">
        <f>ROUND(IR525*J525+IS525*J525,2)</f>
        <v>0</v>
      </c>
      <c r="HV525" s="2" t="s">
        <v>413</v>
      </c>
      <c r="HW525" s="2" t="s">
        <v>32</v>
      </c>
      <c r="IR525" s="19">
        <f>K525*0.201505646</f>
        <v>0</v>
      </c>
      <c r="IS525" s="19">
        <f>K525*(1-0.201505646)</f>
        <v>0</v>
      </c>
    </row>
    <row r="526" spans="1:253" x14ac:dyDescent="0.25">
      <c r="A526" s="12" t="s">
        <v>23</v>
      </c>
      <c r="B526" s="13" t="s">
        <v>456</v>
      </c>
      <c r="C526" s="13" t="s">
        <v>421</v>
      </c>
      <c r="D526" s="135" t="s">
        <v>422</v>
      </c>
      <c r="E526" s="136"/>
      <c r="F526" s="136"/>
      <c r="G526" s="136"/>
      <c r="H526" s="136"/>
      <c r="I526" s="13" t="s">
        <v>23</v>
      </c>
      <c r="J526" s="14" t="s">
        <v>23</v>
      </c>
      <c r="K526" s="14"/>
      <c r="L526" s="15">
        <f>SUM(L527:L527)</f>
        <v>0</v>
      </c>
    </row>
    <row r="527" spans="1:253" x14ac:dyDescent="0.25">
      <c r="A527" s="16">
        <v>489</v>
      </c>
      <c r="B527" s="2" t="s">
        <v>456</v>
      </c>
      <c r="C527" s="2" t="s">
        <v>423</v>
      </c>
      <c r="D527" s="83" t="s">
        <v>424</v>
      </c>
      <c r="E527" s="84"/>
      <c r="F527" s="84"/>
      <c r="G527" s="84"/>
      <c r="H527" s="84"/>
      <c r="I527" s="2" t="s">
        <v>354</v>
      </c>
      <c r="J527" s="17">
        <v>28.1</v>
      </c>
      <c r="K527" s="17"/>
      <c r="L527" s="18">
        <f>ROUND(IR527*J527+IS527*J527,2)</f>
        <v>0</v>
      </c>
      <c r="HV527" s="2" t="s">
        <v>421</v>
      </c>
      <c r="HW527" s="2" t="s">
        <v>32</v>
      </c>
      <c r="IR527" s="19">
        <f>K527*0.197058824</f>
        <v>0</v>
      </c>
      <c r="IS527" s="19">
        <f>K527*(1-0.197058824)</f>
        <v>0</v>
      </c>
    </row>
    <row r="528" spans="1:253" x14ac:dyDescent="0.25">
      <c r="A528" s="12" t="s">
        <v>23</v>
      </c>
      <c r="B528" s="13" t="s">
        <v>456</v>
      </c>
      <c r="C528" s="13" t="s">
        <v>425</v>
      </c>
      <c r="D528" s="135" t="s">
        <v>426</v>
      </c>
      <c r="E528" s="136"/>
      <c r="F528" s="136"/>
      <c r="G528" s="136"/>
      <c r="H528" s="136"/>
      <c r="I528" s="13" t="s">
        <v>23</v>
      </c>
      <c r="J528" s="14" t="s">
        <v>23</v>
      </c>
      <c r="K528" s="14"/>
      <c r="L528" s="15">
        <f>SUM(L529:L530)</f>
        <v>0</v>
      </c>
    </row>
    <row r="529" spans="1:253" x14ac:dyDescent="0.25">
      <c r="A529" s="16">
        <v>490</v>
      </c>
      <c r="B529" s="2" t="s">
        <v>456</v>
      </c>
      <c r="C529" s="2" t="s">
        <v>427</v>
      </c>
      <c r="D529" s="83" t="s">
        <v>428</v>
      </c>
      <c r="E529" s="84"/>
      <c r="F529" s="84"/>
      <c r="G529" s="84"/>
      <c r="H529" s="84"/>
      <c r="I529" s="2" t="s">
        <v>35</v>
      </c>
      <c r="J529" s="17">
        <v>12</v>
      </c>
      <c r="K529" s="17"/>
      <c r="L529" s="18">
        <f>ROUND(IR529*J529+IS529*J529,2)</f>
        <v>0</v>
      </c>
      <c r="HV529" s="2" t="s">
        <v>425</v>
      </c>
      <c r="HW529" s="2" t="s">
        <v>32</v>
      </c>
      <c r="IR529" s="19">
        <f>K529*0</f>
        <v>0</v>
      </c>
      <c r="IS529" s="19">
        <f>K529*(1-0)</f>
        <v>0</v>
      </c>
    </row>
    <row r="530" spans="1:253" x14ac:dyDescent="0.25">
      <c r="A530" s="16">
        <v>491</v>
      </c>
      <c r="B530" s="2" t="s">
        <v>456</v>
      </c>
      <c r="C530" s="2" t="s">
        <v>429</v>
      </c>
      <c r="D530" s="83" t="s">
        <v>430</v>
      </c>
      <c r="E530" s="84"/>
      <c r="F530" s="84"/>
      <c r="G530" s="84"/>
      <c r="H530" s="84"/>
      <c r="I530" s="2" t="s">
        <v>31</v>
      </c>
      <c r="J530" s="17">
        <v>4.8</v>
      </c>
      <c r="K530" s="17"/>
      <c r="L530" s="18">
        <f>ROUND(IR530*J530+IS530*J530,2)</f>
        <v>0</v>
      </c>
      <c r="HV530" s="2" t="s">
        <v>425</v>
      </c>
      <c r="HW530" s="2" t="s">
        <v>32</v>
      </c>
      <c r="IR530" s="19">
        <f>K530*0.298440895</f>
        <v>0</v>
      </c>
      <c r="IS530" s="19">
        <f>K530*(1-0.298440895)</f>
        <v>0</v>
      </c>
    </row>
    <row r="531" spans="1:253" x14ac:dyDescent="0.25">
      <c r="A531" s="12" t="s">
        <v>23</v>
      </c>
      <c r="B531" s="13" t="s">
        <v>456</v>
      </c>
      <c r="C531" s="13" t="s">
        <v>437</v>
      </c>
      <c r="D531" s="135" t="s">
        <v>438</v>
      </c>
      <c r="E531" s="136"/>
      <c r="F531" s="136"/>
      <c r="G531" s="136"/>
      <c r="H531" s="136"/>
      <c r="I531" s="13" t="s">
        <v>23</v>
      </c>
      <c r="J531" s="14" t="s">
        <v>23</v>
      </c>
      <c r="K531" s="14"/>
      <c r="L531" s="15">
        <f>SUM(L532:L539)</f>
        <v>0</v>
      </c>
    </row>
    <row r="532" spans="1:253" x14ac:dyDescent="0.25">
      <c r="A532" s="16">
        <v>495</v>
      </c>
      <c r="B532" s="2" t="s">
        <v>456</v>
      </c>
      <c r="C532" s="2" t="s">
        <v>439</v>
      </c>
      <c r="D532" s="83" t="s">
        <v>440</v>
      </c>
      <c r="E532" s="84"/>
      <c r="F532" s="84"/>
      <c r="G532" s="84"/>
      <c r="H532" s="84"/>
      <c r="I532" s="2" t="s">
        <v>441</v>
      </c>
      <c r="J532" s="17">
        <v>30</v>
      </c>
      <c r="K532" s="17"/>
      <c r="L532" s="18">
        <f t="shared" ref="L532:L539" si="35">ROUND(IR532*J532+IS532*J532,2)</f>
        <v>0</v>
      </c>
      <c r="HV532" s="2" t="s">
        <v>437</v>
      </c>
      <c r="HW532" s="2" t="s">
        <v>32</v>
      </c>
      <c r="IR532" s="19">
        <f t="shared" ref="IR532:IR539" si="36">K532*0</f>
        <v>0</v>
      </c>
      <c r="IS532" s="19">
        <f t="shared" ref="IS532:IS539" si="37">K532*(1-0)</f>
        <v>0</v>
      </c>
    </row>
    <row r="533" spans="1:253" x14ac:dyDescent="0.25">
      <c r="A533" s="16">
        <v>496</v>
      </c>
      <c r="B533" s="2" t="s">
        <v>456</v>
      </c>
      <c r="C533" s="2" t="s">
        <v>442</v>
      </c>
      <c r="D533" s="83" t="s">
        <v>443</v>
      </c>
      <c r="E533" s="84"/>
      <c r="F533" s="84"/>
      <c r="G533" s="84"/>
      <c r="H533" s="84"/>
      <c r="I533" s="2" t="s">
        <v>88</v>
      </c>
      <c r="J533" s="17">
        <v>4.5</v>
      </c>
      <c r="K533" s="17"/>
      <c r="L533" s="18">
        <f t="shared" si="35"/>
        <v>0</v>
      </c>
      <c r="HV533" s="2" t="s">
        <v>437</v>
      </c>
      <c r="HW533" s="2" t="s">
        <v>32</v>
      </c>
      <c r="IR533" s="19">
        <f t="shared" si="36"/>
        <v>0</v>
      </c>
      <c r="IS533" s="19">
        <f t="shared" si="37"/>
        <v>0</v>
      </c>
    </row>
    <row r="534" spans="1:253" x14ac:dyDescent="0.25">
      <c r="A534" s="16">
        <v>497</v>
      </c>
      <c r="B534" s="2" t="s">
        <v>456</v>
      </c>
      <c r="C534" s="2" t="s">
        <v>444</v>
      </c>
      <c r="D534" s="83" t="s">
        <v>445</v>
      </c>
      <c r="E534" s="84"/>
      <c r="F534" s="84"/>
      <c r="G534" s="84"/>
      <c r="H534" s="84"/>
      <c r="I534" s="2" t="s">
        <v>88</v>
      </c>
      <c r="J534" s="17">
        <v>4.5</v>
      </c>
      <c r="K534" s="17"/>
      <c r="L534" s="18">
        <f t="shared" si="35"/>
        <v>0</v>
      </c>
      <c r="HV534" s="2" t="s">
        <v>437</v>
      </c>
      <c r="HW534" s="2" t="s">
        <v>32</v>
      </c>
      <c r="IR534" s="19">
        <f t="shared" si="36"/>
        <v>0</v>
      </c>
      <c r="IS534" s="19">
        <f t="shared" si="37"/>
        <v>0</v>
      </c>
    </row>
    <row r="535" spans="1:253" x14ac:dyDescent="0.25">
      <c r="A535" s="16">
        <v>498</v>
      </c>
      <c r="B535" s="2" t="s">
        <v>456</v>
      </c>
      <c r="C535" s="2" t="s">
        <v>446</v>
      </c>
      <c r="D535" s="83" t="s">
        <v>447</v>
      </c>
      <c r="E535" s="84"/>
      <c r="F535" s="84"/>
      <c r="G535" s="84"/>
      <c r="H535" s="84"/>
      <c r="I535" s="2" t="s">
        <v>88</v>
      </c>
      <c r="J535" s="17">
        <v>4.5</v>
      </c>
      <c r="K535" s="17"/>
      <c r="L535" s="18">
        <f t="shared" si="35"/>
        <v>0</v>
      </c>
      <c r="HV535" s="2" t="s">
        <v>437</v>
      </c>
      <c r="HW535" s="2" t="s">
        <v>32</v>
      </c>
      <c r="IR535" s="19">
        <f t="shared" si="36"/>
        <v>0</v>
      </c>
      <c r="IS535" s="19">
        <f t="shared" si="37"/>
        <v>0</v>
      </c>
    </row>
    <row r="536" spans="1:253" x14ac:dyDescent="0.25">
      <c r="A536" s="16">
        <v>499</v>
      </c>
      <c r="B536" s="2" t="s">
        <v>456</v>
      </c>
      <c r="C536" s="2" t="s">
        <v>448</v>
      </c>
      <c r="D536" s="83" t="s">
        <v>449</v>
      </c>
      <c r="E536" s="84"/>
      <c r="F536" s="84"/>
      <c r="G536" s="84"/>
      <c r="H536" s="84"/>
      <c r="I536" s="2" t="s">
        <v>88</v>
      </c>
      <c r="J536" s="17">
        <v>4.5</v>
      </c>
      <c r="K536" s="17"/>
      <c r="L536" s="18">
        <f t="shared" si="35"/>
        <v>0</v>
      </c>
      <c r="HV536" s="2" t="s">
        <v>437</v>
      </c>
      <c r="HW536" s="2" t="s">
        <v>32</v>
      </c>
      <c r="IR536" s="19">
        <f t="shared" si="36"/>
        <v>0</v>
      </c>
      <c r="IS536" s="19">
        <f t="shared" si="37"/>
        <v>0</v>
      </c>
    </row>
    <row r="537" spans="1:253" x14ac:dyDescent="0.25">
      <c r="A537" s="16">
        <v>500</v>
      </c>
      <c r="B537" s="2" t="s">
        <v>456</v>
      </c>
      <c r="C537" s="2" t="s">
        <v>450</v>
      </c>
      <c r="D537" s="83" t="s">
        <v>451</v>
      </c>
      <c r="E537" s="84"/>
      <c r="F537" s="84"/>
      <c r="G537" s="84"/>
      <c r="H537" s="84"/>
      <c r="I537" s="2" t="s">
        <v>88</v>
      </c>
      <c r="J537" s="17">
        <v>45</v>
      </c>
      <c r="K537" s="17"/>
      <c r="L537" s="18">
        <f t="shared" si="35"/>
        <v>0</v>
      </c>
      <c r="HV537" s="2" t="s">
        <v>437</v>
      </c>
      <c r="HW537" s="2" t="s">
        <v>32</v>
      </c>
      <c r="IR537" s="19">
        <f t="shared" si="36"/>
        <v>0</v>
      </c>
      <c r="IS537" s="19">
        <f t="shared" si="37"/>
        <v>0</v>
      </c>
    </row>
    <row r="538" spans="1:253" x14ac:dyDescent="0.25">
      <c r="A538" s="16">
        <v>501</v>
      </c>
      <c r="B538" s="2" t="s">
        <v>456</v>
      </c>
      <c r="C538" s="2" t="s">
        <v>452</v>
      </c>
      <c r="D538" s="83" t="s">
        <v>453</v>
      </c>
      <c r="E538" s="84"/>
      <c r="F538" s="84"/>
      <c r="G538" s="84"/>
      <c r="H538" s="84"/>
      <c r="I538" s="2" t="s">
        <v>88</v>
      </c>
      <c r="J538" s="17">
        <v>4.2</v>
      </c>
      <c r="K538" s="17"/>
      <c r="L538" s="18">
        <f t="shared" si="35"/>
        <v>0</v>
      </c>
      <c r="HV538" s="2" t="s">
        <v>437</v>
      </c>
      <c r="HW538" s="2" t="s">
        <v>32</v>
      </c>
      <c r="IR538" s="19">
        <f t="shared" si="36"/>
        <v>0</v>
      </c>
      <c r="IS538" s="19">
        <f t="shared" si="37"/>
        <v>0</v>
      </c>
    </row>
    <row r="539" spans="1:253" x14ac:dyDescent="0.25">
      <c r="A539" s="16">
        <v>502</v>
      </c>
      <c r="B539" s="2" t="s">
        <v>456</v>
      </c>
      <c r="C539" s="2" t="s">
        <v>454</v>
      </c>
      <c r="D539" s="83" t="s">
        <v>455</v>
      </c>
      <c r="E539" s="84"/>
      <c r="F539" s="84"/>
      <c r="G539" s="84"/>
      <c r="H539" s="84"/>
      <c r="I539" s="2" t="s">
        <v>88</v>
      </c>
      <c r="J539" s="17">
        <v>0.3</v>
      </c>
      <c r="K539" s="17"/>
      <c r="L539" s="18">
        <f t="shared" si="35"/>
        <v>0</v>
      </c>
      <c r="HV539" s="2" t="s">
        <v>437</v>
      </c>
      <c r="HW539" s="2" t="s">
        <v>32</v>
      </c>
      <c r="IR539" s="19">
        <f t="shared" si="36"/>
        <v>0</v>
      </c>
      <c r="IS539" s="19">
        <f t="shared" si="37"/>
        <v>0</v>
      </c>
    </row>
    <row r="540" spans="1:253" x14ac:dyDescent="0.25">
      <c r="A540" s="12" t="s">
        <v>23</v>
      </c>
      <c r="B540" s="13" t="s">
        <v>458</v>
      </c>
      <c r="C540" s="13" t="s">
        <v>25</v>
      </c>
      <c r="D540" s="135" t="s">
        <v>459</v>
      </c>
      <c r="E540" s="136"/>
      <c r="F540" s="136"/>
      <c r="G540" s="136"/>
      <c r="H540" s="136"/>
      <c r="I540" s="13" t="s">
        <v>23</v>
      </c>
      <c r="J540" s="14" t="s">
        <v>23</v>
      </c>
      <c r="K540" s="14"/>
      <c r="L540" s="15" t="e">
        <f>L541+L549+L553+L557+L559+L567+L572+L575+#REF!+L577+L579+L582</f>
        <v>#REF!</v>
      </c>
    </row>
    <row r="541" spans="1:253" x14ac:dyDescent="0.25">
      <c r="A541" s="12" t="s">
        <v>23</v>
      </c>
      <c r="B541" s="13" t="s">
        <v>458</v>
      </c>
      <c r="C541" s="13" t="s">
        <v>340</v>
      </c>
      <c r="D541" s="135" t="s">
        <v>341</v>
      </c>
      <c r="E541" s="136"/>
      <c r="F541" s="136"/>
      <c r="G541" s="136"/>
      <c r="H541" s="136"/>
      <c r="I541" s="13" t="s">
        <v>23</v>
      </c>
      <c r="J541" s="14" t="s">
        <v>23</v>
      </c>
      <c r="K541" s="14"/>
      <c r="L541" s="15">
        <f>SUM(L542:L548)</f>
        <v>0</v>
      </c>
    </row>
    <row r="542" spans="1:253" x14ac:dyDescent="0.25">
      <c r="A542" s="16">
        <v>503</v>
      </c>
      <c r="B542" s="2" t="s">
        <v>458</v>
      </c>
      <c r="C542" s="2" t="s">
        <v>342</v>
      </c>
      <c r="D542" s="83" t="s">
        <v>343</v>
      </c>
      <c r="E542" s="84"/>
      <c r="F542" s="84"/>
      <c r="G542" s="84"/>
      <c r="H542" s="84"/>
      <c r="I542" s="2" t="s">
        <v>40</v>
      </c>
      <c r="J542" s="17">
        <v>12</v>
      </c>
      <c r="K542" s="17"/>
      <c r="L542" s="18">
        <f t="shared" ref="L542:L548" si="38">ROUND(IR542*J542+IS542*J542,2)</f>
        <v>0</v>
      </c>
      <c r="HV542" s="2" t="s">
        <v>340</v>
      </c>
      <c r="HW542" s="2" t="s">
        <v>32</v>
      </c>
      <c r="IR542" s="19">
        <f>K542*0</f>
        <v>0</v>
      </c>
      <c r="IS542" s="19">
        <f>K542*(1-0)</f>
        <v>0</v>
      </c>
    </row>
    <row r="543" spans="1:253" x14ac:dyDescent="0.25">
      <c r="A543" s="16">
        <v>504</v>
      </c>
      <c r="B543" s="2" t="s">
        <v>458</v>
      </c>
      <c r="C543" s="2" t="s">
        <v>344</v>
      </c>
      <c r="D543" s="83" t="s">
        <v>345</v>
      </c>
      <c r="E543" s="84"/>
      <c r="F543" s="84"/>
      <c r="G543" s="84"/>
      <c r="H543" s="84"/>
      <c r="I543" s="2" t="s">
        <v>40</v>
      </c>
      <c r="J543" s="17">
        <v>12</v>
      </c>
      <c r="K543" s="17"/>
      <c r="L543" s="18">
        <f t="shared" si="38"/>
        <v>0</v>
      </c>
      <c r="HV543" s="2" t="s">
        <v>340</v>
      </c>
      <c r="HW543" s="2" t="s">
        <v>32</v>
      </c>
      <c r="IR543" s="19">
        <f>K543*0</f>
        <v>0</v>
      </c>
      <c r="IS543" s="19">
        <f>K543*(1-0)</f>
        <v>0</v>
      </c>
    </row>
    <row r="544" spans="1:253" x14ac:dyDescent="0.25">
      <c r="A544" s="16">
        <v>505</v>
      </c>
      <c r="B544" s="2" t="s">
        <v>458</v>
      </c>
      <c r="C544" s="2" t="s">
        <v>346</v>
      </c>
      <c r="D544" s="83" t="s">
        <v>347</v>
      </c>
      <c r="E544" s="84"/>
      <c r="F544" s="84"/>
      <c r="G544" s="84"/>
      <c r="H544" s="84"/>
      <c r="I544" s="2" t="s">
        <v>35</v>
      </c>
      <c r="J544" s="17">
        <v>12</v>
      </c>
      <c r="K544" s="17"/>
      <c r="L544" s="18">
        <f t="shared" si="38"/>
        <v>0</v>
      </c>
      <c r="HV544" s="2" t="s">
        <v>340</v>
      </c>
      <c r="HW544" s="2" t="s">
        <v>165</v>
      </c>
      <c r="IR544" s="19">
        <f>K544*1</f>
        <v>0</v>
      </c>
      <c r="IS544" s="19">
        <f>K544*(1-1)</f>
        <v>0</v>
      </c>
    </row>
    <row r="545" spans="1:253" x14ac:dyDescent="0.25">
      <c r="A545" s="16">
        <v>506</v>
      </c>
      <c r="B545" s="2" t="s">
        <v>458</v>
      </c>
      <c r="C545" s="2" t="s">
        <v>348</v>
      </c>
      <c r="D545" s="83" t="s">
        <v>349</v>
      </c>
      <c r="E545" s="84"/>
      <c r="F545" s="84"/>
      <c r="G545" s="84"/>
      <c r="H545" s="84"/>
      <c r="I545" s="2" t="s">
        <v>35</v>
      </c>
      <c r="J545" s="17">
        <v>12</v>
      </c>
      <c r="K545" s="17"/>
      <c r="L545" s="18">
        <f t="shared" si="38"/>
        <v>0</v>
      </c>
      <c r="HV545" s="2" t="s">
        <v>340</v>
      </c>
      <c r="HW545" s="2" t="s">
        <v>32</v>
      </c>
      <c r="IR545" s="19">
        <f>K545*0.022540953</f>
        <v>0</v>
      </c>
      <c r="IS545" s="19">
        <f>K545*(1-0.022540953)</f>
        <v>0</v>
      </c>
    </row>
    <row r="546" spans="1:253" x14ac:dyDescent="0.25">
      <c r="A546" s="16">
        <v>507</v>
      </c>
      <c r="B546" s="2" t="s">
        <v>458</v>
      </c>
      <c r="C546" s="2" t="s">
        <v>350</v>
      </c>
      <c r="D546" s="83" t="s">
        <v>351</v>
      </c>
      <c r="E546" s="84"/>
      <c r="F546" s="84"/>
      <c r="G546" s="84"/>
      <c r="H546" s="84"/>
      <c r="I546" s="2" t="s">
        <v>35</v>
      </c>
      <c r="J546" s="17">
        <v>12</v>
      </c>
      <c r="K546" s="17"/>
      <c r="L546" s="18">
        <f t="shared" si="38"/>
        <v>0</v>
      </c>
      <c r="HV546" s="2" t="s">
        <v>340</v>
      </c>
      <c r="HW546" s="2" t="s">
        <v>165</v>
      </c>
      <c r="IR546" s="19">
        <f>K546*1</f>
        <v>0</v>
      </c>
      <c r="IS546" s="19">
        <f>K546*(1-1)</f>
        <v>0</v>
      </c>
    </row>
    <row r="547" spans="1:253" x14ac:dyDescent="0.25">
      <c r="A547" s="16">
        <v>508</v>
      </c>
      <c r="B547" s="2" t="s">
        <v>458</v>
      </c>
      <c r="C547" s="2" t="s">
        <v>352</v>
      </c>
      <c r="D547" s="83" t="s">
        <v>353</v>
      </c>
      <c r="E547" s="84"/>
      <c r="F547" s="84"/>
      <c r="G547" s="84"/>
      <c r="H547" s="84"/>
      <c r="I547" s="2" t="s">
        <v>354</v>
      </c>
      <c r="J547" s="17">
        <v>1.2</v>
      </c>
      <c r="K547" s="17"/>
      <c r="L547" s="18">
        <f t="shared" si="38"/>
        <v>0</v>
      </c>
      <c r="HV547" s="2" t="s">
        <v>340</v>
      </c>
      <c r="HW547" s="2" t="s">
        <v>32</v>
      </c>
      <c r="IR547" s="19">
        <f>K547*0.488714499</f>
        <v>0</v>
      </c>
      <c r="IS547" s="19">
        <f>K547*(1-0.488714499)</f>
        <v>0</v>
      </c>
    </row>
    <row r="548" spans="1:253" x14ac:dyDescent="0.25">
      <c r="A548" s="16">
        <v>509</v>
      </c>
      <c r="B548" s="2" t="s">
        <v>458</v>
      </c>
      <c r="C548" s="2" t="s">
        <v>355</v>
      </c>
      <c r="D548" s="83" t="s">
        <v>356</v>
      </c>
      <c r="E548" s="84"/>
      <c r="F548" s="84"/>
      <c r="G548" s="84"/>
      <c r="H548" s="84"/>
      <c r="I548" s="2" t="s">
        <v>88</v>
      </c>
      <c r="J548" s="17">
        <v>0.6</v>
      </c>
      <c r="K548" s="17"/>
      <c r="L548" s="18">
        <f t="shared" si="38"/>
        <v>0</v>
      </c>
      <c r="HV548" s="2" t="s">
        <v>340</v>
      </c>
      <c r="HW548" s="2" t="s">
        <v>32</v>
      </c>
      <c r="IR548" s="19">
        <f>K548*0</f>
        <v>0</v>
      </c>
      <c r="IS548" s="19">
        <f>K548*(1-0)</f>
        <v>0</v>
      </c>
    </row>
    <row r="549" spans="1:253" x14ac:dyDescent="0.25">
      <c r="A549" s="12" t="s">
        <v>23</v>
      </c>
      <c r="B549" s="13" t="s">
        <v>458</v>
      </c>
      <c r="C549" s="13" t="s">
        <v>357</v>
      </c>
      <c r="D549" s="135" t="s">
        <v>358</v>
      </c>
      <c r="E549" s="136"/>
      <c r="F549" s="136"/>
      <c r="G549" s="136"/>
      <c r="H549" s="136"/>
      <c r="I549" s="13" t="s">
        <v>23</v>
      </c>
      <c r="J549" s="14" t="s">
        <v>23</v>
      </c>
      <c r="K549" s="14"/>
      <c r="L549" s="15">
        <f>SUM(L550:L552)</f>
        <v>0</v>
      </c>
    </row>
    <row r="550" spans="1:253" x14ac:dyDescent="0.25">
      <c r="A550" s="16">
        <v>510</v>
      </c>
      <c r="B550" s="2" t="s">
        <v>458</v>
      </c>
      <c r="C550" s="2" t="s">
        <v>359</v>
      </c>
      <c r="D550" s="83" t="s">
        <v>360</v>
      </c>
      <c r="E550" s="84"/>
      <c r="F550" s="84"/>
      <c r="G550" s="84"/>
      <c r="H550" s="84"/>
      <c r="I550" s="2" t="s">
        <v>35</v>
      </c>
      <c r="J550" s="17">
        <v>16</v>
      </c>
      <c r="K550" s="17"/>
      <c r="L550" s="18">
        <f>ROUND(IR550*J550+IS550*J550,2)</f>
        <v>0</v>
      </c>
      <c r="HV550" s="2" t="s">
        <v>357</v>
      </c>
      <c r="HW550" s="2" t="s">
        <v>32</v>
      </c>
      <c r="IR550" s="19">
        <f>K550*0.310217028</f>
        <v>0</v>
      </c>
      <c r="IS550" s="19">
        <f>K550*(1-0.310217028)</f>
        <v>0</v>
      </c>
    </row>
    <row r="551" spans="1:253" x14ac:dyDescent="0.25">
      <c r="A551" s="16">
        <v>511</v>
      </c>
      <c r="B551" s="2" t="s">
        <v>458</v>
      </c>
      <c r="C551" s="2" t="s">
        <v>361</v>
      </c>
      <c r="D551" s="83" t="s">
        <v>362</v>
      </c>
      <c r="E551" s="84"/>
      <c r="F551" s="84"/>
      <c r="G551" s="84"/>
      <c r="H551" s="84"/>
      <c r="I551" s="2" t="s">
        <v>35</v>
      </c>
      <c r="J551" s="17">
        <v>16</v>
      </c>
      <c r="K551" s="17"/>
      <c r="L551" s="18">
        <f>ROUND(IR551*J551+IS551*J551,2)</f>
        <v>0</v>
      </c>
      <c r="HV551" s="2" t="s">
        <v>357</v>
      </c>
      <c r="HW551" s="2" t="s">
        <v>32</v>
      </c>
      <c r="IR551" s="19">
        <f>K551*0.127201817</f>
        <v>0</v>
      </c>
      <c r="IS551" s="19">
        <f>K551*(1-0.127201817)</f>
        <v>0</v>
      </c>
    </row>
    <row r="552" spans="1:253" x14ac:dyDescent="0.25">
      <c r="A552" s="16">
        <v>512</v>
      </c>
      <c r="B552" s="2" t="s">
        <v>458</v>
      </c>
      <c r="C552" s="2" t="s">
        <v>355</v>
      </c>
      <c r="D552" s="83" t="s">
        <v>356</v>
      </c>
      <c r="E552" s="84"/>
      <c r="F552" s="84"/>
      <c r="G552" s="84"/>
      <c r="H552" s="84"/>
      <c r="I552" s="2" t="s">
        <v>88</v>
      </c>
      <c r="J552" s="17">
        <v>1</v>
      </c>
      <c r="K552" s="17"/>
      <c r="L552" s="18">
        <f>ROUND(IR552*J552+IS552*J552,2)</f>
        <v>0</v>
      </c>
      <c r="HV552" s="2" t="s">
        <v>357</v>
      </c>
      <c r="HW552" s="2" t="s">
        <v>32</v>
      </c>
      <c r="IR552" s="19">
        <f>K552*0</f>
        <v>0</v>
      </c>
      <c r="IS552" s="19">
        <f>K552*(1-0)</f>
        <v>0</v>
      </c>
    </row>
    <row r="553" spans="1:253" x14ac:dyDescent="0.25">
      <c r="A553" s="12" t="s">
        <v>23</v>
      </c>
      <c r="B553" s="13" t="s">
        <v>458</v>
      </c>
      <c r="C553" s="13" t="s">
        <v>363</v>
      </c>
      <c r="D553" s="135" t="s">
        <v>364</v>
      </c>
      <c r="E553" s="136"/>
      <c r="F553" s="136"/>
      <c r="G553" s="136"/>
      <c r="H553" s="136"/>
      <c r="I553" s="13" t="s">
        <v>23</v>
      </c>
      <c r="J553" s="14" t="s">
        <v>23</v>
      </c>
      <c r="K553" s="14"/>
      <c r="L553" s="15">
        <f>SUM(L554:L556)</f>
        <v>0</v>
      </c>
    </row>
    <row r="554" spans="1:253" x14ac:dyDescent="0.25">
      <c r="A554" s="16">
        <v>513</v>
      </c>
      <c r="B554" s="2" t="s">
        <v>458</v>
      </c>
      <c r="C554" s="2" t="s">
        <v>365</v>
      </c>
      <c r="D554" s="83" t="s">
        <v>366</v>
      </c>
      <c r="E554" s="84"/>
      <c r="F554" s="84"/>
      <c r="G554" s="84"/>
      <c r="H554" s="84"/>
      <c r="I554" s="2" t="s">
        <v>354</v>
      </c>
      <c r="J554" s="17">
        <v>4</v>
      </c>
      <c r="K554" s="17"/>
      <c r="L554" s="18">
        <f>ROUND(IR554*J554+IS554*J554,2)</f>
        <v>0</v>
      </c>
      <c r="HV554" s="2" t="s">
        <v>363</v>
      </c>
      <c r="HW554" s="2" t="s">
        <v>32</v>
      </c>
      <c r="IR554" s="19">
        <f>K554*0.55103125</f>
        <v>0</v>
      </c>
      <c r="IS554" s="19">
        <f>K554*(1-0.55103125)</f>
        <v>0</v>
      </c>
    </row>
    <row r="555" spans="1:253" x14ac:dyDescent="0.25">
      <c r="A555" s="16">
        <v>514</v>
      </c>
      <c r="B555" s="2" t="s">
        <v>458</v>
      </c>
      <c r="C555" s="2" t="s">
        <v>369</v>
      </c>
      <c r="D555" s="83" t="s">
        <v>370</v>
      </c>
      <c r="E555" s="84"/>
      <c r="F555" s="84"/>
      <c r="G555" s="84"/>
      <c r="H555" s="84"/>
      <c r="I555" s="2" t="s">
        <v>45</v>
      </c>
      <c r="J555" s="17"/>
      <c r="K555" s="17"/>
      <c r="L555" s="18">
        <f>ROUND(IR555*J555+IS555*J555,2)</f>
        <v>0</v>
      </c>
      <c r="HV555" s="2" t="s">
        <v>363</v>
      </c>
      <c r="HW555" s="2" t="s">
        <v>32</v>
      </c>
      <c r="IR555" s="19">
        <f>K555*0</f>
        <v>0</v>
      </c>
      <c r="IS555" s="19">
        <f>K555*(1-0)</f>
        <v>0</v>
      </c>
    </row>
    <row r="556" spans="1:253" x14ac:dyDescent="0.25">
      <c r="A556" s="16">
        <v>515</v>
      </c>
      <c r="B556" s="2" t="s">
        <v>458</v>
      </c>
      <c r="C556" s="2" t="s">
        <v>367</v>
      </c>
      <c r="D556" s="83" t="s">
        <v>368</v>
      </c>
      <c r="E556" s="84"/>
      <c r="F556" s="84"/>
      <c r="G556" s="84"/>
      <c r="H556" s="84"/>
      <c r="I556" s="2" t="s">
        <v>354</v>
      </c>
      <c r="J556" s="17">
        <v>4</v>
      </c>
      <c r="K556" s="17"/>
      <c r="L556" s="18">
        <f>ROUND(IR556*J556+IS556*J556,2)</f>
        <v>0</v>
      </c>
      <c r="HV556" s="2" t="s">
        <v>363</v>
      </c>
      <c r="HW556" s="2" t="s">
        <v>165</v>
      </c>
      <c r="IR556" s="19">
        <f>K556*1</f>
        <v>0</v>
      </c>
      <c r="IS556" s="19">
        <f>K556*(1-1)</f>
        <v>0</v>
      </c>
    </row>
    <row r="557" spans="1:253" x14ac:dyDescent="0.25">
      <c r="A557" s="12" t="s">
        <v>23</v>
      </c>
      <c r="B557" s="13" t="s">
        <v>458</v>
      </c>
      <c r="C557" s="13" t="s">
        <v>371</v>
      </c>
      <c r="D557" s="135" t="s">
        <v>372</v>
      </c>
      <c r="E557" s="136"/>
      <c r="F557" s="136"/>
      <c r="G557" s="136"/>
      <c r="H557" s="136"/>
      <c r="I557" s="13" t="s">
        <v>23</v>
      </c>
      <c r="J557" s="14" t="s">
        <v>23</v>
      </c>
      <c r="K557" s="14"/>
      <c r="L557" s="15">
        <f>SUM(L558:L558)</f>
        <v>0</v>
      </c>
    </row>
    <row r="558" spans="1:253" x14ac:dyDescent="0.25">
      <c r="A558" s="16">
        <v>516</v>
      </c>
      <c r="B558" s="2" t="s">
        <v>458</v>
      </c>
      <c r="C558" s="2" t="s">
        <v>373</v>
      </c>
      <c r="D558" s="83" t="s">
        <v>374</v>
      </c>
      <c r="E558" s="84"/>
      <c r="F558" s="84"/>
      <c r="G558" s="84"/>
      <c r="H558" s="84"/>
      <c r="I558" s="2" t="s">
        <v>40</v>
      </c>
      <c r="J558" s="17">
        <v>7</v>
      </c>
      <c r="K558" s="17"/>
      <c r="L558" s="18">
        <f>ROUND(IR558*J558+IS558*J558,2)</f>
        <v>0</v>
      </c>
      <c r="HV558" s="2" t="s">
        <v>371</v>
      </c>
      <c r="HW558" s="2" t="s">
        <v>32</v>
      </c>
      <c r="IR558" s="19">
        <f>K558*0.5</f>
        <v>0</v>
      </c>
      <c r="IS558" s="19">
        <f>K558*(1-0.5)</f>
        <v>0</v>
      </c>
    </row>
    <row r="559" spans="1:253" x14ac:dyDescent="0.25">
      <c r="A559" s="12" t="s">
        <v>23</v>
      </c>
      <c r="B559" s="13" t="s">
        <v>458</v>
      </c>
      <c r="C559" s="13" t="s">
        <v>375</v>
      </c>
      <c r="D559" s="135" t="s">
        <v>376</v>
      </c>
      <c r="E559" s="136"/>
      <c r="F559" s="136"/>
      <c r="G559" s="136"/>
      <c r="H559" s="136"/>
      <c r="I559" s="13" t="s">
        <v>23</v>
      </c>
      <c r="J559" s="14" t="s">
        <v>23</v>
      </c>
      <c r="K559" s="14"/>
      <c r="L559" s="15">
        <f>SUM(L560:L566)</f>
        <v>0</v>
      </c>
    </row>
    <row r="560" spans="1:253" x14ac:dyDescent="0.25">
      <c r="A560" s="16">
        <v>517</v>
      </c>
      <c r="B560" s="2" t="s">
        <v>458</v>
      </c>
      <c r="C560" s="2" t="s">
        <v>377</v>
      </c>
      <c r="D560" s="83" t="s">
        <v>378</v>
      </c>
      <c r="E560" s="84"/>
      <c r="F560" s="84"/>
      <c r="G560" s="84"/>
      <c r="H560" s="84"/>
      <c r="I560" s="2" t="s">
        <v>379</v>
      </c>
      <c r="J560" s="17">
        <v>48</v>
      </c>
      <c r="K560" s="17"/>
      <c r="L560" s="18">
        <f t="shared" ref="L560:L566" si="39">ROUND(IR560*J560+IS560*J560,2)</f>
        <v>0</v>
      </c>
      <c r="HV560" s="2" t="s">
        <v>375</v>
      </c>
      <c r="HW560" s="2" t="s">
        <v>32</v>
      </c>
      <c r="IR560" s="19">
        <f>K560*0.425441941</f>
        <v>0</v>
      </c>
      <c r="IS560" s="19">
        <f>K560*(1-0.425441941)</f>
        <v>0</v>
      </c>
    </row>
    <row r="561" spans="1:253" x14ac:dyDescent="0.25">
      <c r="A561" s="16">
        <v>518</v>
      </c>
      <c r="B561" s="2" t="s">
        <v>458</v>
      </c>
      <c r="C561" s="2" t="s">
        <v>380</v>
      </c>
      <c r="D561" s="83" t="s">
        <v>381</v>
      </c>
      <c r="E561" s="84"/>
      <c r="F561" s="84"/>
      <c r="G561" s="84"/>
      <c r="H561" s="84"/>
      <c r="I561" s="2" t="s">
        <v>35</v>
      </c>
      <c r="J561" s="17">
        <v>24</v>
      </c>
      <c r="K561" s="17"/>
      <c r="L561" s="18">
        <f t="shared" si="39"/>
        <v>0</v>
      </c>
      <c r="HV561" s="2" t="s">
        <v>375</v>
      </c>
      <c r="HW561" s="2" t="s">
        <v>165</v>
      </c>
      <c r="IR561" s="19">
        <f>K561*1</f>
        <v>0</v>
      </c>
      <c r="IS561" s="19">
        <f>K561*(1-1)</f>
        <v>0</v>
      </c>
    </row>
    <row r="562" spans="1:253" x14ac:dyDescent="0.25">
      <c r="A562" s="16">
        <v>519</v>
      </c>
      <c r="B562" s="2" t="s">
        <v>458</v>
      </c>
      <c r="C562" s="2" t="s">
        <v>382</v>
      </c>
      <c r="D562" s="83" t="s">
        <v>383</v>
      </c>
      <c r="E562" s="84"/>
      <c r="F562" s="84"/>
      <c r="G562" s="84"/>
      <c r="H562" s="84"/>
      <c r="I562" s="2" t="s">
        <v>35</v>
      </c>
      <c r="J562" s="17">
        <v>48</v>
      </c>
      <c r="K562" s="17"/>
      <c r="L562" s="18">
        <f t="shared" si="39"/>
        <v>0</v>
      </c>
      <c r="HV562" s="2" t="s">
        <v>375</v>
      </c>
      <c r="HW562" s="2" t="s">
        <v>165</v>
      </c>
      <c r="IR562" s="19">
        <f>K562*1</f>
        <v>0</v>
      </c>
      <c r="IS562" s="19">
        <f>K562*(1-1)</f>
        <v>0</v>
      </c>
    </row>
    <row r="563" spans="1:253" x14ac:dyDescent="0.25">
      <c r="A563" s="16">
        <v>520</v>
      </c>
      <c r="B563" s="2" t="s">
        <v>458</v>
      </c>
      <c r="C563" s="2" t="s">
        <v>384</v>
      </c>
      <c r="D563" s="83" t="s">
        <v>385</v>
      </c>
      <c r="E563" s="84"/>
      <c r="F563" s="84"/>
      <c r="G563" s="84"/>
      <c r="H563" s="84"/>
      <c r="I563" s="2" t="s">
        <v>354</v>
      </c>
      <c r="J563" s="17">
        <v>15.6</v>
      </c>
      <c r="K563" s="17"/>
      <c r="L563" s="18">
        <f t="shared" si="39"/>
        <v>0</v>
      </c>
      <c r="HV563" s="2" t="s">
        <v>375</v>
      </c>
      <c r="HW563" s="2" t="s">
        <v>32</v>
      </c>
      <c r="IR563" s="19">
        <f>K563*0</f>
        <v>0</v>
      </c>
      <c r="IS563" s="19">
        <f>K563*(1-0)</f>
        <v>0</v>
      </c>
    </row>
    <row r="564" spans="1:253" x14ac:dyDescent="0.25">
      <c r="A564" s="16">
        <v>521</v>
      </c>
      <c r="B564" s="2" t="s">
        <v>458</v>
      </c>
      <c r="C564" s="2" t="s">
        <v>386</v>
      </c>
      <c r="D564" s="83" t="s">
        <v>387</v>
      </c>
      <c r="E564" s="84"/>
      <c r="F564" s="84"/>
      <c r="G564" s="84"/>
      <c r="H564" s="84"/>
      <c r="I564" s="2" t="s">
        <v>354</v>
      </c>
      <c r="J564" s="17">
        <v>15.6</v>
      </c>
      <c r="K564" s="17"/>
      <c r="L564" s="18">
        <f t="shared" si="39"/>
        <v>0</v>
      </c>
      <c r="HV564" s="2" t="s">
        <v>375</v>
      </c>
      <c r="HW564" s="2" t="s">
        <v>32</v>
      </c>
      <c r="IR564" s="19">
        <f>K564*0.336810431</f>
        <v>0</v>
      </c>
      <c r="IS564" s="19">
        <f>K564*(1-0.336810431)</f>
        <v>0</v>
      </c>
    </row>
    <row r="565" spans="1:253" x14ac:dyDescent="0.25">
      <c r="A565" s="16">
        <v>522</v>
      </c>
      <c r="B565" s="2" t="s">
        <v>458</v>
      </c>
      <c r="C565" s="2" t="s">
        <v>388</v>
      </c>
      <c r="D565" s="83" t="s">
        <v>389</v>
      </c>
      <c r="E565" s="84"/>
      <c r="F565" s="84"/>
      <c r="G565" s="84"/>
      <c r="H565" s="84"/>
      <c r="I565" s="2" t="s">
        <v>354</v>
      </c>
      <c r="J565" s="17">
        <v>15.6</v>
      </c>
      <c r="K565" s="17"/>
      <c r="L565" s="18">
        <f t="shared" si="39"/>
        <v>0</v>
      </c>
      <c r="HV565" s="2" t="s">
        <v>375</v>
      </c>
      <c r="HW565" s="2" t="s">
        <v>32</v>
      </c>
      <c r="IR565" s="19">
        <f>K565*0.658987486</f>
        <v>0</v>
      </c>
      <c r="IS565" s="19">
        <f>K565*(1-0.658987486)</f>
        <v>0</v>
      </c>
    </row>
    <row r="566" spans="1:253" x14ac:dyDescent="0.25">
      <c r="A566" s="16">
        <v>523</v>
      </c>
      <c r="B566" s="2" t="s">
        <v>458</v>
      </c>
      <c r="C566" s="2" t="s">
        <v>390</v>
      </c>
      <c r="D566" s="83" t="s">
        <v>391</v>
      </c>
      <c r="E566" s="84"/>
      <c r="F566" s="84"/>
      <c r="G566" s="84"/>
      <c r="H566" s="84"/>
      <c r="I566" s="2" t="s">
        <v>45</v>
      </c>
      <c r="J566" s="17"/>
      <c r="K566" s="17"/>
      <c r="L566" s="18">
        <f t="shared" si="39"/>
        <v>0</v>
      </c>
      <c r="HV566" s="2" t="s">
        <v>375</v>
      </c>
      <c r="HW566" s="2" t="s">
        <v>32</v>
      </c>
      <c r="IR566" s="19">
        <f>K566*0</f>
        <v>0</v>
      </c>
      <c r="IS566" s="19">
        <f>K566*(1-0)</f>
        <v>0</v>
      </c>
    </row>
    <row r="567" spans="1:253" x14ac:dyDescent="0.25">
      <c r="A567" s="12" t="s">
        <v>23</v>
      </c>
      <c r="B567" s="13" t="s">
        <v>458</v>
      </c>
      <c r="C567" s="13" t="s">
        <v>392</v>
      </c>
      <c r="D567" s="135" t="s">
        <v>393</v>
      </c>
      <c r="E567" s="136"/>
      <c r="F567" s="136"/>
      <c r="G567" s="136"/>
      <c r="H567" s="136"/>
      <c r="I567" s="13" t="s">
        <v>23</v>
      </c>
      <c r="J567" s="14" t="s">
        <v>23</v>
      </c>
      <c r="K567" s="14"/>
      <c r="L567" s="15">
        <f>SUM(L568:L571)</f>
        <v>0</v>
      </c>
    </row>
    <row r="568" spans="1:253" x14ac:dyDescent="0.25">
      <c r="A568" s="16">
        <v>524</v>
      </c>
      <c r="B568" s="2" t="s">
        <v>458</v>
      </c>
      <c r="C568" s="2" t="s">
        <v>394</v>
      </c>
      <c r="D568" s="83" t="s">
        <v>395</v>
      </c>
      <c r="E568" s="84"/>
      <c r="F568" s="84"/>
      <c r="G568" s="84"/>
      <c r="H568" s="84"/>
      <c r="I568" s="2" t="s">
        <v>354</v>
      </c>
      <c r="J568" s="17">
        <v>22.2</v>
      </c>
      <c r="K568" s="17"/>
      <c r="L568" s="18">
        <f t="shared" ref="L568:L571" si="40">ROUND(IR568*J568+IS568*J568,2)</f>
        <v>0</v>
      </c>
      <c r="HV568" s="2" t="s">
        <v>392</v>
      </c>
      <c r="HW568" s="2" t="s">
        <v>32</v>
      </c>
      <c r="IR568" s="19">
        <f>K568*0.447130435</f>
        <v>0</v>
      </c>
      <c r="IS568" s="19">
        <f>K568*(1-0.447130435)</f>
        <v>0</v>
      </c>
    </row>
    <row r="569" spans="1:253" x14ac:dyDescent="0.25">
      <c r="A569" s="16">
        <v>525</v>
      </c>
      <c r="B569" s="2" t="s">
        <v>458</v>
      </c>
      <c r="C569" s="2" t="s">
        <v>396</v>
      </c>
      <c r="D569" s="83" t="s">
        <v>397</v>
      </c>
      <c r="E569" s="84"/>
      <c r="F569" s="84"/>
      <c r="G569" s="84"/>
      <c r="H569" s="84"/>
      <c r="I569" s="2" t="s">
        <v>354</v>
      </c>
      <c r="J569" s="17">
        <v>22.2</v>
      </c>
      <c r="K569" s="17"/>
      <c r="L569" s="18">
        <f t="shared" si="40"/>
        <v>0</v>
      </c>
      <c r="HV569" s="2" t="s">
        <v>392</v>
      </c>
      <c r="HW569" s="2" t="s">
        <v>32</v>
      </c>
      <c r="IR569" s="19">
        <f>K569*0</f>
        <v>0</v>
      </c>
      <c r="IS569" s="19">
        <f>K569*(1-0)</f>
        <v>0</v>
      </c>
    </row>
    <row r="570" spans="1:253" x14ac:dyDescent="0.25">
      <c r="A570" s="16">
        <v>526</v>
      </c>
      <c r="B570" s="2" t="s">
        <v>458</v>
      </c>
      <c r="C570" s="2" t="s">
        <v>400</v>
      </c>
      <c r="D570" s="83" t="s">
        <v>401</v>
      </c>
      <c r="E570" s="84"/>
      <c r="F570" s="84"/>
      <c r="G570" s="84"/>
      <c r="H570" s="84"/>
      <c r="I570" s="2" t="s">
        <v>354</v>
      </c>
      <c r="J570" s="17">
        <v>24.5</v>
      </c>
      <c r="K570" s="17"/>
      <c r="L570" s="18">
        <f t="shared" si="40"/>
        <v>0</v>
      </c>
      <c r="HV570" s="2" t="s">
        <v>392</v>
      </c>
      <c r="HW570" s="2" t="s">
        <v>165</v>
      </c>
      <c r="IR570" s="19">
        <f>K570*1</f>
        <v>0</v>
      </c>
      <c r="IS570" s="19">
        <f>K570*(1-1)</f>
        <v>0</v>
      </c>
    </row>
    <row r="571" spans="1:253" x14ac:dyDescent="0.25">
      <c r="A571" s="16">
        <v>529</v>
      </c>
      <c r="B571" s="2" t="s">
        <v>458</v>
      </c>
      <c r="C571" s="2" t="s">
        <v>404</v>
      </c>
      <c r="D571" s="83" t="s">
        <v>405</v>
      </c>
      <c r="E571" s="84"/>
      <c r="F571" s="84"/>
      <c r="G571" s="84"/>
      <c r="H571" s="84"/>
      <c r="I571" s="2" t="s">
        <v>45</v>
      </c>
      <c r="J571" s="17"/>
      <c r="K571" s="17"/>
      <c r="L571" s="18">
        <f t="shared" si="40"/>
        <v>0</v>
      </c>
      <c r="HV571" s="2" t="s">
        <v>392</v>
      </c>
      <c r="HW571" s="2" t="s">
        <v>32</v>
      </c>
      <c r="IR571" s="19">
        <f>K571*0</f>
        <v>0</v>
      </c>
      <c r="IS571" s="19">
        <f>K571*(1-0)</f>
        <v>0</v>
      </c>
    </row>
    <row r="572" spans="1:253" x14ac:dyDescent="0.25">
      <c r="A572" s="12" t="s">
        <v>23</v>
      </c>
      <c r="B572" s="13" t="s">
        <v>458</v>
      </c>
      <c r="C572" s="13" t="s">
        <v>406</v>
      </c>
      <c r="D572" s="135" t="s">
        <v>407</v>
      </c>
      <c r="E572" s="136"/>
      <c r="F572" s="136"/>
      <c r="G572" s="136"/>
      <c r="H572" s="136"/>
      <c r="I572" s="13" t="s">
        <v>23</v>
      </c>
      <c r="J572" s="14" t="s">
        <v>23</v>
      </c>
      <c r="K572" s="14"/>
      <c r="L572" s="15">
        <f>SUM(L573:L574)</f>
        <v>0</v>
      </c>
    </row>
    <row r="573" spans="1:253" x14ac:dyDescent="0.25">
      <c r="A573" s="16">
        <v>530</v>
      </c>
      <c r="B573" s="2" t="s">
        <v>458</v>
      </c>
      <c r="C573" s="2" t="s">
        <v>408</v>
      </c>
      <c r="D573" s="83" t="s">
        <v>409</v>
      </c>
      <c r="E573" s="84"/>
      <c r="F573" s="84"/>
      <c r="G573" s="84"/>
      <c r="H573" s="84"/>
      <c r="I573" s="2" t="s">
        <v>354</v>
      </c>
      <c r="J573" s="17">
        <v>4.2</v>
      </c>
      <c r="K573" s="17"/>
      <c r="L573" s="18">
        <f>ROUND(IR573*J573+IS573*J573,2)</f>
        <v>0</v>
      </c>
      <c r="HV573" s="2" t="s">
        <v>406</v>
      </c>
      <c r="HW573" s="2" t="s">
        <v>32</v>
      </c>
      <c r="IR573" s="19">
        <f>K573*0</f>
        <v>0</v>
      </c>
      <c r="IS573" s="19">
        <f>K573*(1-0)</f>
        <v>0</v>
      </c>
    </row>
    <row r="574" spans="1:253" x14ac:dyDescent="0.25">
      <c r="A574" s="16">
        <v>531</v>
      </c>
      <c r="B574" s="2" t="s">
        <v>458</v>
      </c>
      <c r="C574" s="2" t="s">
        <v>410</v>
      </c>
      <c r="D574" s="83" t="s">
        <v>411</v>
      </c>
      <c r="E574" s="84"/>
      <c r="F574" s="84"/>
      <c r="G574" s="84"/>
      <c r="H574" s="84"/>
      <c r="I574" s="2" t="s">
        <v>412</v>
      </c>
      <c r="J574" s="17">
        <v>8</v>
      </c>
      <c r="K574" s="17"/>
      <c r="L574" s="18">
        <f>ROUND(IR574*J574+IS574*J574,2)</f>
        <v>0</v>
      </c>
      <c r="HV574" s="2" t="s">
        <v>406</v>
      </c>
      <c r="HW574" s="2" t="s">
        <v>165</v>
      </c>
      <c r="IR574" s="19">
        <f>K574*1</f>
        <v>0</v>
      </c>
      <c r="IS574" s="19">
        <f>K574*(1-1)</f>
        <v>0</v>
      </c>
    </row>
    <row r="575" spans="1:253" x14ac:dyDescent="0.25">
      <c r="A575" s="12" t="s">
        <v>23</v>
      </c>
      <c r="B575" s="13" t="s">
        <v>458</v>
      </c>
      <c r="C575" s="13" t="s">
        <v>413</v>
      </c>
      <c r="D575" s="135" t="s">
        <v>414</v>
      </c>
      <c r="E575" s="136"/>
      <c r="F575" s="136"/>
      <c r="G575" s="136"/>
      <c r="H575" s="136"/>
      <c r="I575" s="13" t="s">
        <v>23</v>
      </c>
      <c r="J575" s="14" t="s">
        <v>23</v>
      </c>
      <c r="K575" s="14"/>
      <c r="L575" s="15">
        <f>SUM(L576:L576)</f>
        <v>0</v>
      </c>
    </row>
    <row r="576" spans="1:253" x14ac:dyDescent="0.25">
      <c r="A576" s="16">
        <v>532</v>
      </c>
      <c r="B576" s="2" t="s">
        <v>458</v>
      </c>
      <c r="C576" s="2" t="s">
        <v>415</v>
      </c>
      <c r="D576" s="83" t="s">
        <v>416</v>
      </c>
      <c r="E576" s="84"/>
      <c r="F576" s="84"/>
      <c r="G576" s="84"/>
      <c r="H576" s="84"/>
      <c r="I576" s="2" t="s">
        <v>354</v>
      </c>
      <c r="J576" s="17">
        <v>36</v>
      </c>
      <c r="K576" s="17"/>
      <c r="L576" s="18">
        <f>ROUND(IR576*J576+IS576*J576,2)</f>
        <v>0</v>
      </c>
      <c r="HV576" s="2" t="s">
        <v>413</v>
      </c>
      <c r="HW576" s="2" t="s">
        <v>32</v>
      </c>
      <c r="IR576" s="19">
        <f>K576*0.201505646</f>
        <v>0</v>
      </c>
      <c r="IS576" s="19">
        <f>K576*(1-0.201505646)</f>
        <v>0</v>
      </c>
    </row>
    <row r="577" spans="1:253" x14ac:dyDescent="0.25">
      <c r="A577" s="12" t="s">
        <v>23</v>
      </c>
      <c r="B577" s="13" t="s">
        <v>458</v>
      </c>
      <c r="C577" s="13" t="s">
        <v>421</v>
      </c>
      <c r="D577" s="135" t="s">
        <v>422</v>
      </c>
      <c r="E577" s="136"/>
      <c r="F577" s="136"/>
      <c r="G577" s="136"/>
      <c r="H577" s="136"/>
      <c r="I577" s="13" t="s">
        <v>23</v>
      </c>
      <c r="J577" s="14" t="s">
        <v>23</v>
      </c>
      <c r="K577" s="14"/>
      <c r="L577" s="15">
        <f>SUM(L578:L578)</f>
        <v>0</v>
      </c>
    </row>
    <row r="578" spans="1:253" x14ac:dyDescent="0.25">
      <c r="A578" s="16">
        <v>534</v>
      </c>
      <c r="B578" s="2" t="s">
        <v>458</v>
      </c>
      <c r="C578" s="2" t="s">
        <v>423</v>
      </c>
      <c r="D578" s="83" t="s">
        <v>424</v>
      </c>
      <c r="E578" s="84"/>
      <c r="F578" s="84"/>
      <c r="G578" s="84"/>
      <c r="H578" s="84"/>
      <c r="I578" s="2" t="s">
        <v>354</v>
      </c>
      <c r="J578" s="17">
        <v>28.1</v>
      </c>
      <c r="K578" s="17"/>
      <c r="L578" s="18">
        <f>ROUND(IR578*J578+IS578*J578,2)</f>
        <v>0</v>
      </c>
      <c r="HV578" s="2" t="s">
        <v>421</v>
      </c>
      <c r="HW578" s="2" t="s">
        <v>32</v>
      </c>
      <c r="IR578" s="19">
        <f>K578*0.197058824</f>
        <v>0</v>
      </c>
      <c r="IS578" s="19">
        <f>K578*(1-0.197058824)</f>
        <v>0</v>
      </c>
    </row>
    <row r="579" spans="1:253" x14ac:dyDescent="0.25">
      <c r="A579" s="12" t="s">
        <v>23</v>
      </c>
      <c r="B579" s="13" t="s">
        <v>458</v>
      </c>
      <c r="C579" s="13" t="s">
        <v>425</v>
      </c>
      <c r="D579" s="135" t="s">
        <v>426</v>
      </c>
      <c r="E579" s="136"/>
      <c r="F579" s="136"/>
      <c r="G579" s="136"/>
      <c r="H579" s="136"/>
      <c r="I579" s="13" t="s">
        <v>23</v>
      </c>
      <c r="J579" s="14" t="s">
        <v>23</v>
      </c>
      <c r="K579" s="14"/>
      <c r="L579" s="15">
        <f>SUM(L580:L581)</f>
        <v>0</v>
      </c>
    </row>
    <row r="580" spans="1:253" x14ac:dyDescent="0.25">
      <c r="A580" s="16">
        <v>535</v>
      </c>
      <c r="B580" s="2" t="s">
        <v>458</v>
      </c>
      <c r="C580" s="2" t="s">
        <v>427</v>
      </c>
      <c r="D580" s="83" t="s">
        <v>428</v>
      </c>
      <c r="E580" s="84"/>
      <c r="F580" s="84"/>
      <c r="G580" s="84"/>
      <c r="H580" s="84"/>
      <c r="I580" s="2" t="s">
        <v>35</v>
      </c>
      <c r="J580" s="17">
        <v>12</v>
      </c>
      <c r="K580" s="17"/>
      <c r="L580" s="18">
        <f>ROUND(IR580*J580+IS580*J580,2)</f>
        <v>0</v>
      </c>
      <c r="HV580" s="2" t="s">
        <v>425</v>
      </c>
      <c r="HW580" s="2" t="s">
        <v>32</v>
      </c>
      <c r="IR580" s="19">
        <f>K580*0</f>
        <v>0</v>
      </c>
      <c r="IS580" s="19">
        <f>K580*(1-0)</f>
        <v>0</v>
      </c>
    </row>
    <row r="581" spans="1:253" x14ac:dyDescent="0.25">
      <c r="A581" s="16">
        <v>536</v>
      </c>
      <c r="B581" s="2" t="s">
        <v>458</v>
      </c>
      <c r="C581" s="2" t="s">
        <v>429</v>
      </c>
      <c r="D581" s="83" t="s">
        <v>430</v>
      </c>
      <c r="E581" s="84"/>
      <c r="F581" s="84"/>
      <c r="G581" s="84"/>
      <c r="H581" s="84"/>
      <c r="I581" s="2" t="s">
        <v>31</v>
      </c>
      <c r="J581" s="17">
        <v>4.8</v>
      </c>
      <c r="K581" s="17"/>
      <c r="L581" s="18">
        <f>ROUND(IR581*J581+IS581*J581,2)</f>
        <v>0</v>
      </c>
      <c r="HV581" s="2" t="s">
        <v>425</v>
      </c>
      <c r="HW581" s="2" t="s">
        <v>32</v>
      </c>
      <c r="IR581" s="19">
        <f>K581*0.298440895</f>
        <v>0</v>
      </c>
      <c r="IS581" s="19">
        <f>K581*(1-0.298440895)</f>
        <v>0</v>
      </c>
    </row>
    <row r="582" spans="1:253" x14ac:dyDescent="0.25">
      <c r="A582" s="12" t="s">
        <v>23</v>
      </c>
      <c r="B582" s="13" t="s">
        <v>458</v>
      </c>
      <c r="C582" s="13" t="s">
        <v>437</v>
      </c>
      <c r="D582" s="135" t="s">
        <v>438</v>
      </c>
      <c r="E582" s="136"/>
      <c r="F582" s="136"/>
      <c r="G582" s="136"/>
      <c r="H582" s="136"/>
      <c r="I582" s="13" t="s">
        <v>23</v>
      </c>
      <c r="J582" s="14" t="s">
        <v>23</v>
      </c>
      <c r="K582" s="14"/>
      <c r="L582" s="15">
        <f>SUM(L583:L590)</f>
        <v>0</v>
      </c>
    </row>
    <row r="583" spans="1:253" x14ac:dyDescent="0.25">
      <c r="A583" s="16">
        <v>540</v>
      </c>
      <c r="B583" s="2" t="s">
        <v>458</v>
      </c>
      <c r="C583" s="2" t="s">
        <v>439</v>
      </c>
      <c r="D583" s="83" t="s">
        <v>440</v>
      </c>
      <c r="E583" s="84"/>
      <c r="F583" s="84"/>
      <c r="G583" s="84"/>
      <c r="H583" s="84"/>
      <c r="I583" s="2" t="s">
        <v>441</v>
      </c>
      <c r="J583" s="17">
        <v>30</v>
      </c>
      <c r="K583" s="17"/>
      <c r="L583" s="18">
        <f t="shared" ref="L583:L590" si="41">ROUND(IR583*J583+IS583*J583,2)</f>
        <v>0</v>
      </c>
      <c r="HV583" s="2" t="s">
        <v>437</v>
      </c>
      <c r="HW583" s="2" t="s">
        <v>32</v>
      </c>
      <c r="IR583" s="19">
        <f t="shared" ref="IR583:IR590" si="42">K583*0</f>
        <v>0</v>
      </c>
      <c r="IS583" s="19">
        <f t="shared" ref="IS583:IS590" si="43">K583*(1-0)</f>
        <v>0</v>
      </c>
    </row>
    <row r="584" spans="1:253" x14ac:dyDescent="0.25">
      <c r="A584" s="16">
        <v>541</v>
      </c>
      <c r="B584" s="2" t="s">
        <v>458</v>
      </c>
      <c r="C584" s="2" t="s">
        <v>442</v>
      </c>
      <c r="D584" s="83" t="s">
        <v>443</v>
      </c>
      <c r="E584" s="84"/>
      <c r="F584" s="84"/>
      <c r="G584" s="84"/>
      <c r="H584" s="84"/>
      <c r="I584" s="2" t="s">
        <v>88</v>
      </c>
      <c r="J584" s="17">
        <v>4.5</v>
      </c>
      <c r="K584" s="17"/>
      <c r="L584" s="18">
        <f t="shared" si="41"/>
        <v>0</v>
      </c>
      <c r="HV584" s="2" t="s">
        <v>437</v>
      </c>
      <c r="HW584" s="2" t="s">
        <v>32</v>
      </c>
      <c r="IR584" s="19">
        <f t="shared" si="42"/>
        <v>0</v>
      </c>
      <c r="IS584" s="19">
        <f t="shared" si="43"/>
        <v>0</v>
      </c>
    </row>
    <row r="585" spans="1:253" x14ac:dyDescent="0.25">
      <c r="A585" s="16">
        <v>542</v>
      </c>
      <c r="B585" s="2" t="s">
        <v>458</v>
      </c>
      <c r="C585" s="2" t="s">
        <v>444</v>
      </c>
      <c r="D585" s="83" t="s">
        <v>445</v>
      </c>
      <c r="E585" s="84"/>
      <c r="F585" s="84"/>
      <c r="G585" s="84"/>
      <c r="H585" s="84"/>
      <c r="I585" s="2" t="s">
        <v>88</v>
      </c>
      <c r="J585" s="17">
        <v>4.5</v>
      </c>
      <c r="K585" s="17"/>
      <c r="L585" s="18">
        <f t="shared" si="41"/>
        <v>0</v>
      </c>
      <c r="HV585" s="2" t="s">
        <v>437</v>
      </c>
      <c r="HW585" s="2" t="s">
        <v>32</v>
      </c>
      <c r="IR585" s="19">
        <f t="shared" si="42"/>
        <v>0</v>
      </c>
      <c r="IS585" s="19">
        <f t="shared" si="43"/>
        <v>0</v>
      </c>
    </row>
    <row r="586" spans="1:253" x14ac:dyDescent="0.25">
      <c r="A586" s="16">
        <v>543</v>
      </c>
      <c r="B586" s="2" t="s">
        <v>458</v>
      </c>
      <c r="C586" s="2" t="s">
        <v>446</v>
      </c>
      <c r="D586" s="83" t="s">
        <v>447</v>
      </c>
      <c r="E586" s="84"/>
      <c r="F586" s="84"/>
      <c r="G586" s="84"/>
      <c r="H586" s="84"/>
      <c r="I586" s="2" t="s">
        <v>88</v>
      </c>
      <c r="J586" s="17">
        <v>4.5</v>
      </c>
      <c r="K586" s="17"/>
      <c r="L586" s="18">
        <f t="shared" si="41"/>
        <v>0</v>
      </c>
      <c r="HV586" s="2" t="s">
        <v>437</v>
      </c>
      <c r="HW586" s="2" t="s">
        <v>32</v>
      </c>
      <c r="IR586" s="19">
        <f t="shared" si="42"/>
        <v>0</v>
      </c>
      <c r="IS586" s="19">
        <f t="shared" si="43"/>
        <v>0</v>
      </c>
    </row>
    <row r="587" spans="1:253" x14ac:dyDescent="0.25">
      <c r="A587" s="16">
        <v>544</v>
      </c>
      <c r="B587" s="2" t="s">
        <v>458</v>
      </c>
      <c r="C587" s="2" t="s">
        <v>448</v>
      </c>
      <c r="D587" s="83" t="s">
        <v>449</v>
      </c>
      <c r="E587" s="84"/>
      <c r="F587" s="84"/>
      <c r="G587" s="84"/>
      <c r="H587" s="84"/>
      <c r="I587" s="2" t="s">
        <v>88</v>
      </c>
      <c r="J587" s="17">
        <v>4.5</v>
      </c>
      <c r="K587" s="17"/>
      <c r="L587" s="18">
        <f t="shared" si="41"/>
        <v>0</v>
      </c>
      <c r="HV587" s="2" t="s">
        <v>437</v>
      </c>
      <c r="HW587" s="2" t="s">
        <v>32</v>
      </c>
      <c r="IR587" s="19">
        <f t="shared" si="42"/>
        <v>0</v>
      </c>
      <c r="IS587" s="19">
        <f t="shared" si="43"/>
        <v>0</v>
      </c>
    </row>
    <row r="588" spans="1:253" x14ac:dyDescent="0.25">
      <c r="A588" s="16">
        <v>545</v>
      </c>
      <c r="B588" s="2" t="s">
        <v>458</v>
      </c>
      <c r="C588" s="2" t="s">
        <v>450</v>
      </c>
      <c r="D588" s="83" t="s">
        <v>451</v>
      </c>
      <c r="E588" s="84"/>
      <c r="F588" s="84"/>
      <c r="G588" s="84"/>
      <c r="H588" s="84"/>
      <c r="I588" s="2" t="s">
        <v>88</v>
      </c>
      <c r="J588" s="17">
        <v>45</v>
      </c>
      <c r="K588" s="17"/>
      <c r="L588" s="18">
        <f t="shared" si="41"/>
        <v>0</v>
      </c>
      <c r="HV588" s="2" t="s">
        <v>437</v>
      </c>
      <c r="HW588" s="2" t="s">
        <v>32</v>
      </c>
      <c r="IR588" s="19">
        <f t="shared" si="42"/>
        <v>0</v>
      </c>
      <c r="IS588" s="19">
        <f t="shared" si="43"/>
        <v>0</v>
      </c>
    </row>
    <row r="589" spans="1:253" x14ac:dyDescent="0.25">
      <c r="A589" s="16">
        <v>546</v>
      </c>
      <c r="B589" s="2" t="s">
        <v>458</v>
      </c>
      <c r="C589" s="2" t="s">
        <v>452</v>
      </c>
      <c r="D589" s="83" t="s">
        <v>453</v>
      </c>
      <c r="E589" s="84"/>
      <c r="F589" s="84"/>
      <c r="G589" s="84"/>
      <c r="H589" s="84"/>
      <c r="I589" s="2" t="s">
        <v>88</v>
      </c>
      <c r="J589" s="17">
        <v>4.2</v>
      </c>
      <c r="K589" s="17"/>
      <c r="L589" s="18">
        <f t="shared" si="41"/>
        <v>0</v>
      </c>
      <c r="HV589" s="2" t="s">
        <v>437</v>
      </c>
      <c r="HW589" s="2" t="s">
        <v>32</v>
      </c>
      <c r="IR589" s="19">
        <f t="shared" si="42"/>
        <v>0</v>
      </c>
      <c r="IS589" s="19">
        <f t="shared" si="43"/>
        <v>0</v>
      </c>
    </row>
    <row r="590" spans="1:253" x14ac:dyDescent="0.25">
      <c r="A590" s="16">
        <v>547</v>
      </c>
      <c r="B590" s="2" t="s">
        <v>458</v>
      </c>
      <c r="C590" s="2" t="s">
        <v>454</v>
      </c>
      <c r="D590" s="83" t="s">
        <v>455</v>
      </c>
      <c r="E590" s="84"/>
      <c r="F590" s="84"/>
      <c r="G590" s="84"/>
      <c r="H590" s="84"/>
      <c r="I590" s="2" t="s">
        <v>88</v>
      </c>
      <c r="J590" s="17">
        <v>0.3</v>
      </c>
      <c r="K590" s="17"/>
      <c r="L590" s="18">
        <f t="shared" si="41"/>
        <v>0</v>
      </c>
      <c r="HV590" s="2" t="s">
        <v>437</v>
      </c>
      <c r="HW590" s="2" t="s">
        <v>32</v>
      </c>
      <c r="IR590" s="19">
        <f t="shared" si="42"/>
        <v>0</v>
      </c>
      <c r="IS590" s="19">
        <f t="shared" si="43"/>
        <v>0</v>
      </c>
    </row>
    <row r="591" spans="1:253" x14ac:dyDescent="0.25">
      <c r="A591" s="12" t="s">
        <v>23</v>
      </c>
      <c r="B591" s="13" t="s">
        <v>460</v>
      </c>
      <c r="C591" s="13" t="s">
        <v>25</v>
      </c>
      <c r="D591" s="135" t="s">
        <v>461</v>
      </c>
      <c r="E591" s="136"/>
      <c r="F591" s="136"/>
      <c r="G591" s="136"/>
      <c r="H591" s="136"/>
      <c r="I591" s="13" t="s">
        <v>23</v>
      </c>
      <c r="J591" s="14" t="s">
        <v>23</v>
      </c>
      <c r="K591" s="14"/>
      <c r="L591" s="15">
        <f>L593+L595+L598+L600</f>
        <v>0</v>
      </c>
    </row>
    <row r="592" spans="1:253" x14ac:dyDescent="0.25">
      <c r="A592" s="12" t="s">
        <v>23</v>
      </c>
      <c r="B592" s="13" t="s">
        <v>460</v>
      </c>
      <c r="C592" s="13" t="s">
        <v>462</v>
      </c>
      <c r="D592" s="135" t="s">
        <v>463</v>
      </c>
      <c r="E592" s="136"/>
      <c r="F592" s="136"/>
      <c r="G592" s="136"/>
      <c r="H592" s="136"/>
      <c r="I592" s="13" t="s">
        <v>23</v>
      </c>
      <c r="J592" s="14" t="s">
        <v>23</v>
      </c>
      <c r="K592" s="14"/>
      <c r="L592" s="15">
        <f>L593+L595+L598+L600</f>
        <v>0</v>
      </c>
    </row>
    <row r="593" spans="1:253" x14ac:dyDescent="0.25">
      <c r="A593" s="12" t="s">
        <v>23</v>
      </c>
      <c r="B593" s="13" t="s">
        <v>460</v>
      </c>
      <c r="C593" s="13" t="s">
        <v>464</v>
      </c>
      <c r="D593" s="135" t="s">
        <v>465</v>
      </c>
      <c r="E593" s="136"/>
      <c r="F593" s="136"/>
      <c r="G593" s="136"/>
      <c r="H593" s="136"/>
      <c r="I593" s="13" t="s">
        <v>23</v>
      </c>
      <c r="J593" s="14" t="s">
        <v>23</v>
      </c>
      <c r="K593" s="14"/>
      <c r="L593" s="15">
        <f>SUM(L594:L594)</f>
        <v>0</v>
      </c>
    </row>
    <row r="594" spans="1:253" x14ac:dyDescent="0.25">
      <c r="A594" s="16">
        <v>548</v>
      </c>
      <c r="B594" s="2" t="s">
        <v>460</v>
      </c>
      <c r="C594" s="2" t="s">
        <v>466</v>
      </c>
      <c r="D594" s="83" t="s">
        <v>467</v>
      </c>
      <c r="E594" s="84"/>
      <c r="F594" s="84"/>
      <c r="G594" s="84"/>
      <c r="H594" s="84"/>
      <c r="I594" s="2" t="s">
        <v>468</v>
      </c>
      <c r="J594" s="17">
        <v>10</v>
      </c>
      <c r="K594" s="17"/>
      <c r="L594" s="18">
        <f>ROUND(IR594*J594+IS594*J594,2)</f>
        <v>0</v>
      </c>
      <c r="HV594" s="2" t="s">
        <v>464</v>
      </c>
      <c r="HW594" s="2" t="s">
        <v>32</v>
      </c>
      <c r="IR594" s="19">
        <f>K594*0</f>
        <v>0</v>
      </c>
      <c r="IS594" s="19">
        <f>K594*(1-0)</f>
        <v>0</v>
      </c>
    </row>
    <row r="595" spans="1:253" x14ac:dyDescent="0.25">
      <c r="A595" s="12" t="s">
        <v>23</v>
      </c>
      <c r="B595" s="13" t="s">
        <v>460</v>
      </c>
      <c r="C595" s="13" t="s">
        <v>469</v>
      </c>
      <c r="D595" s="135" t="s">
        <v>470</v>
      </c>
      <c r="E595" s="136"/>
      <c r="F595" s="136"/>
      <c r="G595" s="136"/>
      <c r="H595" s="136"/>
      <c r="I595" s="13" t="s">
        <v>23</v>
      </c>
      <c r="J595" s="14" t="s">
        <v>23</v>
      </c>
      <c r="K595" s="14"/>
      <c r="L595" s="15">
        <f>SUM(L596:L597)</f>
        <v>0</v>
      </c>
    </row>
    <row r="596" spans="1:253" x14ac:dyDescent="0.25">
      <c r="A596" s="16">
        <v>549</v>
      </c>
      <c r="B596" s="2" t="s">
        <v>460</v>
      </c>
      <c r="C596" s="2" t="s">
        <v>471</v>
      </c>
      <c r="D596" s="83" t="s">
        <v>472</v>
      </c>
      <c r="E596" s="84"/>
      <c r="F596" s="84"/>
      <c r="G596" s="84"/>
      <c r="H596" s="84"/>
      <c r="I596" s="2" t="s">
        <v>473</v>
      </c>
      <c r="J596" s="17">
        <v>1</v>
      </c>
      <c r="K596" s="17"/>
      <c r="L596" s="18">
        <f>ROUND(IR596*J596+IS596*J596,2)</f>
        <v>0</v>
      </c>
      <c r="HV596" s="2" t="s">
        <v>469</v>
      </c>
      <c r="HW596" s="2" t="s">
        <v>32</v>
      </c>
      <c r="IR596" s="19">
        <f>K596*0</f>
        <v>0</v>
      </c>
      <c r="IS596" s="19">
        <f>K596*(1-0)</f>
        <v>0</v>
      </c>
    </row>
    <row r="597" spans="1:253" x14ac:dyDescent="0.25">
      <c r="A597" s="16">
        <v>550</v>
      </c>
      <c r="B597" s="2" t="s">
        <v>460</v>
      </c>
      <c r="C597" s="2" t="s">
        <v>474</v>
      </c>
      <c r="D597" s="83" t="s">
        <v>475</v>
      </c>
      <c r="E597" s="84"/>
      <c r="F597" s="84"/>
      <c r="G597" s="84"/>
      <c r="H597" s="84"/>
      <c r="I597" s="2" t="s">
        <v>473</v>
      </c>
      <c r="J597" s="17">
        <v>1</v>
      </c>
      <c r="K597" s="17"/>
      <c r="L597" s="18">
        <f>ROUND(IR597*J597+IS597*J597,2)</f>
        <v>0</v>
      </c>
      <c r="HV597" s="2" t="s">
        <v>469</v>
      </c>
      <c r="HW597" s="2" t="s">
        <v>32</v>
      </c>
      <c r="IR597" s="19">
        <f>K597*0</f>
        <v>0</v>
      </c>
      <c r="IS597" s="19">
        <f>K597*(1-0)</f>
        <v>0</v>
      </c>
    </row>
    <row r="598" spans="1:253" x14ac:dyDescent="0.25">
      <c r="A598" s="12" t="s">
        <v>23</v>
      </c>
      <c r="B598" s="13" t="s">
        <v>460</v>
      </c>
      <c r="C598" s="13" t="s">
        <v>476</v>
      </c>
      <c r="D598" s="135" t="s">
        <v>477</v>
      </c>
      <c r="E598" s="136"/>
      <c r="F598" s="136"/>
      <c r="G598" s="136"/>
      <c r="H598" s="136"/>
      <c r="I598" s="13" t="s">
        <v>23</v>
      </c>
      <c r="J598" s="14" t="s">
        <v>23</v>
      </c>
      <c r="K598" s="14"/>
      <c r="L598" s="15">
        <f>SUM(L599:L599)</f>
        <v>0</v>
      </c>
    </row>
    <row r="599" spans="1:253" x14ac:dyDescent="0.25">
      <c r="A599" s="16">
        <v>551</v>
      </c>
      <c r="B599" s="2" t="s">
        <v>460</v>
      </c>
      <c r="C599" s="2" t="s">
        <v>478</v>
      </c>
      <c r="D599" s="83" t="s">
        <v>477</v>
      </c>
      <c r="E599" s="84"/>
      <c r="F599" s="84"/>
      <c r="G599" s="84"/>
      <c r="H599" s="84"/>
      <c r="I599" s="2" t="s">
        <v>473</v>
      </c>
      <c r="J599" s="17">
        <v>1</v>
      </c>
      <c r="K599" s="17"/>
      <c r="L599" s="18">
        <f>ROUND(IR599*J599+IS599*J599,2)</f>
        <v>0</v>
      </c>
      <c r="HV599" s="2" t="s">
        <v>476</v>
      </c>
      <c r="HW599" s="2" t="s">
        <v>32</v>
      </c>
      <c r="IR599" s="19">
        <f>K599*0</f>
        <v>0</v>
      </c>
      <c r="IS599" s="19">
        <f>K599*(1-0)</f>
        <v>0</v>
      </c>
    </row>
    <row r="600" spans="1:253" x14ac:dyDescent="0.25">
      <c r="A600" s="12" t="s">
        <v>23</v>
      </c>
      <c r="B600" s="13" t="s">
        <v>460</v>
      </c>
      <c r="C600" s="13" t="s">
        <v>479</v>
      </c>
      <c r="D600" s="135" t="s">
        <v>480</v>
      </c>
      <c r="E600" s="136"/>
      <c r="F600" s="136"/>
      <c r="G600" s="136"/>
      <c r="H600" s="136"/>
      <c r="I600" s="13" t="s">
        <v>23</v>
      </c>
      <c r="J600" s="14" t="s">
        <v>23</v>
      </c>
      <c r="K600" s="14"/>
      <c r="L600" s="15">
        <f>SUM(L601:L601)</f>
        <v>0</v>
      </c>
    </row>
    <row r="601" spans="1:253" x14ac:dyDescent="0.25">
      <c r="A601" s="20">
        <v>552</v>
      </c>
      <c r="B601" s="6" t="s">
        <v>460</v>
      </c>
      <c r="C601" s="6" t="s">
        <v>481</v>
      </c>
      <c r="D601" s="137" t="s">
        <v>482</v>
      </c>
      <c r="E601" s="120"/>
      <c r="F601" s="120"/>
      <c r="G601" s="120"/>
      <c r="H601" s="120"/>
      <c r="I601" s="6" t="s">
        <v>473</v>
      </c>
      <c r="J601" s="21">
        <v>20</v>
      </c>
      <c r="K601" s="21"/>
      <c r="L601" s="22">
        <f>ROUND(IR601*J601+IS601*J601,2)</f>
        <v>0</v>
      </c>
      <c r="HV601" s="2" t="s">
        <v>479</v>
      </c>
      <c r="HW601" s="2" t="s">
        <v>32</v>
      </c>
      <c r="IR601" s="19">
        <f>K601*0</f>
        <v>0</v>
      </c>
      <c r="IS601" s="19">
        <f>K601*(1-0)</f>
        <v>0</v>
      </c>
    </row>
    <row r="603" spans="1:253" x14ac:dyDescent="0.25">
      <c r="K603" s="3" t="s">
        <v>483</v>
      </c>
      <c r="L603" s="23" t="e">
        <f>ROUND(L12+L15+L33+L36+L53+L57+L76+L83+L126+L134+L173+L180+L218+L223+L242+L249+L254+L273+L280+L285+L306+L313+L340+L367+L394+L409+L424+L439+L447+L451+L455+L457+L465+L470+L473+L475+L477+L480+L490+L498+L502+L506+L508+L516+L521+L524+L526+L528+L531+L541+L549+L553+L557+L559+L567+L572+L575+#REF!+L577+L579+L582+L593+L595+L598+L600,0)</f>
        <v>#REF!</v>
      </c>
    </row>
  </sheetData>
  <mergeCells count="617">
    <mergeCell ref="A1:L1"/>
    <mergeCell ref="A2:C3"/>
    <mergeCell ref="A4:C5"/>
    <mergeCell ref="A6:C7"/>
    <mergeCell ref="A8:C9"/>
    <mergeCell ref="D2:D3"/>
    <mergeCell ref="D4:D5"/>
    <mergeCell ref="D6:D7"/>
    <mergeCell ref="D8:D9"/>
    <mergeCell ref="E2:F3"/>
    <mergeCell ref="E4:F5"/>
    <mergeCell ref="E6:F7"/>
    <mergeCell ref="E8:F9"/>
    <mergeCell ref="G2:G3"/>
    <mergeCell ref="G4:G5"/>
    <mergeCell ref="D11:H11"/>
    <mergeCell ref="D12:H12"/>
    <mergeCell ref="I2:L3"/>
    <mergeCell ref="I4:L5"/>
    <mergeCell ref="I6:L7"/>
    <mergeCell ref="I8:L9"/>
    <mergeCell ref="G6:G7"/>
    <mergeCell ref="G8:G9"/>
    <mergeCell ref="H2:H3"/>
    <mergeCell ref="H4:H5"/>
    <mergeCell ref="H6:H7"/>
    <mergeCell ref="H8:H9"/>
    <mergeCell ref="D10:H10"/>
    <mergeCell ref="D18:H18"/>
    <mergeCell ref="D19:H19"/>
    <mergeCell ref="D20:H20"/>
    <mergeCell ref="D21:H21"/>
    <mergeCell ref="D22:H22"/>
    <mergeCell ref="D13:H13"/>
    <mergeCell ref="D14:H14"/>
    <mergeCell ref="D15:H15"/>
    <mergeCell ref="D16:H16"/>
    <mergeCell ref="D17:H17"/>
    <mergeCell ref="D28:H28"/>
    <mergeCell ref="D29:H29"/>
    <mergeCell ref="D30:H30"/>
    <mergeCell ref="D31:H31"/>
    <mergeCell ref="D32:H32"/>
    <mergeCell ref="D23:H23"/>
    <mergeCell ref="D24:H24"/>
    <mergeCell ref="D25:H25"/>
    <mergeCell ref="D26:H26"/>
    <mergeCell ref="D27:H27"/>
    <mergeCell ref="D38:H38"/>
    <mergeCell ref="D39:H39"/>
    <mergeCell ref="D40:H40"/>
    <mergeCell ref="D41:H41"/>
    <mergeCell ref="D42:H42"/>
    <mergeCell ref="D33:H33"/>
    <mergeCell ref="D34:H34"/>
    <mergeCell ref="D35:H35"/>
    <mergeCell ref="D36:H36"/>
    <mergeCell ref="D37:H37"/>
    <mergeCell ref="D48:H48"/>
    <mergeCell ref="D49:H49"/>
    <mergeCell ref="D50:H50"/>
    <mergeCell ref="D51:H51"/>
    <mergeCell ref="D52:H52"/>
    <mergeCell ref="D43:H43"/>
    <mergeCell ref="D44:H44"/>
    <mergeCell ref="D45:H45"/>
    <mergeCell ref="D46:H46"/>
    <mergeCell ref="D47:H47"/>
    <mergeCell ref="D58:H58"/>
    <mergeCell ref="D59:H59"/>
    <mergeCell ref="D60:H60"/>
    <mergeCell ref="D61:H61"/>
    <mergeCell ref="D62:H62"/>
    <mergeCell ref="D53:H53"/>
    <mergeCell ref="D54:H54"/>
    <mergeCell ref="D55:H55"/>
    <mergeCell ref="D56:H56"/>
    <mergeCell ref="D57:H57"/>
    <mergeCell ref="D68:H68"/>
    <mergeCell ref="D69:H69"/>
    <mergeCell ref="D70:H70"/>
    <mergeCell ref="D71:H71"/>
    <mergeCell ref="D72:H72"/>
    <mergeCell ref="D63:H63"/>
    <mergeCell ref="D64:H64"/>
    <mergeCell ref="D65:H65"/>
    <mergeCell ref="D66:H66"/>
    <mergeCell ref="D67:H67"/>
    <mergeCell ref="D78:H78"/>
    <mergeCell ref="D79:H79"/>
    <mergeCell ref="D80:H80"/>
    <mergeCell ref="D81:H81"/>
    <mergeCell ref="D82:H82"/>
    <mergeCell ref="D73:H73"/>
    <mergeCell ref="D74:H74"/>
    <mergeCell ref="D75:H75"/>
    <mergeCell ref="D76:H76"/>
    <mergeCell ref="D77:H77"/>
    <mergeCell ref="D88:H88"/>
    <mergeCell ref="D89:H89"/>
    <mergeCell ref="D90:H90"/>
    <mergeCell ref="D91:H91"/>
    <mergeCell ref="D92:H92"/>
    <mergeCell ref="D83:H83"/>
    <mergeCell ref="D84:H84"/>
    <mergeCell ref="D85:H85"/>
    <mergeCell ref="D86:H86"/>
    <mergeCell ref="D87:H87"/>
    <mergeCell ref="D98:H98"/>
    <mergeCell ref="D99:H99"/>
    <mergeCell ref="D100:H100"/>
    <mergeCell ref="D101:H101"/>
    <mergeCell ref="D102:H102"/>
    <mergeCell ref="D93:H93"/>
    <mergeCell ref="D94:H94"/>
    <mergeCell ref="D95:H95"/>
    <mergeCell ref="D96:H96"/>
    <mergeCell ref="D97:H97"/>
    <mergeCell ref="D108:H108"/>
    <mergeCell ref="D109:H109"/>
    <mergeCell ref="D110:H110"/>
    <mergeCell ref="D111:H111"/>
    <mergeCell ref="D112:H112"/>
    <mergeCell ref="D103:H103"/>
    <mergeCell ref="D104:H104"/>
    <mergeCell ref="D105:H105"/>
    <mergeCell ref="D106:H106"/>
    <mergeCell ref="D107:H107"/>
    <mergeCell ref="D118:H118"/>
    <mergeCell ref="D119:H119"/>
    <mergeCell ref="D120:H120"/>
    <mergeCell ref="D121:H121"/>
    <mergeCell ref="D122:H122"/>
    <mergeCell ref="D113:H113"/>
    <mergeCell ref="D114:H114"/>
    <mergeCell ref="D115:H115"/>
    <mergeCell ref="D116:H116"/>
    <mergeCell ref="D117:H117"/>
    <mergeCell ref="D128:H128"/>
    <mergeCell ref="D129:H129"/>
    <mergeCell ref="D130:H130"/>
    <mergeCell ref="D131:H131"/>
    <mergeCell ref="D132:H132"/>
    <mergeCell ref="D123:H123"/>
    <mergeCell ref="D124:H124"/>
    <mergeCell ref="D125:H125"/>
    <mergeCell ref="D126:H126"/>
    <mergeCell ref="D127:H127"/>
    <mergeCell ref="D138:H138"/>
    <mergeCell ref="D139:H139"/>
    <mergeCell ref="D140:H140"/>
    <mergeCell ref="D141:H141"/>
    <mergeCell ref="D142:H142"/>
    <mergeCell ref="D133:H133"/>
    <mergeCell ref="D134:H134"/>
    <mergeCell ref="D135:H135"/>
    <mergeCell ref="D136:H136"/>
    <mergeCell ref="D137:H137"/>
    <mergeCell ref="D148:H148"/>
    <mergeCell ref="D149:H149"/>
    <mergeCell ref="D150:H150"/>
    <mergeCell ref="D151:H151"/>
    <mergeCell ref="D152:H152"/>
    <mergeCell ref="D143:H143"/>
    <mergeCell ref="D144:H144"/>
    <mergeCell ref="D145:H145"/>
    <mergeCell ref="D146:H146"/>
    <mergeCell ref="D147:H147"/>
    <mergeCell ref="D158:H158"/>
    <mergeCell ref="D159:H159"/>
    <mergeCell ref="D160:H160"/>
    <mergeCell ref="D161:H161"/>
    <mergeCell ref="D162:H162"/>
    <mergeCell ref="D153:H153"/>
    <mergeCell ref="D154:H154"/>
    <mergeCell ref="D155:H155"/>
    <mergeCell ref="D156:H156"/>
    <mergeCell ref="D157:H157"/>
    <mergeCell ref="D170:H170"/>
    <mergeCell ref="D171:H171"/>
    <mergeCell ref="D172:H172"/>
    <mergeCell ref="D173:H173"/>
    <mergeCell ref="D174:H174"/>
    <mergeCell ref="D168:H168"/>
    <mergeCell ref="D169:H169"/>
    <mergeCell ref="D163:H163"/>
    <mergeCell ref="D164:H164"/>
    <mergeCell ref="D165:H165"/>
    <mergeCell ref="D166:H166"/>
    <mergeCell ref="D167:H167"/>
    <mergeCell ref="D180:H180"/>
    <mergeCell ref="D181:H181"/>
    <mergeCell ref="D182:H182"/>
    <mergeCell ref="D183:H183"/>
    <mergeCell ref="D184:H184"/>
    <mergeCell ref="D175:H175"/>
    <mergeCell ref="D176:H176"/>
    <mergeCell ref="D177:H177"/>
    <mergeCell ref="D178:H178"/>
    <mergeCell ref="D179:H179"/>
    <mergeCell ref="D190:H190"/>
    <mergeCell ref="D191:H191"/>
    <mergeCell ref="D192:H192"/>
    <mergeCell ref="D193:H193"/>
    <mergeCell ref="D194:H194"/>
    <mergeCell ref="D185:H185"/>
    <mergeCell ref="D186:H186"/>
    <mergeCell ref="D187:H187"/>
    <mergeCell ref="D188:H188"/>
    <mergeCell ref="D189:H189"/>
    <mergeCell ref="D200:H200"/>
    <mergeCell ref="D201:H201"/>
    <mergeCell ref="D202:H202"/>
    <mergeCell ref="D203:H203"/>
    <mergeCell ref="D204:H204"/>
    <mergeCell ref="D195:H195"/>
    <mergeCell ref="D196:H196"/>
    <mergeCell ref="D197:H197"/>
    <mergeCell ref="D198:H198"/>
    <mergeCell ref="D199:H199"/>
    <mergeCell ref="D215:H215"/>
    <mergeCell ref="D216:H216"/>
    <mergeCell ref="D217:H217"/>
    <mergeCell ref="D210:H210"/>
    <mergeCell ref="D211:H211"/>
    <mergeCell ref="D212:H212"/>
    <mergeCell ref="D213:H213"/>
    <mergeCell ref="D214:H214"/>
    <mergeCell ref="D205:H205"/>
    <mergeCell ref="D206:H206"/>
    <mergeCell ref="D207:H207"/>
    <mergeCell ref="D208:H208"/>
    <mergeCell ref="D209:H209"/>
    <mergeCell ref="D223:H223"/>
    <mergeCell ref="D224:H224"/>
    <mergeCell ref="D225:H225"/>
    <mergeCell ref="D226:H226"/>
    <mergeCell ref="D227:H227"/>
    <mergeCell ref="D218:H218"/>
    <mergeCell ref="D219:H219"/>
    <mergeCell ref="D220:H220"/>
    <mergeCell ref="D221:H221"/>
    <mergeCell ref="D222:H222"/>
    <mergeCell ref="D238:H238"/>
    <mergeCell ref="D239:H239"/>
    <mergeCell ref="D240:H240"/>
    <mergeCell ref="D233:H233"/>
    <mergeCell ref="D234:H234"/>
    <mergeCell ref="D235:H235"/>
    <mergeCell ref="D236:H236"/>
    <mergeCell ref="D237:H237"/>
    <mergeCell ref="D228:H228"/>
    <mergeCell ref="D229:H229"/>
    <mergeCell ref="D230:H230"/>
    <mergeCell ref="D231:H231"/>
    <mergeCell ref="D232:H232"/>
    <mergeCell ref="D246:H246"/>
    <mergeCell ref="D247:H247"/>
    <mergeCell ref="D248:H248"/>
    <mergeCell ref="D249:H249"/>
    <mergeCell ref="D250:H250"/>
    <mergeCell ref="D241:H241"/>
    <mergeCell ref="D242:H242"/>
    <mergeCell ref="D243:H243"/>
    <mergeCell ref="D244:H244"/>
    <mergeCell ref="D245:H245"/>
    <mergeCell ref="D256:H256"/>
    <mergeCell ref="D257:H257"/>
    <mergeCell ref="D258:H258"/>
    <mergeCell ref="D259:H259"/>
    <mergeCell ref="D260:H260"/>
    <mergeCell ref="D251:H251"/>
    <mergeCell ref="D252:H252"/>
    <mergeCell ref="D253:H253"/>
    <mergeCell ref="D254:H254"/>
    <mergeCell ref="D255:H255"/>
    <mergeCell ref="D270:H270"/>
    <mergeCell ref="D271:H271"/>
    <mergeCell ref="D272:H272"/>
    <mergeCell ref="D273:H273"/>
    <mergeCell ref="D266:H266"/>
    <mergeCell ref="D267:H267"/>
    <mergeCell ref="D268:H268"/>
    <mergeCell ref="D269:H269"/>
    <mergeCell ref="D261:H261"/>
    <mergeCell ref="D262:H262"/>
    <mergeCell ref="D263:H263"/>
    <mergeCell ref="D264:H264"/>
    <mergeCell ref="D265:H265"/>
    <mergeCell ref="D279:H279"/>
    <mergeCell ref="D280:H280"/>
    <mergeCell ref="D281:H281"/>
    <mergeCell ref="D282:H282"/>
    <mergeCell ref="D283:H283"/>
    <mergeCell ref="D274:H274"/>
    <mergeCell ref="D275:H275"/>
    <mergeCell ref="D276:H276"/>
    <mergeCell ref="D277:H277"/>
    <mergeCell ref="D278:H278"/>
    <mergeCell ref="D289:H289"/>
    <mergeCell ref="D290:H290"/>
    <mergeCell ref="D291:H291"/>
    <mergeCell ref="D292:H292"/>
    <mergeCell ref="D293:H293"/>
    <mergeCell ref="D284:H284"/>
    <mergeCell ref="D285:H285"/>
    <mergeCell ref="D286:H286"/>
    <mergeCell ref="D287:H287"/>
    <mergeCell ref="D288:H288"/>
    <mergeCell ref="D299:H299"/>
    <mergeCell ref="D300:H300"/>
    <mergeCell ref="D301:H301"/>
    <mergeCell ref="D302:H302"/>
    <mergeCell ref="D303:H303"/>
    <mergeCell ref="D294:H294"/>
    <mergeCell ref="D295:H295"/>
    <mergeCell ref="D296:H296"/>
    <mergeCell ref="D297:H297"/>
    <mergeCell ref="D298:H298"/>
    <mergeCell ref="D309:H309"/>
    <mergeCell ref="D310:H310"/>
    <mergeCell ref="D311:H311"/>
    <mergeCell ref="D312:H312"/>
    <mergeCell ref="D313:H313"/>
    <mergeCell ref="D304:H304"/>
    <mergeCell ref="D305:H305"/>
    <mergeCell ref="D306:H306"/>
    <mergeCell ref="D307:H307"/>
    <mergeCell ref="D308:H308"/>
    <mergeCell ref="D319:H319"/>
    <mergeCell ref="D320:H320"/>
    <mergeCell ref="D321:H321"/>
    <mergeCell ref="D322:H322"/>
    <mergeCell ref="D323:H323"/>
    <mergeCell ref="D314:H314"/>
    <mergeCell ref="D315:H315"/>
    <mergeCell ref="D316:H316"/>
    <mergeCell ref="D317:H317"/>
    <mergeCell ref="D318:H318"/>
    <mergeCell ref="D329:H329"/>
    <mergeCell ref="D330:H330"/>
    <mergeCell ref="D331:H331"/>
    <mergeCell ref="D332:H332"/>
    <mergeCell ref="D333:H333"/>
    <mergeCell ref="D324:H324"/>
    <mergeCell ref="D325:H325"/>
    <mergeCell ref="D326:H326"/>
    <mergeCell ref="D327:H327"/>
    <mergeCell ref="D328:H328"/>
    <mergeCell ref="D339:H339"/>
    <mergeCell ref="D340:H340"/>
    <mergeCell ref="D341:H341"/>
    <mergeCell ref="D342:H342"/>
    <mergeCell ref="D343:H343"/>
    <mergeCell ref="D334:H334"/>
    <mergeCell ref="D335:H335"/>
    <mergeCell ref="D336:H336"/>
    <mergeCell ref="D337:H337"/>
    <mergeCell ref="D338:H338"/>
    <mergeCell ref="D349:H349"/>
    <mergeCell ref="D350:H350"/>
    <mergeCell ref="D351:H351"/>
    <mergeCell ref="D352:H352"/>
    <mergeCell ref="D353:H353"/>
    <mergeCell ref="D344:H344"/>
    <mergeCell ref="D345:H345"/>
    <mergeCell ref="D346:H346"/>
    <mergeCell ref="D347:H347"/>
    <mergeCell ref="D348:H348"/>
    <mergeCell ref="D359:H359"/>
    <mergeCell ref="D360:H360"/>
    <mergeCell ref="D361:H361"/>
    <mergeCell ref="D362:H362"/>
    <mergeCell ref="D363:H363"/>
    <mergeCell ref="D354:H354"/>
    <mergeCell ref="D355:H355"/>
    <mergeCell ref="D356:H356"/>
    <mergeCell ref="D357:H357"/>
    <mergeCell ref="D358:H358"/>
    <mergeCell ref="D369:H369"/>
    <mergeCell ref="D370:H370"/>
    <mergeCell ref="D371:H371"/>
    <mergeCell ref="D372:H372"/>
    <mergeCell ref="D373:H373"/>
    <mergeCell ref="D364:H364"/>
    <mergeCell ref="D365:H365"/>
    <mergeCell ref="D366:H366"/>
    <mergeCell ref="D367:H367"/>
    <mergeCell ref="D368:H368"/>
    <mergeCell ref="D379:H379"/>
    <mergeCell ref="D380:H380"/>
    <mergeCell ref="D381:H381"/>
    <mergeCell ref="D382:H382"/>
    <mergeCell ref="D383:H383"/>
    <mergeCell ref="D374:H374"/>
    <mergeCell ref="D375:H375"/>
    <mergeCell ref="D376:H376"/>
    <mergeCell ref="D377:H377"/>
    <mergeCell ref="D378:H378"/>
    <mergeCell ref="D389:H389"/>
    <mergeCell ref="D390:H390"/>
    <mergeCell ref="D391:H391"/>
    <mergeCell ref="D392:H392"/>
    <mergeCell ref="D393:H393"/>
    <mergeCell ref="D384:H384"/>
    <mergeCell ref="D385:H385"/>
    <mergeCell ref="D386:H386"/>
    <mergeCell ref="D387:H387"/>
    <mergeCell ref="D388:H388"/>
    <mergeCell ref="D399:H399"/>
    <mergeCell ref="D400:H400"/>
    <mergeCell ref="D401:H401"/>
    <mergeCell ref="D402:H402"/>
    <mergeCell ref="D403:H403"/>
    <mergeCell ref="D394:H394"/>
    <mergeCell ref="D395:H395"/>
    <mergeCell ref="D396:H396"/>
    <mergeCell ref="D397:H397"/>
    <mergeCell ref="D398:H398"/>
    <mergeCell ref="D409:H409"/>
    <mergeCell ref="D410:H410"/>
    <mergeCell ref="D411:H411"/>
    <mergeCell ref="D412:H412"/>
    <mergeCell ref="D413:H413"/>
    <mergeCell ref="D404:H404"/>
    <mergeCell ref="D405:H405"/>
    <mergeCell ref="D406:H406"/>
    <mergeCell ref="D407:H407"/>
    <mergeCell ref="D408:H408"/>
    <mergeCell ref="D419:H419"/>
    <mergeCell ref="D420:H420"/>
    <mergeCell ref="D421:H421"/>
    <mergeCell ref="D422:H422"/>
    <mergeCell ref="D423:H423"/>
    <mergeCell ref="D414:H414"/>
    <mergeCell ref="D415:H415"/>
    <mergeCell ref="D416:H416"/>
    <mergeCell ref="D417:H417"/>
    <mergeCell ref="D418:H418"/>
    <mergeCell ref="D429:H429"/>
    <mergeCell ref="D430:H430"/>
    <mergeCell ref="D431:H431"/>
    <mergeCell ref="D432:H432"/>
    <mergeCell ref="D433:H433"/>
    <mergeCell ref="D424:H424"/>
    <mergeCell ref="D425:H425"/>
    <mergeCell ref="D426:H426"/>
    <mergeCell ref="D427:H427"/>
    <mergeCell ref="D428:H428"/>
    <mergeCell ref="D439:H439"/>
    <mergeCell ref="D440:H440"/>
    <mergeCell ref="D441:H441"/>
    <mergeCell ref="D442:H442"/>
    <mergeCell ref="D443:H443"/>
    <mergeCell ref="D434:H434"/>
    <mergeCell ref="D435:H435"/>
    <mergeCell ref="D436:H436"/>
    <mergeCell ref="D437:H437"/>
    <mergeCell ref="D438:H438"/>
    <mergeCell ref="D449:H449"/>
    <mergeCell ref="D450:H450"/>
    <mergeCell ref="D451:H451"/>
    <mergeCell ref="D452:H452"/>
    <mergeCell ref="D453:H453"/>
    <mergeCell ref="D444:H444"/>
    <mergeCell ref="D445:H445"/>
    <mergeCell ref="D446:H446"/>
    <mergeCell ref="D447:H447"/>
    <mergeCell ref="D448:H448"/>
    <mergeCell ref="D459:H459"/>
    <mergeCell ref="D460:H460"/>
    <mergeCell ref="D461:H461"/>
    <mergeCell ref="D462:H462"/>
    <mergeCell ref="D463:H463"/>
    <mergeCell ref="D454:H454"/>
    <mergeCell ref="D455:H455"/>
    <mergeCell ref="D456:H456"/>
    <mergeCell ref="D457:H457"/>
    <mergeCell ref="D458:H458"/>
    <mergeCell ref="D472:H472"/>
    <mergeCell ref="D473:H473"/>
    <mergeCell ref="D474:H474"/>
    <mergeCell ref="D468:H468"/>
    <mergeCell ref="D469:H469"/>
    <mergeCell ref="D470:H470"/>
    <mergeCell ref="D471:H471"/>
    <mergeCell ref="D464:H464"/>
    <mergeCell ref="D465:H465"/>
    <mergeCell ref="D466:H466"/>
    <mergeCell ref="D467:H467"/>
    <mergeCell ref="D482:H482"/>
    <mergeCell ref="D483:H483"/>
    <mergeCell ref="D484:H484"/>
    <mergeCell ref="D485:H485"/>
    <mergeCell ref="D486:H486"/>
    <mergeCell ref="D480:H480"/>
    <mergeCell ref="D481:H481"/>
    <mergeCell ref="D475:H475"/>
    <mergeCell ref="D476:H476"/>
    <mergeCell ref="D477:H477"/>
    <mergeCell ref="D478:H478"/>
    <mergeCell ref="D479:H479"/>
    <mergeCell ref="D492:H492"/>
    <mergeCell ref="D493:H493"/>
    <mergeCell ref="D494:H494"/>
    <mergeCell ref="D495:H495"/>
    <mergeCell ref="D496:H496"/>
    <mergeCell ref="D487:H487"/>
    <mergeCell ref="D488:H488"/>
    <mergeCell ref="D489:H489"/>
    <mergeCell ref="D490:H490"/>
    <mergeCell ref="D491:H491"/>
    <mergeCell ref="D502:H502"/>
    <mergeCell ref="D503:H503"/>
    <mergeCell ref="D504:H504"/>
    <mergeCell ref="D505:H505"/>
    <mergeCell ref="D506:H506"/>
    <mergeCell ref="D497:H497"/>
    <mergeCell ref="D498:H498"/>
    <mergeCell ref="D499:H499"/>
    <mergeCell ref="D500:H500"/>
    <mergeCell ref="D501:H501"/>
    <mergeCell ref="D517:H517"/>
    <mergeCell ref="D518:H518"/>
    <mergeCell ref="D519:H519"/>
    <mergeCell ref="D512:H512"/>
    <mergeCell ref="D513:H513"/>
    <mergeCell ref="D514:H514"/>
    <mergeCell ref="D515:H515"/>
    <mergeCell ref="D516:H516"/>
    <mergeCell ref="D507:H507"/>
    <mergeCell ref="D508:H508"/>
    <mergeCell ref="D509:H509"/>
    <mergeCell ref="D510:H510"/>
    <mergeCell ref="D511:H511"/>
    <mergeCell ref="D528:H528"/>
    <mergeCell ref="D529:H529"/>
    <mergeCell ref="D530:H530"/>
    <mergeCell ref="D525:H525"/>
    <mergeCell ref="D526:H526"/>
    <mergeCell ref="D527:H527"/>
    <mergeCell ref="D520:H520"/>
    <mergeCell ref="D521:H521"/>
    <mergeCell ref="D522:H522"/>
    <mergeCell ref="D523:H523"/>
    <mergeCell ref="D524:H524"/>
    <mergeCell ref="D535:H535"/>
    <mergeCell ref="D536:H536"/>
    <mergeCell ref="D537:H537"/>
    <mergeCell ref="D538:H538"/>
    <mergeCell ref="D539:H539"/>
    <mergeCell ref="D531:H531"/>
    <mergeCell ref="D532:H532"/>
    <mergeCell ref="D533:H533"/>
    <mergeCell ref="D534:H534"/>
    <mergeCell ref="D545:H545"/>
    <mergeCell ref="D546:H546"/>
    <mergeCell ref="D547:H547"/>
    <mergeCell ref="D548:H548"/>
    <mergeCell ref="D549:H549"/>
    <mergeCell ref="D540:H540"/>
    <mergeCell ref="D541:H541"/>
    <mergeCell ref="D542:H542"/>
    <mergeCell ref="D543:H543"/>
    <mergeCell ref="D544:H544"/>
    <mergeCell ref="D555:H555"/>
    <mergeCell ref="D556:H556"/>
    <mergeCell ref="D557:H557"/>
    <mergeCell ref="D558:H558"/>
    <mergeCell ref="D559:H559"/>
    <mergeCell ref="D550:H550"/>
    <mergeCell ref="D551:H551"/>
    <mergeCell ref="D552:H552"/>
    <mergeCell ref="D553:H553"/>
    <mergeCell ref="D554:H554"/>
    <mergeCell ref="D570:H570"/>
    <mergeCell ref="D571:H571"/>
    <mergeCell ref="D572:H572"/>
    <mergeCell ref="D565:H565"/>
    <mergeCell ref="D566:H566"/>
    <mergeCell ref="D567:H567"/>
    <mergeCell ref="D568:H568"/>
    <mergeCell ref="D569:H569"/>
    <mergeCell ref="D560:H560"/>
    <mergeCell ref="D561:H561"/>
    <mergeCell ref="D562:H562"/>
    <mergeCell ref="D563:H563"/>
    <mergeCell ref="D564:H564"/>
    <mergeCell ref="D581:H581"/>
    <mergeCell ref="D582:H582"/>
    <mergeCell ref="D577:H577"/>
    <mergeCell ref="D578:H578"/>
    <mergeCell ref="D579:H579"/>
    <mergeCell ref="D580:H580"/>
    <mergeCell ref="D573:H573"/>
    <mergeCell ref="D574:H574"/>
    <mergeCell ref="D575:H575"/>
    <mergeCell ref="D576:H576"/>
    <mergeCell ref="D588:H588"/>
    <mergeCell ref="D589:H589"/>
    <mergeCell ref="D590:H590"/>
    <mergeCell ref="D591:H591"/>
    <mergeCell ref="D592:H592"/>
    <mergeCell ref="D583:H583"/>
    <mergeCell ref="D584:H584"/>
    <mergeCell ref="D585:H585"/>
    <mergeCell ref="D586:H586"/>
    <mergeCell ref="D587:H587"/>
    <mergeCell ref="D598:H598"/>
    <mergeCell ref="D599:H599"/>
    <mergeCell ref="D600:H600"/>
    <mergeCell ref="D601:H601"/>
    <mergeCell ref="D593:H593"/>
    <mergeCell ref="D594:H594"/>
    <mergeCell ref="D595:H595"/>
    <mergeCell ref="D596:H596"/>
    <mergeCell ref="D597:H597"/>
  </mergeCells>
  <pageMargins left="0.393999993801117" right="0.393999993801117" top="0.59100002050399802" bottom="0.59100002050399802" header="0" footer="0"/>
  <pageSetup scale="76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45"/>
  <sheetViews>
    <sheetView workbookViewId="0">
      <selection activeCell="A45" sqref="A45:E45"/>
    </sheetView>
  </sheetViews>
  <sheetFormatPr defaultColWidth="12.140625" defaultRowHeight="15" customHeight="1" x14ac:dyDescent="0.25"/>
  <cols>
    <col min="1" max="1" width="9.140625" customWidth="1"/>
    <col min="2" max="2" width="12.85546875" customWidth="1"/>
    <col min="3" max="3" width="22.85546875" customWidth="1"/>
    <col min="4" max="4" width="10" customWidth="1"/>
    <col min="5" max="5" width="14" customWidth="1"/>
    <col min="6" max="6" width="22.85546875" customWidth="1"/>
    <col min="7" max="7" width="9.140625" customWidth="1"/>
    <col min="8" max="8" width="17.140625" customWidth="1"/>
    <col min="9" max="9" width="22.85546875" customWidth="1"/>
  </cols>
  <sheetData>
    <row r="1" spans="1:9" ht="54.75" customHeight="1" x14ac:dyDescent="0.25">
      <c r="A1" s="124" t="s">
        <v>463</v>
      </c>
      <c r="B1" s="125"/>
      <c r="C1" s="125"/>
      <c r="D1" s="125"/>
      <c r="E1" s="125"/>
      <c r="F1" s="125"/>
      <c r="G1" s="125"/>
      <c r="H1" s="125"/>
      <c r="I1" s="125"/>
    </row>
    <row r="2" spans="1:9" x14ac:dyDescent="0.25">
      <c r="A2" s="126" t="s">
        <v>1</v>
      </c>
      <c r="B2" s="127"/>
      <c r="C2" s="132" t="str">
        <f>'Stavební rozpočet'!D2</f>
        <v>Oprava rozvodů kanalizace, vody a plynu v BD Hálkova 20, 22, 24 v Havířově</v>
      </c>
      <c r="D2" s="133"/>
      <c r="E2" s="123" t="s">
        <v>3</v>
      </c>
      <c r="F2" s="123" t="str">
        <f>'Stavební rozpočet'!J2</f>
        <v>SBD Havířov</v>
      </c>
      <c r="G2" s="127"/>
      <c r="H2" s="123" t="s">
        <v>485</v>
      </c>
      <c r="I2" s="129" t="s">
        <v>486</v>
      </c>
    </row>
    <row r="3" spans="1:9" ht="25.5" customHeight="1" x14ac:dyDescent="0.25">
      <c r="A3" s="128"/>
      <c r="B3" s="84"/>
      <c r="C3" s="134"/>
      <c r="D3" s="134"/>
      <c r="E3" s="84"/>
      <c r="F3" s="84"/>
      <c r="G3" s="84"/>
      <c r="H3" s="84"/>
      <c r="I3" s="130"/>
    </row>
    <row r="4" spans="1:9" x14ac:dyDescent="0.25">
      <c r="A4" s="121" t="s">
        <v>4</v>
      </c>
      <c r="B4" s="84"/>
      <c r="C4" s="83" t="str">
        <f>'Stavební rozpočet'!D4</f>
        <v xml:space="preserve"> </v>
      </c>
      <c r="D4" s="84"/>
      <c r="E4" s="83" t="s">
        <v>6</v>
      </c>
      <c r="F4" s="83" t="str">
        <f>'Stavební rozpočet'!J4</f>
        <v>ETRACOM s.r.o.</v>
      </c>
      <c r="G4" s="84"/>
      <c r="H4" s="83" t="s">
        <v>485</v>
      </c>
      <c r="I4" s="130" t="s">
        <v>487</v>
      </c>
    </row>
    <row r="5" spans="1:9" ht="15" customHeight="1" x14ac:dyDescent="0.25">
      <c r="A5" s="128"/>
      <c r="B5" s="84"/>
      <c r="C5" s="84"/>
      <c r="D5" s="84"/>
      <c r="E5" s="84"/>
      <c r="F5" s="84"/>
      <c r="G5" s="84"/>
      <c r="H5" s="84"/>
      <c r="I5" s="130"/>
    </row>
    <row r="6" spans="1:9" x14ac:dyDescent="0.25">
      <c r="A6" s="121" t="s">
        <v>7</v>
      </c>
      <c r="B6" s="84"/>
      <c r="C6" s="83" t="str">
        <f>'Stavební rozpočet'!D6</f>
        <v xml:space="preserve"> </v>
      </c>
      <c r="D6" s="84"/>
      <c r="E6" s="83" t="s">
        <v>9</v>
      </c>
      <c r="F6" s="83" t="str">
        <f>'Stavební rozpočet'!J6</f>
        <v> </v>
      </c>
      <c r="G6" s="84"/>
      <c r="H6" s="83" t="s">
        <v>485</v>
      </c>
      <c r="I6" s="130" t="s">
        <v>25</v>
      </c>
    </row>
    <row r="7" spans="1:9" ht="15" customHeight="1" x14ac:dyDescent="0.25">
      <c r="A7" s="128"/>
      <c r="B7" s="84"/>
      <c r="C7" s="84"/>
      <c r="D7" s="84"/>
      <c r="E7" s="84"/>
      <c r="F7" s="84"/>
      <c r="G7" s="84"/>
      <c r="H7" s="84"/>
      <c r="I7" s="130"/>
    </row>
    <row r="8" spans="1:9" x14ac:dyDescent="0.25">
      <c r="A8" s="121" t="s">
        <v>5</v>
      </c>
      <c r="B8" s="84"/>
      <c r="C8" s="83" t="str">
        <f>'Stavební rozpočet'!H4</f>
        <v xml:space="preserve"> </v>
      </c>
      <c r="D8" s="84"/>
      <c r="E8" s="83" t="s">
        <v>8</v>
      </c>
      <c r="F8" s="83" t="str">
        <f>'Stavební rozpočet'!H6</f>
        <v xml:space="preserve"> </v>
      </c>
      <c r="G8" s="84"/>
      <c r="H8" s="84" t="s">
        <v>488</v>
      </c>
      <c r="I8" s="131">
        <v>552</v>
      </c>
    </row>
    <row r="9" spans="1:9" x14ac:dyDescent="0.25">
      <c r="A9" s="128"/>
      <c r="B9" s="84"/>
      <c r="C9" s="84"/>
      <c r="D9" s="84"/>
      <c r="E9" s="84"/>
      <c r="F9" s="84"/>
      <c r="G9" s="84"/>
      <c r="H9" s="84"/>
      <c r="I9" s="130"/>
    </row>
    <row r="10" spans="1:9" x14ac:dyDescent="0.25">
      <c r="A10" s="121" t="s">
        <v>10</v>
      </c>
      <c r="B10" s="84"/>
      <c r="C10" s="83" t="str">
        <f>'Stavební rozpočet'!D8</f>
        <v xml:space="preserve"> </v>
      </c>
      <c r="D10" s="84"/>
      <c r="E10" s="83" t="s">
        <v>12</v>
      </c>
      <c r="F10" s="83" t="str">
        <f>'Stavební rozpočet'!J8</f>
        <v>Ing. Radim Kyjonka</v>
      </c>
      <c r="G10" s="84"/>
      <c r="H10" s="84" t="s">
        <v>489</v>
      </c>
      <c r="I10" s="115" t="str">
        <f>'Stavební rozpočet'!H8</f>
        <v>11.03.2025</v>
      </c>
    </row>
    <row r="11" spans="1:9" x14ac:dyDescent="0.25">
      <c r="A11" s="122"/>
      <c r="B11" s="120"/>
      <c r="C11" s="120"/>
      <c r="D11" s="120"/>
      <c r="E11" s="120"/>
      <c r="F11" s="120"/>
      <c r="G11" s="120"/>
      <c r="H11" s="120"/>
      <c r="I11" s="116"/>
    </row>
    <row r="13" spans="1:9" ht="15.75" x14ac:dyDescent="0.25">
      <c r="A13" s="156" t="s">
        <v>530</v>
      </c>
      <c r="B13" s="156"/>
      <c r="C13" s="156"/>
      <c r="D13" s="156"/>
      <c r="E13" s="156"/>
    </row>
    <row r="14" spans="1:9" x14ac:dyDescent="0.25">
      <c r="A14" s="157" t="s">
        <v>531</v>
      </c>
      <c r="B14" s="158"/>
      <c r="C14" s="158"/>
      <c r="D14" s="158"/>
      <c r="E14" s="159"/>
      <c r="F14" s="39" t="s">
        <v>532</v>
      </c>
      <c r="G14" s="39" t="s">
        <v>45</v>
      </c>
      <c r="H14" s="39" t="s">
        <v>533</v>
      </c>
      <c r="I14" s="39" t="s">
        <v>532</v>
      </c>
    </row>
    <row r="15" spans="1:9" x14ac:dyDescent="0.25">
      <c r="A15" s="141" t="s">
        <v>499</v>
      </c>
      <c r="B15" s="142"/>
      <c r="C15" s="142"/>
      <c r="D15" s="142"/>
      <c r="E15" s="143"/>
      <c r="F15" s="40">
        <v>0</v>
      </c>
      <c r="G15" s="41" t="s">
        <v>25</v>
      </c>
      <c r="H15" s="41" t="s">
        <v>25</v>
      </c>
      <c r="I15" s="40">
        <f>F15</f>
        <v>0</v>
      </c>
    </row>
    <row r="16" spans="1:9" x14ac:dyDescent="0.25">
      <c r="A16" s="141" t="s">
        <v>501</v>
      </c>
      <c r="B16" s="142"/>
      <c r="C16" s="142"/>
      <c r="D16" s="142"/>
      <c r="E16" s="143"/>
      <c r="F16" s="40">
        <v>0</v>
      </c>
      <c r="G16" s="41" t="s">
        <v>25</v>
      </c>
      <c r="H16" s="41" t="s">
        <v>25</v>
      </c>
      <c r="I16" s="40">
        <f>F16</f>
        <v>0</v>
      </c>
    </row>
    <row r="17" spans="1:9" x14ac:dyDescent="0.25">
      <c r="A17" s="144" t="s">
        <v>504</v>
      </c>
      <c r="B17" s="145"/>
      <c r="C17" s="145"/>
      <c r="D17" s="145"/>
      <c r="E17" s="146"/>
      <c r="F17" s="42">
        <v>0</v>
      </c>
      <c r="G17" s="43" t="s">
        <v>25</v>
      </c>
      <c r="H17" s="43" t="s">
        <v>25</v>
      </c>
      <c r="I17" s="42">
        <f>F17</f>
        <v>0</v>
      </c>
    </row>
    <row r="18" spans="1:9" x14ac:dyDescent="0.25">
      <c r="A18" s="147" t="s">
        <v>534</v>
      </c>
      <c r="B18" s="148"/>
      <c r="C18" s="148"/>
      <c r="D18" s="148"/>
      <c r="E18" s="149"/>
      <c r="F18" s="44" t="s">
        <v>25</v>
      </c>
      <c r="G18" s="45" t="s">
        <v>25</v>
      </c>
      <c r="H18" s="45" t="s">
        <v>25</v>
      </c>
      <c r="I18" s="46">
        <f>SUM(I15:I17)</f>
        <v>0</v>
      </c>
    </row>
    <row r="20" spans="1:9" x14ac:dyDescent="0.25">
      <c r="A20" s="157" t="s">
        <v>496</v>
      </c>
      <c r="B20" s="158"/>
      <c r="C20" s="158"/>
      <c r="D20" s="158"/>
      <c r="E20" s="159"/>
      <c r="F20" s="39" t="s">
        <v>532</v>
      </c>
      <c r="G20" s="39" t="s">
        <v>45</v>
      </c>
      <c r="H20" s="39" t="s">
        <v>533</v>
      </c>
      <c r="I20" s="39" t="s">
        <v>532</v>
      </c>
    </row>
    <row r="21" spans="1:9" x14ac:dyDescent="0.25">
      <c r="A21" s="141" t="s">
        <v>470</v>
      </c>
      <c r="B21" s="142"/>
      <c r="C21" s="142"/>
      <c r="D21" s="142"/>
      <c r="E21" s="143"/>
      <c r="F21" s="40">
        <v>0</v>
      </c>
      <c r="G21" s="41" t="s">
        <v>25</v>
      </c>
      <c r="H21" s="41" t="s">
        <v>25</v>
      </c>
      <c r="I21" s="40">
        <f t="shared" ref="I21:I26" si="0">F21</f>
        <v>0</v>
      </c>
    </row>
    <row r="22" spans="1:9" x14ac:dyDescent="0.25">
      <c r="A22" s="141" t="s">
        <v>502</v>
      </c>
      <c r="B22" s="142"/>
      <c r="C22" s="142"/>
      <c r="D22" s="142"/>
      <c r="E22" s="143"/>
      <c r="F22" s="40">
        <v>0</v>
      </c>
      <c r="G22" s="41" t="s">
        <v>25</v>
      </c>
      <c r="H22" s="41" t="s">
        <v>25</v>
      </c>
      <c r="I22" s="40">
        <f t="shared" si="0"/>
        <v>0</v>
      </c>
    </row>
    <row r="23" spans="1:9" x14ac:dyDescent="0.25">
      <c r="A23" s="141" t="s">
        <v>505</v>
      </c>
      <c r="B23" s="142"/>
      <c r="C23" s="142"/>
      <c r="D23" s="142"/>
      <c r="E23" s="143"/>
      <c r="F23" s="40">
        <v>0</v>
      </c>
      <c r="G23" s="41" t="s">
        <v>25</v>
      </c>
      <c r="H23" s="41" t="s">
        <v>25</v>
      </c>
      <c r="I23" s="40">
        <f t="shared" si="0"/>
        <v>0</v>
      </c>
    </row>
    <row r="24" spans="1:9" x14ac:dyDescent="0.25">
      <c r="A24" s="141" t="s">
        <v>477</v>
      </c>
      <c r="B24" s="142"/>
      <c r="C24" s="142"/>
      <c r="D24" s="142"/>
      <c r="E24" s="143"/>
      <c r="F24" s="40">
        <v>0</v>
      </c>
      <c r="G24" s="41" t="s">
        <v>25</v>
      </c>
      <c r="H24" s="41" t="s">
        <v>25</v>
      </c>
      <c r="I24" s="40">
        <f t="shared" si="0"/>
        <v>0</v>
      </c>
    </row>
    <row r="25" spans="1:9" x14ac:dyDescent="0.25">
      <c r="A25" s="141" t="s">
        <v>507</v>
      </c>
      <c r="B25" s="142"/>
      <c r="C25" s="142"/>
      <c r="D25" s="142"/>
      <c r="E25" s="143"/>
      <c r="F25" s="40">
        <v>0</v>
      </c>
      <c r="G25" s="41" t="s">
        <v>25</v>
      </c>
      <c r="H25" s="41" t="s">
        <v>25</v>
      </c>
      <c r="I25" s="40">
        <f t="shared" si="0"/>
        <v>0</v>
      </c>
    </row>
    <row r="26" spans="1:9" x14ac:dyDescent="0.25">
      <c r="A26" s="144" t="s">
        <v>508</v>
      </c>
      <c r="B26" s="145"/>
      <c r="C26" s="145"/>
      <c r="D26" s="145"/>
      <c r="E26" s="146"/>
      <c r="F26" s="42">
        <v>0</v>
      </c>
      <c r="G26" s="43" t="s">
        <v>25</v>
      </c>
      <c r="H26" s="43" t="s">
        <v>25</v>
      </c>
      <c r="I26" s="42">
        <f t="shared" si="0"/>
        <v>0</v>
      </c>
    </row>
    <row r="27" spans="1:9" x14ac:dyDescent="0.25">
      <c r="A27" s="147" t="s">
        <v>535</v>
      </c>
      <c r="B27" s="148"/>
      <c r="C27" s="148"/>
      <c r="D27" s="148"/>
      <c r="E27" s="149"/>
      <c r="F27" s="44" t="s">
        <v>25</v>
      </c>
      <c r="G27" s="45" t="s">
        <v>25</v>
      </c>
      <c r="H27" s="45" t="s">
        <v>25</v>
      </c>
      <c r="I27" s="46">
        <f>SUM(I21:I26)</f>
        <v>0</v>
      </c>
    </row>
    <row r="29" spans="1:9" ht="15.75" x14ac:dyDescent="0.25">
      <c r="A29" s="150" t="s">
        <v>536</v>
      </c>
      <c r="B29" s="151"/>
      <c r="C29" s="151"/>
      <c r="D29" s="151"/>
      <c r="E29" s="152"/>
      <c r="F29" s="153">
        <f>I18+I27</f>
        <v>0</v>
      </c>
      <c r="G29" s="154"/>
      <c r="H29" s="154"/>
      <c r="I29" s="155"/>
    </row>
    <row r="33" spans="1:9" ht="15.75" x14ac:dyDescent="0.25">
      <c r="A33" s="156" t="s">
        <v>537</v>
      </c>
      <c r="B33" s="156"/>
      <c r="C33" s="156"/>
      <c r="D33" s="156"/>
      <c r="E33" s="156"/>
    </row>
    <row r="34" spans="1:9" x14ac:dyDescent="0.25">
      <c r="A34" s="157" t="s">
        <v>538</v>
      </c>
      <c r="B34" s="158"/>
      <c r="C34" s="158"/>
      <c r="D34" s="158"/>
      <c r="E34" s="159"/>
      <c r="F34" s="39" t="s">
        <v>532</v>
      </c>
      <c r="G34" s="39" t="s">
        <v>45</v>
      </c>
      <c r="H34" s="39" t="s">
        <v>533</v>
      </c>
      <c r="I34" s="39" t="s">
        <v>532</v>
      </c>
    </row>
    <row r="35" spans="1:9" x14ac:dyDescent="0.25">
      <c r="A35" s="141" t="s">
        <v>465</v>
      </c>
      <c r="B35" s="142"/>
      <c r="C35" s="142"/>
      <c r="D35" s="142"/>
      <c r="E35" s="143"/>
      <c r="F35" s="40">
        <f>SUM('Stavební rozpočet'!BM12:BM700)</f>
        <v>0</v>
      </c>
      <c r="G35" s="41" t="s">
        <v>25</v>
      </c>
      <c r="H35" s="41" t="s">
        <v>25</v>
      </c>
      <c r="I35" s="40">
        <f t="shared" ref="I35:I44" si="1">F35</f>
        <v>0</v>
      </c>
    </row>
    <row r="36" spans="1:9" x14ac:dyDescent="0.25">
      <c r="A36" s="141" t="s">
        <v>539</v>
      </c>
      <c r="B36" s="142"/>
      <c r="C36" s="142"/>
      <c r="D36" s="142"/>
      <c r="E36" s="143"/>
      <c r="F36" s="40">
        <f>SUM('Stavební rozpočet'!BN12:BN700)</f>
        <v>0</v>
      </c>
      <c r="G36" s="41" t="s">
        <v>25</v>
      </c>
      <c r="H36" s="41" t="s">
        <v>25</v>
      </c>
      <c r="I36" s="40">
        <f t="shared" si="1"/>
        <v>0</v>
      </c>
    </row>
    <row r="37" spans="1:9" x14ac:dyDescent="0.25">
      <c r="A37" s="141" t="s">
        <v>470</v>
      </c>
      <c r="B37" s="142"/>
      <c r="C37" s="142"/>
      <c r="D37" s="142"/>
      <c r="E37" s="143"/>
      <c r="F37" s="40">
        <f>SUM('Stavební rozpočet'!BO12:BO700)</f>
        <v>0</v>
      </c>
      <c r="G37" s="41" t="s">
        <v>25</v>
      </c>
      <c r="H37" s="41" t="s">
        <v>25</v>
      </c>
      <c r="I37" s="40">
        <f t="shared" si="1"/>
        <v>0</v>
      </c>
    </row>
    <row r="38" spans="1:9" x14ac:dyDescent="0.25">
      <c r="A38" s="141" t="s">
        <v>540</v>
      </c>
      <c r="B38" s="142"/>
      <c r="C38" s="142"/>
      <c r="D38" s="142"/>
      <c r="E38" s="143"/>
      <c r="F38" s="40">
        <f>SUM('Stavební rozpočet'!BP12:BP700)</f>
        <v>0</v>
      </c>
      <c r="G38" s="41" t="s">
        <v>25</v>
      </c>
      <c r="H38" s="41" t="s">
        <v>25</v>
      </c>
      <c r="I38" s="40">
        <f t="shared" si="1"/>
        <v>0</v>
      </c>
    </row>
    <row r="39" spans="1:9" x14ac:dyDescent="0.25">
      <c r="A39" s="141" t="s">
        <v>541</v>
      </c>
      <c r="B39" s="142"/>
      <c r="C39" s="142"/>
      <c r="D39" s="142"/>
      <c r="E39" s="143"/>
      <c r="F39" s="40">
        <f>SUM('Stavební rozpočet'!BQ12:BQ700)</f>
        <v>0</v>
      </c>
      <c r="G39" s="41" t="s">
        <v>25</v>
      </c>
      <c r="H39" s="41" t="s">
        <v>25</v>
      </c>
      <c r="I39" s="40">
        <f t="shared" si="1"/>
        <v>0</v>
      </c>
    </row>
    <row r="40" spans="1:9" x14ac:dyDescent="0.25">
      <c r="A40" s="141" t="s">
        <v>505</v>
      </c>
      <c r="B40" s="142"/>
      <c r="C40" s="142"/>
      <c r="D40" s="142"/>
      <c r="E40" s="143"/>
      <c r="F40" s="40">
        <f>SUM('Stavební rozpočet'!BR12:BR700)</f>
        <v>0</v>
      </c>
      <c r="G40" s="41" t="s">
        <v>25</v>
      </c>
      <c r="H40" s="41" t="s">
        <v>25</v>
      </c>
      <c r="I40" s="40">
        <f t="shared" si="1"/>
        <v>0</v>
      </c>
    </row>
    <row r="41" spans="1:9" x14ac:dyDescent="0.25">
      <c r="A41" s="141" t="s">
        <v>477</v>
      </c>
      <c r="B41" s="142"/>
      <c r="C41" s="142"/>
      <c r="D41" s="142"/>
      <c r="E41" s="143"/>
      <c r="F41" s="40">
        <f>SUM('Stavební rozpočet'!BS12:BS700)</f>
        <v>0</v>
      </c>
      <c r="G41" s="41" t="s">
        <v>25</v>
      </c>
      <c r="H41" s="41" t="s">
        <v>25</v>
      </c>
      <c r="I41" s="40">
        <f t="shared" si="1"/>
        <v>0</v>
      </c>
    </row>
    <row r="42" spans="1:9" x14ac:dyDescent="0.25">
      <c r="A42" s="141" t="s">
        <v>542</v>
      </c>
      <c r="B42" s="142"/>
      <c r="C42" s="142"/>
      <c r="D42" s="142"/>
      <c r="E42" s="143"/>
      <c r="F42" s="40">
        <f>SUM('Stavební rozpočet'!BT12:BT700)</f>
        <v>0</v>
      </c>
      <c r="G42" s="41" t="s">
        <v>25</v>
      </c>
      <c r="H42" s="41" t="s">
        <v>25</v>
      </c>
      <c r="I42" s="40">
        <f t="shared" si="1"/>
        <v>0</v>
      </c>
    </row>
    <row r="43" spans="1:9" x14ac:dyDescent="0.25">
      <c r="A43" s="141" t="s">
        <v>480</v>
      </c>
      <c r="B43" s="142"/>
      <c r="C43" s="142"/>
      <c r="D43" s="142"/>
      <c r="E43" s="143"/>
      <c r="F43" s="40">
        <f>SUM('Stavební rozpočet'!BU12:BU700)</f>
        <v>0</v>
      </c>
      <c r="G43" s="41" t="s">
        <v>25</v>
      </c>
      <c r="H43" s="41" t="s">
        <v>25</v>
      </c>
      <c r="I43" s="40">
        <f t="shared" si="1"/>
        <v>0</v>
      </c>
    </row>
    <row r="44" spans="1:9" x14ac:dyDescent="0.25">
      <c r="A44" s="144" t="s">
        <v>543</v>
      </c>
      <c r="B44" s="145"/>
      <c r="C44" s="145"/>
      <c r="D44" s="145"/>
      <c r="E44" s="146"/>
      <c r="F44" s="42">
        <f>SUM('Stavební rozpočet'!BV12:BV700)</f>
        <v>0</v>
      </c>
      <c r="G44" s="43" t="s">
        <v>25</v>
      </c>
      <c r="H44" s="43" t="s">
        <v>25</v>
      </c>
      <c r="I44" s="42">
        <f t="shared" si="1"/>
        <v>0</v>
      </c>
    </row>
    <row r="45" spans="1:9" x14ac:dyDescent="0.25">
      <c r="A45" s="147" t="s">
        <v>544</v>
      </c>
      <c r="B45" s="148"/>
      <c r="C45" s="148"/>
      <c r="D45" s="148"/>
      <c r="E45" s="149"/>
      <c r="F45" s="44" t="s">
        <v>25</v>
      </c>
      <c r="G45" s="45" t="s">
        <v>25</v>
      </c>
      <c r="H45" s="45" t="s">
        <v>25</v>
      </c>
      <c r="I45" s="46">
        <f>SUM(I35:I44)</f>
        <v>0</v>
      </c>
    </row>
  </sheetData>
  <mergeCells count="60">
    <mergeCell ref="A1:I1"/>
    <mergeCell ref="A2:B3"/>
    <mergeCell ref="A4:B5"/>
    <mergeCell ref="A6:B7"/>
    <mergeCell ref="A8:B9"/>
    <mergeCell ref="H2:H3"/>
    <mergeCell ref="H4:H5"/>
    <mergeCell ref="H6:H7"/>
    <mergeCell ref="H8:H9"/>
    <mergeCell ref="I2:I3"/>
    <mergeCell ref="I4:I5"/>
    <mergeCell ref="I6:I7"/>
    <mergeCell ref="I8:I9"/>
    <mergeCell ref="E2:E3"/>
    <mergeCell ref="E4:E5"/>
    <mergeCell ref="E6:E7"/>
    <mergeCell ref="E8:E9"/>
    <mergeCell ref="E10:E11"/>
    <mergeCell ref="F2:G3"/>
    <mergeCell ref="F4:G5"/>
    <mergeCell ref="F6:G7"/>
    <mergeCell ref="F8:G9"/>
    <mergeCell ref="F10:G11"/>
    <mergeCell ref="C2:D3"/>
    <mergeCell ref="C4:D5"/>
    <mergeCell ref="C6:D7"/>
    <mergeCell ref="C8:D9"/>
    <mergeCell ref="C10:D11"/>
    <mergeCell ref="I10:I11"/>
    <mergeCell ref="A13:E13"/>
    <mergeCell ref="A14:E14"/>
    <mergeCell ref="A15:E15"/>
    <mergeCell ref="A16:E16"/>
    <mergeCell ref="H10:H11"/>
    <mergeCell ref="A10:B11"/>
    <mergeCell ref="A17:E17"/>
    <mergeCell ref="A18:E18"/>
    <mergeCell ref="A20:E20"/>
    <mergeCell ref="A21:E21"/>
    <mergeCell ref="A22:E22"/>
    <mergeCell ref="A23:E23"/>
    <mergeCell ref="A24:E24"/>
    <mergeCell ref="A25:E25"/>
    <mergeCell ref="A26:E26"/>
    <mergeCell ref="A27:E27"/>
    <mergeCell ref="A29:E29"/>
    <mergeCell ref="F29:I29"/>
    <mergeCell ref="A33:E33"/>
    <mergeCell ref="A34:E34"/>
    <mergeCell ref="A35:E35"/>
    <mergeCell ref="A36:E36"/>
    <mergeCell ref="A37:E37"/>
    <mergeCell ref="A38:E38"/>
    <mergeCell ref="A39:E39"/>
    <mergeCell ref="A40:E40"/>
    <mergeCell ref="A41:E41"/>
    <mergeCell ref="A42:E42"/>
    <mergeCell ref="A43:E43"/>
    <mergeCell ref="A44:E44"/>
    <mergeCell ref="A45:E45"/>
  </mergeCells>
  <pageMargins left="0.393999993801117" right="0.393999993801117" top="0.59100002050399802" bottom="0.59100002050399802" header="0" footer="0"/>
  <pageSetup fitToHeight="0"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BZ703"/>
  <sheetViews>
    <sheetView workbookViewId="0">
      <pane ySplit="11" topLeftCell="A12" activePane="bottomLeft" state="frozen"/>
      <selection pane="bottomLeft" activeCell="A703" sqref="A703:P703"/>
    </sheetView>
  </sheetViews>
  <sheetFormatPr defaultColWidth="12.140625" defaultRowHeight="15" customHeight="1" x14ac:dyDescent="0.25"/>
  <cols>
    <col min="1" max="1" width="4" customWidth="1"/>
    <col min="2" max="2" width="7.5703125" customWidth="1"/>
    <col min="3" max="3" width="17.85546875" customWidth="1"/>
    <col min="4" max="4" width="42.85546875" customWidth="1"/>
    <col min="5" max="5" width="35.7109375" customWidth="1"/>
    <col min="6" max="6" width="6.7109375" customWidth="1"/>
    <col min="7" max="7" width="12.85546875" customWidth="1"/>
    <col min="8" max="8" width="12" customWidth="1"/>
    <col min="9" max="9" width="11.140625" customWidth="1"/>
    <col min="10" max="13" width="15.7109375" customWidth="1"/>
    <col min="14" max="15" width="11.7109375" customWidth="1"/>
    <col min="16" max="16" width="13.42578125" customWidth="1"/>
    <col min="25" max="75" width="12.140625" hidden="1"/>
    <col min="76" max="76" width="78.5703125" hidden="1" customWidth="1"/>
    <col min="77" max="78" width="12.140625" hidden="1"/>
  </cols>
  <sheetData>
    <row r="1" spans="1:76" ht="54.75" customHeight="1" x14ac:dyDescent="0.25">
      <c r="A1" s="125" t="s">
        <v>0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AS1" s="47">
        <f>SUM(AJ1:AJ2)</f>
        <v>0</v>
      </c>
      <c r="AT1" s="47">
        <f>SUM(AK1:AK2)</f>
        <v>0</v>
      </c>
      <c r="AU1" s="47">
        <f>SUM(AL1:AL2)</f>
        <v>0</v>
      </c>
    </row>
    <row r="2" spans="1:76" x14ac:dyDescent="0.25">
      <c r="A2" s="126" t="s">
        <v>1</v>
      </c>
      <c r="B2" s="127"/>
      <c r="C2" s="127"/>
      <c r="D2" s="132" t="s">
        <v>545</v>
      </c>
      <c r="E2" s="133"/>
      <c r="F2" s="127" t="s">
        <v>2</v>
      </c>
      <c r="G2" s="127"/>
      <c r="H2" s="127" t="s">
        <v>23</v>
      </c>
      <c r="I2" s="123" t="s">
        <v>3</v>
      </c>
      <c r="J2" s="123" t="s">
        <v>546</v>
      </c>
      <c r="K2" s="127"/>
      <c r="L2" s="127"/>
      <c r="M2" s="127"/>
      <c r="N2" s="127"/>
      <c r="O2" s="127"/>
      <c r="P2" s="129"/>
    </row>
    <row r="3" spans="1:76" x14ac:dyDescent="0.25">
      <c r="A3" s="128"/>
      <c r="B3" s="84"/>
      <c r="C3" s="84"/>
      <c r="D3" s="134"/>
      <c r="E3" s="134"/>
      <c r="F3" s="84"/>
      <c r="G3" s="84"/>
      <c r="H3" s="84"/>
      <c r="I3" s="84"/>
      <c r="J3" s="84"/>
      <c r="K3" s="84"/>
      <c r="L3" s="84"/>
      <c r="M3" s="84"/>
      <c r="N3" s="84"/>
      <c r="O3" s="84"/>
      <c r="P3" s="130"/>
    </row>
    <row r="4" spans="1:76" x14ac:dyDescent="0.25">
      <c r="A4" s="121" t="s">
        <v>4</v>
      </c>
      <c r="B4" s="84"/>
      <c r="C4" s="84"/>
      <c r="D4" s="83" t="s">
        <v>23</v>
      </c>
      <c r="E4" s="84"/>
      <c r="F4" s="84" t="s">
        <v>5</v>
      </c>
      <c r="G4" s="84"/>
      <c r="H4" s="84" t="s">
        <v>23</v>
      </c>
      <c r="I4" s="83" t="s">
        <v>6</v>
      </c>
      <c r="J4" s="83" t="s">
        <v>547</v>
      </c>
      <c r="K4" s="84"/>
      <c r="L4" s="84"/>
      <c r="M4" s="84"/>
      <c r="N4" s="84"/>
      <c r="O4" s="84"/>
      <c r="P4" s="130"/>
    </row>
    <row r="5" spans="1:76" x14ac:dyDescent="0.25">
      <c r="A5" s="128"/>
      <c r="B5" s="84"/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130"/>
    </row>
    <row r="6" spans="1:76" x14ac:dyDescent="0.25">
      <c r="A6" s="121" t="s">
        <v>7</v>
      </c>
      <c r="B6" s="84"/>
      <c r="C6" s="84"/>
      <c r="D6" s="83" t="s">
        <v>23</v>
      </c>
      <c r="E6" s="84"/>
      <c r="F6" s="84" t="s">
        <v>8</v>
      </c>
      <c r="G6" s="84"/>
      <c r="H6" s="84" t="s">
        <v>23</v>
      </c>
      <c r="I6" s="83" t="s">
        <v>9</v>
      </c>
      <c r="J6" s="84" t="s">
        <v>548</v>
      </c>
      <c r="K6" s="84"/>
      <c r="L6" s="84"/>
      <c r="M6" s="84"/>
      <c r="N6" s="84"/>
      <c r="O6" s="84"/>
      <c r="P6" s="130"/>
    </row>
    <row r="7" spans="1:76" x14ac:dyDescent="0.25">
      <c r="A7" s="128"/>
      <c r="B7" s="84"/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130"/>
    </row>
    <row r="8" spans="1:76" x14ac:dyDescent="0.25">
      <c r="A8" s="121" t="s">
        <v>10</v>
      </c>
      <c r="B8" s="84"/>
      <c r="C8" s="84"/>
      <c r="D8" s="83" t="s">
        <v>23</v>
      </c>
      <c r="E8" s="84"/>
      <c r="F8" s="84" t="s">
        <v>11</v>
      </c>
      <c r="G8" s="84"/>
      <c r="H8" s="84" t="s">
        <v>484</v>
      </c>
      <c r="I8" s="83" t="s">
        <v>12</v>
      </c>
      <c r="J8" s="83" t="s">
        <v>549</v>
      </c>
      <c r="K8" s="84"/>
      <c r="L8" s="84"/>
      <c r="M8" s="84"/>
      <c r="N8" s="84"/>
      <c r="O8" s="84"/>
      <c r="P8" s="130"/>
    </row>
    <row r="9" spans="1:76" x14ac:dyDescent="0.25">
      <c r="A9" s="177"/>
      <c r="B9" s="173"/>
      <c r="C9" s="173"/>
      <c r="D9" s="173"/>
      <c r="E9" s="173"/>
      <c r="F9" s="173"/>
      <c r="G9" s="173"/>
      <c r="H9" s="173"/>
      <c r="I9" s="173"/>
      <c r="J9" s="173"/>
      <c r="K9" s="173"/>
      <c r="L9" s="173"/>
      <c r="M9" s="173"/>
      <c r="N9" s="173"/>
      <c r="O9" s="173"/>
      <c r="P9" s="174"/>
    </row>
    <row r="10" spans="1:76" x14ac:dyDescent="0.25">
      <c r="A10" s="48" t="s">
        <v>13</v>
      </c>
      <c r="B10" s="49" t="s">
        <v>14</v>
      </c>
      <c r="C10" s="49" t="s">
        <v>15</v>
      </c>
      <c r="D10" s="175" t="s">
        <v>16</v>
      </c>
      <c r="E10" s="176"/>
      <c r="F10" s="49" t="s">
        <v>17</v>
      </c>
      <c r="G10" s="50" t="s">
        <v>18</v>
      </c>
      <c r="H10" s="51" t="s">
        <v>550</v>
      </c>
      <c r="I10" s="52" t="s">
        <v>551</v>
      </c>
      <c r="J10" s="166" t="s">
        <v>552</v>
      </c>
      <c r="K10" s="167"/>
      <c r="L10" s="168"/>
      <c r="M10" s="53" t="s">
        <v>552</v>
      </c>
      <c r="N10" s="169" t="s">
        <v>553</v>
      </c>
      <c r="O10" s="170"/>
      <c r="P10" s="54" t="s">
        <v>554</v>
      </c>
      <c r="BK10" s="14" t="s">
        <v>22</v>
      </c>
      <c r="BL10" s="55" t="s">
        <v>21</v>
      </c>
      <c r="BW10" s="55" t="s">
        <v>555</v>
      </c>
    </row>
    <row r="11" spans="1:76" x14ac:dyDescent="0.25">
      <c r="A11" s="56" t="s">
        <v>23</v>
      </c>
      <c r="B11" s="57" t="s">
        <v>23</v>
      </c>
      <c r="C11" s="57" t="s">
        <v>23</v>
      </c>
      <c r="D11" s="164" t="s">
        <v>556</v>
      </c>
      <c r="E11" s="165"/>
      <c r="F11" s="57" t="s">
        <v>23</v>
      </c>
      <c r="G11" s="57" t="s">
        <v>23</v>
      </c>
      <c r="H11" s="58" t="s">
        <v>557</v>
      </c>
      <c r="I11" s="59" t="s">
        <v>23</v>
      </c>
      <c r="J11" s="60" t="s">
        <v>558</v>
      </c>
      <c r="K11" s="61" t="s">
        <v>500</v>
      </c>
      <c r="L11" s="62" t="s">
        <v>559</v>
      </c>
      <c r="M11" s="63" t="s">
        <v>560</v>
      </c>
      <c r="N11" s="64" t="s">
        <v>561</v>
      </c>
      <c r="O11" s="65" t="s">
        <v>559</v>
      </c>
      <c r="P11" s="66" t="s">
        <v>562</v>
      </c>
      <c r="Z11" s="14" t="s">
        <v>563</v>
      </c>
      <c r="AA11" s="14" t="s">
        <v>564</v>
      </c>
      <c r="AB11" s="14" t="s">
        <v>565</v>
      </c>
      <c r="AC11" s="14" t="s">
        <v>566</v>
      </c>
      <c r="AD11" s="14" t="s">
        <v>567</v>
      </c>
      <c r="AE11" s="14" t="s">
        <v>568</v>
      </c>
      <c r="AF11" s="14" t="s">
        <v>569</v>
      </c>
      <c r="AG11" s="14" t="s">
        <v>570</v>
      </c>
      <c r="AH11" s="14" t="s">
        <v>571</v>
      </c>
      <c r="BH11" s="14" t="s">
        <v>572</v>
      </c>
      <c r="BI11" s="14" t="s">
        <v>573</v>
      </c>
      <c r="BJ11" s="14" t="s">
        <v>574</v>
      </c>
    </row>
    <row r="12" spans="1:76" x14ac:dyDescent="0.25">
      <c r="A12" s="67" t="s">
        <v>25</v>
      </c>
      <c r="B12" s="10" t="s">
        <v>24</v>
      </c>
      <c r="C12" s="10" t="s">
        <v>25</v>
      </c>
      <c r="D12" s="171" t="s">
        <v>26</v>
      </c>
      <c r="E12" s="172"/>
      <c r="F12" s="68" t="s">
        <v>23</v>
      </c>
      <c r="G12" s="68" t="s">
        <v>23</v>
      </c>
      <c r="H12" s="68" t="s">
        <v>23</v>
      </c>
      <c r="I12" s="68" t="s">
        <v>23</v>
      </c>
      <c r="J12" s="69" t="e">
        <f>J13</f>
        <v>#REF!</v>
      </c>
      <c r="K12" s="69" t="e">
        <f>K13</f>
        <v>#REF!</v>
      </c>
      <c r="L12" s="69" t="e">
        <f>L13</f>
        <v>#REF!</v>
      </c>
      <c r="M12" s="69" t="e">
        <f>M13</f>
        <v>#REF!</v>
      </c>
      <c r="N12" s="11" t="s">
        <v>25</v>
      </c>
      <c r="O12" s="69" t="e">
        <f>O13</f>
        <v>#REF!</v>
      </c>
      <c r="P12" s="70" t="s">
        <v>25</v>
      </c>
    </row>
    <row r="13" spans="1:76" x14ac:dyDescent="0.25">
      <c r="A13" s="71" t="s">
        <v>25</v>
      </c>
      <c r="B13" s="13" t="s">
        <v>24</v>
      </c>
      <c r="C13" s="13" t="s">
        <v>27</v>
      </c>
      <c r="D13" s="135" t="s">
        <v>28</v>
      </c>
      <c r="E13" s="136"/>
      <c r="F13" s="72" t="s">
        <v>23</v>
      </c>
      <c r="G13" s="72" t="s">
        <v>23</v>
      </c>
      <c r="H13" s="72" t="s">
        <v>23</v>
      </c>
      <c r="I13" s="72" t="s">
        <v>23</v>
      </c>
      <c r="J13" s="47" t="e">
        <f>SUM(J14:J19)</f>
        <v>#REF!</v>
      </c>
      <c r="K13" s="47" t="e">
        <f>SUM(K14:K19)</f>
        <v>#REF!</v>
      </c>
      <c r="L13" s="47" t="e">
        <f>SUM(L14:L19)</f>
        <v>#REF!</v>
      </c>
      <c r="M13" s="47" t="e">
        <f>SUM(M14:M19)</f>
        <v>#REF!</v>
      </c>
      <c r="N13" s="14" t="s">
        <v>25</v>
      </c>
      <c r="O13" s="47" t="e">
        <f>SUM(O14:O19)</f>
        <v>#REF!</v>
      </c>
      <c r="P13" s="73" t="s">
        <v>25</v>
      </c>
      <c r="AI13" s="14" t="s">
        <v>24</v>
      </c>
      <c r="AS13" s="47">
        <f>SUM(AJ14:AJ19)</f>
        <v>0</v>
      </c>
      <c r="AT13" s="47" t="e">
        <f>SUM(AK14:AK19)</f>
        <v>#REF!</v>
      </c>
      <c r="AU13" s="47">
        <f>SUM(AL14:AL19)</f>
        <v>0</v>
      </c>
    </row>
    <row r="14" spans="1:76" x14ac:dyDescent="0.25">
      <c r="A14" s="1" t="s">
        <v>575</v>
      </c>
      <c r="B14" s="2" t="s">
        <v>24</v>
      </c>
      <c r="C14" s="2" t="s">
        <v>29</v>
      </c>
      <c r="D14" s="83" t="s">
        <v>30</v>
      </c>
      <c r="E14" s="84"/>
      <c r="F14" s="2" t="s">
        <v>31</v>
      </c>
      <c r="G14" s="17" t="e">
        <f>'Rozpočet - vybrané sloupce'!#REF!</f>
        <v>#REF!</v>
      </c>
      <c r="H14" s="17" t="e">
        <f>'Rozpočet - vybrané sloupce'!#REF!</f>
        <v>#REF!</v>
      </c>
      <c r="I14" s="74">
        <v>12</v>
      </c>
      <c r="J14" s="17" t="e">
        <f t="shared" ref="J14:J19" si="0">ROUND(G14*AO14,2)</f>
        <v>#REF!</v>
      </c>
      <c r="K14" s="17" t="e">
        <f t="shared" ref="K14:K19" si="1">ROUND(G14*AP14,2)</f>
        <v>#REF!</v>
      </c>
      <c r="L14" s="17" t="e">
        <f t="shared" ref="L14:L19" si="2">ROUND(G14*H14,2)</f>
        <v>#REF!</v>
      </c>
      <c r="M14" s="17" t="e">
        <f t="shared" ref="M14:M19" si="3">L14*(1+BW14/100)</f>
        <v>#REF!</v>
      </c>
      <c r="N14" s="17">
        <v>0</v>
      </c>
      <c r="O14" s="17" t="e">
        <f t="shared" ref="O14:O19" si="4">G14*N14</f>
        <v>#REF!</v>
      </c>
      <c r="P14" s="75" t="s">
        <v>576</v>
      </c>
      <c r="Z14" s="17">
        <f t="shared" ref="Z14:Z19" si="5">ROUND(IF(AQ14="5",BJ14,0),2)</f>
        <v>0</v>
      </c>
      <c r="AB14" s="17">
        <f t="shared" ref="AB14:AB19" si="6">ROUND(IF(AQ14="1",BH14,0),2)</f>
        <v>0</v>
      </c>
      <c r="AC14" s="17">
        <f t="shared" ref="AC14:AC19" si="7">ROUND(IF(AQ14="1",BI14,0),2)</f>
        <v>0</v>
      </c>
      <c r="AD14" s="17" t="e">
        <f t="shared" ref="AD14:AD19" si="8">ROUND(IF(AQ14="7",BH14,0),2)</f>
        <v>#REF!</v>
      </c>
      <c r="AE14" s="17" t="e">
        <f t="shared" ref="AE14:AE19" si="9">ROUND(IF(AQ14="7",BI14,0),2)</f>
        <v>#REF!</v>
      </c>
      <c r="AF14" s="17">
        <f t="shared" ref="AF14:AF19" si="10">ROUND(IF(AQ14="2",BH14,0),2)</f>
        <v>0</v>
      </c>
      <c r="AG14" s="17">
        <f t="shared" ref="AG14:AG19" si="11">ROUND(IF(AQ14="2",BI14,0),2)</f>
        <v>0</v>
      </c>
      <c r="AH14" s="17">
        <f t="shared" ref="AH14:AH19" si="12">ROUND(IF(AQ14="0",BJ14,0),2)</f>
        <v>0</v>
      </c>
      <c r="AI14" s="14" t="s">
        <v>24</v>
      </c>
      <c r="AJ14" s="17">
        <f t="shared" ref="AJ14:AJ19" si="13">IF(AN14=0,L14,0)</f>
        <v>0</v>
      </c>
      <c r="AK14" s="17" t="e">
        <f t="shared" ref="AK14:AK19" si="14">IF(AN14=12,L14,0)</f>
        <v>#REF!</v>
      </c>
      <c r="AL14" s="17">
        <f t="shared" ref="AL14:AL19" si="15">IF(AN14=21,L14,0)</f>
        <v>0</v>
      </c>
      <c r="AN14" s="17">
        <v>12</v>
      </c>
      <c r="AO14" s="17" t="e">
        <f>H14*1</f>
        <v>#REF!</v>
      </c>
      <c r="AP14" s="17" t="e">
        <f>H14*(1-1)</f>
        <v>#REF!</v>
      </c>
      <c r="AQ14" s="76" t="s">
        <v>577</v>
      </c>
      <c r="AV14" s="17" t="e">
        <f t="shared" ref="AV14:AV19" si="16">ROUND(AW14+AX14,2)</f>
        <v>#REF!</v>
      </c>
      <c r="AW14" s="17" t="e">
        <f t="shared" ref="AW14:AW19" si="17">ROUND(G14*AO14,2)</f>
        <v>#REF!</v>
      </c>
      <c r="AX14" s="17" t="e">
        <f t="shared" ref="AX14:AX19" si="18">ROUND(G14*AP14,2)</f>
        <v>#REF!</v>
      </c>
      <c r="AY14" s="76" t="s">
        <v>578</v>
      </c>
      <c r="AZ14" s="76" t="s">
        <v>579</v>
      </c>
      <c r="BA14" s="14" t="s">
        <v>580</v>
      </c>
      <c r="BC14" s="17" t="e">
        <f t="shared" ref="BC14:BC19" si="19">AW14+AX14</f>
        <v>#REF!</v>
      </c>
      <c r="BD14" s="17" t="e">
        <f t="shared" ref="BD14:BD19" si="20">H14/(100-BE14)*100</f>
        <v>#REF!</v>
      </c>
      <c r="BE14" s="17">
        <v>0</v>
      </c>
      <c r="BF14" s="17" t="e">
        <f t="shared" ref="BF14:BF19" si="21">O14</f>
        <v>#REF!</v>
      </c>
      <c r="BH14" s="17" t="e">
        <f t="shared" ref="BH14:BH19" si="22">G14*AO14</f>
        <v>#REF!</v>
      </c>
      <c r="BI14" s="17" t="e">
        <f t="shared" ref="BI14:BI19" si="23">G14*AP14</f>
        <v>#REF!</v>
      </c>
      <c r="BJ14" s="17" t="e">
        <f t="shared" ref="BJ14:BJ19" si="24">G14*H14</f>
        <v>#REF!</v>
      </c>
      <c r="BK14" s="17"/>
      <c r="BL14" s="17">
        <v>721</v>
      </c>
      <c r="BW14" s="17">
        <f t="shared" ref="BW14:BW19" si="25">I14</f>
        <v>12</v>
      </c>
      <c r="BX14" s="4" t="s">
        <v>30</v>
      </c>
    </row>
    <row r="15" spans="1:76" x14ac:dyDescent="0.25">
      <c r="A15" s="1" t="s">
        <v>581</v>
      </c>
      <c r="B15" s="2" t="s">
        <v>24</v>
      </c>
      <c r="C15" s="2" t="s">
        <v>33</v>
      </c>
      <c r="D15" s="83" t="s">
        <v>34</v>
      </c>
      <c r="E15" s="84"/>
      <c r="F15" s="2" t="s">
        <v>35</v>
      </c>
      <c r="G15" s="17" t="e">
        <f>'Rozpočet - vybrané sloupce'!#REF!</f>
        <v>#REF!</v>
      </c>
      <c r="H15" s="17" t="e">
        <f>'Rozpočet - vybrané sloupce'!#REF!</f>
        <v>#REF!</v>
      </c>
      <c r="I15" s="74">
        <v>12</v>
      </c>
      <c r="J15" s="17" t="e">
        <f t="shared" si="0"/>
        <v>#REF!</v>
      </c>
      <c r="K15" s="17" t="e">
        <f t="shared" si="1"/>
        <v>#REF!</v>
      </c>
      <c r="L15" s="17" t="e">
        <f t="shared" si="2"/>
        <v>#REF!</v>
      </c>
      <c r="M15" s="17" t="e">
        <f t="shared" si="3"/>
        <v>#REF!</v>
      </c>
      <c r="N15" s="17">
        <v>1.7049999999999999E-2</v>
      </c>
      <c r="O15" s="17" t="e">
        <f t="shared" si="4"/>
        <v>#REF!</v>
      </c>
      <c r="P15" s="75" t="s">
        <v>576</v>
      </c>
      <c r="Z15" s="17">
        <f t="shared" si="5"/>
        <v>0</v>
      </c>
      <c r="AB15" s="17">
        <f t="shared" si="6"/>
        <v>0</v>
      </c>
      <c r="AC15" s="17">
        <f t="shared" si="7"/>
        <v>0</v>
      </c>
      <c r="AD15" s="17" t="e">
        <f t="shared" si="8"/>
        <v>#REF!</v>
      </c>
      <c r="AE15" s="17" t="e">
        <f t="shared" si="9"/>
        <v>#REF!</v>
      </c>
      <c r="AF15" s="17">
        <f t="shared" si="10"/>
        <v>0</v>
      </c>
      <c r="AG15" s="17">
        <f t="shared" si="11"/>
        <v>0</v>
      </c>
      <c r="AH15" s="17">
        <f t="shared" si="12"/>
        <v>0</v>
      </c>
      <c r="AI15" s="14" t="s">
        <v>24</v>
      </c>
      <c r="AJ15" s="17">
        <f t="shared" si="13"/>
        <v>0</v>
      </c>
      <c r="AK15" s="17" t="e">
        <f t="shared" si="14"/>
        <v>#REF!</v>
      </c>
      <c r="AL15" s="17">
        <f t="shared" si="15"/>
        <v>0</v>
      </c>
      <c r="AN15" s="17">
        <v>12</v>
      </c>
      <c r="AO15" s="17" t="e">
        <f>H15*0</f>
        <v>#REF!</v>
      </c>
      <c r="AP15" s="17" t="e">
        <f>H15*(1-0)</f>
        <v>#REF!</v>
      </c>
      <c r="AQ15" s="76" t="s">
        <v>577</v>
      </c>
      <c r="AV15" s="17" t="e">
        <f t="shared" si="16"/>
        <v>#REF!</v>
      </c>
      <c r="AW15" s="17" t="e">
        <f t="shared" si="17"/>
        <v>#REF!</v>
      </c>
      <c r="AX15" s="17" t="e">
        <f t="shared" si="18"/>
        <v>#REF!</v>
      </c>
      <c r="AY15" s="76" t="s">
        <v>578</v>
      </c>
      <c r="AZ15" s="76" t="s">
        <v>579</v>
      </c>
      <c r="BA15" s="14" t="s">
        <v>580</v>
      </c>
      <c r="BC15" s="17" t="e">
        <f t="shared" si="19"/>
        <v>#REF!</v>
      </c>
      <c r="BD15" s="17" t="e">
        <f t="shared" si="20"/>
        <v>#REF!</v>
      </c>
      <c r="BE15" s="17">
        <v>0</v>
      </c>
      <c r="BF15" s="17" t="e">
        <f t="shared" si="21"/>
        <v>#REF!</v>
      </c>
      <c r="BH15" s="17" t="e">
        <f t="shared" si="22"/>
        <v>#REF!</v>
      </c>
      <c r="BI15" s="17" t="e">
        <f t="shared" si="23"/>
        <v>#REF!</v>
      </c>
      <c r="BJ15" s="17" t="e">
        <f t="shared" si="24"/>
        <v>#REF!</v>
      </c>
      <c r="BK15" s="17"/>
      <c r="BL15" s="17">
        <v>721</v>
      </c>
      <c r="BW15" s="17">
        <f t="shared" si="25"/>
        <v>12</v>
      </c>
      <c r="BX15" s="4" t="s">
        <v>34</v>
      </c>
    </row>
    <row r="16" spans="1:76" x14ac:dyDescent="0.25">
      <c r="A16" s="1" t="s">
        <v>582</v>
      </c>
      <c r="B16" s="2" t="s">
        <v>24</v>
      </c>
      <c r="C16" s="2" t="s">
        <v>36</v>
      </c>
      <c r="D16" s="83" t="s">
        <v>37</v>
      </c>
      <c r="E16" s="84"/>
      <c r="F16" s="2" t="s">
        <v>35</v>
      </c>
      <c r="G16" s="17" t="e">
        <f>'Rozpočet - vybrané sloupce'!#REF!</f>
        <v>#REF!</v>
      </c>
      <c r="H16" s="17" t="e">
        <f>'Rozpočet - vybrané sloupce'!#REF!</f>
        <v>#REF!</v>
      </c>
      <c r="I16" s="74">
        <v>12</v>
      </c>
      <c r="J16" s="17" t="e">
        <f t="shared" si="0"/>
        <v>#REF!</v>
      </c>
      <c r="K16" s="17" t="e">
        <f t="shared" si="1"/>
        <v>#REF!</v>
      </c>
      <c r="L16" s="17" t="e">
        <f t="shared" si="2"/>
        <v>#REF!</v>
      </c>
      <c r="M16" s="17" t="e">
        <f t="shared" si="3"/>
        <v>#REF!</v>
      </c>
      <c r="N16" s="17">
        <v>1.67E-3</v>
      </c>
      <c r="O16" s="17" t="e">
        <f t="shared" si="4"/>
        <v>#REF!</v>
      </c>
      <c r="P16" s="75" t="s">
        <v>576</v>
      </c>
      <c r="Z16" s="17">
        <f t="shared" si="5"/>
        <v>0</v>
      </c>
      <c r="AB16" s="17">
        <f t="shared" si="6"/>
        <v>0</v>
      </c>
      <c r="AC16" s="17">
        <f t="shared" si="7"/>
        <v>0</v>
      </c>
      <c r="AD16" s="17" t="e">
        <f t="shared" si="8"/>
        <v>#REF!</v>
      </c>
      <c r="AE16" s="17" t="e">
        <f t="shared" si="9"/>
        <v>#REF!</v>
      </c>
      <c r="AF16" s="17">
        <f t="shared" si="10"/>
        <v>0</v>
      </c>
      <c r="AG16" s="17">
        <f t="shared" si="11"/>
        <v>0</v>
      </c>
      <c r="AH16" s="17">
        <f t="shared" si="12"/>
        <v>0</v>
      </c>
      <c r="AI16" s="14" t="s">
        <v>24</v>
      </c>
      <c r="AJ16" s="17">
        <f t="shared" si="13"/>
        <v>0</v>
      </c>
      <c r="AK16" s="17" t="e">
        <f t="shared" si="14"/>
        <v>#REF!</v>
      </c>
      <c r="AL16" s="17">
        <f t="shared" si="15"/>
        <v>0</v>
      </c>
      <c r="AN16" s="17">
        <v>12</v>
      </c>
      <c r="AO16" s="17" t="e">
        <f>H16*0.858482293</f>
        <v>#REF!</v>
      </c>
      <c r="AP16" s="17" t="e">
        <f>H16*(1-0.858482293)</f>
        <v>#REF!</v>
      </c>
      <c r="AQ16" s="76" t="s">
        <v>577</v>
      </c>
      <c r="AV16" s="17" t="e">
        <f t="shared" si="16"/>
        <v>#REF!</v>
      </c>
      <c r="AW16" s="17" t="e">
        <f t="shared" si="17"/>
        <v>#REF!</v>
      </c>
      <c r="AX16" s="17" t="e">
        <f t="shared" si="18"/>
        <v>#REF!</v>
      </c>
      <c r="AY16" s="76" t="s">
        <v>578</v>
      </c>
      <c r="AZ16" s="76" t="s">
        <v>579</v>
      </c>
      <c r="BA16" s="14" t="s">
        <v>580</v>
      </c>
      <c r="BC16" s="17" t="e">
        <f t="shared" si="19"/>
        <v>#REF!</v>
      </c>
      <c r="BD16" s="17" t="e">
        <f t="shared" si="20"/>
        <v>#REF!</v>
      </c>
      <c r="BE16" s="17">
        <v>0</v>
      </c>
      <c r="BF16" s="17" t="e">
        <f t="shared" si="21"/>
        <v>#REF!</v>
      </c>
      <c r="BH16" s="17" t="e">
        <f t="shared" si="22"/>
        <v>#REF!</v>
      </c>
      <c r="BI16" s="17" t="e">
        <f t="shared" si="23"/>
        <v>#REF!</v>
      </c>
      <c r="BJ16" s="17" t="e">
        <f t="shared" si="24"/>
        <v>#REF!</v>
      </c>
      <c r="BK16" s="17"/>
      <c r="BL16" s="17">
        <v>721</v>
      </c>
      <c r="BW16" s="17">
        <f t="shared" si="25"/>
        <v>12</v>
      </c>
      <c r="BX16" s="4" t="s">
        <v>37</v>
      </c>
    </row>
    <row r="17" spans="1:76" x14ac:dyDescent="0.25">
      <c r="A17" s="1" t="s">
        <v>583</v>
      </c>
      <c r="B17" s="2" t="s">
        <v>24</v>
      </c>
      <c r="C17" s="2" t="s">
        <v>38</v>
      </c>
      <c r="D17" s="83" t="s">
        <v>39</v>
      </c>
      <c r="E17" s="84"/>
      <c r="F17" s="2" t="s">
        <v>40</v>
      </c>
      <c r="G17" s="17" t="e">
        <f>'Rozpočet - vybrané sloupce'!#REF!</f>
        <v>#REF!</v>
      </c>
      <c r="H17" s="17" t="e">
        <f>'Rozpočet - vybrané sloupce'!#REF!</f>
        <v>#REF!</v>
      </c>
      <c r="I17" s="74">
        <v>12</v>
      </c>
      <c r="J17" s="17" t="e">
        <f t="shared" si="0"/>
        <v>#REF!</v>
      </c>
      <c r="K17" s="17" t="e">
        <f t="shared" si="1"/>
        <v>#REF!</v>
      </c>
      <c r="L17" s="17" t="e">
        <f t="shared" si="2"/>
        <v>#REF!</v>
      </c>
      <c r="M17" s="17" t="e">
        <f t="shared" si="3"/>
        <v>#REF!</v>
      </c>
      <c r="N17" s="17">
        <v>1.6999999999999999E-3</v>
      </c>
      <c r="O17" s="17" t="e">
        <f t="shared" si="4"/>
        <v>#REF!</v>
      </c>
      <c r="P17" s="75" t="s">
        <v>584</v>
      </c>
      <c r="Z17" s="17">
        <f t="shared" si="5"/>
        <v>0</v>
      </c>
      <c r="AB17" s="17">
        <f t="shared" si="6"/>
        <v>0</v>
      </c>
      <c r="AC17" s="17">
        <f t="shared" si="7"/>
        <v>0</v>
      </c>
      <c r="AD17" s="17" t="e">
        <f t="shared" si="8"/>
        <v>#REF!</v>
      </c>
      <c r="AE17" s="17" t="e">
        <f t="shared" si="9"/>
        <v>#REF!</v>
      </c>
      <c r="AF17" s="17">
        <f t="shared" si="10"/>
        <v>0</v>
      </c>
      <c r="AG17" s="17">
        <f t="shared" si="11"/>
        <v>0</v>
      </c>
      <c r="AH17" s="17">
        <f t="shared" si="12"/>
        <v>0</v>
      </c>
      <c r="AI17" s="14" t="s">
        <v>24</v>
      </c>
      <c r="AJ17" s="17">
        <f t="shared" si="13"/>
        <v>0</v>
      </c>
      <c r="AK17" s="17" t="e">
        <f t="shared" si="14"/>
        <v>#REF!</v>
      </c>
      <c r="AL17" s="17">
        <f t="shared" si="15"/>
        <v>0</v>
      </c>
      <c r="AN17" s="17">
        <v>12</v>
      </c>
      <c r="AO17" s="17" t="e">
        <f>H17*0.865097778</f>
        <v>#REF!</v>
      </c>
      <c r="AP17" s="17" t="e">
        <f>H17*(1-0.865097778)</f>
        <v>#REF!</v>
      </c>
      <c r="AQ17" s="76" t="s">
        <v>577</v>
      </c>
      <c r="AV17" s="17" t="e">
        <f t="shared" si="16"/>
        <v>#REF!</v>
      </c>
      <c r="AW17" s="17" t="e">
        <f t="shared" si="17"/>
        <v>#REF!</v>
      </c>
      <c r="AX17" s="17" t="e">
        <f t="shared" si="18"/>
        <v>#REF!</v>
      </c>
      <c r="AY17" s="76" t="s">
        <v>578</v>
      </c>
      <c r="AZ17" s="76" t="s">
        <v>579</v>
      </c>
      <c r="BA17" s="14" t="s">
        <v>580</v>
      </c>
      <c r="BC17" s="17" t="e">
        <f t="shared" si="19"/>
        <v>#REF!</v>
      </c>
      <c r="BD17" s="17" t="e">
        <f t="shared" si="20"/>
        <v>#REF!</v>
      </c>
      <c r="BE17" s="17">
        <v>0</v>
      </c>
      <c r="BF17" s="17" t="e">
        <f t="shared" si="21"/>
        <v>#REF!</v>
      </c>
      <c r="BH17" s="17" t="e">
        <f t="shared" si="22"/>
        <v>#REF!</v>
      </c>
      <c r="BI17" s="17" t="e">
        <f t="shared" si="23"/>
        <v>#REF!</v>
      </c>
      <c r="BJ17" s="17" t="e">
        <f t="shared" si="24"/>
        <v>#REF!</v>
      </c>
      <c r="BK17" s="17"/>
      <c r="BL17" s="17">
        <v>721</v>
      </c>
      <c r="BW17" s="17">
        <f t="shared" si="25"/>
        <v>12</v>
      </c>
      <c r="BX17" s="4" t="s">
        <v>39</v>
      </c>
    </row>
    <row r="18" spans="1:76" x14ac:dyDescent="0.25">
      <c r="A18" s="1" t="s">
        <v>585</v>
      </c>
      <c r="B18" s="2" t="s">
        <v>24</v>
      </c>
      <c r="C18" s="2" t="s">
        <v>41</v>
      </c>
      <c r="D18" s="83" t="s">
        <v>42</v>
      </c>
      <c r="E18" s="84"/>
      <c r="F18" s="2" t="s">
        <v>35</v>
      </c>
      <c r="G18" s="17" t="e">
        <f>'Rozpočet - vybrané sloupce'!#REF!</f>
        <v>#REF!</v>
      </c>
      <c r="H18" s="17" t="e">
        <f>'Rozpočet - vybrané sloupce'!#REF!</f>
        <v>#REF!</v>
      </c>
      <c r="I18" s="74">
        <v>12</v>
      </c>
      <c r="J18" s="17" t="e">
        <f t="shared" si="0"/>
        <v>#REF!</v>
      </c>
      <c r="K18" s="17" t="e">
        <f t="shared" si="1"/>
        <v>#REF!</v>
      </c>
      <c r="L18" s="17" t="e">
        <f t="shared" si="2"/>
        <v>#REF!</v>
      </c>
      <c r="M18" s="17" t="e">
        <f t="shared" si="3"/>
        <v>#REF!</v>
      </c>
      <c r="N18" s="17">
        <v>0</v>
      </c>
      <c r="O18" s="17" t="e">
        <f t="shared" si="4"/>
        <v>#REF!</v>
      </c>
      <c r="P18" s="75" t="s">
        <v>576</v>
      </c>
      <c r="Z18" s="17">
        <f t="shared" si="5"/>
        <v>0</v>
      </c>
      <c r="AB18" s="17">
        <f t="shared" si="6"/>
        <v>0</v>
      </c>
      <c r="AC18" s="17">
        <f t="shared" si="7"/>
        <v>0</v>
      </c>
      <c r="AD18" s="17" t="e">
        <f t="shared" si="8"/>
        <v>#REF!</v>
      </c>
      <c r="AE18" s="17" t="e">
        <f t="shared" si="9"/>
        <v>#REF!</v>
      </c>
      <c r="AF18" s="17">
        <f t="shared" si="10"/>
        <v>0</v>
      </c>
      <c r="AG18" s="17">
        <f t="shared" si="11"/>
        <v>0</v>
      </c>
      <c r="AH18" s="17">
        <f t="shared" si="12"/>
        <v>0</v>
      </c>
      <c r="AI18" s="14" t="s">
        <v>24</v>
      </c>
      <c r="AJ18" s="17">
        <f t="shared" si="13"/>
        <v>0</v>
      </c>
      <c r="AK18" s="17" t="e">
        <f t="shared" si="14"/>
        <v>#REF!</v>
      </c>
      <c r="AL18" s="17">
        <f t="shared" si="15"/>
        <v>0</v>
      </c>
      <c r="AN18" s="17">
        <v>12</v>
      </c>
      <c r="AO18" s="17" t="e">
        <f>H18*0.216674938</f>
        <v>#REF!</v>
      </c>
      <c r="AP18" s="17" t="e">
        <f>H18*(1-0.216674938)</f>
        <v>#REF!</v>
      </c>
      <c r="AQ18" s="76" t="s">
        <v>577</v>
      </c>
      <c r="AV18" s="17" t="e">
        <f t="shared" si="16"/>
        <v>#REF!</v>
      </c>
      <c r="AW18" s="17" t="e">
        <f t="shared" si="17"/>
        <v>#REF!</v>
      </c>
      <c r="AX18" s="17" t="e">
        <f t="shared" si="18"/>
        <v>#REF!</v>
      </c>
      <c r="AY18" s="76" t="s">
        <v>578</v>
      </c>
      <c r="AZ18" s="76" t="s">
        <v>579</v>
      </c>
      <c r="BA18" s="14" t="s">
        <v>580</v>
      </c>
      <c r="BC18" s="17" t="e">
        <f t="shared" si="19"/>
        <v>#REF!</v>
      </c>
      <c r="BD18" s="17" t="e">
        <f t="shared" si="20"/>
        <v>#REF!</v>
      </c>
      <c r="BE18" s="17">
        <v>0</v>
      </c>
      <c r="BF18" s="17" t="e">
        <f t="shared" si="21"/>
        <v>#REF!</v>
      </c>
      <c r="BH18" s="17" t="e">
        <f t="shared" si="22"/>
        <v>#REF!</v>
      </c>
      <c r="BI18" s="17" t="e">
        <f t="shared" si="23"/>
        <v>#REF!</v>
      </c>
      <c r="BJ18" s="17" t="e">
        <f t="shared" si="24"/>
        <v>#REF!</v>
      </c>
      <c r="BK18" s="17"/>
      <c r="BL18" s="17">
        <v>721</v>
      </c>
      <c r="BW18" s="17">
        <f t="shared" si="25"/>
        <v>12</v>
      </c>
      <c r="BX18" s="4" t="s">
        <v>42</v>
      </c>
    </row>
    <row r="19" spans="1:76" x14ac:dyDescent="0.25">
      <c r="A19" s="1" t="s">
        <v>586</v>
      </c>
      <c r="B19" s="2" t="s">
        <v>24</v>
      </c>
      <c r="C19" s="2" t="s">
        <v>43</v>
      </c>
      <c r="D19" s="83" t="s">
        <v>44</v>
      </c>
      <c r="E19" s="84"/>
      <c r="F19" s="2" t="s">
        <v>45</v>
      </c>
      <c r="G19" s="17" t="e">
        <f>'Rozpočet - vybrané sloupce'!#REF!</f>
        <v>#REF!</v>
      </c>
      <c r="H19" s="17" t="e">
        <f>'Rozpočet - vybrané sloupce'!#REF!</f>
        <v>#REF!</v>
      </c>
      <c r="I19" s="74">
        <v>12</v>
      </c>
      <c r="J19" s="17" t="e">
        <f t="shared" si="0"/>
        <v>#REF!</v>
      </c>
      <c r="K19" s="17" t="e">
        <f t="shared" si="1"/>
        <v>#REF!</v>
      </c>
      <c r="L19" s="17" t="e">
        <f t="shared" si="2"/>
        <v>#REF!</v>
      </c>
      <c r="M19" s="17" t="e">
        <f t="shared" si="3"/>
        <v>#REF!</v>
      </c>
      <c r="N19" s="17">
        <v>0</v>
      </c>
      <c r="O19" s="17" t="e">
        <f t="shared" si="4"/>
        <v>#REF!</v>
      </c>
      <c r="P19" s="75" t="s">
        <v>576</v>
      </c>
      <c r="Z19" s="17" t="e">
        <f t="shared" si="5"/>
        <v>#REF!</v>
      </c>
      <c r="AB19" s="17">
        <f t="shared" si="6"/>
        <v>0</v>
      </c>
      <c r="AC19" s="17">
        <f t="shared" si="7"/>
        <v>0</v>
      </c>
      <c r="AD19" s="17">
        <f t="shared" si="8"/>
        <v>0</v>
      </c>
      <c r="AE19" s="17">
        <f t="shared" si="9"/>
        <v>0</v>
      </c>
      <c r="AF19" s="17">
        <f t="shared" si="10"/>
        <v>0</v>
      </c>
      <c r="AG19" s="17">
        <f t="shared" si="11"/>
        <v>0</v>
      </c>
      <c r="AH19" s="17">
        <f t="shared" si="12"/>
        <v>0</v>
      </c>
      <c r="AI19" s="14" t="s">
        <v>24</v>
      </c>
      <c r="AJ19" s="17">
        <f t="shared" si="13"/>
        <v>0</v>
      </c>
      <c r="AK19" s="17" t="e">
        <f t="shared" si="14"/>
        <v>#REF!</v>
      </c>
      <c r="AL19" s="17">
        <f t="shared" si="15"/>
        <v>0</v>
      </c>
      <c r="AN19" s="17">
        <v>12</v>
      </c>
      <c r="AO19" s="17" t="e">
        <f>H19*0</f>
        <v>#REF!</v>
      </c>
      <c r="AP19" s="17" t="e">
        <f>H19*(1-0)</f>
        <v>#REF!</v>
      </c>
      <c r="AQ19" s="76" t="s">
        <v>585</v>
      </c>
      <c r="AV19" s="17" t="e">
        <f t="shared" si="16"/>
        <v>#REF!</v>
      </c>
      <c r="AW19" s="17" t="e">
        <f t="shared" si="17"/>
        <v>#REF!</v>
      </c>
      <c r="AX19" s="17" t="e">
        <f t="shared" si="18"/>
        <v>#REF!</v>
      </c>
      <c r="AY19" s="76" t="s">
        <v>578</v>
      </c>
      <c r="AZ19" s="76" t="s">
        <v>579</v>
      </c>
      <c r="BA19" s="14" t="s">
        <v>580</v>
      </c>
      <c r="BC19" s="17" t="e">
        <f t="shared" si="19"/>
        <v>#REF!</v>
      </c>
      <c r="BD19" s="17" t="e">
        <f t="shared" si="20"/>
        <v>#REF!</v>
      </c>
      <c r="BE19" s="17">
        <v>0</v>
      </c>
      <c r="BF19" s="17" t="e">
        <f t="shared" si="21"/>
        <v>#REF!</v>
      </c>
      <c r="BH19" s="17" t="e">
        <f t="shared" si="22"/>
        <v>#REF!</v>
      </c>
      <c r="BI19" s="17" t="e">
        <f t="shared" si="23"/>
        <v>#REF!</v>
      </c>
      <c r="BJ19" s="17" t="e">
        <f t="shared" si="24"/>
        <v>#REF!</v>
      </c>
      <c r="BK19" s="17"/>
      <c r="BL19" s="17">
        <v>721</v>
      </c>
      <c r="BW19" s="17">
        <f t="shared" si="25"/>
        <v>12</v>
      </c>
      <c r="BX19" s="4" t="s">
        <v>44</v>
      </c>
    </row>
    <row r="20" spans="1:76" x14ac:dyDescent="0.25">
      <c r="A20" s="71" t="s">
        <v>25</v>
      </c>
      <c r="B20" s="13" t="s">
        <v>46</v>
      </c>
      <c r="C20" s="13" t="s">
        <v>25</v>
      </c>
      <c r="D20" s="135" t="s">
        <v>47</v>
      </c>
      <c r="E20" s="136"/>
      <c r="F20" s="72" t="s">
        <v>23</v>
      </c>
      <c r="G20" s="72" t="s">
        <v>23</v>
      </c>
      <c r="H20" s="72" t="s">
        <v>23</v>
      </c>
      <c r="I20" s="72" t="s">
        <v>23</v>
      </c>
      <c r="J20" s="47" t="e">
        <f>J21</f>
        <v>#REF!</v>
      </c>
      <c r="K20" s="47" t="e">
        <f>K21</f>
        <v>#REF!</v>
      </c>
      <c r="L20" s="47" t="e">
        <f>L21</f>
        <v>#REF!</v>
      </c>
      <c r="M20" s="47" t="e">
        <f>M21</f>
        <v>#REF!</v>
      </c>
      <c r="N20" s="14" t="s">
        <v>25</v>
      </c>
      <c r="O20" s="47" t="e">
        <f>O21</f>
        <v>#REF!</v>
      </c>
      <c r="P20" s="73" t="s">
        <v>25</v>
      </c>
    </row>
    <row r="21" spans="1:76" x14ac:dyDescent="0.25">
      <c r="A21" s="71" t="s">
        <v>25</v>
      </c>
      <c r="B21" s="13" t="s">
        <v>46</v>
      </c>
      <c r="C21" s="13" t="s">
        <v>27</v>
      </c>
      <c r="D21" s="135" t="s">
        <v>28</v>
      </c>
      <c r="E21" s="136"/>
      <c r="F21" s="72" t="s">
        <v>23</v>
      </c>
      <c r="G21" s="72" t="s">
        <v>23</v>
      </c>
      <c r="H21" s="72" t="s">
        <v>23</v>
      </c>
      <c r="I21" s="72" t="s">
        <v>23</v>
      </c>
      <c r="J21" s="47" t="e">
        <f>SUM(J22:J27)</f>
        <v>#REF!</v>
      </c>
      <c r="K21" s="47" t="e">
        <f>SUM(K22:K27)</f>
        <v>#REF!</v>
      </c>
      <c r="L21" s="47" t="e">
        <f>SUM(L22:L27)</f>
        <v>#REF!</v>
      </c>
      <c r="M21" s="47" t="e">
        <f>SUM(M22:M27)</f>
        <v>#REF!</v>
      </c>
      <c r="N21" s="14" t="s">
        <v>25</v>
      </c>
      <c r="O21" s="47" t="e">
        <f>SUM(O22:O27)</f>
        <v>#REF!</v>
      </c>
      <c r="P21" s="73" t="s">
        <v>25</v>
      </c>
      <c r="AI21" s="14" t="s">
        <v>46</v>
      </c>
      <c r="AS21" s="47">
        <f>SUM(AJ22:AJ27)</f>
        <v>0</v>
      </c>
      <c r="AT21" s="47" t="e">
        <f>SUM(AK22:AK27)</f>
        <v>#REF!</v>
      </c>
      <c r="AU21" s="47">
        <f>SUM(AL22:AL27)</f>
        <v>0</v>
      </c>
    </row>
    <row r="22" spans="1:76" x14ac:dyDescent="0.25">
      <c r="A22" s="1" t="s">
        <v>577</v>
      </c>
      <c r="B22" s="2" t="s">
        <v>46</v>
      </c>
      <c r="C22" s="2" t="s">
        <v>29</v>
      </c>
      <c r="D22" s="83" t="s">
        <v>30</v>
      </c>
      <c r="E22" s="84"/>
      <c r="F22" s="2" t="s">
        <v>31</v>
      </c>
      <c r="G22" s="17" t="e">
        <f>'Rozpočet - vybrané sloupce'!#REF!</f>
        <v>#REF!</v>
      </c>
      <c r="H22" s="17" t="e">
        <f>'Rozpočet - vybrané sloupce'!#REF!</f>
        <v>#REF!</v>
      </c>
      <c r="I22" s="74">
        <v>12</v>
      </c>
      <c r="J22" s="17" t="e">
        <f t="shared" ref="J22:J27" si="26">ROUND(G22*AO22,2)</f>
        <v>#REF!</v>
      </c>
      <c r="K22" s="17" t="e">
        <f t="shared" ref="K22:K27" si="27">ROUND(G22*AP22,2)</f>
        <v>#REF!</v>
      </c>
      <c r="L22" s="17" t="e">
        <f t="shared" ref="L22:L27" si="28">ROUND(G22*H22,2)</f>
        <v>#REF!</v>
      </c>
      <c r="M22" s="17" t="e">
        <f t="shared" ref="M22:M27" si="29">L22*(1+BW22/100)</f>
        <v>#REF!</v>
      </c>
      <c r="N22" s="17">
        <v>0</v>
      </c>
      <c r="O22" s="17" t="e">
        <f t="shared" ref="O22:O27" si="30">G22*N22</f>
        <v>#REF!</v>
      </c>
      <c r="P22" s="75" t="s">
        <v>576</v>
      </c>
      <c r="Z22" s="17">
        <f t="shared" ref="Z22:Z27" si="31">ROUND(IF(AQ22="5",BJ22,0),2)</f>
        <v>0</v>
      </c>
      <c r="AB22" s="17">
        <f t="shared" ref="AB22:AB27" si="32">ROUND(IF(AQ22="1",BH22,0),2)</f>
        <v>0</v>
      </c>
      <c r="AC22" s="17">
        <f t="shared" ref="AC22:AC27" si="33">ROUND(IF(AQ22="1",BI22,0),2)</f>
        <v>0</v>
      </c>
      <c r="AD22" s="17" t="e">
        <f t="shared" ref="AD22:AD27" si="34">ROUND(IF(AQ22="7",BH22,0),2)</f>
        <v>#REF!</v>
      </c>
      <c r="AE22" s="17" t="e">
        <f t="shared" ref="AE22:AE27" si="35">ROUND(IF(AQ22="7",BI22,0),2)</f>
        <v>#REF!</v>
      </c>
      <c r="AF22" s="17">
        <f t="shared" ref="AF22:AF27" si="36">ROUND(IF(AQ22="2",BH22,0),2)</f>
        <v>0</v>
      </c>
      <c r="AG22" s="17">
        <f t="shared" ref="AG22:AG27" si="37">ROUND(IF(AQ22="2",BI22,0),2)</f>
        <v>0</v>
      </c>
      <c r="AH22" s="17">
        <f t="shared" ref="AH22:AH27" si="38">ROUND(IF(AQ22="0",BJ22,0),2)</f>
        <v>0</v>
      </c>
      <c r="AI22" s="14" t="s">
        <v>46</v>
      </c>
      <c r="AJ22" s="17">
        <f t="shared" ref="AJ22:AJ27" si="39">IF(AN22=0,L22,0)</f>
        <v>0</v>
      </c>
      <c r="AK22" s="17" t="e">
        <f t="shared" ref="AK22:AK27" si="40">IF(AN22=12,L22,0)</f>
        <v>#REF!</v>
      </c>
      <c r="AL22" s="17">
        <f t="shared" ref="AL22:AL27" si="41">IF(AN22=21,L22,0)</f>
        <v>0</v>
      </c>
      <c r="AN22" s="17">
        <v>12</v>
      </c>
      <c r="AO22" s="17" t="e">
        <f>H22*1</f>
        <v>#REF!</v>
      </c>
      <c r="AP22" s="17" t="e">
        <f>H22*(1-1)</f>
        <v>#REF!</v>
      </c>
      <c r="AQ22" s="76" t="s">
        <v>577</v>
      </c>
      <c r="AV22" s="17" t="e">
        <f t="shared" ref="AV22:AV27" si="42">ROUND(AW22+AX22,2)</f>
        <v>#REF!</v>
      </c>
      <c r="AW22" s="17" t="e">
        <f t="shared" ref="AW22:AW27" si="43">ROUND(G22*AO22,2)</f>
        <v>#REF!</v>
      </c>
      <c r="AX22" s="17" t="e">
        <f t="shared" ref="AX22:AX27" si="44">ROUND(G22*AP22,2)</f>
        <v>#REF!</v>
      </c>
      <c r="AY22" s="76" t="s">
        <v>578</v>
      </c>
      <c r="AZ22" s="76" t="s">
        <v>587</v>
      </c>
      <c r="BA22" s="14" t="s">
        <v>588</v>
      </c>
      <c r="BC22" s="17" t="e">
        <f t="shared" ref="BC22:BC27" si="45">AW22+AX22</f>
        <v>#REF!</v>
      </c>
      <c r="BD22" s="17" t="e">
        <f t="shared" ref="BD22:BD27" si="46">H22/(100-BE22)*100</f>
        <v>#REF!</v>
      </c>
      <c r="BE22" s="17">
        <v>0</v>
      </c>
      <c r="BF22" s="17" t="e">
        <f t="shared" ref="BF22:BF27" si="47">O22</f>
        <v>#REF!</v>
      </c>
      <c r="BH22" s="17" t="e">
        <f t="shared" ref="BH22:BH27" si="48">G22*AO22</f>
        <v>#REF!</v>
      </c>
      <c r="BI22" s="17" t="e">
        <f t="shared" ref="BI22:BI27" si="49">G22*AP22</f>
        <v>#REF!</v>
      </c>
      <c r="BJ22" s="17" t="e">
        <f t="shared" ref="BJ22:BJ27" si="50">G22*H22</f>
        <v>#REF!</v>
      </c>
      <c r="BK22" s="17"/>
      <c r="BL22" s="17">
        <v>721</v>
      </c>
      <c r="BW22" s="17">
        <f t="shared" ref="BW22:BW27" si="51">I22</f>
        <v>12</v>
      </c>
      <c r="BX22" s="4" t="s">
        <v>30</v>
      </c>
    </row>
    <row r="23" spans="1:76" x14ac:dyDescent="0.25">
      <c r="A23" s="1" t="s">
        <v>589</v>
      </c>
      <c r="B23" s="2" t="s">
        <v>46</v>
      </c>
      <c r="C23" s="2" t="s">
        <v>33</v>
      </c>
      <c r="D23" s="83" t="s">
        <v>34</v>
      </c>
      <c r="E23" s="84"/>
      <c r="F23" s="2" t="s">
        <v>35</v>
      </c>
      <c r="G23" s="17" t="e">
        <f>'Rozpočet - vybrané sloupce'!#REF!</f>
        <v>#REF!</v>
      </c>
      <c r="H23" s="17" t="e">
        <f>'Rozpočet - vybrané sloupce'!#REF!</f>
        <v>#REF!</v>
      </c>
      <c r="I23" s="74">
        <v>12</v>
      </c>
      <c r="J23" s="17" t="e">
        <f t="shared" si="26"/>
        <v>#REF!</v>
      </c>
      <c r="K23" s="17" t="e">
        <f t="shared" si="27"/>
        <v>#REF!</v>
      </c>
      <c r="L23" s="17" t="e">
        <f t="shared" si="28"/>
        <v>#REF!</v>
      </c>
      <c r="M23" s="17" t="e">
        <f t="shared" si="29"/>
        <v>#REF!</v>
      </c>
      <c r="N23" s="17">
        <v>1.7049999999999999E-2</v>
      </c>
      <c r="O23" s="17" t="e">
        <f t="shared" si="30"/>
        <v>#REF!</v>
      </c>
      <c r="P23" s="75" t="s">
        <v>576</v>
      </c>
      <c r="Z23" s="17">
        <f t="shared" si="31"/>
        <v>0</v>
      </c>
      <c r="AB23" s="17">
        <f t="shared" si="32"/>
        <v>0</v>
      </c>
      <c r="AC23" s="17">
        <f t="shared" si="33"/>
        <v>0</v>
      </c>
      <c r="AD23" s="17" t="e">
        <f t="shared" si="34"/>
        <v>#REF!</v>
      </c>
      <c r="AE23" s="17" t="e">
        <f t="shared" si="35"/>
        <v>#REF!</v>
      </c>
      <c r="AF23" s="17">
        <f t="shared" si="36"/>
        <v>0</v>
      </c>
      <c r="AG23" s="17">
        <f t="shared" si="37"/>
        <v>0</v>
      </c>
      <c r="AH23" s="17">
        <f t="shared" si="38"/>
        <v>0</v>
      </c>
      <c r="AI23" s="14" t="s">
        <v>46</v>
      </c>
      <c r="AJ23" s="17">
        <f t="shared" si="39"/>
        <v>0</v>
      </c>
      <c r="AK23" s="17" t="e">
        <f t="shared" si="40"/>
        <v>#REF!</v>
      </c>
      <c r="AL23" s="17">
        <f t="shared" si="41"/>
        <v>0</v>
      </c>
      <c r="AN23" s="17">
        <v>12</v>
      </c>
      <c r="AO23" s="17" t="e">
        <f>H23*0</f>
        <v>#REF!</v>
      </c>
      <c r="AP23" s="17" t="e">
        <f>H23*(1-0)</f>
        <v>#REF!</v>
      </c>
      <c r="AQ23" s="76" t="s">
        <v>577</v>
      </c>
      <c r="AV23" s="17" t="e">
        <f t="shared" si="42"/>
        <v>#REF!</v>
      </c>
      <c r="AW23" s="17" t="e">
        <f t="shared" si="43"/>
        <v>#REF!</v>
      </c>
      <c r="AX23" s="17" t="e">
        <f t="shared" si="44"/>
        <v>#REF!</v>
      </c>
      <c r="AY23" s="76" t="s">
        <v>578</v>
      </c>
      <c r="AZ23" s="76" t="s">
        <v>587</v>
      </c>
      <c r="BA23" s="14" t="s">
        <v>588</v>
      </c>
      <c r="BC23" s="17" t="e">
        <f t="shared" si="45"/>
        <v>#REF!</v>
      </c>
      <c r="BD23" s="17" t="e">
        <f t="shared" si="46"/>
        <v>#REF!</v>
      </c>
      <c r="BE23" s="17">
        <v>0</v>
      </c>
      <c r="BF23" s="17" t="e">
        <f t="shared" si="47"/>
        <v>#REF!</v>
      </c>
      <c r="BH23" s="17" t="e">
        <f t="shared" si="48"/>
        <v>#REF!</v>
      </c>
      <c r="BI23" s="17" t="e">
        <f t="shared" si="49"/>
        <v>#REF!</v>
      </c>
      <c r="BJ23" s="17" t="e">
        <f t="shared" si="50"/>
        <v>#REF!</v>
      </c>
      <c r="BK23" s="17"/>
      <c r="BL23" s="17">
        <v>721</v>
      </c>
      <c r="BW23" s="17">
        <f t="shared" si="51"/>
        <v>12</v>
      </c>
      <c r="BX23" s="4" t="s">
        <v>34</v>
      </c>
    </row>
    <row r="24" spans="1:76" x14ac:dyDescent="0.25">
      <c r="A24" s="1" t="s">
        <v>590</v>
      </c>
      <c r="B24" s="2" t="s">
        <v>46</v>
      </c>
      <c r="C24" s="2" t="s">
        <v>36</v>
      </c>
      <c r="D24" s="83" t="s">
        <v>37</v>
      </c>
      <c r="E24" s="84"/>
      <c r="F24" s="2" t="s">
        <v>35</v>
      </c>
      <c r="G24" s="17" t="e">
        <f>'Rozpočet - vybrané sloupce'!#REF!</f>
        <v>#REF!</v>
      </c>
      <c r="H24" s="17" t="e">
        <f>'Rozpočet - vybrané sloupce'!#REF!</f>
        <v>#REF!</v>
      </c>
      <c r="I24" s="74">
        <v>12</v>
      </c>
      <c r="J24" s="17" t="e">
        <f t="shared" si="26"/>
        <v>#REF!</v>
      </c>
      <c r="K24" s="17" t="e">
        <f t="shared" si="27"/>
        <v>#REF!</v>
      </c>
      <c r="L24" s="17" t="e">
        <f t="shared" si="28"/>
        <v>#REF!</v>
      </c>
      <c r="M24" s="17" t="e">
        <f t="shared" si="29"/>
        <v>#REF!</v>
      </c>
      <c r="N24" s="17">
        <v>1.67E-3</v>
      </c>
      <c r="O24" s="17" t="e">
        <f t="shared" si="30"/>
        <v>#REF!</v>
      </c>
      <c r="P24" s="75" t="s">
        <v>576</v>
      </c>
      <c r="Z24" s="17">
        <f t="shared" si="31"/>
        <v>0</v>
      </c>
      <c r="AB24" s="17">
        <f t="shared" si="32"/>
        <v>0</v>
      </c>
      <c r="AC24" s="17">
        <f t="shared" si="33"/>
        <v>0</v>
      </c>
      <c r="AD24" s="17" t="e">
        <f t="shared" si="34"/>
        <v>#REF!</v>
      </c>
      <c r="AE24" s="17" t="e">
        <f t="shared" si="35"/>
        <v>#REF!</v>
      </c>
      <c r="AF24" s="17">
        <f t="shared" si="36"/>
        <v>0</v>
      </c>
      <c r="AG24" s="17">
        <f t="shared" si="37"/>
        <v>0</v>
      </c>
      <c r="AH24" s="17">
        <f t="shared" si="38"/>
        <v>0</v>
      </c>
      <c r="AI24" s="14" t="s">
        <v>46</v>
      </c>
      <c r="AJ24" s="17">
        <f t="shared" si="39"/>
        <v>0</v>
      </c>
      <c r="AK24" s="17" t="e">
        <f t="shared" si="40"/>
        <v>#REF!</v>
      </c>
      <c r="AL24" s="17">
        <f t="shared" si="41"/>
        <v>0</v>
      </c>
      <c r="AN24" s="17">
        <v>12</v>
      </c>
      <c r="AO24" s="17" t="e">
        <f>H24*0.858482293</f>
        <v>#REF!</v>
      </c>
      <c r="AP24" s="17" t="e">
        <f>H24*(1-0.858482293)</f>
        <v>#REF!</v>
      </c>
      <c r="AQ24" s="76" t="s">
        <v>577</v>
      </c>
      <c r="AV24" s="17" t="e">
        <f t="shared" si="42"/>
        <v>#REF!</v>
      </c>
      <c r="AW24" s="17" t="e">
        <f t="shared" si="43"/>
        <v>#REF!</v>
      </c>
      <c r="AX24" s="17" t="e">
        <f t="shared" si="44"/>
        <v>#REF!</v>
      </c>
      <c r="AY24" s="76" t="s">
        <v>578</v>
      </c>
      <c r="AZ24" s="76" t="s">
        <v>587</v>
      </c>
      <c r="BA24" s="14" t="s">
        <v>588</v>
      </c>
      <c r="BC24" s="17" t="e">
        <f t="shared" si="45"/>
        <v>#REF!</v>
      </c>
      <c r="BD24" s="17" t="e">
        <f t="shared" si="46"/>
        <v>#REF!</v>
      </c>
      <c r="BE24" s="17">
        <v>0</v>
      </c>
      <c r="BF24" s="17" t="e">
        <f t="shared" si="47"/>
        <v>#REF!</v>
      </c>
      <c r="BH24" s="17" t="e">
        <f t="shared" si="48"/>
        <v>#REF!</v>
      </c>
      <c r="BI24" s="17" t="e">
        <f t="shared" si="49"/>
        <v>#REF!</v>
      </c>
      <c r="BJ24" s="17" t="e">
        <f t="shared" si="50"/>
        <v>#REF!</v>
      </c>
      <c r="BK24" s="17"/>
      <c r="BL24" s="17">
        <v>721</v>
      </c>
      <c r="BW24" s="17">
        <f t="shared" si="51"/>
        <v>12</v>
      </c>
      <c r="BX24" s="4" t="s">
        <v>37</v>
      </c>
    </row>
    <row r="25" spans="1:76" x14ac:dyDescent="0.25">
      <c r="A25" s="1" t="s">
        <v>591</v>
      </c>
      <c r="B25" s="2" t="s">
        <v>46</v>
      </c>
      <c r="C25" s="2" t="s">
        <v>38</v>
      </c>
      <c r="D25" s="83" t="s">
        <v>39</v>
      </c>
      <c r="E25" s="84"/>
      <c r="F25" s="2" t="s">
        <v>40</v>
      </c>
      <c r="G25" s="17" t="e">
        <f>'Rozpočet - vybrané sloupce'!#REF!</f>
        <v>#REF!</v>
      </c>
      <c r="H25" s="17" t="e">
        <f>'Rozpočet - vybrané sloupce'!#REF!</f>
        <v>#REF!</v>
      </c>
      <c r="I25" s="74">
        <v>12</v>
      </c>
      <c r="J25" s="17" t="e">
        <f t="shared" si="26"/>
        <v>#REF!</v>
      </c>
      <c r="K25" s="17" t="e">
        <f t="shared" si="27"/>
        <v>#REF!</v>
      </c>
      <c r="L25" s="17" t="e">
        <f t="shared" si="28"/>
        <v>#REF!</v>
      </c>
      <c r="M25" s="17" t="e">
        <f t="shared" si="29"/>
        <v>#REF!</v>
      </c>
      <c r="N25" s="17">
        <v>1.6999999999999999E-3</v>
      </c>
      <c r="O25" s="17" t="e">
        <f t="shared" si="30"/>
        <v>#REF!</v>
      </c>
      <c r="P25" s="75" t="s">
        <v>584</v>
      </c>
      <c r="Z25" s="17">
        <f t="shared" si="31"/>
        <v>0</v>
      </c>
      <c r="AB25" s="17">
        <f t="shared" si="32"/>
        <v>0</v>
      </c>
      <c r="AC25" s="17">
        <f t="shared" si="33"/>
        <v>0</v>
      </c>
      <c r="AD25" s="17" t="e">
        <f t="shared" si="34"/>
        <v>#REF!</v>
      </c>
      <c r="AE25" s="17" t="e">
        <f t="shared" si="35"/>
        <v>#REF!</v>
      </c>
      <c r="AF25" s="17">
        <f t="shared" si="36"/>
        <v>0</v>
      </c>
      <c r="AG25" s="17">
        <f t="shared" si="37"/>
        <v>0</v>
      </c>
      <c r="AH25" s="17">
        <f t="shared" si="38"/>
        <v>0</v>
      </c>
      <c r="AI25" s="14" t="s">
        <v>46</v>
      </c>
      <c r="AJ25" s="17">
        <f t="shared" si="39"/>
        <v>0</v>
      </c>
      <c r="AK25" s="17" t="e">
        <f t="shared" si="40"/>
        <v>#REF!</v>
      </c>
      <c r="AL25" s="17">
        <f t="shared" si="41"/>
        <v>0</v>
      </c>
      <c r="AN25" s="17">
        <v>12</v>
      </c>
      <c r="AO25" s="17" t="e">
        <f>H25*0.865097778</f>
        <v>#REF!</v>
      </c>
      <c r="AP25" s="17" t="e">
        <f>H25*(1-0.865097778)</f>
        <v>#REF!</v>
      </c>
      <c r="AQ25" s="76" t="s">
        <v>577</v>
      </c>
      <c r="AV25" s="17" t="e">
        <f t="shared" si="42"/>
        <v>#REF!</v>
      </c>
      <c r="AW25" s="17" t="e">
        <f t="shared" si="43"/>
        <v>#REF!</v>
      </c>
      <c r="AX25" s="17" t="e">
        <f t="shared" si="44"/>
        <v>#REF!</v>
      </c>
      <c r="AY25" s="76" t="s">
        <v>578</v>
      </c>
      <c r="AZ25" s="76" t="s">
        <v>587</v>
      </c>
      <c r="BA25" s="14" t="s">
        <v>588</v>
      </c>
      <c r="BC25" s="17" t="e">
        <f t="shared" si="45"/>
        <v>#REF!</v>
      </c>
      <c r="BD25" s="17" t="e">
        <f t="shared" si="46"/>
        <v>#REF!</v>
      </c>
      <c r="BE25" s="17">
        <v>0</v>
      </c>
      <c r="BF25" s="17" t="e">
        <f t="shared" si="47"/>
        <v>#REF!</v>
      </c>
      <c r="BH25" s="17" t="e">
        <f t="shared" si="48"/>
        <v>#REF!</v>
      </c>
      <c r="BI25" s="17" t="e">
        <f t="shared" si="49"/>
        <v>#REF!</v>
      </c>
      <c r="BJ25" s="17" t="e">
        <f t="shared" si="50"/>
        <v>#REF!</v>
      </c>
      <c r="BK25" s="17"/>
      <c r="BL25" s="17">
        <v>721</v>
      </c>
      <c r="BW25" s="17">
        <f t="shared" si="51"/>
        <v>12</v>
      </c>
      <c r="BX25" s="4" t="s">
        <v>39</v>
      </c>
    </row>
    <row r="26" spans="1:76" x14ac:dyDescent="0.25">
      <c r="A26" s="1" t="s">
        <v>592</v>
      </c>
      <c r="B26" s="2" t="s">
        <v>46</v>
      </c>
      <c r="C26" s="2" t="s">
        <v>41</v>
      </c>
      <c r="D26" s="83" t="s">
        <v>42</v>
      </c>
      <c r="E26" s="84"/>
      <c r="F26" s="2" t="s">
        <v>35</v>
      </c>
      <c r="G26" s="17" t="e">
        <f>'Rozpočet - vybrané sloupce'!#REF!</f>
        <v>#REF!</v>
      </c>
      <c r="H26" s="17" t="e">
        <f>'Rozpočet - vybrané sloupce'!#REF!</f>
        <v>#REF!</v>
      </c>
      <c r="I26" s="74">
        <v>12</v>
      </c>
      <c r="J26" s="17" t="e">
        <f t="shared" si="26"/>
        <v>#REF!</v>
      </c>
      <c r="K26" s="17" t="e">
        <f t="shared" si="27"/>
        <v>#REF!</v>
      </c>
      <c r="L26" s="17" t="e">
        <f t="shared" si="28"/>
        <v>#REF!</v>
      </c>
      <c r="M26" s="17" t="e">
        <f t="shared" si="29"/>
        <v>#REF!</v>
      </c>
      <c r="N26" s="17">
        <v>0</v>
      </c>
      <c r="O26" s="17" t="e">
        <f t="shared" si="30"/>
        <v>#REF!</v>
      </c>
      <c r="P26" s="75" t="s">
        <v>576</v>
      </c>
      <c r="Z26" s="17">
        <f t="shared" si="31"/>
        <v>0</v>
      </c>
      <c r="AB26" s="17">
        <f t="shared" si="32"/>
        <v>0</v>
      </c>
      <c r="AC26" s="17">
        <f t="shared" si="33"/>
        <v>0</v>
      </c>
      <c r="AD26" s="17" t="e">
        <f t="shared" si="34"/>
        <v>#REF!</v>
      </c>
      <c r="AE26" s="17" t="e">
        <f t="shared" si="35"/>
        <v>#REF!</v>
      </c>
      <c r="AF26" s="17">
        <f t="shared" si="36"/>
        <v>0</v>
      </c>
      <c r="AG26" s="17">
        <f t="shared" si="37"/>
        <v>0</v>
      </c>
      <c r="AH26" s="17">
        <f t="shared" si="38"/>
        <v>0</v>
      </c>
      <c r="AI26" s="14" t="s">
        <v>46</v>
      </c>
      <c r="AJ26" s="17">
        <f t="shared" si="39"/>
        <v>0</v>
      </c>
      <c r="AK26" s="17" t="e">
        <f t="shared" si="40"/>
        <v>#REF!</v>
      </c>
      <c r="AL26" s="17">
        <f t="shared" si="41"/>
        <v>0</v>
      </c>
      <c r="AN26" s="17">
        <v>12</v>
      </c>
      <c r="AO26" s="17" t="e">
        <f>H26*0.216674938</f>
        <v>#REF!</v>
      </c>
      <c r="AP26" s="17" t="e">
        <f>H26*(1-0.216674938)</f>
        <v>#REF!</v>
      </c>
      <c r="AQ26" s="76" t="s">
        <v>577</v>
      </c>
      <c r="AV26" s="17" t="e">
        <f t="shared" si="42"/>
        <v>#REF!</v>
      </c>
      <c r="AW26" s="17" t="e">
        <f t="shared" si="43"/>
        <v>#REF!</v>
      </c>
      <c r="AX26" s="17" t="e">
        <f t="shared" si="44"/>
        <v>#REF!</v>
      </c>
      <c r="AY26" s="76" t="s">
        <v>578</v>
      </c>
      <c r="AZ26" s="76" t="s">
        <v>587</v>
      </c>
      <c r="BA26" s="14" t="s">
        <v>588</v>
      </c>
      <c r="BC26" s="17" t="e">
        <f t="shared" si="45"/>
        <v>#REF!</v>
      </c>
      <c r="BD26" s="17" t="e">
        <f t="shared" si="46"/>
        <v>#REF!</v>
      </c>
      <c r="BE26" s="17">
        <v>0</v>
      </c>
      <c r="BF26" s="17" t="e">
        <f t="shared" si="47"/>
        <v>#REF!</v>
      </c>
      <c r="BH26" s="17" t="e">
        <f t="shared" si="48"/>
        <v>#REF!</v>
      </c>
      <c r="BI26" s="17" t="e">
        <f t="shared" si="49"/>
        <v>#REF!</v>
      </c>
      <c r="BJ26" s="17" t="e">
        <f t="shared" si="50"/>
        <v>#REF!</v>
      </c>
      <c r="BK26" s="17"/>
      <c r="BL26" s="17">
        <v>721</v>
      </c>
      <c r="BW26" s="17">
        <f t="shared" si="51"/>
        <v>12</v>
      </c>
      <c r="BX26" s="4" t="s">
        <v>42</v>
      </c>
    </row>
    <row r="27" spans="1:76" x14ac:dyDescent="0.25">
      <c r="A27" s="1" t="s">
        <v>593</v>
      </c>
      <c r="B27" s="2" t="s">
        <v>46</v>
      </c>
      <c r="C27" s="2" t="s">
        <v>43</v>
      </c>
      <c r="D27" s="83" t="s">
        <v>44</v>
      </c>
      <c r="E27" s="84"/>
      <c r="F27" s="2" t="s">
        <v>45</v>
      </c>
      <c r="G27" s="17" t="e">
        <f>'Rozpočet - vybrané sloupce'!#REF!</f>
        <v>#REF!</v>
      </c>
      <c r="H27" s="17" t="e">
        <f>'Rozpočet - vybrané sloupce'!#REF!</f>
        <v>#REF!</v>
      </c>
      <c r="I27" s="74">
        <v>12</v>
      </c>
      <c r="J27" s="17" t="e">
        <f t="shared" si="26"/>
        <v>#REF!</v>
      </c>
      <c r="K27" s="17" t="e">
        <f t="shared" si="27"/>
        <v>#REF!</v>
      </c>
      <c r="L27" s="17" t="e">
        <f t="shared" si="28"/>
        <v>#REF!</v>
      </c>
      <c r="M27" s="17" t="e">
        <f t="shared" si="29"/>
        <v>#REF!</v>
      </c>
      <c r="N27" s="17">
        <v>0</v>
      </c>
      <c r="O27" s="17" t="e">
        <f t="shared" si="30"/>
        <v>#REF!</v>
      </c>
      <c r="P27" s="75" t="s">
        <v>576</v>
      </c>
      <c r="Z27" s="17" t="e">
        <f t="shared" si="31"/>
        <v>#REF!</v>
      </c>
      <c r="AB27" s="17">
        <f t="shared" si="32"/>
        <v>0</v>
      </c>
      <c r="AC27" s="17">
        <f t="shared" si="33"/>
        <v>0</v>
      </c>
      <c r="AD27" s="17">
        <f t="shared" si="34"/>
        <v>0</v>
      </c>
      <c r="AE27" s="17">
        <f t="shared" si="35"/>
        <v>0</v>
      </c>
      <c r="AF27" s="17">
        <f t="shared" si="36"/>
        <v>0</v>
      </c>
      <c r="AG27" s="17">
        <f t="shared" si="37"/>
        <v>0</v>
      </c>
      <c r="AH27" s="17">
        <f t="shared" si="38"/>
        <v>0</v>
      </c>
      <c r="AI27" s="14" t="s">
        <v>46</v>
      </c>
      <c r="AJ27" s="17">
        <f t="shared" si="39"/>
        <v>0</v>
      </c>
      <c r="AK27" s="17" t="e">
        <f t="shared" si="40"/>
        <v>#REF!</v>
      </c>
      <c r="AL27" s="17">
        <f t="shared" si="41"/>
        <v>0</v>
      </c>
      <c r="AN27" s="17">
        <v>12</v>
      </c>
      <c r="AO27" s="17" t="e">
        <f>H27*0</f>
        <v>#REF!</v>
      </c>
      <c r="AP27" s="17" t="e">
        <f>H27*(1-0)</f>
        <v>#REF!</v>
      </c>
      <c r="AQ27" s="76" t="s">
        <v>585</v>
      </c>
      <c r="AV27" s="17" t="e">
        <f t="shared" si="42"/>
        <v>#REF!</v>
      </c>
      <c r="AW27" s="17" t="e">
        <f t="shared" si="43"/>
        <v>#REF!</v>
      </c>
      <c r="AX27" s="17" t="e">
        <f t="shared" si="44"/>
        <v>#REF!</v>
      </c>
      <c r="AY27" s="76" t="s">
        <v>578</v>
      </c>
      <c r="AZ27" s="76" t="s">
        <v>587</v>
      </c>
      <c r="BA27" s="14" t="s">
        <v>588</v>
      </c>
      <c r="BC27" s="17" t="e">
        <f t="shared" si="45"/>
        <v>#REF!</v>
      </c>
      <c r="BD27" s="17" t="e">
        <f t="shared" si="46"/>
        <v>#REF!</v>
      </c>
      <c r="BE27" s="17">
        <v>0</v>
      </c>
      <c r="BF27" s="17" t="e">
        <f t="shared" si="47"/>
        <v>#REF!</v>
      </c>
      <c r="BH27" s="17" t="e">
        <f t="shared" si="48"/>
        <v>#REF!</v>
      </c>
      <c r="BI27" s="17" t="e">
        <f t="shared" si="49"/>
        <v>#REF!</v>
      </c>
      <c r="BJ27" s="17" t="e">
        <f t="shared" si="50"/>
        <v>#REF!</v>
      </c>
      <c r="BK27" s="17"/>
      <c r="BL27" s="17">
        <v>721</v>
      </c>
      <c r="BW27" s="17">
        <f t="shared" si="51"/>
        <v>12</v>
      </c>
      <c r="BX27" s="4" t="s">
        <v>44</v>
      </c>
    </row>
    <row r="28" spans="1:76" x14ac:dyDescent="0.25">
      <c r="A28" s="71" t="s">
        <v>25</v>
      </c>
      <c r="B28" s="13" t="s">
        <v>48</v>
      </c>
      <c r="C28" s="13" t="s">
        <v>25</v>
      </c>
      <c r="D28" s="135" t="s">
        <v>49</v>
      </c>
      <c r="E28" s="136"/>
      <c r="F28" s="72" t="s">
        <v>23</v>
      </c>
      <c r="G28" s="72" t="s">
        <v>23</v>
      </c>
      <c r="H28" s="72" t="s">
        <v>23</v>
      </c>
      <c r="I28" s="72" t="s">
        <v>23</v>
      </c>
      <c r="J28" s="47" t="e">
        <f>J29</f>
        <v>#REF!</v>
      </c>
      <c r="K28" s="47" t="e">
        <f>K29</f>
        <v>#REF!</v>
      </c>
      <c r="L28" s="47" t="e">
        <f>L29</f>
        <v>#REF!</v>
      </c>
      <c r="M28" s="47" t="e">
        <f>M29</f>
        <v>#REF!</v>
      </c>
      <c r="N28" s="14" t="s">
        <v>25</v>
      </c>
      <c r="O28" s="47" t="e">
        <f>O29</f>
        <v>#REF!</v>
      </c>
      <c r="P28" s="73" t="s">
        <v>25</v>
      </c>
    </row>
    <row r="29" spans="1:76" x14ac:dyDescent="0.25">
      <c r="A29" s="71" t="s">
        <v>25</v>
      </c>
      <c r="B29" s="13" t="s">
        <v>48</v>
      </c>
      <c r="C29" s="13" t="s">
        <v>27</v>
      </c>
      <c r="D29" s="135" t="s">
        <v>28</v>
      </c>
      <c r="E29" s="136"/>
      <c r="F29" s="72" t="s">
        <v>23</v>
      </c>
      <c r="G29" s="72" t="s">
        <v>23</v>
      </c>
      <c r="H29" s="72" t="s">
        <v>23</v>
      </c>
      <c r="I29" s="72" t="s">
        <v>23</v>
      </c>
      <c r="J29" s="47" t="e">
        <f>SUM(J30:J35)</f>
        <v>#REF!</v>
      </c>
      <c r="K29" s="47" t="e">
        <f>SUM(K30:K35)</f>
        <v>#REF!</v>
      </c>
      <c r="L29" s="47" t="e">
        <f>SUM(L30:L35)</f>
        <v>#REF!</v>
      </c>
      <c r="M29" s="47" t="e">
        <f>SUM(M30:M35)</f>
        <v>#REF!</v>
      </c>
      <c r="N29" s="14" t="s">
        <v>25</v>
      </c>
      <c r="O29" s="47" t="e">
        <f>SUM(O30:O35)</f>
        <v>#REF!</v>
      </c>
      <c r="P29" s="73" t="s">
        <v>25</v>
      </c>
      <c r="AI29" s="14" t="s">
        <v>48</v>
      </c>
      <c r="AS29" s="47">
        <f>SUM(AJ30:AJ35)</f>
        <v>0</v>
      </c>
      <c r="AT29" s="47" t="e">
        <f>SUM(AK30:AK35)</f>
        <v>#REF!</v>
      </c>
      <c r="AU29" s="47">
        <f>SUM(AL30:AL35)</f>
        <v>0</v>
      </c>
    </row>
    <row r="30" spans="1:76" x14ac:dyDescent="0.25">
      <c r="A30" s="1" t="s">
        <v>594</v>
      </c>
      <c r="B30" s="2" t="s">
        <v>48</v>
      </c>
      <c r="C30" s="2" t="s">
        <v>29</v>
      </c>
      <c r="D30" s="83" t="s">
        <v>30</v>
      </c>
      <c r="E30" s="84"/>
      <c r="F30" s="2" t="s">
        <v>31</v>
      </c>
      <c r="G30" s="17" t="e">
        <f>'Rozpočet - vybrané sloupce'!#REF!</f>
        <v>#REF!</v>
      </c>
      <c r="H30" s="17" t="e">
        <f>'Rozpočet - vybrané sloupce'!#REF!</f>
        <v>#REF!</v>
      </c>
      <c r="I30" s="74">
        <v>12</v>
      </c>
      <c r="J30" s="17" t="e">
        <f t="shared" ref="J30:J35" si="52">ROUND(G30*AO30,2)</f>
        <v>#REF!</v>
      </c>
      <c r="K30" s="17" t="e">
        <f t="shared" ref="K30:K35" si="53">ROUND(G30*AP30,2)</f>
        <v>#REF!</v>
      </c>
      <c r="L30" s="17" t="e">
        <f t="shared" ref="L30:L35" si="54">ROUND(G30*H30,2)</f>
        <v>#REF!</v>
      </c>
      <c r="M30" s="17" t="e">
        <f t="shared" ref="M30:M35" si="55">L30*(1+BW30/100)</f>
        <v>#REF!</v>
      </c>
      <c r="N30" s="17">
        <v>0</v>
      </c>
      <c r="O30" s="17" t="e">
        <f t="shared" ref="O30:O35" si="56">G30*N30</f>
        <v>#REF!</v>
      </c>
      <c r="P30" s="75" t="s">
        <v>576</v>
      </c>
      <c r="Z30" s="17">
        <f t="shared" ref="Z30:Z35" si="57">ROUND(IF(AQ30="5",BJ30,0),2)</f>
        <v>0</v>
      </c>
      <c r="AB30" s="17">
        <f t="shared" ref="AB30:AB35" si="58">ROUND(IF(AQ30="1",BH30,0),2)</f>
        <v>0</v>
      </c>
      <c r="AC30" s="17">
        <f t="shared" ref="AC30:AC35" si="59">ROUND(IF(AQ30="1",BI30,0),2)</f>
        <v>0</v>
      </c>
      <c r="AD30" s="17" t="e">
        <f t="shared" ref="AD30:AD35" si="60">ROUND(IF(AQ30="7",BH30,0),2)</f>
        <v>#REF!</v>
      </c>
      <c r="AE30" s="17" t="e">
        <f t="shared" ref="AE30:AE35" si="61">ROUND(IF(AQ30="7",BI30,0),2)</f>
        <v>#REF!</v>
      </c>
      <c r="AF30" s="17">
        <f t="shared" ref="AF30:AF35" si="62">ROUND(IF(AQ30="2",BH30,0),2)</f>
        <v>0</v>
      </c>
      <c r="AG30" s="17">
        <f t="shared" ref="AG30:AG35" si="63">ROUND(IF(AQ30="2",BI30,0),2)</f>
        <v>0</v>
      </c>
      <c r="AH30" s="17">
        <f t="shared" ref="AH30:AH35" si="64">ROUND(IF(AQ30="0",BJ30,0),2)</f>
        <v>0</v>
      </c>
      <c r="AI30" s="14" t="s">
        <v>48</v>
      </c>
      <c r="AJ30" s="17">
        <f t="shared" ref="AJ30:AJ35" si="65">IF(AN30=0,L30,0)</f>
        <v>0</v>
      </c>
      <c r="AK30" s="17" t="e">
        <f t="shared" ref="AK30:AK35" si="66">IF(AN30=12,L30,0)</f>
        <v>#REF!</v>
      </c>
      <c r="AL30" s="17">
        <f t="shared" ref="AL30:AL35" si="67">IF(AN30=21,L30,0)</f>
        <v>0</v>
      </c>
      <c r="AN30" s="17">
        <v>12</v>
      </c>
      <c r="AO30" s="17" t="e">
        <f>H30*1</f>
        <v>#REF!</v>
      </c>
      <c r="AP30" s="17" t="e">
        <f>H30*(1-1)</f>
        <v>#REF!</v>
      </c>
      <c r="AQ30" s="76" t="s">
        <v>577</v>
      </c>
      <c r="AV30" s="17" t="e">
        <f t="shared" ref="AV30:AV35" si="68">ROUND(AW30+AX30,2)</f>
        <v>#REF!</v>
      </c>
      <c r="AW30" s="17" t="e">
        <f t="shared" ref="AW30:AW35" si="69">ROUND(G30*AO30,2)</f>
        <v>#REF!</v>
      </c>
      <c r="AX30" s="17" t="e">
        <f t="shared" ref="AX30:AX35" si="70">ROUND(G30*AP30,2)</f>
        <v>#REF!</v>
      </c>
      <c r="AY30" s="76" t="s">
        <v>578</v>
      </c>
      <c r="AZ30" s="76" t="s">
        <v>595</v>
      </c>
      <c r="BA30" s="14" t="s">
        <v>596</v>
      </c>
      <c r="BC30" s="17" t="e">
        <f t="shared" ref="BC30:BC35" si="71">AW30+AX30</f>
        <v>#REF!</v>
      </c>
      <c r="BD30" s="17" t="e">
        <f t="shared" ref="BD30:BD35" si="72">H30/(100-BE30)*100</f>
        <v>#REF!</v>
      </c>
      <c r="BE30" s="17">
        <v>0</v>
      </c>
      <c r="BF30" s="17" t="e">
        <f t="shared" ref="BF30:BF35" si="73">O30</f>
        <v>#REF!</v>
      </c>
      <c r="BH30" s="17" t="e">
        <f t="shared" ref="BH30:BH35" si="74">G30*AO30</f>
        <v>#REF!</v>
      </c>
      <c r="BI30" s="17" t="e">
        <f t="shared" ref="BI30:BI35" si="75">G30*AP30</f>
        <v>#REF!</v>
      </c>
      <c r="BJ30" s="17" t="e">
        <f t="shared" ref="BJ30:BJ35" si="76">G30*H30</f>
        <v>#REF!</v>
      </c>
      <c r="BK30" s="17"/>
      <c r="BL30" s="17">
        <v>721</v>
      </c>
      <c r="BW30" s="17">
        <f t="shared" ref="BW30:BW35" si="77">I30</f>
        <v>12</v>
      </c>
      <c r="BX30" s="4" t="s">
        <v>30</v>
      </c>
    </row>
    <row r="31" spans="1:76" x14ac:dyDescent="0.25">
      <c r="A31" s="1" t="s">
        <v>597</v>
      </c>
      <c r="B31" s="2" t="s">
        <v>48</v>
      </c>
      <c r="C31" s="2" t="s">
        <v>33</v>
      </c>
      <c r="D31" s="83" t="s">
        <v>34</v>
      </c>
      <c r="E31" s="84"/>
      <c r="F31" s="2" t="s">
        <v>35</v>
      </c>
      <c r="G31" s="17" t="e">
        <f>'Rozpočet - vybrané sloupce'!#REF!</f>
        <v>#REF!</v>
      </c>
      <c r="H31" s="17" t="e">
        <f>'Rozpočet - vybrané sloupce'!#REF!</f>
        <v>#REF!</v>
      </c>
      <c r="I31" s="74">
        <v>12</v>
      </c>
      <c r="J31" s="17" t="e">
        <f t="shared" si="52"/>
        <v>#REF!</v>
      </c>
      <c r="K31" s="17" t="e">
        <f t="shared" si="53"/>
        <v>#REF!</v>
      </c>
      <c r="L31" s="17" t="e">
        <f t="shared" si="54"/>
        <v>#REF!</v>
      </c>
      <c r="M31" s="17" t="e">
        <f t="shared" si="55"/>
        <v>#REF!</v>
      </c>
      <c r="N31" s="17">
        <v>1.7049999999999999E-2</v>
      </c>
      <c r="O31" s="17" t="e">
        <f t="shared" si="56"/>
        <v>#REF!</v>
      </c>
      <c r="P31" s="75" t="s">
        <v>576</v>
      </c>
      <c r="Z31" s="17">
        <f t="shared" si="57"/>
        <v>0</v>
      </c>
      <c r="AB31" s="17">
        <f t="shared" si="58"/>
        <v>0</v>
      </c>
      <c r="AC31" s="17">
        <f t="shared" si="59"/>
        <v>0</v>
      </c>
      <c r="AD31" s="17" t="e">
        <f t="shared" si="60"/>
        <v>#REF!</v>
      </c>
      <c r="AE31" s="17" t="e">
        <f t="shared" si="61"/>
        <v>#REF!</v>
      </c>
      <c r="AF31" s="17">
        <f t="shared" si="62"/>
        <v>0</v>
      </c>
      <c r="AG31" s="17">
        <f t="shared" si="63"/>
        <v>0</v>
      </c>
      <c r="AH31" s="17">
        <f t="shared" si="64"/>
        <v>0</v>
      </c>
      <c r="AI31" s="14" t="s">
        <v>48</v>
      </c>
      <c r="AJ31" s="17">
        <f t="shared" si="65"/>
        <v>0</v>
      </c>
      <c r="AK31" s="17" t="e">
        <f t="shared" si="66"/>
        <v>#REF!</v>
      </c>
      <c r="AL31" s="17">
        <f t="shared" si="67"/>
        <v>0</v>
      </c>
      <c r="AN31" s="17">
        <v>12</v>
      </c>
      <c r="AO31" s="17" t="e">
        <f>H31*0</f>
        <v>#REF!</v>
      </c>
      <c r="AP31" s="17" t="e">
        <f>H31*(1-0)</f>
        <v>#REF!</v>
      </c>
      <c r="AQ31" s="76" t="s">
        <v>577</v>
      </c>
      <c r="AV31" s="17" t="e">
        <f t="shared" si="68"/>
        <v>#REF!</v>
      </c>
      <c r="AW31" s="17" t="e">
        <f t="shared" si="69"/>
        <v>#REF!</v>
      </c>
      <c r="AX31" s="17" t="e">
        <f t="shared" si="70"/>
        <v>#REF!</v>
      </c>
      <c r="AY31" s="76" t="s">
        <v>578</v>
      </c>
      <c r="AZ31" s="76" t="s">
        <v>595</v>
      </c>
      <c r="BA31" s="14" t="s">
        <v>596</v>
      </c>
      <c r="BC31" s="17" t="e">
        <f t="shared" si="71"/>
        <v>#REF!</v>
      </c>
      <c r="BD31" s="17" t="e">
        <f t="shared" si="72"/>
        <v>#REF!</v>
      </c>
      <c r="BE31" s="17">
        <v>0</v>
      </c>
      <c r="BF31" s="17" t="e">
        <f t="shared" si="73"/>
        <v>#REF!</v>
      </c>
      <c r="BH31" s="17" t="e">
        <f t="shared" si="74"/>
        <v>#REF!</v>
      </c>
      <c r="BI31" s="17" t="e">
        <f t="shared" si="75"/>
        <v>#REF!</v>
      </c>
      <c r="BJ31" s="17" t="e">
        <f t="shared" si="76"/>
        <v>#REF!</v>
      </c>
      <c r="BK31" s="17"/>
      <c r="BL31" s="17">
        <v>721</v>
      </c>
      <c r="BW31" s="17">
        <f t="shared" si="77"/>
        <v>12</v>
      </c>
      <c r="BX31" s="4" t="s">
        <v>34</v>
      </c>
    </row>
    <row r="32" spans="1:76" x14ac:dyDescent="0.25">
      <c r="A32" s="1" t="s">
        <v>598</v>
      </c>
      <c r="B32" s="2" t="s">
        <v>48</v>
      </c>
      <c r="C32" s="2" t="s">
        <v>36</v>
      </c>
      <c r="D32" s="83" t="s">
        <v>37</v>
      </c>
      <c r="E32" s="84"/>
      <c r="F32" s="2" t="s">
        <v>35</v>
      </c>
      <c r="G32" s="17" t="e">
        <f>'Rozpočet - vybrané sloupce'!#REF!</f>
        <v>#REF!</v>
      </c>
      <c r="H32" s="17" t="e">
        <f>'Rozpočet - vybrané sloupce'!#REF!</f>
        <v>#REF!</v>
      </c>
      <c r="I32" s="74">
        <v>12</v>
      </c>
      <c r="J32" s="17" t="e">
        <f t="shared" si="52"/>
        <v>#REF!</v>
      </c>
      <c r="K32" s="17" t="e">
        <f t="shared" si="53"/>
        <v>#REF!</v>
      </c>
      <c r="L32" s="17" t="e">
        <f t="shared" si="54"/>
        <v>#REF!</v>
      </c>
      <c r="M32" s="17" t="e">
        <f t="shared" si="55"/>
        <v>#REF!</v>
      </c>
      <c r="N32" s="17">
        <v>1.67E-3</v>
      </c>
      <c r="O32" s="17" t="e">
        <f t="shared" si="56"/>
        <v>#REF!</v>
      </c>
      <c r="P32" s="75" t="s">
        <v>576</v>
      </c>
      <c r="Z32" s="17">
        <f t="shared" si="57"/>
        <v>0</v>
      </c>
      <c r="AB32" s="17">
        <f t="shared" si="58"/>
        <v>0</v>
      </c>
      <c r="AC32" s="17">
        <f t="shared" si="59"/>
        <v>0</v>
      </c>
      <c r="AD32" s="17" t="e">
        <f t="shared" si="60"/>
        <v>#REF!</v>
      </c>
      <c r="AE32" s="17" t="e">
        <f t="shared" si="61"/>
        <v>#REF!</v>
      </c>
      <c r="AF32" s="17">
        <f t="shared" si="62"/>
        <v>0</v>
      </c>
      <c r="AG32" s="17">
        <f t="shared" si="63"/>
        <v>0</v>
      </c>
      <c r="AH32" s="17">
        <f t="shared" si="64"/>
        <v>0</v>
      </c>
      <c r="AI32" s="14" t="s">
        <v>48</v>
      </c>
      <c r="AJ32" s="17">
        <f t="shared" si="65"/>
        <v>0</v>
      </c>
      <c r="AK32" s="17" t="e">
        <f t="shared" si="66"/>
        <v>#REF!</v>
      </c>
      <c r="AL32" s="17">
        <f t="shared" si="67"/>
        <v>0</v>
      </c>
      <c r="AN32" s="17">
        <v>12</v>
      </c>
      <c r="AO32" s="17" t="e">
        <f>H32*0.858482293</f>
        <v>#REF!</v>
      </c>
      <c r="AP32" s="17" t="e">
        <f>H32*(1-0.858482293)</f>
        <v>#REF!</v>
      </c>
      <c r="AQ32" s="76" t="s">
        <v>577</v>
      </c>
      <c r="AV32" s="17" t="e">
        <f t="shared" si="68"/>
        <v>#REF!</v>
      </c>
      <c r="AW32" s="17" t="e">
        <f t="shared" si="69"/>
        <v>#REF!</v>
      </c>
      <c r="AX32" s="17" t="e">
        <f t="shared" si="70"/>
        <v>#REF!</v>
      </c>
      <c r="AY32" s="76" t="s">
        <v>578</v>
      </c>
      <c r="AZ32" s="76" t="s">
        <v>595</v>
      </c>
      <c r="BA32" s="14" t="s">
        <v>596</v>
      </c>
      <c r="BC32" s="17" t="e">
        <f t="shared" si="71"/>
        <v>#REF!</v>
      </c>
      <c r="BD32" s="17" t="e">
        <f t="shared" si="72"/>
        <v>#REF!</v>
      </c>
      <c r="BE32" s="17">
        <v>0</v>
      </c>
      <c r="BF32" s="17" t="e">
        <f t="shared" si="73"/>
        <v>#REF!</v>
      </c>
      <c r="BH32" s="17" t="e">
        <f t="shared" si="74"/>
        <v>#REF!</v>
      </c>
      <c r="BI32" s="17" t="e">
        <f t="shared" si="75"/>
        <v>#REF!</v>
      </c>
      <c r="BJ32" s="17" t="e">
        <f t="shared" si="76"/>
        <v>#REF!</v>
      </c>
      <c r="BK32" s="17"/>
      <c r="BL32" s="17">
        <v>721</v>
      </c>
      <c r="BW32" s="17">
        <f t="shared" si="77"/>
        <v>12</v>
      </c>
      <c r="BX32" s="4" t="s">
        <v>37</v>
      </c>
    </row>
    <row r="33" spans="1:76" x14ac:dyDescent="0.25">
      <c r="A33" s="1" t="s">
        <v>599</v>
      </c>
      <c r="B33" s="2" t="s">
        <v>48</v>
      </c>
      <c r="C33" s="2" t="s">
        <v>38</v>
      </c>
      <c r="D33" s="83" t="s">
        <v>39</v>
      </c>
      <c r="E33" s="84"/>
      <c r="F33" s="2" t="s">
        <v>40</v>
      </c>
      <c r="G33" s="17" t="e">
        <f>'Rozpočet - vybrané sloupce'!#REF!</f>
        <v>#REF!</v>
      </c>
      <c r="H33" s="17" t="e">
        <f>'Rozpočet - vybrané sloupce'!#REF!</f>
        <v>#REF!</v>
      </c>
      <c r="I33" s="74">
        <v>12</v>
      </c>
      <c r="J33" s="17" t="e">
        <f t="shared" si="52"/>
        <v>#REF!</v>
      </c>
      <c r="K33" s="17" t="e">
        <f t="shared" si="53"/>
        <v>#REF!</v>
      </c>
      <c r="L33" s="17" t="e">
        <f t="shared" si="54"/>
        <v>#REF!</v>
      </c>
      <c r="M33" s="17" t="e">
        <f t="shared" si="55"/>
        <v>#REF!</v>
      </c>
      <c r="N33" s="17">
        <v>1.6999999999999999E-3</v>
      </c>
      <c r="O33" s="17" t="e">
        <f t="shared" si="56"/>
        <v>#REF!</v>
      </c>
      <c r="P33" s="75" t="s">
        <v>584</v>
      </c>
      <c r="Z33" s="17">
        <f t="shared" si="57"/>
        <v>0</v>
      </c>
      <c r="AB33" s="17">
        <f t="shared" si="58"/>
        <v>0</v>
      </c>
      <c r="AC33" s="17">
        <f t="shared" si="59"/>
        <v>0</v>
      </c>
      <c r="AD33" s="17" t="e">
        <f t="shared" si="60"/>
        <v>#REF!</v>
      </c>
      <c r="AE33" s="17" t="e">
        <f t="shared" si="61"/>
        <v>#REF!</v>
      </c>
      <c r="AF33" s="17">
        <f t="shared" si="62"/>
        <v>0</v>
      </c>
      <c r="AG33" s="17">
        <f t="shared" si="63"/>
        <v>0</v>
      </c>
      <c r="AH33" s="17">
        <f t="shared" si="64"/>
        <v>0</v>
      </c>
      <c r="AI33" s="14" t="s">
        <v>48</v>
      </c>
      <c r="AJ33" s="17">
        <f t="shared" si="65"/>
        <v>0</v>
      </c>
      <c r="AK33" s="17" t="e">
        <f t="shared" si="66"/>
        <v>#REF!</v>
      </c>
      <c r="AL33" s="17">
        <f t="shared" si="67"/>
        <v>0</v>
      </c>
      <c r="AN33" s="17">
        <v>12</v>
      </c>
      <c r="AO33" s="17" t="e">
        <f>H33*0.865097778</f>
        <v>#REF!</v>
      </c>
      <c r="AP33" s="17" t="e">
        <f>H33*(1-0.865097778)</f>
        <v>#REF!</v>
      </c>
      <c r="AQ33" s="76" t="s">
        <v>577</v>
      </c>
      <c r="AV33" s="17" t="e">
        <f t="shared" si="68"/>
        <v>#REF!</v>
      </c>
      <c r="AW33" s="17" t="e">
        <f t="shared" si="69"/>
        <v>#REF!</v>
      </c>
      <c r="AX33" s="17" t="e">
        <f t="shared" si="70"/>
        <v>#REF!</v>
      </c>
      <c r="AY33" s="76" t="s">
        <v>578</v>
      </c>
      <c r="AZ33" s="76" t="s">
        <v>595</v>
      </c>
      <c r="BA33" s="14" t="s">
        <v>596</v>
      </c>
      <c r="BC33" s="17" t="e">
        <f t="shared" si="71"/>
        <v>#REF!</v>
      </c>
      <c r="BD33" s="17" t="e">
        <f t="shared" si="72"/>
        <v>#REF!</v>
      </c>
      <c r="BE33" s="17">
        <v>0</v>
      </c>
      <c r="BF33" s="17" t="e">
        <f t="shared" si="73"/>
        <v>#REF!</v>
      </c>
      <c r="BH33" s="17" t="e">
        <f t="shared" si="74"/>
        <v>#REF!</v>
      </c>
      <c r="BI33" s="17" t="e">
        <f t="shared" si="75"/>
        <v>#REF!</v>
      </c>
      <c r="BJ33" s="17" t="e">
        <f t="shared" si="76"/>
        <v>#REF!</v>
      </c>
      <c r="BK33" s="17"/>
      <c r="BL33" s="17">
        <v>721</v>
      </c>
      <c r="BW33" s="17">
        <f t="shared" si="77"/>
        <v>12</v>
      </c>
      <c r="BX33" s="4" t="s">
        <v>39</v>
      </c>
    </row>
    <row r="34" spans="1:76" x14ac:dyDescent="0.25">
      <c r="A34" s="1" t="s">
        <v>600</v>
      </c>
      <c r="B34" s="2" t="s">
        <v>48</v>
      </c>
      <c r="C34" s="2" t="s">
        <v>41</v>
      </c>
      <c r="D34" s="83" t="s">
        <v>42</v>
      </c>
      <c r="E34" s="84"/>
      <c r="F34" s="2" t="s">
        <v>35</v>
      </c>
      <c r="G34" s="17" t="e">
        <f>'Rozpočet - vybrané sloupce'!#REF!</f>
        <v>#REF!</v>
      </c>
      <c r="H34" s="17" t="e">
        <f>'Rozpočet - vybrané sloupce'!#REF!</f>
        <v>#REF!</v>
      </c>
      <c r="I34" s="74">
        <v>12</v>
      </c>
      <c r="J34" s="17" t="e">
        <f t="shared" si="52"/>
        <v>#REF!</v>
      </c>
      <c r="K34" s="17" t="e">
        <f t="shared" si="53"/>
        <v>#REF!</v>
      </c>
      <c r="L34" s="17" t="e">
        <f t="shared" si="54"/>
        <v>#REF!</v>
      </c>
      <c r="M34" s="17" t="e">
        <f t="shared" si="55"/>
        <v>#REF!</v>
      </c>
      <c r="N34" s="17">
        <v>0</v>
      </c>
      <c r="O34" s="17" t="e">
        <f t="shared" si="56"/>
        <v>#REF!</v>
      </c>
      <c r="P34" s="75" t="s">
        <v>576</v>
      </c>
      <c r="Z34" s="17">
        <f t="shared" si="57"/>
        <v>0</v>
      </c>
      <c r="AB34" s="17">
        <f t="shared" si="58"/>
        <v>0</v>
      </c>
      <c r="AC34" s="17">
        <f t="shared" si="59"/>
        <v>0</v>
      </c>
      <c r="AD34" s="17" t="e">
        <f t="shared" si="60"/>
        <v>#REF!</v>
      </c>
      <c r="AE34" s="17" t="e">
        <f t="shared" si="61"/>
        <v>#REF!</v>
      </c>
      <c r="AF34" s="17">
        <f t="shared" si="62"/>
        <v>0</v>
      </c>
      <c r="AG34" s="17">
        <f t="shared" si="63"/>
        <v>0</v>
      </c>
      <c r="AH34" s="17">
        <f t="shared" si="64"/>
        <v>0</v>
      </c>
      <c r="AI34" s="14" t="s">
        <v>48</v>
      </c>
      <c r="AJ34" s="17">
        <f t="shared" si="65"/>
        <v>0</v>
      </c>
      <c r="AK34" s="17" t="e">
        <f t="shared" si="66"/>
        <v>#REF!</v>
      </c>
      <c r="AL34" s="17">
        <f t="shared" si="67"/>
        <v>0</v>
      </c>
      <c r="AN34" s="17">
        <v>12</v>
      </c>
      <c r="AO34" s="17" t="e">
        <f>H34*0.216674938</f>
        <v>#REF!</v>
      </c>
      <c r="AP34" s="17" t="e">
        <f>H34*(1-0.216674938)</f>
        <v>#REF!</v>
      </c>
      <c r="AQ34" s="76" t="s">
        <v>577</v>
      </c>
      <c r="AV34" s="17" t="e">
        <f t="shared" si="68"/>
        <v>#REF!</v>
      </c>
      <c r="AW34" s="17" t="e">
        <f t="shared" si="69"/>
        <v>#REF!</v>
      </c>
      <c r="AX34" s="17" t="e">
        <f t="shared" si="70"/>
        <v>#REF!</v>
      </c>
      <c r="AY34" s="76" t="s">
        <v>578</v>
      </c>
      <c r="AZ34" s="76" t="s">
        <v>595</v>
      </c>
      <c r="BA34" s="14" t="s">
        <v>596</v>
      </c>
      <c r="BC34" s="17" t="e">
        <f t="shared" si="71"/>
        <v>#REF!</v>
      </c>
      <c r="BD34" s="17" t="e">
        <f t="shared" si="72"/>
        <v>#REF!</v>
      </c>
      <c r="BE34" s="17">
        <v>0</v>
      </c>
      <c r="BF34" s="17" t="e">
        <f t="shared" si="73"/>
        <v>#REF!</v>
      </c>
      <c r="BH34" s="17" t="e">
        <f t="shared" si="74"/>
        <v>#REF!</v>
      </c>
      <c r="BI34" s="17" t="e">
        <f t="shared" si="75"/>
        <v>#REF!</v>
      </c>
      <c r="BJ34" s="17" t="e">
        <f t="shared" si="76"/>
        <v>#REF!</v>
      </c>
      <c r="BK34" s="17"/>
      <c r="BL34" s="17">
        <v>721</v>
      </c>
      <c r="BW34" s="17">
        <f t="shared" si="77"/>
        <v>12</v>
      </c>
      <c r="BX34" s="4" t="s">
        <v>42</v>
      </c>
    </row>
    <row r="35" spans="1:76" x14ac:dyDescent="0.25">
      <c r="A35" s="1" t="s">
        <v>601</v>
      </c>
      <c r="B35" s="2" t="s">
        <v>48</v>
      </c>
      <c r="C35" s="2" t="s">
        <v>43</v>
      </c>
      <c r="D35" s="83" t="s">
        <v>44</v>
      </c>
      <c r="E35" s="84"/>
      <c r="F35" s="2" t="s">
        <v>45</v>
      </c>
      <c r="G35" s="17" t="e">
        <f>'Rozpočet - vybrané sloupce'!#REF!</f>
        <v>#REF!</v>
      </c>
      <c r="H35" s="17" t="e">
        <f>'Rozpočet - vybrané sloupce'!#REF!</f>
        <v>#REF!</v>
      </c>
      <c r="I35" s="74">
        <v>12</v>
      </c>
      <c r="J35" s="17" t="e">
        <f t="shared" si="52"/>
        <v>#REF!</v>
      </c>
      <c r="K35" s="17" t="e">
        <f t="shared" si="53"/>
        <v>#REF!</v>
      </c>
      <c r="L35" s="17" t="e">
        <f t="shared" si="54"/>
        <v>#REF!</v>
      </c>
      <c r="M35" s="17" t="e">
        <f t="shared" si="55"/>
        <v>#REF!</v>
      </c>
      <c r="N35" s="17">
        <v>0</v>
      </c>
      <c r="O35" s="17" t="e">
        <f t="shared" si="56"/>
        <v>#REF!</v>
      </c>
      <c r="P35" s="75" t="s">
        <v>576</v>
      </c>
      <c r="Z35" s="17" t="e">
        <f t="shared" si="57"/>
        <v>#REF!</v>
      </c>
      <c r="AB35" s="17">
        <f t="shared" si="58"/>
        <v>0</v>
      </c>
      <c r="AC35" s="17">
        <f t="shared" si="59"/>
        <v>0</v>
      </c>
      <c r="AD35" s="17">
        <f t="shared" si="60"/>
        <v>0</v>
      </c>
      <c r="AE35" s="17">
        <f t="shared" si="61"/>
        <v>0</v>
      </c>
      <c r="AF35" s="17">
        <f t="shared" si="62"/>
        <v>0</v>
      </c>
      <c r="AG35" s="17">
        <f t="shared" si="63"/>
        <v>0</v>
      </c>
      <c r="AH35" s="17">
        <f t="shared" si="64"/>
        <v>0</v>
      </c>
      <c r="AI35" s="14" t="s">
        <v>48</v>
      </c>
      <c r="AJ35" s="17">
        <f t="shared" si="65"/>
        <v>0</v>
      </c>
      <c r="AK35" s="17" t="e">
        <f t="shared" si="66"/>
        <v>#REF!</v>
      </c>
      <c r="AL35" s="17">
        <f t="shared" si="67"/>
        <v>0</v>
      </c>
      <c r="AN35" s="17">
        <v>12</v>
      </c>
      <c r="AO35" s="17" t="e">
        <f>H35*0</f>
        <v>#REF!</v>
      </c>
      <c r="AP35" s="17" t="e">
        <f>H35*(1-0)</f>
        <v>#REF!</v>
      </c>
      <c r="AQ35" s="76" t="s">
        <v>585</v>
      </c>
      <c r="AV35" s="17" t="e">
        <f t="shared" si="68"/>
        <v>#REF!</v>
      </c>
      <c r="AW35" s="17" t="e">
        <f t="shared" si="69"/>
        <v>#REF!</v>
      </c>
      <c r="AX35" s="17" t="e">
        <f t="shared" si="70"/>
        <v>#REF!</v>
      </c>
      <c r="AY35" s="76" t="s">
        <v>578</v>
      </c>
      <c r="AZ35" s="76" t="s">
        <v>595</v>
      </c>
      <c r="BA35" s="14" t="s">
        <v>596</v>
      </c>
      <c r="BC35" s="17" t="e">
        <f t="shared" si="71"/>
        <v>#REF!</v>
      </c>
      <c r="BD35" s="17" t="e">
        <f t="shared" si="72"/>
        <v>#REF!</v>
      </c>
      <c r="BE35" s="17">
        <v>0</v>
      </c>
      <c r="BF35" s="17" t="e">
        <f t="shared" si="73"/>
        <v>#REF!</v>
      </c>
      <c r="BH35" s="17" t="e">
        <f t="shared" si="74"/>
        <v>#REF!</v>
      </c>
      <c r="BI35" s="17" t="e">
        <f t="shared" si="75"/>
        <v>#REF!</v>
      </c>
      <c r="BJ35" s="17" t="e">
        <f t="shared" si="76"/>
        <v>#REF!</v>
      </c>
      <c r="BK35" s="17"/>
      <c r="BL35" s="17">
        <v>721</v>
      </c>
      <c r="BW35" s="17">
        <f t="shared" si="77"/>
        <v>12</v>
      </c>
      <c r="BX35" s="4" t="s">
        <v>44</v>
      </c>
    </row>
    <row r="36" spans="1:76" x14ac:dyDescent="0.25">
      <c r="A36" s="71" t="s">
        <v>25</v>
      </c>
      <c r="B36" s="13" t="s">
        <v>50</v>
      </c>
      <c r="C36" s="13" t="s">
        <v>25</v>
      </c>
      <c r="D36" s="135" t="s">
        <v>51</v>
      </c>
      <c r="E36" s="136"/>
      <c r="F36" s="72" t="s">
        <v>23</v>
      </c>
      <c r="G36" s="72" t="s">
        <v>23</v>
      </c>
      <c r="H36" s="72" t="s">
        <v>23</v>
      </c>
      <c r="I36" s="72" t="s">
        <v>23</v>
      </c>
      <c r="J36" s="47">
        <f>J37+J40</f>
        <v>0</v>
      </c>
      <c r="K36" s="47">
        <f>K37+K40</f>
        <v>0</v>
      </c>
      <c r="L36" s="47">
        <f>L37+L40</f>
        <v>0</v>
      </c>
      <c r="M36" s="47">
        <f>M37+M40</f>
        <v>0</v>
      </c>
      <c r="N36" s="14" t="s">
        <v>25</v>
      </c>
      <c r="O36" s="47">
        <f>O37+O40</f>
        <v>0.58567499999999995</v>
      </c>
      <c r="P36" s="73" t="s">
        <v>25</v>
      </c>
    </row>
    <row r="37" spans="1:76" x14ac:dyDescent="0.25">
      <c r="A37" s="71" t="s">
        <v>25</v>
      </c>
      <c r="B37" s="13" t="s">
        <v>50</v>
      </c>
      <c r="C37" s="13" t="s">
        <v>52</v>
      </c>
      <c r="D37" s="135" t="s">
        <v>53</v>
      </c>
      <c r="E37" s="136"/>
      <c r="F37" s="72" t="s">
        <v>23</v>
      </c>
      <c r="G37" s="72" t="s">
        <v>23</v>
      </c>
      <c r="H37" s="72" t="s">
        <v>23</v>
      </c>
      <c r="I37" s="72" t="s">
        <v>23</v>
      </c>
      <c r="J37" s="47">
        <f>SUM(J38:J39)</f>
        <v>0</v>
      </c>
      <c r="K37" s="47">
        <f>SUM(K38:K39)</f>
        <v>0</v>
      </c>
      <c r="L37" s="47">
        <f>SUM(L38:L39)</f>
        <v>0</v>
      </c>
      <c r="M37" s="47">
        <f>SUM(M38:M39)</f>
        <v>0</v>
      </c>
      <c r="N37" s="14" t="s">
        <v>25</v>
      </c>
      <c r="O37" s="47">
        <f>SUM(O38:O39)</f>
        <v>0</v>
      </c>
      <c r="P37" s="73" t="s">
        <v>25</v>
      </c>
      <c r="AI37" s="14" t="s">
        <v>50</v>
      </c>
      <c r="AS37" s="47">
        <f>SUM(AJ38:AJ39)</f>
        <v>0</v>
      </c>
      <c r="AT37" s="47">
        <f>SUM(AK38:AK39)</f>
        <v>0</v>
      </c>
      <c r="AU37" s="47">
        <f>SUM(AL38:AL39)</f>
        <v>0</v>
      </c>
    </row>
    <row r="38" spans="1:76" x14ac:dyDescent="0.25">
      <c r="A38" s="1" t="s">
        <v>602</v>
      </c>
      <c r="B38" s="2" t="s">
        <v>50</v>
      </c>
      <c r="C38" s="2" t="s">
        <v>54</v>
      </c>
      <c r="D38" s="83" t="s">
        <v>55</v>
      </c>
      <c r="E38" s="84"/>
      <c r="F38" s="2" t="s">
        <v>35</v>
      </c>
      <c r="G38" s="17">
        <f>'Rozpočet - vybrané sloupce'!J13</f>
        <v>9</v>
      </c>
      <c r="H38" s="17">
        <f>'Rozpočet - vybrané sloupce'!K13</f>
        <v>0</v>
      </c>
      <c r="I38" s="74">
        <v>12</v>
      </c>
      <c r="J38" s="17">
        <f>ROUND(G38*AO38,2)</f>
        <v>0</v>
      </c>
      <c r="K38" s="17">
        <f>ROUND(G38*AP38,2)</f>
        <v>0</v>
      </c>
      <c r="L38" s="17">
        <f>ROUND(G38*H38,2)</f>
        <v>0</v>
      </c>
      <c r="M38" s="17">
        <f>L38*(1+BW38/100)</f>
        <v>0</v>
      </c>
      <c r="N38" s="17">
        <v>0</v>
      </c>
      <c r="O38" s="17">
        <f>G38*N38</f>
        <v>0</v>
      </c>
      <c r="P38" s="75" t="s">
        <v>576</v>
      </c>
      <c r="Z38" s="17">
        <f>ROUND(IF(AQ38="5",BJ38,0),2)</f>
        <v>0</v>
      </c>
      <c r="AB38" s="17">
        <f>ROUND(IF(AQ38="1",BH38,0),2)</f>
        <v>0</v>
      </c>
      <c r="AC38" s="17">
        <f>ROUND(IF(AQ38="1",BI38,0),2)</f>
        <v>0</v>
      </c>
      <c r="AD38" s="17">
        <f>ROUND(IF(AQ38="7",BH38,0),2)</f>
        <v>0</v>
      </c>
      <c r="AE38" s="17">
        <f>ROUND(IF(AQ38="7",BI38,0),2)</f>
        <v>0</v>
      </c>
      <c r="AF38" s="17">
        <f>ROUND(IF(AQ38="2",BH38,0),2)</f>
        <v>0</v>
      </c>
      <c r="AG38" s="17">
        <f>ROUND(IF(AQ38="2",BI38,0),2)</f>
        <v>0</v>
      </c>
      <c r="AH38" s="17">
        <f>ROUND(IF(AQ38="0",BJ38,0),2)</f>
        <v>0</v>
      </c>
      <c r="AI38" s="14" t="s">
        <v>50</v>
      </c>
      <c r="AJ38" s="17">
        <f>IF(AN38=0,L38,0)</f>
        <v>0</v>
      </c>
      <c r="AK38" s="17">
        <f>IF(AN38=12,L38,0)</f>
        <v>0</v>
      </c>
      <c r="AL38" s="17">
        <f>IF(AN38=21,L38,0)</f>
        <v>0</v>
      </c>
      <c r="AN38" s="17">
        <v>12</v>
      </c>
      <c r="AO38" s="17">
        <f>H38*1</f>
        <v>0</v>
      </c>
      <c r="AP38" s="17">
        <f>H38*(1-1)</f>
        <v>0</v>
      </c>
      <c r="AQ38" s="76" t="s">
        <v>577</v>
      </c>
      <c r="AV38" s="17">
        <f>ROUND(AW38+AX38,2)</f>
        <v>0</v>
      </c>
      <c r="AW38" s="17">
        <f>ROUND(G38*AO38,2)</f>
        <v>0</v>
      </c>
      <c r="AX38" s="17">
        <f>ROUND(G38*AP38,2)</f>
        <v>0</v>
      </c>
      <c r="AY38" s="76" t="s">
        <v>603</v>
      </c>
      <c r="AZ38" s="76" t="s">
        <v>604</v>
      </c>
      <c r="BA38" s="14" t="s">
        <v>605</v>
      </c>
      <c r="BC38" s="17">
        <f>AW38+AX38</f>
        <v>0</v>
      </c>
      <c r="BD38" s="17">
        <f>H38/(100-BE38)*100</f>
        <v>0</v>
      </c>
      <c r="BE38" s="17">
        <v>0</v>
      </c>
      <c r="BF38" s="17">
        <f>O38</f>
        <v>0</v>
      </c>
      <c r="BH38" s="17">
        <f>G38*AO38</f>
        <v>0</v>
      </c>
      <c r="BI38" s="17">
        <f>G38*AP38</f>
        <v>0</v>
      </c>
      <c r="BJ38" s="17">
        <f>G38*H38</f>
        <v>0</v>
      </c>
      <c r="BK38" s="17"/>
      <c r="BL38" s="17">
        <v>713</v>
      </c>
      <c r="BW38" s="17">
        <f>I38</f>
        <v>12</v>
      </c>
      <c r="BX38" s="4" t="s">
        <v>55</v>
      </c>
    </row>
    <row r="39" spans="1:76" x14ac:dyDescent="0.25">
      <c r="A39" s="1" t="s">
        <v>606</v>
      </c>
      <c r="B39" s="2" t="s">
        <v>50</v>
      </c>
      <c r="C39" s="2" t="s">
        <v>56</v>
      </c>
      <c r="D39" s="83" t="s">
        <v>57</v>
      </c>
      <c r="E39" s="84"/>
      <c r="F39" s="2" t="s">
        <v>45</v>
      </c>
      <c r="G39" s="17">
        <f>'Rozpočet - vybrané sloupce'!J14</f>
        <v>0</v>
      </c>
      <c r="H39" s="17">
        <f>'Rozpočet - vybrané sloupce'!K14</f>
        <v>0</v>
      </c>
      <c r="I39" s="74">
        <v>12</v>
      </c>
      <c r="J39" s="17">
        <f>ROUND(G39*AO39,2)</f>
        <v>0</v>
      </c>
      <c r="K39" s="17">
        <f>ROUND(G39*AP39,2)</f>
        <v>0</v>
      </c>
      <c r="L39" s="17">
        <f>ROUND(G39*H39,2)</f>
        <v>0</v>
      </c>
      <c r="M39" s="17">
        <f>L39*(1+BW39/100)</f>
        <v>0</v>
      </c>
      <c r="N39" s="17">
        <v>0</v>
      </c>
      <c r="O39" s="17">
        <f>G39*N39</f>
        <v>0</v>
      </c>
      <c r="P39" s="75" t="s">
        <v>576</v>
      </c>
      <c r="Z39" s="17">
        <f>ROUND(IF(AQ39="5",BJ39,0),2)</f>
        <v>0</v>
      </c>
      <c r="AB39" s="17">
        <f>ROUND(IF(AQ39="1",BH39,0),2)</f>
        <v>0</v>
      </c>
      <c r="AC39" s="17">
        <f>ROUND(IF(AQ39="1",BI39,0),2)</f>
        <v>0</v>
      </c>
      <c r="AD39" s="17">
        <f>ROUND(IF(AQ39="7",BH39,0),2)</f>
        <v>0</v>
      </c>
      <c r="AE39" s="17">
        <f>ROUND(IF(AQ39="7",BI39,0),2)</f>
        <v>0</v>
      </c>
      <c r="AF39" s="17">
        <f>ROUND(IF(AQ39="2",BH39,0),2)</f>
        <v>0</v>
      </c>
      <c r="AG39" s="17">
        <f>ROUND(IF(AQ39="2",BI39,0),2)</f>
        <v>0</v>
      </c>
      <c r="AH39" s="17">
        <f>ROUND(IF(AQ39="0",BJ39,0),2)</f>
        <v>0</v>
      </c>
      <c r="AI39" s="14" t="s">
        <v>50</v>
      </c>
      <c r="AJ39" s="17">
        <f>IF(AN39=0,L39,0)</f>
        <v>0</v>
      </c>
      <c r="AK39" s="17">
        <f>IF(AN39=12,L39,0)</f>
        <v>0</v>
      </c>
      <c r="AL39" s="17">
        <f>IF(AN39=21,L39,0)</f>
        <v>0</v>
      </c>
      <c r="AN39" s="17">
        <v>12</v>
      </c>
      <c r="AO39" s="17">
        <f>H39*0</f>
        <v>0</v>
      </c>
      <c r="AP39" s="17">
        <f>H39*(1-0)</f>
        <v>0</v>
      </c>
      <c r="AQ39" s="76" t="s">
        <v>585</v>
      </c>
      <c r="AV39" s="17">
        <f>ROUND(AW39+AX39,2)</f>
        <v>0</v>
      </c>
      <c r="AW39" s="17">
        <f>ROUND(G39*AO39,2)</f>
        <v>0</v>
      </c>
      <c r="AX39" s="17">
        <f>ROUND(G39*AP39,2)</f>
        <v>0</v>
      </c>
      <c r="AY39" s="76" t="s">
        <v>603</v>
      </c>
      <c r="AZ39" s="76" t="s">
        <v>604</v>
      </c>
      <c r="BA39" s="14" t="s">
        <v>605</v>
      </c>
      <c r="BC39" s="17">
        <f>AW39+AX39</f>
        <v>0</v>
      </c>
      <c r="BD39" s="17">
        <f>H39/(100-BE39)*100</f>
        <v>0</v>
      </c>
      <c r="BE39" s="17">
        <v>0</v>
      </c>
      <c r="BF39" s="17">
        <f>O39</f>
        <v>0</v>
      </c>
      <c r="BH39" s="17">
        <f>G39*AO39</f>
        <v>0</v>
      </c>
      <c r="BI39" s="17">
        <f>G39*AP39</f>
        <v>0</v>
      </c>
      <c r="BJ39" s="17">
        <f>G39*H39</f>
        <v>0</v>
      </c>
      <c r="BK39" s="17"/>
      <c r="BL39" s="17">
        <v>713</v>
      </c>
      <c r="BW39" s="17">
        <f>I39</f>
        <v>12</v>
      </c>
      <c r="BX39" s="4" t="s">
        <v>57</v>
      </c>
    </row>
    <row r="40" spans="1:76" x14ac:dyDescent="0.25">
      <c r="A40" s="71" t="s">
        <v>25</v>
      </c>
      <c r="B40" s="13" t="s">
        <v>50</v>
      </c>
      <c r="C40" s="13" t="s">
        <v>27</v>
      </c>
      <c r="D40" s="135" t="s">
        <v>28</v>
      </c>
      <c r="E40" s="136"/>
      <c r="F40" s="72" t="s">
        <v>23</v>
      </c>
      <c r="G40" s="72" t="s">
        <v>23</v>
      </c>
      <c r="H40" s="72" t="s">
        <v>23</v>
      </c>
      <c r="I40" s="72" t="s">
        <v>23</v>
      </c>
      <c r="J40" s="47">
        <f>SUM(J41:J58)</f>
        <v>0</v>
      </c>
      <c r="K40" s="47">
        <f>SUM(K41:K58)</f>
        <v>0</v>
      </c>
      <c r="L40" s="47">
        <f>SUM(L41:L58)</f>
        <v>0</v>
      </c>
      <c r="M40" s="47">
        <f>SUM(M41:M58)</f>
        <v>0</v>
      </c>
      <c r="N40" s="14" t="s">
        <v>25</v>
      </c>
      <c r="O40" s="47">
        <f>SUM(O41:O58)</f>
        <v>0.58567499999999995</v>
      </c>
      <c r="P40" s="73" t="s">
        <v>25</v>
      </c>
      <c r="AI40" s="14" t="s">
        <v>50</v>
      </c>
      <c r="AS40" s="47">
        <f>SUM(AJ41:AJ58)</f>
        <v>0</v>
      </c>
      <c r="AT40" s="47">
        <f>SUM(AK41:AK58)</f>
        <v>0</v>
      </c>
      <c r="AU40" s="47">
        <f>SUM(AL41:AL58)</f>
        <v>0</v>
      </c>
    </row>
    <row r="41" spans="1:76" x14ac:dyDescent="0.25">
      <c r="A41" s="1" t="s">
        <v>607</v>
      </c>
      <c r="B41" s="2" t="s">
        <v>50</v>
      </c>
      <c r="C41" s="2" t="s">
        <v>58</v>
      </c>
      <c r="D41" s="83" t="s">
        <v>59</v>
      </c>
      <c r="E41" s="84"/>
      <c r="F41" s="2" t="s">
        <v>31</v>
      </c>
      <c r="G41" s="17">
        <f>'Rozpočet - vybrané sloupce'!J16</f>
        <v>12</v>
      </c>
      <c r="H41" s="17">
        <f>'Rozpočet - vybrané sloupce'!K16</f>
        <v>0</v>
      </c>
      <c r="I41" s="74">
        <v>12</v>
      </c>
      <c r="J41" s="17">
        <f>ROUND(G41*AO41,2)</f>
        <v>0</v>
      </c>
      <c r="K41" s="17">
        <f>ROUND(G41*AP41,2)</f>
        <v>0</v>
      </c>
      <c r="L41" s="17">
        <f>ROUND(G41*H41,2)</f>
        <v>0</v>
      </c>
      <c r="M41" s="17">
        <f>L41*(1+BW41/100)</f>
        <v>0</v>
      </c>
      <c r="N41" s="17">
        <v>1.4919999999999999E-2</v>
      </c>
      <c r="O41" s="17">
        <f>G41*N41</f>
        <v>0.17903999999999998</v>
      </c>
      <c r="P41" s="75" t="s">
        <v>576</v>
      </c>
      <c r="Z41" s="17">
        <f>ROUND(IF(AQ41="5",BJ41,0),2)</f>
        <v>0</v>
      </c>
      <c r="AB41" s="17">
        <f>ROUND(IF(AQ41="1",BH41,0),2)</f>
        <v>0</v>
      </c>
      <c r="AC41" s="17">
        <f>ROUND(IF(AQ41="1",BI41,0),2)</f>
        <v>0</v>
      </c>
      <c r="AD41" s="17">
        <f>ROUND(IF(AQ41="7",BH41,0),2)</f>
        <v>0</v>
      </c>
      <c r="AE41" s="17">
        <f>ROUND(IF(AQ41="7",BI41,0),2)</f>
        <v>0</v>
      </c>
      <c r="AF41" s="17">
        <f>ROUND(IF(AQ41="2",BH41,0),2)</f>
        <v>0</v>
      </c>
      <c r="AG41" s="17">
        <f>ROUND(IF(AQ41="2",BI41,0),2)</f>
        <v>0</v>
      </c>
      <c r="AH41" s="17">
        <f>ROUND(IF(AQ41="0",BJ41,0),2)</f>
        <v>0</v>
      </c>
      <c r="AI41" s="14" t="s">
        <v>50</v>
      </c>
      <c r="AJ41" s="17">
        <f>IF(AN41=0,L41,0)</f>
        <v>0</v>
      </c>
      <c r="AK41" s="17">
        <f>IF(AN41=12,L41,0)</f>
        <v>0</v>
      </c>
      <c r="AL41" s="17">
        <f>IF(AN41=21,L41,0)</f>
        <v>0</v>
      </c>
      <c r="AN41" s="17">
        <v>12</v>
      </c>
      <c r="AO41" s="17">
        <f>H41*0</f>
        <v>0</v>
      </c>
      <c r="AP41" s="17">
        <f>H41*(1-0)</f>
        <v>0</v>
      </c>
      <c r="AQ41" s="76" t="s">
        <v>577</v>
      </c>
      <c r="AV41" s="17">
        <f>ROUND(AW41+AX41,2)</f>
        <v>0</v>
      </c>
      <c r="AW41" s="17">
        <f>ROUND(G41*AO41,2)</f>
        <v>0</v>
      </c>
      <c r="AX41" s="17">
        <f>ROUND(G41*AP41,2)</f>
        <v>0</v>
      </c>
      <c r="AY41" s="76" t="s">
        <v>578</v>
      </c>
      <c r="AZ41" s="76" t="s">
        <v>608</v>
      </c>
      <c r="BA41" s="14" t="s">
        <v>605</v>
      </c>
      <c r="BC41" s="17">
        <f>AW41+AX41</f>
        <v>0</v>
      </c>
      <c r="BD41" s="17">
        <f>H41/(100-BE41)*100</f>
        <v>0</v>
      </c>
      <c r="BE41" s="17">
        <v>0</v>
      </c>
      <c r="BF41" s="17">
        <f>O41</f>
        <v>0.17903999999999998</v>
      </c>
      <c r="BH41" s="17">
        <f>G41*AO41</f>
        <v>0</v>
      </c>
      <c r="BI41" s="17">
        <f>G41*AP41</f>
        <v>0</v>
      </c>
      <c r="BJ41" s="17">
        <f>G41*H41</f>
        <v>0</v>
      </c>
      <c r="BK41" s="17"/>
      <c r="BL41" s="17">
        <v>721</v>
      </c>
      <c r="BW41" s="17">
        <f>I41</f>
        <v>12</v>
      </c>
      <c r="BX41" s="4" t="s">
        <v>59</v>
      </c>
    </row>
    <row r="42" spans="1:76" x14ac:dyDescent="0.25">
      <c r="A42" s="1" t="s">
        <v>609</v>
      </c>
      <c r="B42" s="2" t="s">
        <v>50</v>
      </c>
      <c r="C42" s="2" t="s">
        <v>60</v>
      </c>
      <c r="D42" s="83" t="s">
        <v>61</v>
      </c>
      <c r="E42" s="84"/>
      <c r="F42" s="2" t="s">
        <v>35</v>
      </c>
      <c r="G42" s="17">
        <f>'Rozpočet - vybrané sloupce'!J17</f>
        <v>3</v>
      </c>
      <c r="H42" s="17">
        <f>'Rozpočet - vybrané sloupce'!K17</f>
        <v>0</v>
      </c>
      <c r="I42" s="74">
        <v>12</v>
      </c>
      <c r="J42" s="17">
        <f>ROUND(G42*AO42,2)</f>
        <v>0</v>
      </c>
      <c r="K42" s="17">
        <f>ROUND(G42*AP42,2)</f>
        <v>0</v>
      </c>
      <c r="L42" s="17">
        <f>ROUND(G42*H42,2)</f>
        <v>0</v>
      </c>
      <c r="M42" s="17">
        <f>L42*(1+BW42/100)</f>
        <v>0</v>
      </c>
      <c r="N42" s="17">
        <v>3.8000000000000002E-4</v>
      </c>
      <c r="O42" s="17">
        <f>G42*N42</f>
        <v>1.14E-3</v>
      </c>
      <c r="P42" s="75" t="s">
        <v>576</v>
      </c>
      <c r="Z42" s="17">
        <f>ROUND(IF(AQ42="5",BJ42,0),2)</f>
        <v>0</v>
      </c>
      <c r="AB42" s="17">
        <f>ROUND(IF(AQ42="1",BH42,0),2)</f>
        <v>0</v>
      </c>
      <c r="AC42" s="17">
        <f>ROUND(IF(AQ42="1",BI42,0),2)</f>
        <v>0</v>
      </c>
      <c r="AD42" s="17">
        <f>ROUND(IF(AQ42="7",BH42,0),2)</f>
        <v>0</v>
      </c>
      <c r="AE42" s="17">
        <f>ROUND(IF(AQ42="7",BI42,0),2)</f>
        <v>0</v>
      </c>
      <c r="AF42" s="17">
        <f>ROUND(IF(AQ42="2",BH42,0),2)</f>
        <v>0</v>
      </c>
      <c r="AG42" s="17">
        <f>ROUND(IF(AQ42="2",BI42,0),2)</f>
        <v>0</v>
      </c>
      <c r="AH42" s="17">
        <f>ROUND(IF(AQ42="0",BJ42,0),2)</f>
        <v>0</v>
      </c>
      <c r="AI42" s="14" t="s">
        <v>50</v>
      </c>
      <c r="AJ42" s="17">
        <f>IF(AN42=0,L42,0)</f>
        <v>0</v>
      </c>
      <c r="AK42" s="17">
        <f>IF(AN42=12,L42,0)</f>
        <v>0</v>
      </c>
      <c r="AL42" s="17">
        <f>IF(AN42=21,L42,0)</f>
        <v>0</v>
      </c>
      <c r="AN42" s="17">
        <v>12</v>
      </c>
      <c r="AO42" s="17">
        <f>H42*0.798383961</f>
        <v>0</v>
      </c>
      <c r="AP42" s="17">
        <f>H42*(1-0.798383961)</f>
        <v>0</v>
      </c>
      <c r="AQ42" s="76" t="s">
        <v>577</v>
      </c>
      <c r="AV42" s="17">
        <f>ROUND(AW42+AX42,2)</f>
        <v>0</v>
      </c>
      <c r="AW42" s="17">
        <f>ROUND(G42*AO42,2)</f>
        <v>0</v>
      </c>
      <c r="AX42" s="17">
        <f>ROUND(G42*AP42,2)</f>
        <v>0</v>
      </c>
      <c r="AY42" s="76" t="s">
        <v>578</v>
      </c>
      <c r="AZ42" s="76" t="s">
        <v>608</v>
      </c>
      <c r="BA42" s="14" t="s">
        <v>605</v>
      </c>
      <c r="BC42" s="17">
        <f>AW42+AX42</f>
        <v>0</v>
      </c>
      <c r="BD42" s="17">
        <f>H42/(100-BE42)*100</f>
        <v>0</v>
      </c>
      <c r="BE42" s="17">
        <v>0</v>
      </c>
      <c r="BF42" s="17">
        <f>O42</f>
        <v>1.14E-3</v>
      </c>
      <c r="BH42" s="17">
        <f>G42*AO42</f>
        <v>0</v>
      </c>
      <c r="BI42" s="17">
        <f>G42*AP42</f>
        <v>0</v>
      </c>
      <c r="BJ42" s="17">
        <f>G42*H42</f>
        <v>0</v>
      </c>
      <c r="BK42" s="17"/>
      <c r="BL42" s="17">
        <v>721</v>
      </c>
      <c r="BW42" s="17">
        <f>I42</f>
        <v>12</v>
      </c>
      <c r="BX42" s="4" t="s">
        <v>61</v>
      </c>
    </row>
    <row r="43" spans="1:76" x14ac:dyDescent="0.25">
      <c r="A43" s="77"/>
      <c r="C43" s="78" t="s">
        <v>610</v>
      </c>
      <c r="D43" s="161" t="s">
        <v>611</v>
      </c>
      <c r="E43" s="162"/>
      <c r="F43" s="162"/>
      <c r="G43" s="162"/>
      <c r="H43" s="162"/>
      <c r="I43" s="162"/>
      <c r="J43" s="162"/>
      <c r="K43" s="162"/>
      <c r="L43" s="162"/>
      <c r="M43" s="162"/>
      <c r="N43" s="162"/>
      <c r="O43" s="162"/>
      <c r="P43" s="163"/>
      <c r="BX43" s="79" t="s">
        <v>611</v>
      </c>
    </row>
    <row r="44" spans="1:76" x14ac:dyDescent="0.25">
      <c r="A44" s="1" t="s">
        <v>612</v>
      </c>
      <c r="B44" s="2" t="s">
        <v>50</v>
      </c>
      <c r="C44" s="2" t="s">
        <v>62</v>
      </c>
      <c r="D44" s="83" t="s">
        <v>63</v>
      </c>
      <c r="E44" s="84"/>
      <c r="F44" s="2" t="s">
        <v>31</v>
      </c>
      <c r="G44" s="17">
        <f>'Rozpočet - vybrané sloupce'!J18</f>
        <v>30</v>
      </c>
      <c r="H44" s="17">
        <f>'Rozpočet - vybrané sloupce'!K18</f>
        <v>0</v>
      </c>
      <c r="I44" s="74">
        <v>12</v>
      </c>
      <c r="J44" s="17">
        <f t="shared" ref="J44:J56" si="78">ROUND(G44*AO44,2)</f>
        <v>0</v>
      </c>
      <c r="K44" s="17">
        <f t="shared" ref="K44:K56" si="79">ROUND(G44*AP44,2)</f>
        <v>0</v>
      </c>
      <c r="L44" s="17">
        <f t="shared" ref="L44:L56" si="80">ROUND(G44*H44,2)</f>
        <v>0</v>
      </c>
      <c r="M44" s="17">
        <f t="shared" ref="M44:M56" si="81">L44*(1+BW44/100)</f>
        <v>0</v>
      </c>
      <c r="N44" s="17">
        <v>6.6899999999999998E-3</v>
      </c>
      <c r="O44" s="17">
        <f t="shared" ref="O44:O56" si="82">G44*N44</f>
        <v>0.20069999999999999</v>
      </c>
      <c r="P44" s="75" t="s">
        <v>576</v>
      </c>
      <c r="Z44" s="17">
        <f t="shared" ref="Z44:Z56" si="83">ROUND(IF(AQ44="5",BJ44,0),2)</f>
        <v>0</v>
      </c>
      <c r="AB44" s="17">
        <f t="shared" ref="AB44:AB56" si="84">ROUND(IF(AQ44="1",BH44,0),2)</f>
        <v>0</v>
      </c>
      <c r="AC44" s="17">
        <f t="shared" ref="AC44:AC56" si="85">ROUND(IF(AQ44="1",BI44,0),2)</f>
        <v>0</v>
      </c>
      <c r="AD44" s="17">
        <f t="shared" ref="AD44:AD56" si="86">ROUND(IF(AQ44="7",BH44,0),2)</f>
        <v>0</v>
      </c>
      <c r="AE44" s="17">
        <f t="shared" ref="AE44:AE56" si="87">ROUND(IF(AQ44="7",BI44,0),2)</f>
        <v>0</v>
      </c>
      <c r="AF44" s="17">
        <f t="shared" ref="AF44:AF56" si="88">ROUND(IF(AQ44="2",BH44,0),2)</f>
        <v>0</v>
      </c>
      <c r="AG44" s="17">
        <f t="shared" ref="AG44:AG56" si="89">ROUND(IF(AQ44="2",BI44,0),2)</f>
        <v>0</v>
      </c>
      <c r="AH44" s="17">
        <f t="shared" ref="AH44:AH56" si="90">ROUND(IF(AQ44="0",BJ44,0),2)</f>
        <v>0</v>
      </c>
      <c r="AI44" s="14" t="s">
        <v>50</v>
      </c>
      <c r="AJ44" s="17">
        <f t="shared" ref="AJ44:AJ56" si="91">IF(AN44=0,L44,0)</f>
        <v>0</v>
      </c>
      <c r="AK44" s="17">
        <f t="shared" ref="AK44:AK56" si="92">IF(AN44=12,L44,0)</f>
        <v>0</v>
      </c>
      <c r="AL44" s="17">
        <f t="shared" ref="AL44:AL56" si="93">IF(AN44=21,L44,0)</f>
        <v>0</v>
      </c>
      <c r="AN44" s="17">
        <v>12</v>
      </c>
      <c r="AO44" s="17">
        <f>H44*0.355217391</f>
        <v>0</v>
      </c>
      <c r="AP44" s="17">
        <f>H44*(1-0.355217391)</f>
        <v>0</v>
      </c>
      <c r="AQ44" s="76" t="s">
        <v>577</v>
      </c>
      <c r="AV44" s="17">
        <f t="shared" ref="AV44:AV56" si="94">ROUND(AW44+AX44,2)</f>
        <v>0</v>
      </c>
      <c r="AW44" s="17">
        <f t="shared" ref="AW44:AW56" si="95">ROUND(G44*AO44,2)</f>
        <v>0</v>
      </c>
      <c r="AX44" s="17">
        <f t="shared" ref="AX44:AX56" si="96">ROUND(G44*AP44,2)</f>
        <v>0</v>
      </c>
      <c r="AY44" s="76" t="s">
        <v>578</v>
      </c>
      <c r="AZ44" s="76" t="s">
        <v>608</v>
      </c>
      <c r="BA44" s="14" t="s">
        <v>605</v>
      </c>
      <c r="BC44" s="17">
        <f t="shared" ref="BC44:BC56" si="97">AW44+AX44</f>
        <v>0</v>
      </c>
      <c r="BD44" s="17">
        <f t="shared" ref="BD44:BD56" si="98">H44/(100-BE44)*100</f>
        <v>0</v>
      </c>
      <c r="BE44" s="17">
        <v>0</v>
      </c>
      <c r="BF44" s="17">
        <f t="shared" ref="BF44:BF56" si="99">O44</f>
        <v>0.20069999999999999</v>
      </c>
      <c r="BH44" s="17">
        <f t="shared" ref="BH44:BH56" si="100">G44*AO44</f>
        <v>0</v>
      </c>
      <c r="BI44" s="17">
        <f t="shared" ref="BI44:BI56" si="101">G44*AP44</f>
        <v>0</v>
      </c>
      <c r="BJ44" s="17">
        <f t="shared" ref="BJ44:BJ56" si="102">G44*H44</f>
        <v>0</v>
      </c>
      <c r="BK44" s="17"/>
      <c r="BL44" s="17">
        <v>721</v>
      </c>
      <c r="BW44" s="17">
        <f t="shared" ref="BW44:BW56" si="103">I44</f>
        <v>12</v>
      </c>
      <c r="BX44" s="4" t="s">
        <v>63</v>
      </c>
    </row>
    <row r="45" spans="1:76" ht="25.5" x14ac:dyDescent="0.25">
      <c r="A45" s="1" t="s">
        <v>613</v>
      </c>
      <c r="B45" s="2" t="s">
        <v>50</v>
      </c>
      <c r="C45" s="2" t="s">
        <v>64</v>
      </c>
      <c r="D45" s="83" t="s">
        <v>65</v>
      </c>
      <c r="E45" s="84"/>
      <c r="F45" s="2" t="s">
        <v>35</v>
      </c>
      <c r="G45" s="17">
        <f>'Rozpočet - vybrané sloupce'!J19</f>
        <v>9</v>
      </c>
      <c r="H45" s="17">
        <f>'Rozpočet - vybrané sloupce'!K19</f>
        <v>0</v>
      </c>
      <c r="I45" s="74">
        <v>12</v>
      </c>
      <c r="J45" s="17">
        <f t="shared" si="78"/>
        <v>0</v>
      </c>
      <c r="K45" s="17">
        <f t="shared" si="79"/>
        <v>0</v>
      </c>
      <c r="L45" s="17">
        <f t="shared" si="80"/>
        <v>0</v>
      </c>
      <c r="M45" s="17">
        <f t="shared" si="81"/>
        <v>0</v>
      </c>
      <c r="N45" s="17">
        <v>1.265E-2</v>
      </c>
      <c r="O45" s="17">
        <f t="shared" si="82"/>
        <v>0.11384999999999999</v>
      </c>
      <c r="P45" s="75" t="s">
        <v>576</v>
      </c>
      <c r="Z45" s="17">
        <f t="shared" si="83"/>
        <v>0</v>
      </c>
      <c r="AB45" s="17">
        <f t="shared" si="84"/>
        <v>0</v>
      </c>
      <c r="AC45" s="17">
        <f t="shared" si="85"/>
        <v>0</v>
      </c>
      <c r="AD45" s="17">
        <f t="shared" si="86"/>
        <v>0</v>
      </c>
      <c r="AE45" s="17">
        <f t="shared" si="87"/>
        <v>0</v>
      </c>
      <c r="AF45" s="17">
        <f t="shared" si="88"/>
        <v>0</v>
      </c>
      <c r="AG45" s="17">
        <f t="shared" si="89"/>
        <v>0</v>
      </c>
      <c r="AH45" s="17">
        <f t="shared" si="90"/>
        <v>0</v>
      </c>
      <c r="AI45" s="14" t="s">
        <v>50</v>
      </c>
      <c r="AJ45" s="17">
        <f t="shared" si="91"/>
        <v>0</v>
      </c>
      <c r="AK45" s="17">
        <f t="shared" si="92"/>
        <v>0</v>
      </c>
      <c r="AL45" s="17">
        <f t="shared" si="93"/>
        <v>0</v>
      </c>
      <c r="AN45" s="17">
        <v>12</v>
      </c>
      <c r="AO45" s="17">
        <f>H45*0.232544987</f>
        <v>0</v>
      </c>
      <c r="AP45" s="17">
        <f>H45*(1-0.232544987)</f>
        <v>0</v>
      </c>
      <c r="AQ45" s="76" t="s">
        <v>577</v>
      </c>
      <c r="AV45" s="17">
        <f t="shared" si="94"/>
        <v>0</v>
      </c>
      <c r="AW45" s="17">
        <f t="shared" si="95"/>
        <v>0</v>
      </c>
      <c r="AX45" s="17">
        <f t="shared" si="96"/>
        <v>0</v>
      </c>
      <c r="AY45" s="76" t="s">
        <v>578</v>
      </c>
      <c r="AZ45" s="76" t="s">
        <v>608</v>
      </c>
      <c r="BA45" s="14" t="s">
        <v>605</v>
      </c>
      <c r="BC45" s="17">
        <f t="shared" si="97"/>
        <v>0</v>
      </c>
      <c r="BD45" s="17">
        <f t="shared" si="98"/>
        <v>0</v>
      </c>
      <c r="BE45" s="17">
        <v>0</v>
      </c>
      <c r="BF45" s="17">
        <f t="shared" si="99"/>
        <v>0.11384999999999999</v>
      </c>
      <c r="BH45" s="17">
        <f t="shared" si="100"/>
        <v>0</v>
      </c>
      <c r="BI45" s="17">
        <f t="shared" si="101"/>
        <v>0</v>
      </c>
      <c r="BJ45" s="17">
        <f t="shared" si="102"/>
        <v>0</v>
      </c>
      <c r="BK45" s="17"/>
      <c r="BL45" s="17">
        <v>721</v>
      </c>
      <c r="BW45" s="17">
        <f t="shared" si="103"/>
        <v>12</v>
      </c>
      <c r="BX45" s="4" t="s">
        <v>65</v>
      </c>
    </row>
    <row r="46" spans="1:76" ht="25.5" x14ac:dyDescent="0.25">
      <c r="A46" s="1" t="s">
        <v>614</v>
      </c>
      <c r="B46" s="2" t="s">
        <v>50</v>
      </c>
      <c r="C46" s="2" t="s">
        <v>66</v>
      </c>
      <c r="D46" s="83" t="s">
        <v>67</v>
      </c>
      <c r="E46" s="84"/>
      <c r="F46" s="2" t="s">
        <v>35</v>
      </c>
      <c r="G46" s="17">
        <f>'Rozpočet - vybrané sloupce'!J20</f>
        <v>3</v>
      </c>
      <c r="H46" s="17">
        <f>'Rozpočet - vybrané sloupce'!K20</f>
        <v>0</v>
      </c>
      <c r="I46" s="74">
        <v>12</v>
      </c>
      <c r="J46" s="17">
        <f t="shared" si="78"/>
        <v>0</v>
      </c>
      <c r="K46" s="17">
        <f t="shared" si="79"/>
        <v>0</v>
      </c>
      <c r="L46" s="17">
        <f t="shared" si="80"/>
        <v>0</v>
      </c>
      <c r="M46" s="17">
        <f t="shared" si="81"/>
        <v>0</v>
      </c>
      <c r="N46" s="17">
        <v>6.62E-3</v>
      </c>
      <c r="O46" s="17">
        <f t="shared" si="82"/>
        <v>1.9859999999999999E-2</v>
      </c>
      <c r="P46" s="75" t="s">
        <v>576</v>
      </c>
      <c r="Z46" s="17">
        <f t="shared" si="83"/>
        <v>0</v>
      </c>
      <c r="AB46" s="17">
        <f t="shared" si="84"/>
        <v>0</v>
      </c>
      <c r="AC46" s="17">
        <f t="shared" si="85"/>
        <v>0</v>
      </c>
      <c r="AD46" s="17">
        <f t="shared" si="86"/>
        <v>0</v>
      </c>
      <c r="AE46" s="17">
        <f t="shared" si="87"/>
        <v>0</v>
      </c>
      <c r="AF46" s="17">
        <f t="shared" si="88"/>
        <v>0</v>
      </c>
      <c r="AG46" s="17">
        <f t="shared" si="89"/>
        <v>0</v>
      </c>
      <c r="AH46" s="17">
        <f t="shared" si="90"/>
        <v>0</v>
      </c>
      <c r="AI46" s="14" t="s">
        <v>50</v>
      </c>
      <c r="AJ46" s="17">
        <f t="shared" si="91"/>
        <v>0</v>
      </c>
      <c r="AK46" s="17">
        <f t="shared" si="92"/>
        <v>0</v>
      </c>
      <c r="AL46" s="17">
        <f t="shared" si="93"/>
        <v>0</v>
      </c>
      <c r="AN46" s="17">
        <v>12</v>
      </c>
      <c r="AO46" s="17">
        <f>H46*0.215770115</f>
        <v>0</v>
      </c>
      <c r="AP46" s="17">
        <f>H46*(1-0.215770115)</f>
        <v>0</v>
      </c>
      <c r="AQ46" s="76" t="s">
        <v>577</v>
      </c>
      <c r="AV46" s="17">
        <f t="shared" si="94"/>
        <v>0</v>
      </c>
      <c r="AW46" s="17">
        <f t="shared" si="95"/>
        <v>0</v>
      </c>
      <c r="AX46" s="17">
        <f t="shared" si="96"/>
        <v>0</v>
      </c>
      <c r="AY46" s="76" t="s">
        <v>578</v>
      </c>
      <c r="AZ46" s="76" t="s">
        <v>608</v>
      </c>
      <c r="BA46" s="14" t="s">
        <v>605</v>
      </c>
      <c r="BC46" s="17">
        <f t="shared" si="97"/>
        <v>0</v>
      </c>
      <c r="BD46" s="17">
        <f t="shared" si="98"/>
        <v>0</v>
      </c>
      <c r="BE46" s="17">
        <v>0</v>
      </c>
      <c r="BF46" s="17">
        <f t="shared" si="99"/>
        <v>1.9859999999999999E-2</v>
      </c>
      <c r="BH46" s="17">
        <f t="shared" si="100"/>
        <v>0</v>
      </c>
      <c r="BI46" s="17">
        <f t="shared" si="101"/>
        <v>0</v>
      </c>
      <c r="BJ46" s="17">
        <f t="shared" si="102"/>
        <v>0</v>
      </c>
      <c r="BK46" s="17"/>
      <c r="BL46" s="17">
        <v>721</v>
      </c>
      <c r="BW46" s="17">
        <f t="shared" si="103"/>
        <v>12</v>
      </c>
      <c r="BX46" s="4" t="s">
        <v>67</v>
      </c>
    </row>
    <row r="47" spans="1:76" x14ac:dyDescent="0.25">
      <c r="A47" s="1" t="s">
        <v>615</v>
      </c>
      <c r="B47" s="2" t="s">
        <v>50</v>
      </c>
      <c r="C47" s="2" t="s">
        <v>68</v>
      </c>
      <c r="D47" s="83" t="s">
        <v>69</v>
      </c>
      <c r="E47" s="84"/>
      <c r="F47" s="2" t="s">
        <v>31</v>
      </c>
      <c r="G47" s="17">
        <f>'Rozpočet - vybrané sloupce'!J21</f>
        <v>5</v>
      </c>
      <c r="H47" s="17">
        <f>'Rozpočet - vybrané sloupce'!K21</f>
        <v>0</v>
      </c>
      <c r="I47" s="74">
        <v>12</v>
      </c>
      <c r="J47" s="17">
        <f t="shared" si="78"/>
        <v>0</v>
      </c>
      <c r="K47" s="17">
        <f t="shared" si="79"/>
        <v>0</v>
      </c>
      <c r="L47" s="17">
        <f t="shared" si="80"/>
        <v>0</v>
      </c>
      <c r="M47" s="17">
        <f t="shared" si="81"/>
        <v>0</v>
      </c>
      <c r="N47" s="17">
        <v>1.98E-3</v>
      </c>
      <c r="O47" s="17">
        <f t="shared" si="82"/>
        <v>9.8999999999999991E-3</v>
      </c>
      <c r="P47" s="75" t="s">
        <v>576</v>
      </c>
      <c r="Z47" s="17">
        <f t="shared" si="83"/>
        <v>0</v>
      </c>
      <c r="AB47" s="17">
        <f t="shared" si="84"/>
        <v>0</v>
      </c>
      <c r="AC47" s="17">
        <f t="shared" si="85"/>
        <v>0</v>
      </c>
      <c r="AD47" s="17">
        <f t="shared" si="86"/>
        <v>0</v>
      </c>
      <c r="AE47" s="17">
        <f t="shared" si="87"/>
        <v>0</v>
      </c>
      <c r="AF47" s="17">
        <f t="shared" si="88"/>
        <v>0</v>
      </c>
      <c r="AG47" s="17">
        <f t="shared" si="89"/>
        <v>0</v>
      </c>
      <c r="AH47" s="17">
        <f t="shared" si="90"/>
        <v>0</v>
      </c>
      <c r="AI47" s="14" t="s">
        <v>50</v>
      </c>
      <c r="AJ47" s="17">
        <f t="shared" si="91"/>
        <v>0</v>
      </c>
      <c r="AK47" s="17">
        <f t="shared" si="92"/>
        <v>0</v>
      </c>
      <c r="AL47" s="17">
        <f t="shared" si="93"/>
        <v>0</v>
      </c>
      <c r="AN47" s="17">
        <v>12</v>
      </c>
      <c r="AO47" s="17">
        <f>H47*0</f>
        <v>0</v>
      </c>
      <c r="AP47" s="17">
        <f>H47*(1-0)</f>
        <v>0</v>
      </c>
      <c r="AQ47" s="76" t="s">
        <v>577</v>
      </c>
      <c r="AV47" s="17">
        <f t="shared" si="94"/>
        <v>0</v>
      </c>
      <c r="AW47" s="17">
        <f t="shared" si="95"/>
        <v>0</v>
      </c>
      <c r="AX47" s="17">
        <f t="shared" si="96"/>
        <v>0</v>
      </c>
      <c r="AY47" s="76" t="s">
        <v>578</v>
      </c>
      <c r="AZ47" s="76" t="s">
        <v>608</v>
      </c>
      <c r="BA47" s="14" t="s">
        <v>605</v>
      </c>
      <c r="BC47" s="17">
        <f t="shared" si="97"/>
        <v>0</v>
      </c>
      <c r="BD47" s="17">
        <f t="shared" si="98"/>
        <v>0</v>
      </c>
      <c r="BE47" s="17">
        <v>0</v>
      </c>
      <c r="BF47" s="17">
        <f t="shared" si="99"/>
        <v>9.8999999999999991E-3</v>
      </c>
      <c r="BH47" s="17">
        <f t="shared" si="100"/>
        <v>0</v>
      </c>
      <c r="BI47" s="17">
        <f t="shared" si="101"/>
        <v>0</v>
      </c>
      <c r="BJ47" s="17">
        <f t="shared" si="102"/>
        <v>0</v>
      </c>
      <c r="BK47" s="17"/>
      <c r="BL47" s="17">
        <v>721</v>
      </c>
      <c r="BW47" s="17">
        <f t="shared" si="103"/>
        <v>12</v>
      </c>
      <c r="BX47" s="4" t="s">
        <v>69</v>
      </c>
    </row>
    <row r="48" spans="1:76" x14ac:dyDescent="0.25">
      <c r="A48" s="1" t="s">
        <v>616</v>
      </c>
      <c r="B48" s="2" t="s">
        <v>50</v>
      </c>
      <c r="C48" s="2" t="s">
        <v>70</v>
      </c>
      <c r="D48" s="83" t="s">
        <v>71</v>
      </c>
      <c r="E48" s="84"/>
      <c r="F48" s="2" t="s">
        <v>31</v>
      </c>
      <c r="G48" s="17">
        <f>'Rozpočet - vybrané sloupce'!J22</f>
        <v>42</v>
      </c>
      <c r="H48" s="17">
        <f>'Rozpočet - vybrané sloupce'!K22</f>
        <v>0</v>
      </c>
      <c r="I48" s="74">
        <v>12</v>
      </c>
      <c r="J48" s="17">
        <f t="shared" si="78"/>
        <v>0</v>
      </c>
      <c r="K48" s="17">
        <f t="shared" si="79"/>
        <v>0</v>
      </c>
      <c r="L48" s="17">
        <f t="shared" si="80"/>
        <v>0</v>
      </c>
      <c r="M48" s="17">
        <f t="shared" si="81"/>
        <v>0</v>
      </c>
      <c r="N48" s="17">
        <v>1.31E-3</v>
      </c>
      <c r="O48" s="17">
        <f t="shared" si="82"/>
        <v>5.5019999999999999E-2</v>
      </c>
      <c r="P48" s="75" t="s">
        <v>576</v>
      </c>
      <c r="Z48" s="17">
        <f t="shared" si="83"/>
        <v>0</v>
      </c>
      <c r="AB48" s="17">
        <f t="shared" si="84"/>
        <v>0</v>
      </c>
      <c r="AC48" s="17">
        <f t="shared" si="85"/>
        <v>0</v>
      </c>
      <c r="AD48" s="17">
        <f t="shared" si="86"/>
        <v>0</v>
      </c>
      <c r="AE48" s="17">
        <f t="shared" si="87"/>
        <v>0</v>
      </c>
      <c r="AF48" s="17">
        <f t="shared" si="88"/>
        <v>0</v>
      </c>
      <c r="AG48" s="17">
        <f t="shared" si="89"/>
        <v>0</v>
      </c>
      <c r="AH48" s="17">
        <f t="shared" si="90"/>
        <v>0</v>
      </c>
      <c r="AI48" s="14" t="s">
        <v>50</v>
      </c>
      <c r="AJ48" s="17">
        <f t="shared" si="91"/>
        <v>0</v>
      </c>
      <c r="AK48" s="17">
        <f t="shared" si="92"/>
        <v>0</v>
      </c>
      <c r="AL48" s="17">
        <f t="shared" si="93"/>
        <v>0</v>
      </c>
      <c r="AN48" s="17">
        <v>12</v>
      </c>
      <c r="AO48" s="17">
        <f>H48*0.372245658</f>
        <v>0</v>
      </c>
      <c r="AP48" s="17">
        <f>H48*(1-0.372245658)</f>
        <v>0</v>
      </c>
      <c r="AQ48" s="76" t="s">
        <v>577</v>
      </c>
      <c r="AV48" s="17">
        <f t="shared" si="94"/>
        <v>0</v>
      </c>
      <c r="AW48" s="17">
        <f t="shared" si="95"/>
        <v>0</v>
      </c>
      <c r="AX48" s="17">
        <f t="shared" si="96"/>
        <v>0</v>
      </c>
      <c r="AY48" s="76" t="s">
        <v>578</v>
      </c>
      <c r="AZ48" s="76" t="s">
        <v>608</v>
      </c>
      <c r="BA48" s="14" t="s">
        <v>605</v>
      </c>
      <c r="BC48" s="17">
        <f t="shared" si="97"/>
        <v>0</v>
      </c>
      <c r="BD48" s="17">
        <f t="shared" si="98"/>
        <v>0</v>
      </c>
      <c r="BE48" s="17">
        <v>0</v>
      </c>
      <c r="BF48" s="17">
        <f t="shared" si="99"/>
        <v>5.5019999999999999E-2</v>
      </c>
      <c r="BH48" s="17">
        <f t="shared" si="100"/>
        <v>0</v>
      </c>
      <c r="BI48" s="17">
        <f t="shared" si="101"/>
        <v>0</v>
      </c>
      <c r="BJ48" s="17">
        <f t="shared" si="102"/>
        <v>0</v>
      </c>
      <c r="BK48" s="17"/>
      <c r="BL48" s="17">
        <v>721</v>
      </c>
      <c r="BW48" s="17">
        <f t="shared" si="103"/>
        <v>12</v>
      </c>
      <c r="BX48" s="4" t="s">
        <v>71</v>
      </c>
    </row>
    <row r="49" spans="1:76" x14ac:dyDescent="0.25">
      <c r="A49" s="1" t="s">
        <v>617</v>
      </c>
      <c r="B49" s="2" t="s">
        <v>50</v>
      </c>
      <c r="C49" s="2" t="s">
        <v>72</v>
      </c>
      <c r="D49" s="83" t="s">
        <v>73</v>
      </c>
      <c r="E49" s="84"/>
      <c r="F49" s="2" t="s">
        <v>31</v>
      </c>
      <c r="G49" s="17">
        <f>'Rozpočet - vybrané sloupce'!J23</f>
        <v>1.5</v>
      </c>
      <c r="H49" s="17">
        <f>'Rozpočet - vybrané sloupce'!K23</f>
        <v>0</v>
      </c>
      <c r="I49" s="74">
        <v>12</v>
      </c>
      <c r="J49" s="17">
        <f t="shared" si="78"/>
        <v>0</v>
      </c>
      <c r="K49" s="17">
        <f t="shared" si="79"/>
        <v>0</v>
      </c>
      <c r="L49" s="17">
        <f t="shared" si="80"/>
        <v>0</v>
      </c>
      <c r="M49" s="17">
        <f t="shared" si="81"/>
        <v>0</v>
      </c>
      <c r="N49" s="17">
        <v>4.6999999999999999E-4</v>
      </c>
      <c r="O49" s="17">
        <f t="shared" si="82"/>
        <v>7.0500000000000001E-4</v>
      </c>
      <c r="P49" s="75" t="s">
        <v>576</v>
      </c>
      <c r="Z49" s="17">
        <f t="shared" si="83"/>
        <v>0</v>
      </c>
      <c r="AB49" s="17">
        <f t="shared" si="84"/>
        <v>0</v>
      </c>
      <c r="AC49" s="17">
        <f t="shared" si="85"/>
        <v>0</v>
      </c>
      <c r="AD49" s="17">
        <f t="shared" si="86"/>
        <v>0</v>
      </c>
      <c r="AE49" s="17">
        <f t="shared" si="87"/>
        <v>0</v>
      </c>
      <c r="AF49" s="17">
        <f t="shared" si="88"/>
        <v>0</v>
      </c>
      <c r="AG49" s="17">
        <f t="shared" si="89"/>
        <v>0</v>
      </c>
      <c r="AH49" s="17">
        <f t="shared" si="90"/>
        <v>0</v>
      </c>
      <c r="AI49" s="14" t="s">
        <v>50</v>
      </c>
      <c r="AJ49" s="17">
        <f t="shared" si="91"/>
        <v>0</v>
      </c>
      <c r="AK49" s="17">
        <f t="shared" si="92"/>
        <v>0</v>
      </c>
      <c r="AL49" s="17">
        <f t="shared" si="93"/>
        <v>0</v>
      </c>
      <c r="AN49" s="17">
        <v>12</v>
      </c>
      <c r="AO49" s="17">
        <f>H49*0.288029046</f>
        <v>0</v>
      </c>
      <c r="AP49" s="17">
        <f>H49*(1-0.288029046)</f>
        <v>0</v>
      </c>
      <c r="AQ49" s="76" t="s">
        <v>577</v>
      </c>
      <c r="AV49" s="17">
        <f t="shared" si="94"/>
        <v>0</v>
      </c>
      <c r="AW49" s="17">
        <f t="shared" si="95"/>
        <v>0</v>
      </c>
      <c r="AX49" s="17">
        <f t="shared" si="96"/>
        <v>0</v>
      </c>
      <c r="AY49" s="76" t="s">
        <v>578</v>
      </c>
      <c r="AZ49" s="76" t="s">
        <v>608</v>
      </c>
      <c r="BA49" s="14" t="s">
        <v>605</v>
      </c>
      <c r="BC49" s="17">
        <f t="shared" si="97"/>
        <v>0</v>
      </c>
      <c r="BD49" s="17">
        <f t="shared" si="98"/>
        <v>0</v>
      </c>
      <c r="BE49" s="17">
        <v>0</v>
      </c>
      <c r="BF49" s="17">
        <f t="shared" si="99"/>
        <v>7.0500000000000001E-4</v>
      </c>
      <c r="BH49" s="17">
        <f t="shared" si="100"/>
        <v>0</v>
      </c>
      <c r="BI49" s="17">
        <f t="shared" si="101"/>
        <v>0</v>
      </c>
      <c r="BJ49" s="17">
        <f t="shared" si="102"/>
        <v>0</v>
      </c>
      <c r="BK49" s="17"/>
      <c r="BL49" s="17">
        <v>721</v>
      </c>
      <c r="BW49" s="17">
        <f t="shared" si="103"/>
        <v>12</v>
      </c>
      <c r="BX49" s="4" t="s">
        <v>73</v>
      </c>
    </row>
    <row r="50" spans="1:76" x14ac:dyDescent="0.25">
      <c r="A50" s="1" t="s">
        <v>618</v>
      </c>
      <c r="B50" s="2" t="s">
        <v>50</v>
      </c>
      <c r="C50" s="2" t="s">
        <v>74</v>
      </c>
      <c r="D50" s="83" t="s">
        <v>75</v>
      </c>
      <c r="E50" s="84"/>
      <c r="F50" s="2" t="s">
        <v>31</v>
      </c>
      <c r="G50" s="17">
        <f>'Rozpočet - vybrané sloupce'!J24</f>
        <v>3</v>
      </c>
      <c r="H50" s="17">
        <f>'Rozpočet - vybrané sloupce'!K24</f>
        <v>0</v>
      </c>
      <c r="I50" s="74">
        <v>12</v>
      </c>
      <c r="J50" s="17">
        <f t="shared" si="78"/>
        <v>0</v>
      </c>
      <c r="K50" s="17">
        <f t="shared" si="79"/>
        <v>0</v>
      </c>
      <c r="L50" s="17">
        <f t="shared" si="80"/>
        <v>0</v>
      </c>
      <c r="M50" s="17">
        <f t="shared" si="81"/>
        <v>0</v>
      </c>
      <c r="N50" s="17">
        <v>1.5200000000000001E-3</v>
      </c>
      <c r="O50" s="17">
        <f t="shared" si="82"/>
        <v>4.5599999999999998E-3</v>
      </c>
      <c r="P50" s="75" t="s">
        <v>576</v>
      </c>
      <c r="Z50" s="17">
        <f t="shared" si="83"/>
        <v>0</v>
      </c>
      <c r="AB50" s="17">
        <f t="shared" si="84"/>
        <v>0</v>
      </c>
      <c r="AC50" s="17">
        <f t="shared" si="85"/>
        <v>0</v>
      </c>
      <c r="AD50" s="17">
        <f t="shared" si="86"/>
        <v>0</v>
      </c>
      <c r="AE50" s="17">
        <f t="shared" si="87"/>
        <v>0</v>
      </c>
      <c r="AF50" s="17">
        <f t="shared" si="88"/>
        <v>0</v>
      </c>
      <c r="AG50" s="17">
        <f t="shared" si="89"/>
        <v>0</v>
      </c>
      <c r="AH50" s="17">
        <f t="shared" si="90"/>
        <v>0</v>
      </c>
      <c r="AI50" s="14" t="s">
        <v>50</v>
      </c>
      <c r="AJ50" s="17">
        <f t="shared" si="91"/>
        <v>0</v>
      </c>
      <c r="AK50" s="17">
        <f t="shared" si="92"/>
        <v>0</v>
      </c>
      <c r="AL50" s="17">
        <f t="shared" si="93"/>
        <v>0</v>
      </c>
      <c r="AN50" s="17">
        <v>12</v>
      </c>
      <c r="AO50" s="17">
        <f>H50*0.262895257</f>
        <v>0</v>
      </c>
      <c r="AP50" s="17">
        <f>H50*(1-0.262895257)</f>
        <v>0</v>
      </c>
      <c r="AQ50" s="76" t="s">
        <v>577</v>
      </c>
      <c r="AV50" s="17">
        <f t="shared" si="94"/>
        <v>0</v>
      </c>
      <c r="AW50" s="17">
        <f t="shared" si="95"/>
        <v>0</v>
      </c>
      <c r="AX50" s="17">
        <f t="shared" si="96"/>
        <v>0</v>
      </c>
      <c r="AY50" s="76" t="s">
        <v>578</v>
      </c>
      <c r="AZ50" s="76" t="s">
        <v>608</v>
      </c>
      <c r="BA50" s="14" t="s">
        <v>605</v>
      </c>
      <c r="BC50" s="17">
        <f t="shared" si="97"/>
        <v>0</v>
      </c>
      <c r="BD50" s="17">
        <f t="shared" si="98"/>
        <v>0</v>
      </c>
      <c r="BE50" s="17">
        <v>0</v>
      </c>
      <c r="BF50" s="17">
        <f t="shared" si="99"/>
        <v>4.5599999999999998E-3</v>
      </c>
      <c r="BH50" s="17">
        <f t="shared" si="100"/>
        <v>0</v>
      </c>
      <c r="BI50" s="17">
        <f t="shared" si="101"/>
        <v>0</v>
      </c>
      <c r="BJ50" s="17">
        <f t="shared" si="102"/>
        <v>0</v>
      </c>
      <c r="BK50" s="17"/>
      <c r="BL50" s="17">
        <v>721</v>
      </c>
      <c r="BW50" s="17">
        <f t="shared" si="103"/>
        <v>12</v>
      </c>
      <c r="BX50" s="4" t="s">
        <v>75</v>
      </c>
    </row>
    <row r="51" spans="1:76" x14ac:dyDescent="0.25">
      <c r="A51" s="1" t="s">
        <v>619</v>
      </c>
      <c r="B51" s="2" t="s">
        <v>50</v>
      </c>
      <c r="C51" s="2" t="s">
        <v>76</v>
      </c>
      <c r="D51" s="83" t="s">
        <v>77</v>
      </c>
      <c r="E51" s="84"/>
      <c r="F51" s="2" t="s">
        <v>35</v>
      </c>
      <c r="G51" s="17">
        <f>'Rozpočet - vybrané sloupce'!J25</f>
        <v>3</v>
      </c>
      <c r="H51" s="17">
        <f>'Rozpočet - vybrané sloupce'!K25</f>
        <v>0</v>
      </c>
      <c r="I51" s="74">
        <v>12</v>
      </c>
      <c r="J51" s="17">
        <f t="shared" si="78"/>
        <v>0</v>
      </c>
      <c r="K51" s="17">
        <f t="shared" si="79"/>
        <v>0</v>
      </c>
      <c r="L51" s="17">
        <f t="shared" si="80"/>
        <v>0</v>
      </c>
      <c r="M51" s="17">
        <f t="shared" si="81"/>
        <v>0</v>
      </c>
      <c r="N51" s="17">
        <v>0</v>
      </c>
      <c r="O51" s="17">
        <f t="shared" si="82"/>
        <v>0</v>
      </c>
      <c r="P51" s="75" t="s">
        <v>576</v>
      </c>
      <c r="Z51" s="17">
        <f t="shared" si="83"/>
        <v>0</v>
      </c>
      <c r="AB51" s="17">
        <f t="shared" si="84"/>
        <v>0</v>
      </c>
      <c r="AC51" s="17">
        <f t="shared" si="85"/>
        <v>0</v>
      </c>
      <c r="AD51" s="17">
        <f t="shared" si="86"/>
        <v>0</v>
      </c>
      <c r="AE51" s="17">
        <f t="shared" si="87"/>
        <v>0</v>
      </c>
      <c r="AF51" s="17">
        <f t="shared" si="88"/>
        <v>0</v>
      </c>
      <c r="AG51" s="17">
        <f t="shared" si="89"/>
        <v>0</v>
      </c>
      <c r="AH51" s="17">
        <f t="shared" si="90"/>
        <v>0</v>
      </c>
      <c r="AI51" s="14" t="s">
        <v>50</v>
      </c>
      <c r="AJ51" s="17">
        <f t="shared" si="91"/>
        <v>0</v>
      </c>
      <c r="AK51" s="17">
        <f t="shared" si="92"/>
        <v>0</v>
      </c>
      <c r="AL51" s="17">
        <f t="shared" si="93"/>
        <v>0</v>
      </c>
      <c r="AN51" s="17">
        <v>12</v>
      </c>
      <c r="AO51" s="17">
        <f>H51*0</f>
        <v>0</v>
      </c>
      <c r="AP51" s="17">
        <f>H51*(1-0)</f>
        <v>0</v>
      </c>
      <c r="AQ51" s="76" t="s">
        <v>577</v>
      </c>
      <c r="AV51" s="17">
        <f t="shared" si="94"/>
        <v>0</v>
      </c>
      <c r="AW51" s="17">
        <f t="shared" si="95"/>
        <v>0</v>
      </c>
      <c r="AX51" s="17">
        <f t="shared" si="96"/>
        <v>0</v>
      </c>
      <c r="AY51" s="76" t="s">
        <v>578</v>
      </c>
      <c r="AZ51" s="76" t="s">
        <v>608</v>
      </c>
      <c r="BA51" s="14" t="s">
        <v>605</v>
      </c>
      <c r="BC51" s="17">
        <f t="shared" si="97"/>
        <v>0</v>
      </c>
      <c r="BD51" s="17">
        <f t="shared" si="98"/>
        <v>0</v>
      </c>
      <c r="BE51" s="17">
        <v>0</v>
      </c>
      <c r="BF51" s="17">
        <f t="shared" si="99"/>
        <v>0</v>
      </c>
      <c r="BH51" s="17">
        <f t="shared" si="100"/>
        <v>0</v>
      </c>
      <c r="BI51" s="17">
        <f t="shared" si="101"/>
        <v>0</v>
      </c>
      <c r="BJ51" s="17">
        <f t="shared" si="102"/>
        <v>0</v>
      </c>
      <c r="BK51" s="17"/>
      <c r="BL51" s="17">
        <v>721</v>
      </c>
      <c r="BW51" s="17">
        <f t="shared" si="103"/>
        <v>12</v>
      </c>
      <c r="BX51" s="4" t="s">
        <v>77</v>
      </c>
    </row>
    <row r="52" spans="1:76" x14ac:dyDescent="0.25">
      <c r="A52" s="1" t="s">
        <v>620</v>
      </c>
      <c r="B52" s="2" t="s">
        <v>50</v>
      </c>
      <c r="C52" s="2" t="s">
        <v>78</v>
      </c>
      <c r="D52" s="83" t="s">
        <v>79</v>
      </c>
      <c r="E52" s="84"/>
      <c r="F52" s="2" t="s">
        <v>35</v>
      </c>
      <c r="G52" s="17">
        <f>'Rozpočet - vybrané sloupce'!J26</f>
        <v>6</v>
      </c>
      <c r="H52" s="17">
        <f>'Rozpočet - vybrané sloupce'!K26</f>
        <v>0</v>
      </c>
      <c r="I52" s="74">
        <v>12</v>
      </c>
      <c r="J52" s="17">
        <f t="shared" si="78"/>
        <v>0</v>
      </c>
      <c r="K52" s="17">
        <f t="shared" si="79"/>
        <v>0</v>
      </c>
      <c r="L52" s="17">
        <f t="shared" si="80"/>
        <v>0</v>
      </c>
      <c r="M52" s="17">
        <f t="shared" si="81"/>
        <v>0</v>
      </c>
      <c r="N52" s="17">
        <v>0</v>
      </c>
      <c r="O52" s="17">
        <f t="shared" si="82"/>
        <v>0</v>
      </c>
      <c r="P52" s="75" t="s">
        <v>576</v>
      </c>
      <c r="Z52" s="17">
        <f t="shared" si="83"/>
        <v>0</v>
      </c>
      <c r="AB52" s="17">
        <f t="shared" si="84"/>
        <v>0</v>
      </c>
      <c r="AC52" s="17">
        <f t="shared" si="85"/>
        <v>0</v>
      </c>
      <c r="AD52" s="17">
        <f t="shared" si="86"/>
        <v>0</v>
      </c>
      <c r="AE52" s="17">
        <f t="shared" si="87"/>
        <v>0</v>
      </c>
      <c r="AF52" s="17">
        <f t="shared" si="88"/>
        <v>0</v>
      </c>
      <c r="AG52" s="17">
        <f t="shared" si="89"/>
        <v>0</v>
      </c>
      <c r="AH52" s="17">
        <f t="shared" si="90"/>
        <v>0</v>
      </c>
      <c r="AI52" s="14" t="s">
        <v>50</v>
      </c>
      <c r="AJ52" s="17">
        <f t="shared" si="91"/>
        <v>0</v>
      </c>
      <c r="AK52" s="17">
        <f t="shared" si="92"/>
        <v>0</v>
      </c>
      <c r="AL52" s="17">
        <f t="shared" si="93"/>
        <v>0</v>
      </c>
      <c r="AN52" s="17">
        <v>12</v>
      </c>
      <c r="AO52" s="17">
        <f>H52*0</f>
        <v>0</v>
      </c>
      <c r="AP52" s="17">
        <f>H52*(1-0)</f>
        <v>0</v>
      </c>
      <c r="AQ52" s="76" t="s">
        <v>577</v>
      </c>
      <c r="AV52" s="17">
        <f t="shared" si="94"/>
        <v>0</v>
      </c>
      <c r="AW52" s="17">
        <f t="shared" si="95"/>
        <v>0</v>
      </c>
      <c r="AX52" s="17">
        <f t="shared" si="96"/>
        <v>0</v>
      </c>
      <c r="AY52" s="76" t="s">
        <v>578</v>
      </c>
      <c r="AZ52" s="76" t="s">
        <v>608</v>
      </c>
      <c r="BA52" s="14" t="s">
        <v>605</v>
      </c>
      <c r="BC52" s="17">
        <f t="shared" si="97"/>
        <v>0</v>
      </c>
      <c r="BD52" s="17">
        <f t="shared" si="98"/>
        <v>0</v>
      </c>
      <c r="BE52" s="17">
        <v>0</v>
      </c>
      <c r="BF52" s="17">
        <f t="shared" si="99"/>
        <v>0</v>
      </c>
      <c r="BH52" s="17">
        <f t="shared" si="100"/>
        <v>0</v>
      </c>
      <c r="BI52" s="17">
        <f t="shared" si="101"/>
        <v>0</v>
      </c>
      <c r="BJ52" s="17">
        <f t="shared" si="102"/>
        <v>0</v>
      </c>
      <c r="BK52" s="17"/>
      <c r="BL52" s="17">
        <v>721</v>
      </c>
      <c r="BW52" s="17">
        <f t="shared" si="103"/>
        <v>12</v>
      </c>
      <c r="BX52" s="4" t="s">
        <v>79</v>
      </c>
    </row>
    <row r="53" spans="1:76" x14ac:dyDescent="0.25">
      <c r="A53" s="1" t="s">
        <v>621</v>
      </c>
      <c r="B53" s="2" t="s">
        <v>50</v>
      </c>
      <c r="C53" s="2" t="s">
        <v>80</v>
      </c>
      <c r="D53" s="83" t="s">
        <v>81</v>
      </c>
      <c r="E53" s="84"/>
      <c r="F53" s="2" t="s">
        <v>35</v>
      </c>
      <c r="G53" s="17">
        <f>'Rozpočet - vybrané sloupce'!J27</f>
        <v>3</v>
      </c>
      <c r="H53" s="17">
        <f>'Rozpočet - vybrané sloupce'!K27</f>
        <v>0</v>
      </c>
      <c r="I53" s="74">
        <v>12</v>
      </c>
      <c r="J53" s="17">
        <f t="shared" si="78"/>
        <v>0</v>
      </c>
      <c r="K53" s="17">
        <f t="shared" si="79"/>
        <v>0</v>
      </c>
      <c r="L53" s="17">
        <f t="shared" si="80"/>
        <v>0</v>
      </c>
      <c r="M53" s="17">
        <f t="shared" si="81"/>
        <v>0</v>
      </c>
      <c r="N53" s="17">
        <v>6.0000000000000002E-5</v>
      </c>
      <c r="O53" s="17">
        <f t="shared" si="82"/>
        <v>1.8000000000000001E-4</v>
      </c>
      <c r="P53" s="75" t="s">
        <v>576</v>
      </c>
      <c r="Z53" s="17">
        <f t="shared" si="83"/>
        <v>0</v>
      </c>
      <c r="AB53" s="17">
        <f t="shared" si="84"/>
        <v>0</v>
      </c>
      <c r="AC53" s="17">
        <f t="shared" si="85"/>
        <v>0</v>
      </c>
      <c r="AD53" s="17">
        <f t="shared" si="86"/>
        <v>0</v>
      </c>
      <c r="AE53" s="17">
        <f t="shared" si="87"/>
        <v>0</v>
      </c>
      <c r="AF53" s="17">
        <f t="shared" si="88"/>
        <v>0</v>
      </c>
      <c r="AG53" s="17">
        <f t="shared" si="89"/>
        <v>0</v>
      </c>
      <c r="AH53" s="17">
        <f t="shared" si="90"/>
        <v>0</v>
      </c>
      <c r="AI53" s="14" t="s">
        <v>50</v>
      </c>
      <c r="AJ53" s="17">
        <f t="shared" si="91"/>
        <v>0</v>
      </c>
      <c r="AK53" s="17">
        <f t="shared" si="92"/>
        <v>0</v>
      </c>
      <c r="AL53" s="17">
        <f t="shared" si="93"/>
        <v>0</v>
      </c>
      <c r="AN53" s="17">
        <v>12</v>
      </c>
      <c r="AO53" s="17">
        <f>H53*0.826636852</f>
        <v>0</v>
      </c>
      <c r="AP53" s="17">
        <f>H53*(1-0.826636852)</f>
        <v>0</v>
      </c>
      <c r="AQ53" s="76" t="s">
        <v>577</v>
      </c>
      <c r="AV53" s="17">
        <f t="shared" si="94"/>
        <v>0</v>
      </c>
      <c r="AW53" s="17">
        <f t="shared" si="95"/>
        <v>0</v>
      </c>
      <c r="AX53" s="17">
        <f t="shared" si="96"/>
        <v>0</v>
      </c>
      <c r="AY53" s="76" t="s">
        <v>578</v>
      </c>
      <c r="AZ53" s="76" t="s">
        <v>608</v>
      </c>
      <c r="BA53" s="14" t="s">
        <v>605</v>
      </c>
      <c r="BC53" s="17">
        <f t="shared" si="97"/>
        <v>0</v>
      </c>
      <c r="BD53" s="17">
        <f t="shared" si="98"/>
        <v>0</v>
      </c>
      <c r="BE53" s="17">
        <v>0</v>
      </c>
      <c r="BF53" s="17">
        <f t="shared" si="99"/>
        <v>1.8000000000000001E-4</v>
      </c>
      <c r="BH53" s="17">
        <f t="shared" si="100"/>
        <v>0</v>
      </c>
      <c r="BI53" s="17">
        <f t="shared" si="101"/>
        <v>0</v>
      </c>
      <c r="BJ53" s="17">
        <f t="shared" si="102"/>
        <v>0</v>
      </c>
      <c r="BK53" s="17"/>
      <c r="BL53" s="17">
        <v>721</v>
      </c>
      <c r="BW53" s="17">
        <f t="shared" si="103"/>
        <v>12</v>
      </c>
      <c r="BX53" s="4" t="s">
        <v>81</v>
      </c>
    </row>
    <row r="54" spans="1:76" x14ac:dyDescent="0.25">
      <c r="A54" s="1" t="s">
        <v>622</v>
      </c>
      <c r="B54" s="2" t="s">
        <v>50</v>
      </c>
      <c r="C54" s="2" t="s">
        <v>82</v>
      </c>
      <c r="D54" s="83" t="s">
        <v>83</v>
      </c>
      <c r="E54" s="84"/>
      <c r="F54" s="2" t="s">
        <v>35</v>
      </c>
      <c r="G54" s="17">
        <f>'Rozpočet - vybrané sloupce'!J28</f>
        <v>3</v>
      </c>
      <c r="H54" s="17">
        <f>'Rozpočet - vybrané sloupce'!K28</f>
        <v>0</v>
      </c>
      <c r="I54" s="74">
        <v>12</v>
      </c>
      <c r="J54" s="17">
        <f t="shared" si="78"/>
        <v>0</v>
      </c>
      <c r="K54" s="17">
        <f t="shared" si="79"/>
        <v>0</v>
      </c>
      <c r="L54" s="17">
        <f t="shared" si="80"/>
        <v>0</v>
      </c>
      <c r="M54" s="17">
        <f t="shared" si="81"/>
        <v>0</v>
      </c>
      <c r="N54" s="17">
        <v>2.4000000000000001E-4</v>
      </c>
      <c r="O54" s="17">
        <f t="shared" si="82"/>
        <v>7.2000000000000005E-4</v>
      </c>
      <c r="P54" s="75" t="s">
        <v>576</v>
      </c>
      <c r="Z54" s="17">
        <f t="shared" si="83"/>
        <v>0</v>
      </c>
      <c r="AB54" s="17">
        <f t="shared" si="84"/>
        <v>0</v>
      </c>
      <c r="AC54" s="17">
        <f t="shared" si="85"/>
        <v>0</v>
      </c>
      <c r="AD54" s="17">
        <f t="shared" si="86"/>
        <v>0</v>
      </c>
      <c r="AE54" s="17">
        <f t="shared" si="87"/>
        <v>0</v>
      </c>
      <c r="AF54" s="17">
        <f t="shared" si="88"/>
        <v>0</v>
      </c>
      <c r="AG54" s="17">
        <f t="shared" si="89"/>
        <v>0</v>
      </c>
      <c r="AH54" s="17">
        <f t="shared" si="90"/>
        <v>0</v>
      </c>
      <c r="AI54" s="14" t="s">
        <v>50</v>
      </c>
      <c r="AJ54" s="17">
        <f t="shared" si="91"/>
        <v>0</v>
      </c>
      <c r="AK54" s="17">
        <f t="shared" si="92"/>
        <v>0</v>
      </c>
      <c r="AL54" s="17">
        <f t="shared" si="93"/>
        <v>0</v>
      </c>
      <c r="AN54" s="17">
        <v>12</v>
      </c>
      <c r="AO54" s="17">
        <f>H54*0.584438503</f>
        <v>0</v>
      </c>
      <c r="AP54" s="17">
        <f>H54*(1-0.584438503)</f>
        <v>0</v>
      </c>
      <c r="AQ54" s="76" t="s">
        <v>577</v>
      </c>
      <c r="AV54" s="17">
        <f t="shared" si="94"/>
        <v>0</v>
      </c>
      <c r="AW54" s="17">
        <f t="shared" si="95"/>
        <v>0</v>
      </c>
      <c r="AX54" s="17">
        <f t="shared" si="96"/>
        <v>0</v>
      </c>
      <c r="AY54" s="76" t="s">
        <v>578</v>
      </c>
      <c r="AZ54" s="76" t="s">
        <v>608</v>
      </c>
      <c r="BA54" s="14" t="s">
        <v>605</v>
      </c>
      <c r="BC54" s="17">
        <f t="shared" si="97"/>
        <v>0</v>
      </c>
      <c r="BD54" s="17">
        <f t="shared" si="98"/>
        <v>0</v>
      </c>
      <c r="BE54" s="17">
        <v>0</v>
      </c>
      <c r="BF54" s="17">
        <f t="shared" si="99"/>
        <v>7.2000000000000005E-4</v>
      </c>
      <c r="BH54" s="17">
        <f t="shared" si="100"/>
        <v>0</v>
      </c>
      <c r="BI54" s="17">
        <f t="shared" si="101"/>
        <v>0</v>
      </c>
      <c r="BJ54" s="17">
        <f t="shared" si="102"/>
        <v>0</v>
      </c>
      <c r="BK54" s="17"/>
      <c r="BL54" s="17">
        <v>721</v>
      </c>
      <c r="BW54" s="17">
        <f t="shared" si="103"/>
        <v>12</v>
      </c>
      <c r="BX54" s="4" t="s">
        <v>83</v>
      </c>
    </row>
    <row r="55" spans="1:76" x14ac:dyDescent="0.25">
      <c r="A55" s="1" t="s">
        <v>340</v>
      </c>
      <c r="B55" s="2" t="s">
        <v>50</v>
      </c>
      <c r="C55" s="2" t="s">
        <v>84</v>
      </c>
      <c r="D55" s="83" t="s">
        <v>85</v>
      </c>
      <c r="E55" s="84"/>
      <c r="F55" s="2" t="s">
        <v>31</v>
      </c>
      <c r="G55" s="17">
        <f>'Rozpočet - vybrané sloupce'!J29</f>
        <v>42</v>
      </c>
      <c r="H55" s="17">
        <f>'Rozpočet - vybrané sloupce'!K29</f>
        <v>0</v>
      </c>
      <c r="I55" s="74">
        <v>12</v>
      </c>
      <c r="J55" s="17">
        <f t="shared" si="78"/>
        <v>0</v>
      </c>
      <c r="K55" s="17">
        <f t="shared" si="79"/>
        <v>0</v>
      </c>
      <c r="L55" s="17">
        <f t="shared" si="80"/>
        <v>0</v>
      </c>
      <c r="M55" s="17">
        <f t="shared" si="81"/>
        <v>0</v>
      </c>
      <c r="N55" s="17">
        <v>0</v>
      </c>
      <c r="O55" s="17">
        <f t="shared" si="82"/>
        <v>0</v>
      </c>
      <c r="P55" s="75" t="s">
        <v>576</v>
      </c>
      <c r="Z55" s="17">
        <f t="shared" si="83"/>
        <v>0</v>
      </c>
      <c r="AB55" s="17">
        <f t="shared" si="84"/>
        <v>0</v>
      </c>
      <c r="AC55" s="17">
        <f t="shared" si="85"/>
        <v>0</v>
      </c>
      <c r="AD55" s="17">
        <f t="shared" si="86"/>
        <v>0</v>
      </c>
      <c r="AE55" s="17">
        <f t="shared" si="87"/>
        <v>0</v>
      </c>
      <c r="AF55" s="17">
        <f t="shared" si="88"/>
        <v>0</v>
      </c>
      <c r="AG55" s="17">
        <f t="shared" si="89"/>
        <v>0</v>
      </c>
      <c r="AH55" s="17">
        <f t="shared" si="90"/>
        <v>0</v>
      </c>
      <c r="AI55" s="14" t="s">
        <v>50</v>
      </c>
      <c r="AJ55" s="17">
        <f t="shared" si="91"/>
        <v>0</v>
      </c>
      <c r="AK55" s="17">
        <f t="shared" si="92"/>
        <v>0</v>
      </c>
      <c r="AL55" s="17">
        <f t="shared" si="93"/>
        <v>0</v>
      </c>
      <c r="AN55" s="17">
        <v>12</v>
      </c>
      <c r="AO55" s="17">
        <f>H55*0.028571429</f>
        <v>0</v>
      </c>
      <c r="AP55" s="17">
        <f>H55*(1-0.028571429)</f>
        <v>0</v>
      </c>
      <c r="AQ55" s="76" t="s">
        <v>577</v>
      </c>
      <c r="AV55" s="17">
        <f t="shared" si="94"/>
        <v>0</v>
      </c>
      <c r="AW55" s="17">
        <f t="shared" si="95"/>
        <v>0</v>
      </c>
      <c r="AX55" s="17">
        <f t="shared" si="96"/>
        <v>0</v>
      </c>
      <c r="AY55" s="76" t="s">
        <v>578</v>
      </c>
      <c r="AZ55" s="76" t="s">
        <v>608</v>
      </c>
      <c r="BA55" s="14" t="s">
        <v>605</v>
      </c>
      <c r="BC55" s="17">
        <f t="shared" si="97"/>
        <v>0</v>
      </c>
      <c r="BD55" s="17">
        <f t="shared" si="98"/>
        <v>0</v>
      </c>
      <c r="BE55" s="17">
        <v>0</v>
      </c>
      <c r="BF55" s="17">
        <f t="shared" si="99"/>
        <v>0</v>
      </c>
      <c r="BH55" s="17">
        <f t="shared" si="100"/>
        <v>0</v>
      </c>
      <c r="BI55" s="17">
        <f t="shared" si="101"/>
        <v>0</v>
      </c>
      <c r="BJ55" s="17">
        <f t="shared" si="102"/>
        <v>0</v>
      </c>
      <c r="BK55" s="17"/>
      <c r="BL55" s="17">
        <v>721</v>
      </c>
      <c r="BW55" s="17">
        <f t="shared" si="103"/>
        <v>12</v>
      </c>
      <c r="BX55" s="4" t="s">
        <v>85</v>
      </c>
    </row>
    <row r="56" spans="1:76" x14ac:dyDescent="0.25">
      <c r="A56" s="1" t="s">
        <v>623</v>
      </c>
      <c r="B56" s="2" t="s">
        <v>50</v>
      </c>
      <c r="C56" s="2" t="s">
        <v>86</v>
      </c>
      <c r="D56" s="83" t="s">
        <v>87</v>
      </c>
      <c r="E56" s="84"/>
      <c r="F56" s="2" t="s">
        <v>88</v>
      </c>
      <c r="G56" s="17">
        <f>'Rozpočet - vybrané sloupce'!J30</f>
        <v>0.4</v>
      </c>
      <c r="H56" s="17">
        <f>'Rozpočet - vybrané sloupce'!K30</f>
        <v>0</v>
      </c>
      <c r="I56" s="74">
        <v>12</v>
      </c>
      <c r="J56" s="17">
        <f t="shared" si="78"/>
        <v>0</v>
      </c>
      <c r="K56" s="17">
        <f t="shared" si="79"/>
        <v>0</v>
      </c>
      <c r="L56" s="17">
        <f t="shared" si="80"/>
        <v>0</v>
      </c>
      <c r="M56" s="17">
        <f t="shared" si="81"/>
        <v>0</v>
      </c>
      <c r="N56" s="17">
        <v>0</v>
      </c>
      <c r="O56" s="17">
        <f t="shared" si="82"/>
        <v>0</v>
      </c>
      <c r="P56" s="75" t="s">
        <v>576</v>
      </c>
      <c r="Z56" s="17">
        <f t="shared" si="83"/>
        <v>0</v>
      </c>
      <c r="AB56" s="17">
        <f t="shared" si="84"/>
        <v>0</v>
      </c>
      <c r="AC56" s="17">
        <f t="shared" si="85"/>
        <v>0</v>
      </c>
      <c r="AD56" s="17">
        <f t="shared" si="86"/>
        <v>0</v>
      </c>
      <c r="AE56" s="17">
        <f t="shared" si="87"/>
        <v>0</v>
      </c>
      <c r="AF56" s="17">
        <f t="shared" si="88"/>
        <v>0</v>
      </c>
      <c r="AG56" s="17">
        <f t="shared" si="89"/>
        <v>0</v>
      </c>
      <c r="AH56" s="17">
        <f t="shared" si="90"/>
        <v>0</v>
      </c>
      <c r="AI56" s="14" t="s">
        <v>50</v>
      </c>
      <c r="AJ56" s="17">
        <f t="shared" si="91"/>
        <v>0</v>
      </c>
      <c r="AK56" s="17">
        <f t="shared" si="92"/>
        <v>0</v>
      </c>
      <c r="AL56" s="17">
        <f t="shared" si="93"/>
        <v>0</v>
      </c>
      <c r="AN56" s="17">
        <v>12</v>
      </c>
      <c r="AO56" s="17">
        <f>H56*0</f>
        <v>0</v>
      </c>
      <c r="AP56" s="17">
        <f>H56*(1-0)</f>
        <v>0</v>
      </c>
      <c r="AQ56" s="76" t="s">
        <v>577</v>
      </c>
      <c r="AV56" s="17">
        <f t="shared" si="94"/>
        <v>0</v>
      </c>
      <c r="AW56" s="17">
        <f t="shared" si="95"/>
        <v>0</v>
      </c>
      <c r="AX56" s="17">
        <f t="shared" si="96"/>
        <v>0</v>
      </c>
      <c r="AY56" s="76" t="s">
        <v>578</v>
      </c>
      <c r="AZ56" s="76" t="s">
        <v>608</v>
      </c>
      <c r="BA56" s="14" t="s">
        <v>605</v>
      </c>
      <c r="BC56" s="17">
        <f t="shared" si="97"/>
        <v>0</v>
      </c>
      <c r="BD56" s="17">
        <f t="shared" si="98"/>
        <v>0</v>
      </c>
      <c r="BE56" s="17">
        <v>0</v>
      </c>
      <c r="BF56" s="17">
        <f t="shared" si="99"/>
        <v>0</v>
      </c>
      <c r="BH56" s="17">
        <f t="shared" si="100"/>
        <v>0</v>
      </c>
      <c r="BI56" s="17">
        <f t="shared" si="101"/>
        <v>0</v>
      </c>
      <c r="BJ56" s="17">
        <f t="shared" si="102"/>
        <v>0</v>
      </c>
      <c r="BK56" s="17"/>
      <c r="BL56" s="17">
        <v>721</v>
      </c>
      <c r="BW56" s="17">
        <f t="shared" si="103"/>
        <v>12</v>
      </c>
      <c r="BX56" s="4" t="s">
        <v>87</v>
      </c>
    </row>
    <row r="57" spans="1:76" x14ac:dyDescent="0.25">
      <c r="A57" s="77"/>
      <c r="C57" s="78" t="s">
        <v>610</v>
      </c>
      <c r="D57" s="161" t="s">
        <v>624</v>
      </c>
      <c r="E57" s="162"/>
      <c r="F57" s="162"/>
      <c r="G57" s="162"/>
      <c r="H57" s="162"/>
      <c r="I57" s="162"/>
      <c r="J57" s="162"/>
      <c r="K57" s="162"/>
      <c r="L57" s="162"/>
      <c r="M57" s="162"/>
      <c r="N57" s="162"/>
      <c r="O57" s="162"/>
      <c r="P57" s="163"/>
      <c r="BX57" s="79" t="s">
        <v>624</v>
      </c>
    </row>
    <row r="58" spans="1:76" x14ac:dyDescent="0.25">
      <c r="A58" s="1" t="s">
        <v>625</v>
      </c>
      <c r="B58" s="2" t="s">
        <v>50</v>
      </c>
      <c r="C58" s="2" t="s">
        <v>43</v>
      </c>
      <c r="D58" s="83" t="s">
        <v>44</v>
      </c>
      <c r="E58" s="84"/>
      <c r="F58" s="2" t="s">
        <v>45</v>
      </c>
      <c r="G58" s="17">
        <f>'Rozpočet - vybrané sloupce'!J31</f>
        <v>0</v>
      </c>
      <c r="H58" s="17">
        <f>'Rozpočet - vybrané sloupce'!K31</f>
        <v>0</v>
      </c>
      <c r="I58" s="74">
        <v>12</v>
      </c>
      <c r="J58" s="17">
        <f>ROUND(G58*AO58,2)</f>
        <v>0</v>
      </c>
      <c r="K58" s="17">
        <f>ROUND(G58*AP58,2)</f>
        <v>0</v>
      </c>
      <c r="L58" s="17">
        <f>ROUND(G58*H58,2)</f>
        <v>0</v>
      </c>
      <c r="M58" s="17">
        <f>L58*(1+BW58/100)</f>
        <v>0</v>
      </c>
      <c r="N58" s="17">
        <v>0</v>
      </c>
      <c r="O58" s="17">
        <f>G58*N58</f>
        <v>0</v>
      </c>
      <c r="P58" s="75" t="s">
        <v>576</v>
      </c>
      <c r="Z58" s="17">
        <f>ROUND(IF(AQ58="5",BJ58,0),2)</f>
        <v>0</v>
      </c>
      <c r="AB58" s="17">
        <f>ROUND(IF(AQ58="1",BH58,0),2)</f>
        <v>0</v>
      </c>
      <c r="AC58" s="17">
        <f>ROUND(IF(AQ58="1",BI58,0),2)</f>
        <v>0</v>
      </c>
      <c r="AD58" s="17">
        <f>ROUND(IF(AQ58="7",BH58,0),2)</f>
        <v>0</v>
      </c>
      <c r="AE58" s="17">
        <f>ROUND(IF(AQ58="7",BI58,0),2)</f>
        <v>0</v>
      </c>
      <c r="AF58" s="17">
        <f>ROUND(IF(AQ58="2",BH58,0),2)</f>
        <v>0</v>
      </c>
      <c r="AG58" s="17">
        <f>ROUND(IF(AQ58="2",BI58,0),2)</f>
        <v>0</v>
      </c>
      <c r="AH58" s="17">
        <f>ROUND(IF(AQ58="0",BJ58,0),2)</f>
        <v>0</v>
      </c>
      <c r="AI58" s="14" t="s">
        <v>50</v>
      </c>
      <c r="AJ58" s="17">
        <f>IF(AN58=0,L58,0)</f>
        <v>0</v>
      </c>
      <c r="AK58" s="17">
        <f>IF(AN58=12,L58,0)</f>
        <v>0</v>
      </c>
      <c r="AL58" s="17">
        <f>IF(AN58=21,L58,0)</f>
        <v>0</v>
      </c>
      <c r="AN58" s="17">
        <v>12</v>
      </c>
      <c r="AO58" s="17">
        <f>H58*0</f>
        <v>0</v>
      </c>
      <c r="AP58" s="17">
        <f>H58*(1-0)</f>
        <v>0</v>
      </c>
      <c r="AQ58" s="76" t="s">
        <v>585</v>
      </c>
      <c r="AV58" s="17">
        <f>ROUND(AW58+AX58,2)</f>
        <v>0</v>
      </c>
      <c r="AW58" s="17">
        <f>ROUND(G58*AO58,2)</f>
        <v>0</v>
      </c>
      <c r="AX58" s="17">
        <f>ROUND(G58*AP58,2)</f>
        <v>0</v>
      </c>
      <c r="AY58" s="76" t="s">
        <v>578</v>
      </c>
      <c r="AZ58" s="76" t="s">
        <v>608</v>
      </c>
      <c r="BA58" s="14" t="s">
        <v>605</v>
      </c>
      <c r="BC58" s="17">
        <f>AW58+AX58</f>
        <v>0</v>
      </c>
      <c r="BD58" s="17">
        <f>H58/(100-BE58)*100</f>
        <v>0</v>
      </c>
      <c r="BE58" s="17">
        <v>0</v>
      </c>
      <c r="BF58" s="17">
        <f>O58</f>
        <v>0</v>
      </c>
      <c r="BH58" s="17">
        <f>G58*AO58</f>
        <v>0</v>
      </c>
      <c r="BI58" s="17">
        <f>G58*AP58</f>
        <v>0</v>
      </c>
      <c r="BJ58" s="17">
        <f>G58*H58</f>
        <v>0</v>
      </c>
      <c r="BK58" s="17"/>
      <c r="BL58" s="17">
        <v>721</v>
      </c>
      <c r="BW58" s="17">
        <f>I58</f>
        <v>12</v>
      </c>
      <c r="BX58" s="4" t="s">
        <v>44</v>
      </c>
    </row>
    <row r="59" spans="1:76" x14ac:dyDescent="0.25">
      <c r="A59" s="71" t="s">
        <v>25</v>
      </c>
      <c r="B59" s="13" t="s">
        <v>89</v>
      </c>
      <c r="C59" s="13" t="s">
        <v>25</v>
      </c>
      <c r="D59" s="135" t="s">
        <v>90</v>
      </c>
      <c r="E59" s="136"/>
      <c r="F59" s="72" t="s">
        <v>23</v>
      </c>
      <c r="G59" s="72" t="s">
        <v>23</v>
      </c>
      <c r="H59" s="72" t="s">
        <v>23</v>
      </c>
      <c r="I59" s="72" t="s">
        <v>23</v>
      </c>
      <c r="J59" s="47">
        <f>J60+J63</f>
        <v>0</v>
      </c>
      <c r="K59" s="47">
        <f>K60+K63</f>
        <v>0</v>
      </c>
      <c r="L59" s="47">
        <f>L60+L63</f>
        <v>0</v>
      </c>
      <c r="M59" s="47">
        <f>M60+M63</f>
        <v>0</v>
      </c>
      <c r="N59" s="14" t="s">
        <v>25</v>
      </c>
      <c r="O59" s="47">
        <f>O60+O63</f>
        <v>0.78405999999999987</v>
      </c>
      <c r="P59" s="73" t="s">
        <v>25</v>
      </c>
    </row>
    <row r="60" spans="1:76" x14ac:dyDescent="0.25">
      <c r="A60" s="71" t="s">
        <v>25</v>
      </c>
      <c r="B60" s="13" t="s">
        <v>89</v>
      </c>
      <c r="C60" s="13" t="s">
        <v>52</v>
      </c>
      <c r="D60" s="135" t="s">
        <v>53</v>
      </c>
      <c r="E60" s="136"/>
      <c r="F60" s="72" t="s">
        <v>23</v>
      </c>
      <c r="G60" s="72" t="s">
        <v>23</v>
      </c>
      <c r="H60" s="72" t="s">
        <v>23</v>
      </c>
      <c r="I60" s="72" t="s">
        <v>23</v>
      </c>
      <c r="J60" s="47">
        <f>SUM(J61:J62)</f>
        <v>0</v>
      </c>
      <c r="K60" s="47">
        <f>SUM(K61:K62)</f>
        <v>0</v>
      </c>
      <c r="L60" s="47">
        <f>SUM(L61:L62)</f>
        <v>0</v>
      </c>
      <c r="M60" s="47">
        <f>SUM(M61:M62)</f>
        <v>0</v>
      </c>
      <c r="N60" s="14" t="s">
        <v>25</v>
      </c>
      <c r="O60" s="47">
        <f>SUM(O61:O62)</f>
        <v>0</v>
      </c>
      <c r="P60" s="73" t="s">
        <v>25</v>
      </c>
      <c r="AI60" s="14" t="s">
        <v>89</v>
      </c>
      <c r="AS60" s="47">
        <f>SUM(AJ61:AJ62)</f>
        <v>0</v>
      </c>
      <c r="AT60" s="47">
        <f>SUM(AK61:AK62)</f>
        <v>0</v>
      </c>
      <c r="AU60" s="47">
        <f>SUM(AL61:AL62)</f>
        <v>0</v>
      </c>
    </row>
    <row r="61" spans="1:76" x14ac:dyDescent="0.25">
      <c r="A61" s="1" t="s">
        <v>626</v>
      </c>
      <c r="B61" s="2" t="s">
        <v>89</v>
      </c>
      <c r="C61" s="2" t="s">
        <v>54</v>
      </c>
      <c r="D61" s="83" t="s">
        <v>55</v>
      </c>
      <c r="E61" s="84"/>
      <c r="F61" s="2" t="s">
        <v>35</v>
      </c>
      <c r="G61" s="17">
        <f>'Rozpočet - vybrané sloupce'!J34</f>
        <v>12</v>
      </c>
      <c r="H61" s="17">
        <f>'Rozpočet - vybrané sloupce'!K34</f>
        <v>0</v>
      </c>
      <c r="I61" s="74">
        <v>12</v>
      </c>
      <c r="J61" s="17">
        <f>ROUND(G61*AO61,2)</f>
        <v>0</v>
      </c>
      <c r="K61" s="17">
        <f>ROUND(G61*AP61,2)</f>
        <v>0</v>
      </c>
      <c r="L61" s="17">
        <f>ROUND(G61*H61,2)</f>
        <v>0</v>
      </c>
      <c r="M61" s="17">
        <f>L61*(1+BW61/100)</f>
        <v>0</v>
      </c>
      <c r="N61" s="17">
        <v>0</v>
      </c>
      <c r="O61" s="17">
        <f>G61*N61</f>
        <v>0</v>
      </c>
      <c r="P61" s="75" t="s">
        <v>576</v>
      </c>
      <c r="Z61" s="17">
        <f>ROUND(IF(AQ61="5",BJ61,0),2)</f>
        <v>0</v>
      </c>
      <c r="AB61" s="17">
        <f>ROUND(IF(AQ61="1",BH61,0),2)</f>
        <v>0</v>
      </c>
      <c r="AC61" s="17">
        <f>ROUND(IF(AQ61="1",BI61,0),2)</f>
        <v>0</v>
      </c>
      <c r="AD61" s="17">
        <f>ROUND(IF(AQ61="7",BH61,0),2)</f>
        <v>0</v>
      </c>
      <c r="AE61" s="17">
        <f>ROUND(IF(AQ61="7",BI61,0),2)</f>
        <v>0</v>
      </c>
      <c r="AF61" s="17">
        <f>ROUND(IF(AQ61="2",BH61,0),2)</f>
        <v>0</v>
      </c>
      <c r="AG61" s="17">
        <f>ROUND(IF(AQ61="2",BI61,0),2)</f>
        <v>0</v>
      </c>
      <c r="AH61" s="17">
        <f>ROUND(IF(AQ61="0",BJ61,0),2)</f>
        <v>0</v>
      </c>
      <c r="AI61" s="14" t="s">
        <v>89</v>
      </c>
      <c r="AJ61" s="17">
        <f>IF(AN61=0,L61,0)</f>
        <v>0</v>
      </c>
      <c r="AK61" s="17">
        <f>IF(AN61=12,L61,0)</f>
        <v>0</v>
      </c>
      <c r="AL61" s="17">
        <f>IF(AN61=21,L61,0)</f>
        <v>0</v>
      </c>
      <c r="AN61" s="17">
        <v>12</v>
      </c>
      <c r="AO61" s="17">
        <f>H61*1</f>
        <v>0</v>
      </c>
      <c r="AP61" s="17">
        <f>H61*(1-1)</f>
        <v>0</v>
      </c>
      <c r="AQ61" s="76" t="s">
        <v>577</v>
      </c>
      <c r="AV61" s="17">
        <f>ROUND(AW61+AX61,2)</f>
        <v>0</v>
      </c>
      <c r="AW61" s="17">
        <f>ROUND(G61*AO61,2)</f>
        <v>0</v>
      </c>
      <c r="AX61" s="17">
        <f>ROUND(G61*AP61,2)</f>
        <v>0</v>
      </c>
      <c r="AY61" s="76" t="s">
        <v>603</v>
      </c>
      <c r="AZ61" s="76" t="s">
        <v>627</v>
      </c>
      <c r="BA61" s="14" t="s">
        <v>628</v>
      </c>
      <c r="BC61" s="17">
        <f>AW61+AX61</f>
        <v>0</v>
      </c>
      <c r="BD61" s="17">
        <f>H61/(100-BE61)*100</f>
        <v>0</v>
      </c>
      <c r="BE61" s="17">
        <v>0</v>
      </c>
      <c r="BF61" s="17">
        <f>O61</f>
        <v>0</v>
      </c>
      <c r="BH61" s="17">
        <f>G61*AO61</f>
        <v>0</v>
      </c>
      <c r="BI61" s="17">
        <f>G61*AP61</f>
        <v>0</v>
      </c>
      <c r="BJ61" s="17">
        <f>G61*H61</f>
        <v>0</v>
      </c>
      <c r="BK61" s="17"/>
      <c r="BL61" s="17">
        <v>713</v>
      </c>
      <c r="BW61" s="17">
        <f>I61</f>
        <v>12</v>
      </c>
      <c r="BX61" s="4" t="s">
        <v>55</v>
      </c>
    </row>
    <row r="62" spans="1:76" x14ac:dyDescent="0.25">
      <c r="A62" s="1" t="s">
        <v>629</v>
      </c>
      <c r="B62" s="2" t="s">
        <v>89</v>
      </c>
      <c r="C62" s="2" t="s">
        <v>56</v>
      </c>
      <c r="D62" s="83" t="s">
        <v>57</v>
      </c>
      <c r="E62" s="84"/>
      <c r="F62" s="2" t="s">
        <v>45</v>
      </c>
      <c r="G62" s="17">
        <f>'Rozpočet - vybrané sloupce'!J35</f>
        <v>0</v>
      </c>
      <c r="H62" s="17">
        <f>'Rozpočet - vybrané sloupce'!K35</f>
        <v>0</v>
      </c>
      <c r="I62" s="74">
        <v>12</v>
      </c>
      <c r="J62" s="17">
        <f>ROUND(G62*AO62,2)</f>
        <v>0</v>
      </c>
      <c r="K62" s="17">
        <f>ROUND(G62*AP62,2)</f>
        <v>0</v>
      </c>
      <c r="L62" s="17">
        <f>ROUND(G62*H62,2)</f>
        <v>0</v>
      </c>
      <c r="M62" s="17">
        <f>L62*(1+BW62/100)</f>
        <v>0</v>
      </c>
      <c r="N62" s="17">
        <v>0</v>
      </c>
      <c r="O62" s="17">
        <f>G62*N62</f>
        <v>0</v>
      </c>
      <c r="P62" s="75" t="s">
        <v>576</v>
      </c>
      <c r="Z62" s="17">
        <f>ROUND(IF(AQ62="5",BJ62,0),2)</f>
        <v>0</v>
      </c>
      <c r="AB62" s="17">
        <f>ROUND(IF(AQ62="1",BH62,0),2)</f>
        <v>0</v>
      </c>
      <c r="AC62" s="17">
        <f>ROUND(IF(AQ62="1",BI62,0),2)</f>
        <v>0</v>
      </c>
      <c r="AD62" s="17">
        <f>ROUND(IF(AQ62="7",BH62,0),2)</f>
        <v>0</v>
      </c>
      <c r="AE62" s="17">
        <f>ROUND(IF(AQ62="7",BI62,0),2)</f>
        <v>0</v>
      </c>
      <c r="AF62" s="17">
        <f>ROUND(IF(AQ62="2",BH62,0),2)</f>
        <v>0</v>
      </c>
      <c r="AG62" s="17">
        <f>ROUND(IF(AQ62="2",BI62,0),2)</f>
        <v>0</v>
      </c>
      <c r="AH62" s="17">
        <f>ROUND(IF(AQ62="0",BJ62,0),2)</f>
        <v>0</v>
      </c>
      <c r="AI62" s="14" t="s">
        <v>89</v>
      </c>
      <c r="AJ62" s="17">
        <f>IF(AN62=0,L62,0)</f>
        <v>0</v>
      </c>
      <c r="AK62" s="17">
        <f>IF(AN62=12,L62,0)</f>
        <v>0</v>
      </c>
      <c r="AL62" s="17">
        <f>IF(AN62=21,L62,0)</f>
        <v>0</v>
      </c>
      <c r="AN62" s="17">
        <v>12</v>
      </c>
      <c r="AO62" s="17">
        <f>H62*0</f>
        <v>0</v>
      </c>
      <c r="AP62" s="17">
        <f>H62*(1-0)</f>
        <v>0</v>
      </c>
      <c r="AQ62" s="76" t="s">
        <v>585</v>
      </c>
      <c r="AV62" s="17">
        <f>ROUND(AW62+AX62,2)</f>
        <v>0</v>
      </c>
      <c r="AW62" s="17">
        <f>ROUND(G62*AO62,2)</f>
        <v>0</v>
      </c>
      <c r="AX62" s="17">
        <f>ROUND(G62*AP62,2)</f>
        <v>0</v>
      </c>
      <c r="AY62" s="76" t="s">
        <v>603</v>
      </c>
      <c r="AZ62" s="76" t="s">
        <v>627</v>
      </c>
      <c r="BA62" s="14" t="s">
        <v>628</v>
      </c>
      <c r="BC62" s="17">
        <f>AW62+AX62</f>
        <v>0</v>
      </c>
      <c r="BD62" s="17">
        <f>H62/(100-BE62)*100</f>
        <v>0</v>
      </c>
      <c r="BE62" s="17">
        <v>0</v>
      </c>
      <c r="BF62" s="17">
        <f>O62</f>
        <v>0</v>
      </c>
      <c r="BH62" s="17">
        <f>G62*AO62</f>
        <v>0</v>
      </c>
      <c r="BI62" s="17">
        <f>G62*AP62</f>
        <v>0</v>
      </c>
      <c r="BJ62" s="17">
        <f>G62*H62</f>
        <v>0</v>
      </c>
      <c r="BK62" s="17"/>
      <c r="BL62" s="17">
        <v>713</v>
      </c>
      <c r="BW62" s="17">
        <f>I62</f>
        <v>12</v>
      </c>
      <c r="BX62" s="4" t="s">
        <v>57</v>
      </c>
    </row>
    <row r="63" spans="1:76" x14ac:dyDescent="0.25">
      <c r="A63" s="71" t="s">
        <v>25</v>
      </c>
      <c r="B63" s="13" t="s">
        <v>89</v>
      </c>
      <c r="C63" s="13" t="s">
        <v>27</v>
      </c>
      <c r="D63" s="135" t="s">
        <v>28</v>
      </c>
      <c r="E63" s="136"/>
      <c r="F63" s="72" t="s">
        <v>23</v>
      </c>
      <c r="G63" s="72" t="s">
        <v>23</v>
      </c>
      <c r="H63" s="72" t="s">
        <v>23</v>
      </c>
      <c r="I63" s="72" t="s">
        <v>23</v>
      </c>
      <c r="J63" s="47">
        <f>SUM(J64:J78)</f>
        <v>0</v>
      </c>
      <c r="K63" s="47">
        <f>SUM(K64:K78)</f>
        <v>0</v>
      </c>
      <c r="L63" s="47">
        <f>SUM(L64:L78)</f>
        <v>0</v>
      </c>
      <c r="M63" s="47">
        <f>SUM(M64:M78)</f>
        <v>0</v>
      </c>
      <c r="N63" s="14" t="s">
        <v>25</v>
      </c>
      <c r="O63" s="47">
        <f>SUM(O64:O78)</f>
        <v>0.78405999999999987</v>
      </c>
      <c r="P63" s="73" t="s">
        <v>25</v>
      </c>
      <c r="AI63" s="14" t="s">
        <v>89</v>
      </c>
      <c r="AS63" s="47">
        <f>SUM(AJ64:AJ78)</f>
        <v>0</v>
      </c>
      <c r="AT63" s="47">
        <f>SUM(AK64:AK78)</f>
        <v>0</v>
      </c>
      <c r="AU63" s="47">
        <f>SUM(AL64:AL78)</f>
        <v>0</v>
      </c>
    </row>
    <row r="64" spans="1:76" x14ac:dyDescent="0.25">
      <c r="A64" s="1" t="s">
        <v>630</v>
      </c>
      <c r="B64" s="2" t="s">
        <v>89</v>
      </c>
      <c r="C64" s="2" t="s">
        <v>58</v>
      </c>
      <c r="D64" s="83" t="s">
        <v>59</v>
      </c>
      <c r="E64" s="84"/>
      <c r="F64" s="2" t="s">
        <v>31</v>
      </c>
      <c r="G64" s="17">
        <f>'Rozpočet - vybrané sloupce'!J37</f>
        <v>16</v>
      </c>
      <c r="H64" s="17">
        <f>'Rozpočet - vybrané sloupce'!K37</f>
        <v>0</v>
      </c>
      <c r="I64" s="74">
        <v>12</v>
      </c>
      <c r="J64" s="17">
        <f t="shared" ref="J64:J78" si="104">ROUND(G64*AO64,2)</f>
        <v>0</v>
      </c>
      <c r="K64" s="17">
        <f t="shared" ref="K64:K78" si="105">ROUND(G64*AP64,2)</f>
        <v>0</v>
      </c>
      <c r="L64" s="17">
        <f t="shared" ref="L64:L78" si="106">ROUND(G64*H64,2)</f>
        <v>0</v>
      </c>
      <c r="M64" s="17">
        <f t="shared" ref="M64:M78" si="107">L64*(1+BW64/100)</f>
        <v>0</v>
      </c>
      <c r="N64" s="17">
        <v>1.4919999999999999E-2</v>
      </c>
      <c r="O64" s="17">
        <f t="shared" ref="O64:O78" si="108">G64*N64</f>
        <v>0.23871999999999999</v>
      </c>
      <c r="P64" s="75" t="s">
        <v>576</v>
      </c>
      <c r="Z64" s="17">
        <f t="shared" ref="Z64:Z78" si="109">ROUND(IF(AQ64="5",BJ64,0),2)</f>
        <v>0</v>
      </c>
      <c r="AB64" s="17">
        <f t="shared" ref="AB64:AB78" si="110">ROUND(IF(AQ64="1",BH64,0),2)</f>
        <v>0</v>
      </c>
      <c r="AC64" s="17">
        <f t="shared" ref="AC64:AC78" si="111">ROUND(IF(AQ64="1",BI64,0),2)</f>
        <v>0</v>
      </c>
      <c r="AD64" s="17">
        <f t="shared" ref="AD64:AD78" si="112">ROUND(IF(AQ64="7",BH64,0),2)</f>
        <v>0</v>
      </c>
      <c r="AE64" s="17">
        <f t="shared" ref="AE64:AE78" si="113">ROUND(IF(AQ64="7",BI64,0),2)</f>
        <v>0</v>
      </c>
      <c r="AF64" s="17">
        <f t="shared" ref="AF64:AF78" si="114">ROUND(IF(AQ64="2",BH64,0),2)</f>
        <v>0</v>
      </c>
      <c r="AG64" s="17">
        <f t="shared" ref="AG64:AG78" si="115">ROUND(IF(AQ64="2",BI64,0),2)</f>
        <v>0</v>
      </c>
      <c r="AH64" s="17">
        <f t="shared" ref="AH64:AH78" si="116">ROUND(IF(AQ64="0",BJ64,0),2)</f>
        <v>0</v>
      </c>
      <c r="AI64" s="14" t="s">
        <v>89</v>
      </c>
      <c r="AJ64" s="17">
        <f t="shared" ref="AJ64:AJ78" si="117">IF(AN64=0,L64,0)</f>
        <v>0</v>
      </c>
      <c r="AK64" s="17">
        <f t="shared" ref="AK64:AK78" si="118">IF(AN64=12,L64,0)</f>
        <v>0</v>
      </c>
      <c r="AL64" s="17">
        <f t="shared" ref="AL64:AL78" si="119">IF(AN64=21,L64,0)</f>
        <v>0</v>
      </c>
      <c r="AN64" s="17">
        <v>12</v>
      </c>
      <c r="AO64" s="17">
        <f>H64*0</f>
        <v>0</v>
      </c>
      <c r="AP64" s="17">
        <f>H64*(1-0)</f>
        <v>0</v>
      </c>
      <c r="AQ64" s="76" t="s">
        <v>577</v>
      </c>
      <c r="AV64" s="17">
        <f t="shared" ref="AV64:AV78" si="120">ROUND(AW64+AX64,2)</f>
        <v>0</v>
      </c>
      <c r="AW64" s="17">
        <f t="shared" ref="AW64:AW78" si="121">ROUND(G64*AO64,2)</f>
        <v>0</v>
      </c>
      <c r="AX64" s="17">
        <f t="shared" ref="AX64:AX78" si="122">ROUND(G64*AP64,2)</f>
        <v>0</v>
      </c>
      <c r="AY64" s="76" t="s">
        <v>578</v>
      </c>
      <c r="AZ64" s="76" t="s">
        <v>631</v>
      </c>
      <c r="BA64" s="14" t="s">
        <v>628</v>
      </c>
      <c r="BC64" s="17">
        <f t="shared" ref="BC64:BC78" si="123">AW64+AX64</f>
        <v>0</v>
      </c>
      <c r="BD64" s="17">
        <f t="shared" ref="BD64:BD78" si="124">H64/(100-BE64)*100</f>
        <v>0</v>
      </c>
      <c r="BE64" s="17">
        <v>0</v>
      </c>
      <c r="BF64" s="17">
        <f t="shared" ref="BF64:BF78" si="125">O64</f>
        <v>0.23871999999999999</v>
      </c>
      <c r="BH64" s="17">
        <f t="shared" ref="BH64:BH78" si="126">G64*AO64</f>
        <v>0</v>
      </c>
      <c r="BI64" s="17">
        <f t="shared" ref="BI64:BI78" si="127">G64*AP64</f>
        <v>0</v>
      </c>
      <c r="BJ64" s="17">
        <f t="shared" ref="BJ64:BJ78" si="128">G64*H64</f>
        <v>0</v>
      </c>
      <c r="BK64" s="17"/>
      <c r="BL64" s="17">
        <v>721</v>
      </c>
      <c r="BW64" s="17">
        <f t="shared" ref="BW64:BW78" si="129">I64</f>
        <v>12</v>
      </c>
      <c r="BX64" s="4" t="s">
        <v>59</v>
      </c>
    </row>
    <row r="65" spans="1:76" x14ac:dyDescent="0.25">
      <c r="A65" s="1" t="s">
        <v>632</v>
      </c>
      <c r="B65" s="2" t="s">
        <v>89</v>
      </c>
      <c r="C65" s="2" t="s">
        <v>60</v>
      </c>
      <c r="D65" s="83" t="s">
        <v>61</v>
      </c>
      <c r="E65" s="84"/>
      <c r="F65" s="2" t="s">
        <v>35</v>
      </c>
      <c r="G65" s="17">
        <f>'Rozpočet - vybrané sloupce'!J38</f>
        <v>4</v>
      </c>
      <c r="H65" s="17">
        <f>'Rozpočet - vybrané sloupce'!K38</f>
        <v>0</v>
      </c>
      <c r="I65" s="74">
        <v>12</v>
      </c>
      <c r="J65" s="17">
        <f t="shared" si="104"/>
        <v>0</v>
      </c>
      <c r="K65" s="17">
        <f t="shared" si="105"/>
        <v>0</v>
      </c>
      <c r="L65" s="17">
        <f t="shared" si="106"/>
        <v>0</v>
      </c>
      <c r="M65" s="17">
        <f t="shared" si="107"/>
        <v>0</v>
      </c>
      <c r="N65" s="17">
        <v>3.8000000000000002E-4</v>
      </c>
      <c r="O65" s="17">
        <f t="shared" si="108"/>
        <v>1.5200000000000001E-3</v>
      </c>
      <c r="P65" s="75" t="s">
        <v>576</v>
      </c>
      <c r="Z65" s="17">
        <f t="shared" si="109"/>
        <v>0</v>
      </c>
      <c r="AB65" s="17">
        <f t="shared" si="110"/>
        <v>0</v>
      </c>
      <c r="AC65" s="17">
        <f t="shared" si="111"/>
        <v>0</v>
      </c>
      <c r="AD65" s="17">
        <f t="shared" si="112"/>
        <v>0</v>
      </c>
      <c r="AE65" s="17">
        <f t="shared" si="113"/>
        <v>0</v>
      </c>
      <c r="AF65" s="17">
        <f t="shared" si="114"/>
        <v>0</v>
      </c>
      <c r="AG65" s="17">
        <f t="shared" si="115"/>
        <v>0</v>
      </c>
      <c r="AH65" s="17">
        <f t="shared" si="116"/>
        <v>0</v>
      </c>
      <c r="AI65" s="14" t="s">
        <v>89</v>
      </c>
      <c r="AJ65" s="17">
        <f t="shared" si="117"/>
        <v>0</v>
      </c>
      <c r="AK65" s="17">
        <f t="shared" si="118"/>
        <v>0</v>
      </c>
      <c r="AL65" s="17">
        <f t="shared" si="119"/>
        <v>0</v>
      </c>
      <c r="AN65" s="17">
        <v>12</v>
      </c>
      <c r="AO65" s="17">
        <f>H65*0.798383961</f>
        <v>0</v>
      </c>
      <c r="AP65" s="17">
        <f>H65*(1-0.798383961)</f>
        <v>0</v>
      </c>
      <c r="AQ65" s="76" t="s">
        <v>577</v>
      </c>
      <c r="AV65" s="17">
        <f t="shared" si="120"/>
        <v>0</v>
      </c>
      <c r="AW65" s="17">
        <f t="shared" si="121"/>
        <v>0</v>
      </c>
      <c r="AX65" s="17">
        <f t="shared" si="122"/>
        <v>0</v>
      </c>
      <c r="AY65" s="76" t="s">
        <v>578</v>
      </c>
      <c r="AZ65" s="76" t="s">
        <v>631</v>
      </c>
      <c r="BA65" s="14" t="s">
        <v>628</v>
      </c>
      <c r="BC65" s="17">
        <f t="shared" si="123"/>
        <v>0</v>
      </c>
      <c r="BD65" s="17">
        <f t="shared" si="124"/>
        <v>0</v>
      </c>
      <c r="BE65" s="17">
        <v>0</v>
      </c>
      <c r="BF65" s="17">
        <f t="shared" si="125"/>
        <v>1.5200000000000001E-3</v>
      </c>
      <c r="BH65" s="17">
        <f t="shared" si="126"/>
        <v>0</v>
      </c>
      <c r="BI65" s="17">
        <f t="shared" si="127"/>
        <v>0</v>
      </c>
      <c r="BJ65" s="17">
        <f t="shared" si="128"/>
        <v>0</v>
      </c>
      <c r="BK65" s="17"/>
      <c r="BL65" s="17">
        <v>721</v>
      </c>
      <c r="BW65" s="17">
        <f t="shared" si="129"/>
        <v>12</v>
      </c>
      <c r="BX65" s="4" t="s">
        <v>61</v>
      </c>
    </row>
    <row r="66" spans="1:76" x14ac:dyDescent="0.25">
      <c r="A66" s="1" t="s">
        <v>633</v>
      </c>
      <c r="B66" s="2" t="s">
        <v>89</v>
      </c>
      <c r="C66" s="2" t="s">
        <v>62</v>
      </c>
      <c r="D66" s="83" t="s">
        <v>63</v>
      </c>
      <c r="E66" s="84"/>
      <c r="F66" s="2" t="s">
        <v>31</v>
      </c>
      <c r="G66" s="17">
        <f>'Rozpočet - vybrané sloupce'!J39</f>
        <v>40</v>
      </c>
      <c r="H66" s="17">
        <f>'Rozpočet - vybrané sloupce'!K39</f>
        <v>0</v>
      </c>
      <c r="I66" s="74">
        <v>12</v>
      </c>
      <c r="J66" s="17">
        <f t="shared" si="104"/>
        <v>0</v>
      </c>
      <c r="K66" s="17">
        <f t="shared" si="105"/>
        <v>0</v>
      </c>
      <c r="L66" s="17">
        <f t="shared" si="106"/>
        <v>0</v>
      </c>
      <c r="M66" s="17">
        <f t="shared" si="107"/>
        <v>0</v>
      </c>
      <c r="N66" s="17">
        <v>6.6899999999999998E-3</v>
      </c>
      <c r="O66" s="17">
        <f t="shared" si="108"/>
        <v>0.2676</v>
      </c>
      <c r="P66" s="75" t="s">
        <v>576</v>
      </c>
      <c r="Z66" s="17">
        <f t="shared" si="109"/>
        <v>0</v>
      </c>
      <c r="AB66" s="17">
        <f t="shared" si="110"/>
        <v>0</v>
      </c>
      <c r="AC66" s="17">
        <f t="shared" si="111"/>
        <v>0</v>
      </c>
      <c r="AD66" s="17">
        <f t="shared" si="112"/>
        <v>0</v>
      </c>
      <c r="AE66" s="17">
        <f t="shared" si="113"/>
        <v>0</v>
      </c>
      <c r="AF66" s="17">
        <f t="shared" si="114"/>
        <v>0</v>
      </c>
      <c r="AG66" s="17">
        <f t="shared" si="115"/>
        <v>0</v>
      </c>
      <c r="AH66" s="17">
        <f t="shared" si="116"/>
        <v>0</v>
      </c>
      <c r="AI66" s="14" t="s">
        <v>89</v>
      </c>
      <c r="AJ66" s="17">
        <f t="shared" si="117"/>
        <v>0</v>
      </c>
      <c r="AK66" s="17">
        <f t="shared" si="118"/>
        <v>0</v>
      </c>
      <c r="AL66" s="17">
        <f t="shared" si="119"/>
        <v>0</v>
      </c>
      <c r="AN66" s="17">
        <v>12</v>
      </c>
      <c r="AO66" s="17">
        <f>H66*0.355217391</f>
        <v>0</v>
      </c>
      <c r="AP66" s="17">
        <f>H66*(1-0.355217391)</f>
        <v>0</v>
      </c>
      <c r="AQ66" s="76" t="s">
        <v>577</v>
      </c>
      <c r="AV66" s="17">
        <f t="shared" si="120"/>
        <v>0</v>
      </c>
      <c r="AW66" s="17">
        <f t="shared" si="121"/>
        <v>0</v>
      </c>
      <c r="AX66" s="17">
        <f t="shared" si="122"/>
        <v>0</v>
      </c>
      <c r="AY66" s="76" t="s">
        <v>578</v>
      </c>
      <c r="AZ66" s="76" t="s">
        <v>631</v>
      </c>
      <c r="BA66" s="14" t="s">
        <v>628</v>
      </c>
      <c r="BC66" s="17">
        <f t="shared" si="123"/>
        <v>0</v>
      </c>
      <c r="BD66" s="17">
        <f t="shared" si="124"/>
        <v>0</v>
      </c>
      <c r="BE66" s="17">
        <v>0</v>
      </c>
      <c r="BF66" s="17">
        <f t="shared" si="125"/>
        <v>0.2676</v>
      </c>
      <c r="BH66" s="17">
        <f t="shared" si="126"/>
        <v>0</v>
      </c>
      <c r="BI66" s="17">
        <f t="shared" si="127"/>
        <v>0</v>
      </c>
      <c r="BJ66" s="17">
        <f t="shared" si="128"/>
        <v>0</v>
      </c>
      <c r="BK66" s="17"/>
      <c r="BL66" s="17">
        <v>721</v>
      </c>
      <c r="BW66" s="17">
        <f t="shared" si="129"/>
        <v>12</v>
      </c>
      <c r="BX66" s="4" t="s">
        <v>63</v>
      </c>
    </row>
    <row r="67" spans="1:76" ht="25.5" x14ac:dyDescent="0.25">
      <c r="A67" s="1" t="s">
        <v>634</v>
      </c>
      <c r="B67" s="2" t="s">
        <v>89</v>
      </c>
      <c r="C67" s="2" t="s">
        <v>64</v>
      </c>
      <c r="D67" s="83" t="s">
        <v>65</v>
      </c>
      <c r="E67" s="84"/>
      <c r="F67" s="2" t="s">
        <v>35</v>
      </c>
      <c r="G67" s="17">
        <f>'Rozpočet - vybrané sloupce'!J40</f>
        <v>15</v>
      </c>
      <c r="H67" s="17">
        <f>'Rozpočet - vybrané sloupce'!K40</f>
        <v>0</v>
      </c>
      <c r="I67" s="74">
        <v>12</v>
      </c>
      <c r="J67" s="17">
        <f t="shared" si="104"/>
        <v>0</v>
      </c>
      <c r="K67" s="17">
        <f t="shared" si="105"/>
        <v>0</v>
      </c>
      <c r="L67" s="17">
        <f t="shared" si="106"/>
        <v>0</v>
      </c>
      <c r="M67" s="17">
        <f t="shared" si="107"/>
        <v>0</v>
      </c>
      <c r="N67" s="17">
        <v>1.265E-2</v>
      </c>
      <c r="O67" s="17">
        <f t="shared" si="108"/>
        <v>0.18975</v>
      </c>
      <c r="P67" s="75" t="s">
        <v>576</v>
      </c>
      <c r="Z67" s="17">
        <f t="shared" si="109"/>
        <v>0</v>
      </c>
      <c r="AB67" s="17">
        <f t="shared" si="110"/>
        <v>0</v>
      </c>
      <c r="AC67" s="17">
        <f t="shared" si="111"/>
        <v>0</v>
      </c>
      <c r="AD67" s="17">
        <f t="shared" si="112"/>
        <v>0</v>
      </c>
      <c r="AE67" s="17">
        <f t="shared" si="113"/>
        <v>0</v>
      </c>
      <c r="AF67" s="17">
        <f t="shared" si="114"/>
        <v>0</v>
      </c>
      <c r="AG67" s="17">
        <f t="shared" si="115"/>
        <v>0</v>
      </c>
      <c r="AH67" s="17">
        <f t="shared" si="116"/>
        <v>0</v>
      </c>
      <c r="AI67" s="14" t="s">
        <v>89</v>
      </c>
      <c r="AJ67" s="17">
        <f t="shared" si="117"/>
        <v>0</v>
      </c>
      <c r="AK67" s="17">
        <f t="shared" si="118"/>
        <v>0</v>
      </c>
      <c r="AL67" s="17">
        <f t="shared" si="119"/>
        <v>0</v>
      </c>
      <c r="AN67" s="17">
        <v>12</v>
      </c>
      <c r="AO67" s="17">
        <f>H67*0.232544987</f>
        <v>0</v>
      </c>
      <c r="AP67" s="17">
        <f>H67*(1-0.232544987)</f>
        <v>0</v>
      </c>
      <c r="AQ67" s="76" t="s">
        <v>577</v>
      </c>
      <c r="AV67" s="17">
        <f t="shared" si="120"/>
        <v>0</v>
      </c>
      <c r="AW67" s="17">
        <f t="shared" si="121"/>
        <v>0</v>
      </c>
      <c r="AX67" s="17">
        <f t="shared" si="122"/>
        <v>0</v>
      </c>
      <c r="AY67" s="76" t="s">
        <v>578</v>
      </c>
      <c r="AZ67" s="76" t="s">
        <v>631</v>
      </c>
      <c r="BA67" s="14" t="s">
        <v>628</v>
      </c>
      <c r="BC67" s="17">
        <f t="shared" si="123"/>
        <v>0</v>
      </c>
      <c r="BD67" s="17">
        <f t="shared" si="124"/>
        <v>0</v>
      </c>
      <c r="BE67" s="17">
        <v>0</v>
      </c>
      <c r="BF67" s="17">
        <f t="shared" si="125"/>
        <v>0.18975</v>
      </c>
      <c r="BH67" s="17">
        <f t="shared" si="126"/>
        <v>0</v>
      </c>
      <c r="BI67" s="17">
        <f t="shared" si="127"/>
        <v>0</v>
      </c>
      <c r="BJ67" s="17">
        <f t="shared" si="128"/>
        <v>0</v>
      </c>
      <c r="BK67" s="17"/>
      <c r="BL67" s="17">
        <v>721</v>
      </c>
      <c r="BW67" s="17">
        <f t="shared" si="129"/>
        <v>12</v>
      </c>
      <c r="BX67" s="4" t="s">
        <v>65</v>
      </c>
    </row>
    <row r="68" spans="1:76" x14ac:dyDescent="0.25">
      <c r="A68" s="1" t="s">
        <v>635</v>
      </c>
      <c r="B68" s="2" t="s">
        <v>89</v>
      </c>
      <c r="C68" s="2" t="s">
        <v>68</v>
      </c>
      <c r="D68" s="83" t="s">
        <v>69</v>
      </c>
      <c r="E68" s="84"/>
      <c r="F68" s="2" t="s">
        <v>31</v>
      </c>
      <c r="G68" s="17">
        <f>'Rozpočet - vybrané sloupce'!J41</f>
        <v>3</v>
      </c>
      <c r="H68" s="17">
        <f>'Rozpočet - vybrané sloupce'!K41</f>
        <v>0</v>
      </c>
      <c r="I68" s="74">
        <v>12</v>
      </c>
      <c r="J68" s="17">
        <f t="shared" si="104"/>
        <v>0</v>
      </c>
      <c r="K68" s="17">
        <f t="shared" si="105"/>
        <v>0</v>
      </c>
      <c r="L68" s="17">
        <f t="shared" si="106"/>
        <v>0</v>
      </c>
      <c r="M68" s="17">
        <f t="shared" si="107"/>
        <v>0</v>
      </c>
      <c r="N68" s="17">
        <v>1.98E-3</v>
      </c>
      <c r="O68" s="17">
        <f t="shared" si="108"/>
        <v>5.94E-3</v>
      </c>
      <c r="P68" s="75" t="s">
        <v>576</v>
      </c>
      <c r="Z68" s="17">
        <f t="shared" si="109"/>
        <v>0</v>
      </c>
      <c r="AB68" s="17">
        <f t="shared" si="110"/>
        <v>0</v>
      </c>
      <c r="AC68" s="17">
        <f t="shared" si="111"/>
        <v>0</v>
      </c>
      <c r="AD68" s="17">
        <f t="shared" si="112"/>
        <v>0</v>
      </c>
      <c r="AE68" s="17">
        <f t="shared" si="113"/>
        <v>0</v>
      </c>
      <c r="AF68" s="17">
        <f t="shared" si="114"/>
        <v>0</v>
      </c>
      <c r="AG68" s="17">
        <f t="shared" si="115"/>
        <v>0</v>
      </c>
      <c r="AH68" s="17">
        <f t="shared" si="116"/>
        <v>0</v>
      </c>
      <c r="AI68" s="14" t="s">
        <v>89</v>
      </c>
      <c r="AJ68" s="17">
        <f t="shared" si="117"/>
        <v>0</v>
      </c>
      <c r="AK68" s="17">
        <f t="shared" si="118"/>
        <v>0</v>
      </c>
      <c r="AL68" s="17">
        <f t="shared" si="119"/>
        <v>0</v>
      </c>
      <c r="AN68" s="17">
        <v>12</v>
      </c>
      <c r="AO68" s="17">
        <f>H68*0</f>
        <v>0</v>
      </c>
      <c r="AP68" s="17">
        <f>H68*(1-0)</f>
        <v>0</v>
      </c>
      <c r="AQ68" s="76" t="s">
        <v>577</v>
      </c>
      <c r="AV68" s="17">
        <f t="shared" si="120"/>
        <v>0</v>
      </c>
      <c r="AW68" s="17">
        <f t="shared" si="121"/>
        <v>0</v>
      </c>
      <c r="AX68" s="17">
        <f t="shared" si="122"/>
        <v>0</v>
      </c>
      <c r="AY68" s="76" t="s">
        <v>578</v>
      </c>
      <c r="AZ68" s="76" t="s">
        <v>631</v>
      </c>
      <c r="BA68" s="14" t="s">
        <v>628</v>
      </c>
      <c r="BC68" s="17">
        <f t="shared" si="123"/>
        <v>0</v>
      </c>
      <c r="BD68" s="17">
        <f t="shared" si="124"/>
        <v>0</v>
      </c>
      <c r="BE68" s="17">
        <v>0</v>
      </c>
      <c r="BF68" s="17">
        <f t="shared" si="125"/>
        <v>5.94E-3</v>
      </c>
      <c r="BH68" s="17">
        <f t="shared" si="126"/>
        <v>0</v>
      </c>
      <c r="BI68" s="17">
        <f t="shared" si="127"/>
        <v>0</v>
      </c>
      <c r="BJ68" s="17">
        <f t="shared" si="128"/>
        <v>0</v>
      </c>
      <c r="BK68" s="17"/>
      <c r="BL68" s="17">
        <v>721</v>
      </c>
      <c r="BW68" s="17">
        <f t="shared" si="129"/>
        <v>12</v>
      </c>
      <c r="BX68" s="4" t="s">
        <v>69</v>
      </c>
    </row>
    <row r="69" spans="1:76" x14ac:dyDescent="0.25">
      <c r="A69" s="1" t="s">
        <v>636</v>
      </c>
      <c r="B69" s="2" t="s">
        <v>89</v>
      </c>
      <c r="C69" s="2" t="s">
        <v>70</v>
      </c>
      <c r="D69" s="83" t="s">
        <v>71</v>
      </c>
      <c r="E69" s="84"/>
      <c r="F69" s="2" t="s">
        <v>31</v>
      </c>
      <c r="G69" s="17">
        <f>'Rozpočet - vybrané sloupce'!J42</f>
        <v>56</v>
      </c>
      <c r="H69" s="17">
        <f>'Rozpočet - vybrané sloupce'!K42</f>
        <v>0</v>
      </c>
      <c r="I69" s="74">
        <v>12</v>
      </c>
      <c r="J69" s="17">
        <f t="shared" si="104"/>
        <v>0</v>
      </c>
      <c r="K69" s="17">
        <f t="shared" si="105"/>
        <v>0</v>
      </c>
      <c r="L69" s="17">
        <f t="shared" si="106"/>
        <v>0</v>
      </c>
      <c r="M69" s="17">
        <f t="shared" si="107"/>
        <v>0</v>
      </c>
      <c r="N69" s="17">
        <v>1.31E-3</v>
      </c>
      <c r="O69" s="17">
        <f t="shared" si="108"/>
        <v>7.3359999999999995E-2</v>
      </c>
      <c r="P69" s="75" t="s">
        <v>576</v>
      </c>
      <c r="Z69" s="17">
        <f t="shared" si="109"/>
        <v>0</v>
      </c>
      <c r="AB69" s="17">
        <f t="shared" si="110"/>
        <v>0</v>
      </c>
      <c r="AC69" s="17">
        <f t="shared" si="111"/>
        <v>0</v>
      </c>
      <c r="AD69" s="17">
        <f t="shared" si="112"/>
        <v>0</v>
      </c>
      <c r="AE69" s="17">
        <f t="shared" si="113"/>
        <v>0</v>
      </c>
      <c r="AF69" s="17">
        <f t="shared" si="114"/>
        <v>0</v>
      </c>
      <c r="AG69" s="17">
        <f t="shared" si="115"/>
        <v>0</v>
      </c>
      <c r="AH69" s="17">
        <f t="shared" si="116"/>
        <v>0</v>
      </c>
      <c r="AI69" s="14" t="s">
        <v>89</v>
      </c>
      <c r="AJ69" s="17">
        <f t="shared" si="117"/>
        <v>0</v>
      </c>
      <c r="AK69" s="17">
        <f t="shared" si="118"/>
        <v>0</v>
      </c>
      <c r="AL69" s="17">
        <f t="shared" si="119"/>
        <v>0</v>
      </c>
      <c r="AN69" s="17">
        <v>12</v>
      </c>
      <c r="AO69" s="17">
        <f>H69*0.372245658</f>
        <v>0</v>
      </c>
      <c r="AP69" s="17">
        <f>H69*(1-0.372245658)</f>
        <v>0</v>
      </c>
      <c r="AQ69" s="76" t="s">
        <v>577</v>
      </c>
      <c r="AV69" s="17">
        <f t="shared" si="120"/>
        <v>0</v>
      </c>
      <c r="AW69" s="17">
        <f t="shared" si="121"/>
        <v>0</v>
      </c>
      <c r="AX69" s="17">
        <f t="shared" si="122"/>
        <v>0</v>
      </c>
      <c r="AY69" s="76" t="s">
        <v>578</v>
      </c>
      <c r="AZ69" s="76" t="s">
        <v>631</v>
      </c>
      <c r="BA69" s="14" t="s">
        <v>628</v>
      </c>
      <c r="BC69" s="17">
        <f t="shared" si="123"/>
        <v>0</v>
      </c>
      <c r="BD69" s="17">
        <f t="shared" si="124"/>
        <v>0</v>
      </c>
      <c r="BE69" s="17">
        <v>0</v>
      </c>
      <c r="BF69" s="17">
        <f t="shared" si="125"/>
        <v>7.3359999999999995E-2</v>
      </c>
      <c r="BH69" s="17">
        <f t="shared" si="126"/>
        <v>0</v>
      </c>
      <c r="BI69" s="17">
        <f t="shared" si="127"/>
        <v>0</v>
      </c>
      <c r="BJ69" s="17">
        <f t="shared" si="128"/>
        <v>0</v>
      </c>
      <c r="BK69" s="17"/>
      <c r="BL69" s="17">
        <v>721</v>
      </c>
      <c r="BW69" s="17">
        <f t="shared" si="129"/>
        <v>12</v>
      </c>
      <c r="BX69" s="4" t="s">
        <v>71</v>
      </c>
    </row>
    <row r="70" spans="1:76" x14ac:dyDescent="0.25">
      <c r="A70" s="1" t="s">
        <v>637</v>
      </c>
      <c r="B70" s="2" t="s">
        <v>89</v>
      </c>
      <c r="C70" s="2" t="s">
        <v>72</v>
      </c>
      <c r="D70" s="83" t="s">
        <v>73</v>
      </c>
      <c r="E70" s="84"/>
      <c r="F70" s="2" t="s">
        <v>31</v>
      </c>
      <c r="G70" s="17">
        <f>'Rozpočet - vybrané sloupce'!J43</f>
        <v>3</v>
      </c>
      <c r="H70" s="17">
        <f>'Rozpočet - vybrané sloupce'!K43</f>
        <v>0</v>
      </c>
      <c r="I70" s="74">
        <v>12</v>
      </c>
      <c r="J70" s="17">
        <f t="shared" si="104"/>
        <v>0</v>
      </c>
      <c r="K70" s="17">
        <f t="shared" si="105"/>
        <v>0</v>
      </c>
      <c r="L70" s="17">
        <f t="shared" si="106"/>
        <v>0</v>
      </c>
      <c r="M70" s="17">
        <f t="shared" si="107"/>
        <v>0</v>
      </c>
      <c r="N70" s="17">
        <v>4.6999999999999999E-4</v>
      </c>
      <c r="O70" s="17">
        <f t="shared" si="108"/>
        <v>1.41E-3</v>
      </c>
      <c r="P70" s="75" t="s">
        <v>576</v>
      </c>
      <c r="Z70" s="17">
        <f t="shared" si="109"/>
        <v>0</v>
      </c>
      <c r="AB70" s="17">
        <f t="shared" si="110"/>
        <v>0</v>
      </c>
      <c r="AC70" s="17">
        <f t="shared" si="111"/>
        <v>0</v>
      </c>
      <c r="AD70" s="17">
        <f t="shared" si="112"/>
        <v>0</v>
      </c>
      <c r="AE70" s="17">
        <f t="shared" si="113"/>
        <v>0</v>
      </c>
      <c r="AF70" s="17">
        <f t="shared" si="114"/>
        <v>0</v>
      </c>
      <c r="AG70" s="17">
        <f t="shared" si="115"/>
        <v>0</v>
      </c>
      <c r="AH70" s="17">
        <f t="shared" si="116"/>
        <v>0</v>
      </c>
      <c r="AI70" s="14" t="s">
        <v>89</v>
      </c>
      <c r="AJ70" s="17">
        <f t="shared" si="117"/>
        <v>0</v>
      </c>
      <c r="AK70" s="17">
        <f t="shared" si="118"/>
        <v>0</v>
      </c>
      <c r="AL70" s="17">
        <f t="shared" si="119"/>
        <v>0</v>
      </c>
      <c r="AN70" s="17">
        <v>12</v>
      </c>
      <c r="AO70" s="17">
        <f>H70*0.288317757</f>
        <v>0</v>
      </c>
      <c r="AP70" s="17">
        <f>H70*(1-0.288317757)</f>
        <v>0</v>
      </c>
      <c r="AQ70" s="76" t="s">
        <v>577</v>
      </c>
      <c r="AV70" s="17">
        <f t="shared" si="120"/>
        <v>0</v>
      </c>
      <c r="AW70" s="17">
        <f t="shared" si="121"/>
        <v>0</v>
      </c>
      <c r="AX70" s="17">
        <f t="shared" si="122"/>
        <v>0</v>
      </c>
      <c r="AY70" s="76" t="s">
        <v>578</v>
      </c>
      <c r="AZ70" s="76" t="s">
        <v>631</v>
      </c>
      <c r="BA70" s="14" t="s">
        <v>628</v>
      </c>
      <c r="BC70" s="17">
        <f t="shared" si="123"/>
        <v>0</v>
      </c>
      <c r="BD70" s="17">
        <f t="shared" si="124"/>
        <v>0</v>
      </c>
      <c r="BE70" s="17">
        <v>0</v>
      </c>
      <c r="BF70" s="17">
        <f t="shared" si="125"/>
        <v>1.41E-3</v>
      </c>
      <c r="BH70" s="17">
        <f t="shared" si="126"/>
        <v>0</v>
      </c>
      <c r="BI70" s="17">
        <f t="shared" si="127"/>
        <v>0</v>
      </c>
      <c r="BJ70" s="17">
        <f t="shared" si="128"/>
        <v>0</v>
      </c>
      <c r="BK70" s="17"/>
      <c r="BL70" s="17">
        <v>721</v>
      </c>
      <c r="BW70" s="17">
        <f t="shared" si="129"/>
        <v>12</v>
      </c>
      <c r="BX70" s="4" t="s">
        <v>73</v>
      </c>
    </row>
    <row r="71" spans="1:76" x14ac:dyDescent="0.25">
      <c r="A71" s="1" t="s">
        <v>638</v>
      </c>
      <c r="B71" s="2" t="s">
        <v>89</v>
      </c>
      <c r="C71" s="2" t="s">
        <v>74</v>
      </c>
      <c r="D71" s="83" t="s">
        <v>75</v>
      </c>
      <c r="E71" s="84"/>
      <c r="F71" s="2" t="s">
        <v>31</v>
      </c>
      <c r="G71" s="17">
        <f>'Rozpočet - vybrané sloupce'!J44</f>
        <v>3</v>
      </c>
      <c r="H71" s="17">
        <f>'Rozpočet - vybrané sloupce'!K44</f>
        <v>0</v>
      </c>
      <c r="I71" s="74">
        <v>12</v>
      </c>
      <c r="J71" s="17">
        <f t="shared" si="104"/>
        <v>0</v>
      </c>
      <c r="K71" s="17">
        <f t="shared" si="105"/>
        <v>0</v>
      </c>
      <c r="L71" s="17">
        <f t="shared" si="106"/>
        <v>0</v>
      </c>
      <c r="M71" s="17">
        <f t="shared" si="107"/>
        <v>0</v>
      </c>
      <c r="N71" s="17">
        <v>1.5200000000000001E-3</v>
      </c>
      <c r="O71" s="17">
        <f t="shared" si="108"/>
        <v>4.5599999999999998E-3</v>
      </c>
      <c r="P71" s="75" t="s">
        <v>576</v>
      </c>
      <c r="Z71" s="17">
        <f t="shared" si="109"/>
        <v>0</v>
      </c>
      <c r="AB71" s="17">
        <f t="shared" si="110"/>
        <v>0</v>
      </c>
      <c r="AC71" s="17">
        <f t="shared" si="111"/>
        <v>0</v>
      </c>
      <c r="AD71" s="17">
        <f t="shared" si="112"/>
        <v>0</v>
      </c>
      <c r="AE71" s="17">
        <f t="shared" si="113"/>
        <v>0</v>
      </c>
      <c r="AF71" s="17">
        <f t="shared" si="114"/>
        <v>0</v>
      </c>
      <c r="AG71" s="17">
        <f t="shared" si="115"/>
        <v>0</v>
      </c>
      <c r="AH71" s="17">
        <f t="shared" si="116"/>
        <v>0</v>
      </c>
      <c r="AI71" s="14" t="s">
        <v>89</v>
      </c>
      <c r="AJ71" s="17">
        <f t="shared" si="117"/>
        <v>0</v>
      </c>
      <c r="AK71" s="17">
        <f t="shared" si="118"/>
        <v>0</v>
      </c>
      <c r="AL71" s="17">
        <f t="shared" si="119"/>
        <v>0</v>
      </c>
      <c r="AN71" s="17">
        <v>12</v>
      </c>
      <c r="AO71" s="17">
        <f>H71*0.262895257</f>
        <v>0</v>
      </c>
      <c r="AP71" s="17">
        <f>H71*(1-0.262895257)</f>
        <v>0</v>
      </c>
      <c r="AQ71" s="76" t="s">
        <v>577</v>
      </c>
      <c r="AV71" s="17">
        <f t="shared" si="120"/>
        <v>0</v>
      </c>
      <c r="AW71" s="17">
        <f t="shared" si="121"/>
        <v>0</v>
      </c>
      <c r="AX71" s="17">
        <f t="shared" si="122"/>
        <v>0</v>
      </c>
      <c r="AY71" s="76" t="s">
        <v>578</v>
      </c>
      <c r="AZ71" s="76" t="s">
        <v>631</v>
      </c>
      <c r="BA71" s="14" t="s">
        <v>628</v>
      </c>
      <c r="BC71" s="17">
        <f t="shared" si="123"/>
        <v>0</v>
      </c>
      <c r="BD71" s="17">
        <f t="shared" si="124"/>
        <v>0</v>
      </c>
      <c r="BE71" s="17">
        <v>0</v>
      </c>
      <c r="BF71" s="17">
        <f t="shared" si="125"/>
        <v>4.5599999999999998E-3</v>
      </c>
      <c r="BH71" s="17">
        <f t="shared" si="126"/>
        <v>0</v>
      </c>
      <c r="BI71" s="17">
        <f t="shared" si="127"/>
        <v>0</v>
      </c>
      <c r="BJ71" s="17">
        <f t="shared" si="128"/>
        <v>0</v>
      </c>
      <c r="BK71" s="17"/>
      <c r="BL71" s="17">
        <v>721</v>
      </c>
      <c r="BW71" s="17">
        <f t="shared" si="129"/>
        <v>12</v>
      </c>
      <c r="BX71" s="4" t="s">
        <v>75</v>
      </c>
    </row>
    <row r="72" spans="1:76" x14ac:dyDescent="0.25">
      <c r="A72" s="1" t="s">
        <v>639</v>
      </c>
      <c r="B72" s="2" t="s">
        <v>89</v>
      </c>
      <c r="C72" s="2" t="s">
        <v>76</v>
      </c>
      <c r="D72" s="83" t="s">
        <v>77</v>
      </c>
      <c r="E72" s="84"/>
      <c r="F72" s="2" t="s">
        <v>35</v>
      </c>
      <c r="G72" s="17">
        <f>'Rozpočet - vybrané sloupce'!J45</f>
        <v>6</v>
      </c>
      <c r="H72" s="17">
        <f>'Rozpočet - vybrané sloupce'!K45</f>
        <v>0</v>
      </c>
      <c r="I72" s="74">
        <v>12</v>
      </c>
      <c r="J72" s="17">
        <f t="shared" si="104"/>
        <v>0</v>
      </c>
      <c r="K72" s="17">
        <f t="shared" si="105"/>
        <v>0</v>
      </c>
      <c r="L72" s="17">
        <f t="shared" si="106"/>
        <v>0</v>
      </c>
      <c r="M72" s="17">
        <f t="shared" si="107"/>
        <v>0</v>
      </c>
      <c r="N72" s="17">
        <v>0</v>
      </c>
      <c r="O72" s="17">
        <f t="shared" si="108"/>
        <v>0</v>
      </c>
      <c r="P72" s="75" t="s">
        <v>576</v>
      </c>
      <c r="Z72" s="17">
        <f t="shared" si="109"/>
        <v>0</v>
      </c>
      <c r="AB72" s="17">
        <f t="shared" si="110"/>
        <v>0</v>
      </c>
      <c r="AC72" s="17">
        <f t="shared" si="111"/>
        <v>0</v>
      </c>
      <c r="AD72" s="17">
        <f t="shared" si="112"/>
        <v>0</v>
      </c>
      <c r="AE72" s="17">
        <f t="shared" si="113"/>
        <v>0</v>
      </c>
      <c r="AF72" s="17">
        <f t="shared" si="114"/>
        <v>0</v>
      </c>
      <c r="AG72" s="17">
        <f t="shared" si="115"/>
        <v>0</v>
      </c>
      <c r="AH72" s="17">
        <f t="shared" si="116"/>
        <v>0</v>
      </c>
      <c r="AI72" s="14" t="s">
        <v>89</v>
      </c>
      <c r="AJ72" s="17">
        <f t="shared" si="117"/>
        <v>0</v>
      </c>
      <c r="AK72" s="17">
        <f t="shared" si="118"/>
        <v>0</v>
      </c>
      <c r="AL72" s="17">
        <f t="shared" si="119"/>
        <v>0</v>
      </c>
      <c r="AN72" s="17">
        <v>12</v>
      </c>
      <c r="AO72" s="17">
        <f>H72*0</f>
        <v>0</v>
      </c>
      <c r="AP72" s="17">
        <f>H72*(1-0)</f>
        <v>0</v>
      </c>
      <c r="AQ72" s="76" t="s">
        <v>577</v>
      </c>
      <c r="AV72" s="17">
        <f t="shared" si="120"/>
        <v>0</v>
      </c>
      <c r="AW72" s="17">
        <f t="shared" si="121"/>
        <v>0</v>
      </c>
      <c r="AX72" s="17">
        <f t="shared" si="122"/>
        <v>0</v>
      </c>
      <c r="AY72" s="76" t="s">
        <v>578</v>
      </c>
      <c r="AZ72" s="76" t="s">
        <v>631</v>
      </c>
      <c r="BA72" s="14" t="s">
        <v>628</v>
      </c>
      <c r="BC72" s="17">
        <f t="shared" si="123"/>
        <v>0</v>
      </c>
      <c r="BD72" s="17">
        <f t="shared" si="124"/>
        <v>0</v>
      </c>
      <c r="BE72" s="17">
        <v>0</v>
      </c>
      <c r="BF72" s="17">
        <f t="shared" si="125"/>
        <v>0</v>
      </c>
      <c r="BH72" s="17">
        <f t="shared" si="126"/>
        <v>0</v>
      </c>
      <c r="BI72" s="17">
        <f t="shared" si="127"/>
        <v>0</v>
      </c>
      <c r="BJ72" s="17">
        <f t="shared" si="128"/>
        <v>0</v>
      </c>
      <c r="BK72" s="17"/>
      <c r="BL72" s="17">
        <v>721</v>
      </c>
      <c r="BW72" s="17">
        <f t="shared" si="129"/>
        <v>12</v>
      </c>
      <c r="BX72" s="4" t="s">
        <v>77</v>
      </c>
    </row>
    <row r="73" spans="1:76" x14ac:dyDescent="0.25">
      <c r="A73" s="1" t="s">
        <v>640</v>
      </c>
      <c r="B73" s="2" t="s">
        <v>89</v>
      </c>
      <c r="C73" s="2" t="s">
        <v>78</v>
      </c>
      <c r="D73" s="83" t="s">
        <v>79</v>
      </c>
      <c r="E73" s="84"/>
      <c r="F73" s="2" t="s">
        <v>35</v>
      </c>
      <c r="G73" s="17">
        <f>'Rozpočet - vybrané sloupce'!J46</f>
        <v>6</v>
      </c>
      <c r="H73" s="17">
        <f>'Rozpočet - vybrané sloupce'!K46</f>
        <v>0</v>
      </c>
      <c r="I73" s="74">
        <v>12</v>
      </c>
      <c r="J73" s="17">
        <f t="shared" si="104"/>
        <v>0</v>
      </c>
      <c r="K73" s="17">
        <f t="shared" si="105"/>
        <v>0</v>
      </c>
      <c r="L73" s="17">
        <f t="shared" si="106"/>
        <v>0</v>
      </c>
      <c r="M73" s="17">
        <f t="shared" si="107"/>
        <v>0</v>
      </c>
      <c r="N73" s="17">
        <v>0</v>
      </c>
      <c r="O73" s="17">
        <f t="shared" si="108"/>
        <v>0</v>
      </c>
      <c r="P73" s="75" t="s">
        <v>576</v>
      </c>
      <c r="Z73" s="17">
        <f t="shared" si="109"/>
        <v>0</v>
      </c>
      <c r="AB73" s="17">
        <f t="shared" si="110"/>
        <v>0</v>
      </c>
      <c r="AC73" s="17">
        <f t="shared" si="111"/>
        <v>0</v>
      </c>
      <c r="AD73" s="17">
        <f t="shared" si="112"/>
        <v>0</v>
      </c>
      <c r="AE73" s="17">
        <f t="shared" si="113"/>
        <v>0</v>
      </c>
      <c r="AF73" s="17">
        <f t="shared" si="114"/>
        <v>0</v>
      </c>
      <c r="AG73" s="17">
        <f t="shared" si="115"/>
        <v>0</v>
      </c>
      <c r="AH73" s="17">
        <f t="shared" si="116"/>
        <v>0</v>
      </c>
      <c r="AI73" s="14" t="s">
        <v>89</v>
      </c>
      <c r="AJ73" s="17">
        <f t="shared" si="117"/>
        <v>0</v>
      </c>
      <c r="AK73" s="17">
        <f t="shared" si="118"/>
        <v>0</v>
      </c>
      <c r="AL73" s="17">
        <f t="shared" si="119"/>
        <v>0</v>
      </c>
      <c r="AN73" s="17">
        <v>12</v>
      </c>
      <c r="AO73" s="17">
        <f>H73*0</f>
        <v>0</v>
      </c>
      <c r="AP73" s="17">
        <f>H73*(1-0)</f>
        <v>0</v>
      </c>
      <c r="AQ73" s="76" t="s">
        <v>577</v>
      </c>
      <c r="AV73" s="17">
        <f t="shared" si="120"/>
        <v>0</v>
      </c>
      <c r="AW73" s="17">
        <f t="shared" si="121"/>
        <v>0</v>
      </c>
      <c r="AX73" s="17">
        <f t="shared" si="122"/>
        <v>0</v>
      </c>
      <c r="AY73" s="76" t="s">
        <v>578</v>
      </c>
      <c r="AZ73" s="76" t="s">
        <v>631</v>
      </c>
      <c r="BA73" s="14" t="s">
        <v>628</v>
      </c>
      <c r="BC73" s="17">
        <f t="shared" si="123"/>
        <v>0</v>
      </c>
      <c r="BD73" s="17">
        <f t="shared" si="124"/>
        <v>0</v>
      </c>
      <c r="BE73" s="17">
        <v>0</v>
      </c>
      <c r="BF73" s="17">
        <f t="shared" si="125"/>
        <v>0</v>
      </c>
      <c r="BH73" s="17">
        <f t="shared" si="126"/>
        <v>0</v>
      </c>
      <c r="BI73" s="17">
        <f t="shared" si="127"/>
        <v>0</v>
      </c>
      <c r="BJ73" s="17">
        <f t="shared" si="128"/>
        <v>0</v>
      </c>
      <c r="BK73" s="17"/>
      <c r="BL73" s="17">
        <v>721</v>
      </c>
      <c r="BW73" s="17">
        <f t="shared" si="129"/>
        <v>12</v>
      </c>
      <c r="BX73" s="4" t="s">
        <v>79</v>
      </c>
    </row>
    <row r="74" spans="1:76" x14ac:dyDescent="0.25">
      <c r="A74" s="1" t="s">
        <v>641</v>
      </c>
      <c r="B74" s="2" t="s">
        <v>89</v>
      </c>
      <c r="C74" s="2" t="s">
        <v>80</v>
      </c>
      <c r="D74" s="83" t="s">
        <v>81</v>
      </c>
      <c r="E74" s="84"/>
      <c r="F74" s="2" t="s">
        <v>35</v>
      </c>
      <c r="G74" s="17">
        <f>'Rozpočet - vybrané sloupce'!J47</f>
        <v>4</v>
      </c>
      <c r="H74" s="17">
        <f>'Rozpočet - vybrané sloupce'!K47</f>
        <v>0</v>
      </c>
      <c r="I74" s="74">
        <v>12</v>
      </c>
      <c r="J74" s="17">
        <f t="shared" si="104"/>
        <v>0</v>
      </c>
      <c r="K74" s="17">
        <f t="shared" si="105"/>
        <v>0</v>
      </c>
      <c r="L74" s="17">
        <f t="shared" si="106"/>
        <v>0</v>
      </c>
      <c r="M74" s="17">
        <f t="shared" si="107"/>
        <v>0</v>
      </c>
      <c r="N74" s="17">
        <v>6.0000000000000002E-5</v>
      </c>
      <c r="O74" s="17">
        <f t="shared" si="108"/>
        <v>2.4000000000000001E-4</v>
      </c>
      <c r="P74" s="75" t="s">
        <v>576</v>
      </c>
      <c r="Z74" s="17">
        <f t="shared" si="109"/>
        <v>0</v>
      </c>
      <c r="AB74" s="17">
        <f t="shared" si="110"/>
        <v>0</v>
      </c>
      <c r="AC74" s="17">
        <f t="shared" si="111"/>
        <v>0</v>
      </c>
      <c r="AD74" s="17">
        <f t="shared" si="112"/>
        <v>0</v>
      </c>
      <c r="AE74" s="17">
        <f t="shared" si="113"/>
        <v>0</v>
      </c>
      <c r="AF74" s="17">
        <f t="shared" si="114"/>
        <v>0</v>
      </c>
      <c r="AG74" s="17">
        <f t="shared" si="115"/>
        <v>0</v>
      </c>
      <c r="AH74" s="17">
        <f t="shared" si="116"/>
        <v>0</v>
      </c>
      <c r="AI74" s="14" t="s">
        <v>89</v>
      </c>
      <c r="AJ74" s="17">
        <f t="shared" si="117"/>
        <v>0</v>
      </c>
      <c r="AK74" s="17">
        <f t="shared" si="118"/>
        <v>0</v>
      </c>
      <c r="AL74" s="17">
        <f t="shared" si="119"/>
        <v>0</v>
      </c>
      <c r="AN74" s="17">
        <v>12</v>
      </c>
      <c r="AO74" s="17">
        <f>H74*0.826636852</f>
        <v>0</v>
      </c>
      <c r="AP74" s="17">
        <f>H74*(1-0.826636852)</f>
        <v>0</v>
      </c>
      <c r="AQ74" s="76" t="s">
        <v>577</v>
      </c>
      <c r="AV74" s="17">
        <f t="shared" si="120"/>
        <v>0</v>
      </c>
      <c r="AW74" s="17">
        <f t="shared" si="121"/>
        <v>0</v>
      </c>
      <c r="AX74" s="17">
        <f t="shared" si="122"/>
        <v>0</v>
      </c>
      <c r="AY74" s="76" t="s">
        <v>578</v>
      </c>
      <c r="AZ74" s="76" t="s">
        <v>631</v>
      </c>
      <c r="BA74" s="14" t="s">
        <v>628</v>
      </c>
      <c r="BC74" s="17">
        <f t="shared" si="123"/>
        <v>0</v>
      </c>
      <c r="BD74" s="17">
        <f t="shared" si="124"/>
        <v>0</v>
      </c>
      <c r="BE74" s="17">
        <v>0</v>
      </c>
      <c r="BF74" s="17">
        <f t="shared" si="125"/>
        <v>2.4000000000000001E-4</v>
      </c>
      <c r="BH74" s="17">
        <f t="shared" si="126"/>
        <v>0</v>
      </c>
      <c r="BI74" s="17">
        <f t="shared" si="127"/>
        <v>0</v>
      </c>
      <c r="BJ74" s="17">
        <f t="shared" si="128"/>
        <v>0</v>
      </c>
      <c r="BK74" s="17"/>
      <c r="BL74" s="17">
        <v>721</v>
      </c>
      <c r="BW74" s="17">
        <f t="shared" si="129"/>
        <v>12</v>
      </c>
      <c r="BX74" s="4" t="s">
        <v>81</v>
      </c>
    </row>
    <row r="75" spans="1:76" x14ac:dyDescent="0.25">
      <c r="A75" s="1" t="s">
        <v>642</v>
      </c>
      <c r="B75" s="2" t="s">
        <v>89</v>
      </c>
      <c r="C75" s="2" t="s">
        <v>82</v>
      </c>
      <c r="D75" s="83" t="s">
        <v>83</v>
      </c>
      <c r="E75" s="84"/>
      <c r="F75" s="2" t="s">
        <v>35</v>
      </c>
      <c r="G75" s="17">
        <f>'Rozpočet - vybrané sloupce'!J48</f>
        <v>4</v>
      </c>
      <c r="H75" s="17">
        <f>'Rozpočet - vybrané sloupce'!K48</f>
        <v>0</v>
      </c>
      <c r="I75" s="74">
        <v>12</v>
      </c>
      <c r="J75" s="17">
        <f t="shared" si="104"/>
        <v>0</v>
      </c>
      <c r="K75" s="17">
        <f t="shared" si="105"/>
        <v>0</v>
      </c>
      <c r="L75" s="17">
        <f t="shared" si="106"/>
        <v>0</v>
      </c>
      <c r="M75" s="17">
        <f t="shared" si="107"/>
        <v>0</v>
      </c>
      <c r="N75" s="17">
        <v>2.4000000000000001E-4</v>
      </c>
      <c r="O75" s="17">
        <f t="shared" si="108"/>
        <v>9.6000000000000002E-4</v>
      </c>
      <c r="P75" s="75" t="s">
        <v>576</v>
      </c>
      <c r="Z75" s="17">
        <f t="shared" si="109"/>
        <v>0</v>
      </c>
      <c r="AB75" s="17">
        <f t="shared" si="110"/>
        <v>0</v>
      </c>
      <c r="AC75" s="17">
        <f t="shared" si="111"/>
        <v>0</v>
      </c>
      <c r="AD75" s="17">
        <f t="shared" si="112"/>
        <v>0</v>
      </c>
      <c r="AE75" s="17">
        <f t="shared" si="113"/>
        <v>0</v>
      </c>
      <c r="AF75" s="17">
        <f t="shared" si="114"/>
        <v>0</v>
      </c>
      <c r="AG75" s="17">
        <f t="shared" si="115"/>
        <v>0</v>
      </c>
      <c r="AH75" s="17">
        <f t="shared" si="116"/>
        <v>0</v>
      </c>
      <c r="AI75" s="14" t="s">
        <v>89</v>
      </c>
      <c r="AJ75" s="17">
        <f t="shared" si="117"/>
        <v>0</v>
      </c>
      <c r="AK75" s="17">
        <f t="shared" si="118"/>
        <v>0</v>
      </c>
      <c r="AL75" s="17">
        <f t="shared" si="119"/>
        <v>0</v>
      </c>
      <c r="AN75" s="17">
        <v>12</v>
      </c>
      <c r="AO75" s="17">
        <f>H75*0.584438503</f>
        <v>0</v>
      </c>
      <c r="AP75" s="17">
        <f>H75*(1-0.584438503)</f>
        <v>0</v>
      </c>
      <c r="AQ75" s="76" t="s">
        <v>577</v>
      </c>
      <c r="AV75" s="17">
        <f t="shared" si="120"/>
        <v>0</v>
      </c>
      <c r="AW75" s="17">
        <f t="shared" si="121"/>
        <v>0</v>
      </c>
      <c r="AX75" s="17">
        <f t="shared" si="122"/>
        <v>0</v>
      </c>
      <c r="AY75" s="76" t="s">
        <v>578</v>
      </c>
      <c r="AZ75" s="76" t="s">
        <v>631</v>
      </c>
      <c r="BA75" s="14" t="s">
        <v>628</v>
      </c>
      <c r="BC75" s="17">
        <f t="shared" si="123"/>
        <v>0</v>
      </c>
      <c r="BD75" s="17">
        <f t="shared" si="124"/>
        <v>0</v>
      </c>
      <c r="BE75" s="17">
        <v>0</v>
      </c>
      <c r="BF75" s="17">
        <f t="shared" si="125"/>
        <v>9.6000000000000002E-4</v>
      </c>
      <c r="BH75" s="17">
        <f t="shared" si="126"/>
        <v>0</v>
      </c>
      <c r="BI75" s="17">
        <f t="shared" si="127"/>
        <v>0</v>
      </c>
      <c r="BJ75" s="17">
        <f t="shared" si="128"/>
        <v>0</v>
      </c>
      <c r="BK75" s="17"/>
      <c r="BL75" s="17">
        <v>721</v>
      </c>
      <c r="BW75" s="17">
        <f t="shared" si="129"/>
        <v>12</v>
      </c>
      <c r="BX75" s="4" t="s">
        <v>83</v>
      </c>
    </row>
    <row r="76" spans="1:76" x14ac:dyDescent="0.25">
      <c r="A76" s="1" t="s">
        <v>643</v>
      </c>
      <c r="B76" s="2" t="s">
        <v>89</v>
      </c>
      <c r="C76" s="2" t="s">
        <v>84</v>
      </c>
      <c r="D76" s="83" t="s">
        <v>85</v>
      </c>
      <c r="E76" s="84"/>
      <c r="F76" s="2" t="s">
        <v>31</v>
      </c>
      <c r="G76" s="17">
        <f>'Rozpočet - vybrané sloupce'!J49</f>
        <v>56</v>
      </c>
      <c r="H76" s="17">
        <f>'Rozpočet - vybrané sloupce'!K49</f>
        <v>0</v>
      </c>
      <c r="I76" s="74">
        <v>12</v>
      </c>
      <c r="J76" s="17">
        <f t="shared" si="104"/>
        <v>0</v>
      </c>
      <c r="K76" s="17">
        <f t="shared" si="105"/>
        <v>0</v>
      </c>
      <c r="L76" s="17">
        <f t="shared" si="106"/>
        <v>0</v>
      </c>
      <c r="M76" s="17">
        <f t="shared" si="107"/>
        <v>0</v>
      </c>
      <c r="N76" s="17">
        <v>0</v>
      </c>
      <c r="O76" s="17">
        <f t="shared" si="108"/>
        <v>0</v>
      </c>
      <c r="P76" s="75" t="s">
        <v>576</v>
      </c>
      <c r="Z76" s="17">
        <f t="shared" si="109"/>
        <v>0</v>
      </c>
      <c r="AB76" s="17">
        <f t="shared" si="110"/>
        <v>0</v>
      </c>
      <c r="AC76" s="17">
        <f t="shared" si="111"/>
        <v>0</v>
      </c>
      <c r="AD76" s="17">
        <f t="shared" si="112"/>
        <v>0</v>
      </c>
      <c r="AE76" s="17">
        <f t="shared" si="113"/>
        <v>0</v>
      </c>
      <c r="AF76" s="17">
        <f t="shared" si="114"/>
        <v>0</v>
      </c>
      <c r="AG76" s="17">
        <f t="shared" si="115"/>
        <v>0</v>
      </c>
      <c r="AH76" s="17">
        <f t="shared" si="116"/>
        <v>0</v>
      </c>
      <c r="AI76" s="14" t="s">
        <v>89</v>
      </c>
      <c r="AJ76" s="17">
        <f t="shared" si="117"/>
        <v>0</v>
      </c>
      <c r="AK76" s="17">
        <f t="shared" si="118"/>
        <v>0</v>
      </c>
      <c r="AL76" s="17">
        <f t="shared" si="119"/>
        <v>0</v>
      </c>
      <c r="AN76" s="17">
        <v>12</v>
      </c>
      <c r="AO76" s="17">
        <f>H76*0.028571429</f>
        <v>0</v>
      </c>
      <c r="AP76" s="17">
        <f>H76*(1-0.028571429)</f>
        <v>0</v>
      </c>
      <c r="AQ76" s="76" t="s">
        <v>577</v>
      </c>
      <c r="AV76" s="17">
        <f t="shared" si="120"/>
        <v>0</v>
      </c>
      <c r="AW76" s="17">
        <f t="shared" si="121"/>
        <v>0</v>
      </c>
      <c r="AX76" s="17">
        <f t="shared" si="122"/>
        <v>0</v>
      </c>
      <c r="AY76" s="76" t="s">
        <v>578</v>
      </c>
      <c r="AZ76" s="76" t="s">
        <v>631</v>
      </c>
      <c r="BA76" s="14" t="s">
        <v>628</v>
      </c>
      <c r="BC76" s="17">
        <f t="shared" si="123"/>
        <v>0</v>
      </c>
      <c r="BD76" s="17">
        <f t="shared" si="124"/>
        <v>0</v>
      </c>
      <c r="BE76" s="17">
        <v>0</v>
      </c>
      <c r="BF76" s="17">
        <f t="shared" si="125"/>
        <v>0</v>
      </c>
      <c r="BH76" s="17">
        <f t="shared" si="126"/>
        <v>0</v>
      </c>
      <c r="BI76" s="17">
        <f t="shared" si="127"/>
        <v>0</v>
      </c>
      <c r="BJ76" s="17">
        <f t="shared" si="128"/>
        <v>0</v>
      </c>
      <c r="BK76" s="17"/>
      <c r="BL76" s="17">
        <v>721</v>
      </c>
      <c r="BW76" s="17">
        <f t="shared" si="129"/>
        <v>12</v>
      </c>
      <c r="BX76" s="4" t="s">
        <v>85</v>
      </c>
    </row>
    <row r="77" spans="1:76" x14ac:dyDescent="0.25">
      <c r="A77" s="1" t="s">
        <v>644</v>
      </c>
      <c r="B77" s="2" t="s">
        <v>89</v>
      </c>
      <c r="C77" s="2" t="s">
        <v>86</v>
      </c>
      <c r="D77" s="83" t="s">
        <v>87</v>
      </c>
      <c r="E77" s="84"/>
      <c r="F77" s="2" t="s">
        <v>88</v>
      </c>
      <c r="G77" s="17">
        <f>'Rozpočet - vybrané sloupce'!J50</f>
        <v>0.5</v>
      </c>
      <c r="H77" s="17">
        <f>'Rozpočet - vybrané sloupce'!K50</f>
        <v>0</v>
      </c>
      <c r="I77" s="74">
        <v>12</v>
      </c>
      <c r="J77" s="17">
        <f t="shared" si="104"/>
        <v>0</v>
      </c>
      <c r="K77" s="17">
        <f t="shared" si="105"/>
        <v>0</v>
      </c>
      <c r="L77" s="17">
        <f t="shared" si="106"/>
        <v>0</v>
      </c>
      <c r="M77" s="17">
        <f t="shared" si="107"/>
        <v>0</v>
      </c>
      <c r="N77" s="17">
        <v>0</v>
      </c>
      <c r="O77" s="17">
        <f t="shared" si="108"/>
        <v>0</v>
      </c>
      <c r="P77" s="75" t="s">
        <v>576</v>
      </c>
      <c r="Z77" s="17">
        <f t="shared" si="109"/>
        <v>0</v>
      </c>
      <c r="AB77" s="17">
        <f t="shared" si="110"/>
        <v>0</v>
      </c>
      <c r="AC77" s="17">
        <f t="shared" si="111"/>
        <v>0</v>
      </c>
      <c r="AD77" s="17">
        <f t="shared" si="112"/>
        <v>0</v>
      </c>
      <c r="AE77" s="17">
        <f t="shared" si="113"/>
        <v>0</v>
      </c>
      <c r="AF77" s="17">
        <f t="shared" si="114"/>
        <v>0</v>
      </c>
      <c r="AG77" s="17">
        <f t="shared" si="115"/>
        <v>0</v>
      </c>
      <c r="AH77" s="17">
        <f t="shared" si="116"/>
        <v>0</v>
      </c>
      <c r="AI77" s="14" t="s">
        <v>89</v>
      </c>
      <c r="AJ77" s="17">
        <f t="shared" si="117"/>
        <v>0</v>
      </c>
      <c r="AK77" s="17">
        <f t="shared" si="118"/>
        <v>0</v>
      </c>
      <c r="AL77" s="17">
        <f t="shared" si="119"/>
        <v>0</v>
      </c>
      <c r="AN77" s="17">
        <v>12</v>
      </c>
      <c r="AO77" s="17">
        <f>H77*0</f>
        <v>0</v>
      </c>
      <c r="AP77" s="17">
        <f>H77*(1-0)</f>
        <v>0</v>
      </c>
      <c r="AQ77" s="76" t="s">
        <v>577</v>
      </c>
      <c r="AV77" s="17">
        <f t="shared" si="120"/>
        <v>0</v>
      </c>
      <c r="AW77" s="17">
        <f t="shared" si="121"/>
        <v>0</v>
      </c>
      <c r="AX77" s="17">
        <f t="shared" si="122"/>
        <v>0</v>
      </c>
      <c r="AY77" s="76" t="s">
        <v>578</v>
      </c>
      <c r="AZ77" s="76" t="s">
        <v>631</v>
      </c>
      <c r="BA77" s="14" t="s">
        <v>628</v>
      </c>
      <c r="BC77" s="17">
        <f t="shared" si="123"/>
        <v>0</v>
      </c>
      <c r="BD77" s="17">
        <f t="shared" si="124"/>
        <v>0</v>
      </c>
      <c r="BE77" s="17">
        <v>0</v>
      </c>
      <c r="BF77" s="17">
        <f t="shared" si="125"/>
        <v>0</v>
      </c>
      <c r="BH77" s="17">
        <f t="shared" si="126"/>
        <v>0</v>
      </c>
      <c r="BI77" s="17">
        <f t="shared" si="127"/>
        <v>0</v>
      </c>
      <c r="BJ77" s="17">
        <f t="shared" si="128"/>
        <v>0</v>
      </c>
      <c r="BK77" s="17"/>
      <c r="BL77" s="17">
        <v>721</v>
      </c>
      <c r="BW77" s="17">
        <f t="shared" si="129"/>
        <v>12</v>
      </c>
      <c r="BX77" s="4" t="s">
        <v>87</v>
      </c>
    </row>
    <row r="78" spans="1:76" x14ac:dyDescent="0.25">
      <c r="A78" s="1" t="s">
        <v>645</v>
      </c>
      <c r="B78" s="2" t="s">
        <v>89</v>
      </c>
      <c r="C78" s="2" t="s">
        <v>43</v>
      </c>
      <c r="D78" s="83" t="s">
        <v>44</v>
      </c>
      <c r="E78" s="84"/>
      <c r="F78" s="2" t="s">
        <v>45</v>
      </c>
      <c r="G78" s="17">
        <f>'Rozpočet - vybrané sloupce'!J51</f>
        <v>0</v>
      </c>
      <c r="H78" s="17">
        <f>'Rozpočet - vybrané sloupce'!K51</f>
        <v>0</v>
      </c>
      <c r="I78" s="74">
        <v>12</v>
      </c>
      <c r="J78" s="17">
        <f t="shared" si="104"/>
        <v>0</v>
      </c>
      <c r="K78" s="17">
        <f t="shared" si="105"/>
        <v>0</v>
      </c>
      <c r="L78" s="17">
        <f t="shared" si="106"/>
        <v>0</v>
      </c>
      <c r="M78" s="17">
        <f t="shared" si="107"/>
        <v>0</v>
      </c>
      <c r="N78" s="17">
        <v>0</v>
      </c>
      <c r="O78" s="17">
        <f t="shared" si="108"/>
        <v>0</v>
      </c>
      <c r="P78" s="75" t="s">
        <v>576</v>
      </c>
      <c r="Z78" s="17">
        <f t="shared" si="109"/>
        <v>0</v>
      </c>
      <c r="AB78" s="17">
        <f t="shared" si="110"/>
        <v>0</v>
      </c>
      <c r="AC78" s="17">
        <f t="shared" si="111"/>
        <v>0</v>
      </c>
      <c r="AD78" s="17">
        <f t="shared" si="112"/>
        <v>0</v>
      </c>
      <c r="AE78" s="17">
        <f t="shared" si="113"/>
        <v>0</v>
      </c>
      <c r="AF78" s="17">
        <f t="shared" si="114"/>
        <v>0</v>
      </c>
      <c r="AG78" s="17">
        <f t="shared" si="115"/>
        <v>0</v>
      </c>
      <c r="AH78" s="17">
        <f t="shared" si="116"/>
        <v>0</v>
      </c>
      <c r="AI78" s="14" t="s">
        <v>89</v>
      </c>
      <c r="AJ78" s="17">
        <f t="shared" si="117"/>
        <v>0</v>
      </c>
      <c r="AK78" s="17">
        <f t="shared" si="118"/>
        <v>0</v>
      </c>
      <c r="AL78" s="17">
        <f t="shared" si="119"/>
        <v>0</v>
      </c>
      <c r="AN78" s="17">
        <v>12</v>
      </c>
      <c r="AO78" s="17">
        <f>H78*0</f>
        <v>0</v>
      </c>
      <c r="AP78" s="17">
        <f>H78*(1-0)</f>
        <v>0</v>
      </c>
      <c r="AQ78" s="76" t="s">
        <v>585</v>
      </c>
      <c r="AV78" s="17">
        <f t="shared" si="120"/>
        <v>0</v>
      </c>
      <c r="AW78" s="17">
        <f t="shared" si="121"/>
        <v>0</v>
      </c>
      <c r="AX78" s="17">
        <f t="shared" si="122"/>
        <v>0</v>
      </c>
      <c r="AY78" s="76" t="s">
        <v>578</v>
      </c>
      <c r="AZ78" s="76" t="s">
        <v>631</v>
      </c>
      <c r="BA78" s="14" t="s">
        <v>628</v>
      </c>
      <c r="BC78" s="17">
        <f t="shared" si="123"/>
        <v>0</v>
      </c>
      <c r="BD78" s="17">
        <f t="shared" si="124"/>
        <v>0</v>
      </c>
      <c r="BE78" s="17">
        <v>0</v>
      </c>
      <c r="BF78" s="17">
        <f t="shared" si="125"/>
        <v>0</v>
      </c>
      <c r="BH78" s="17">
        <f t="shared" si="126"/>
        <v>0</v>
      </c>
      <c r="BI78" s="17">
        <f t="shared" si="127"/>
        <v>0</v>
      </c>
      <c r="BJ78" s="17">
        <f t="shared" si="128"/>
        <v>0</v>
      </c>
      <c r="BK78" s="17"/>
      <c r="BL78" s="17">
        <v>721</v>
      </c>
      <c r="BW78" s="17">
        <f t="shared" si="129"/>
        <v>12</v>
      </c>
      <c r="BX78" s="4" t="s">
        <v>44</v>
      </c>
    </row>
    <row r="79" spans="1:76" x14ac:dyDescent="0.25">
      <c r="A79" s="71" t="s">
        <v>25</v>
      </c>
      <c r="B79" s="13" t="s">
        <v>91</v>
      </c>
      <c r="C79" s="13" t="s">
        <v>25</v>
      </c>
      <c r="D79" s="135" t="s">
        <v>92</v>
      </c>
      <c r="E79" s="136"/>
      <c r="F79" s="72" t="s">
        <v>23</v>
      </c>
      <c r="G79" s="72" t="s">
        <v>23</v>
      </c>
      <c r="H79" s="72" t="s">
        <v>23</v>
      </c>
      <c r="I79" s="72" t="s">
        <v>23</v>
      </c>
      <c r="J79" s="47">
        <f>J80+J84</f>
        <v>0</v>
      </c>
      <c r="K79" s="47">
        <f>K80+K84</f>
        <v>0</v>
      </c>
      <c r="L79" s="47">
        <f>L80+L84</f>
        <v>0</v>
      </c>
      <c r="M79" s="47">
        <f>M80+M84</f>
        <v>0</v>
      </c>
      <c r="N79" s="14" t="s">
        <v>25</v>
      </c>
      <c r="O79" s="47">
        <f>O80+O84</f>
        <v>0.80998499999999984</v>
      </c>
      <c r="P79" s="73" t="s">
        <v>25</v>
      </c>
    </row>
    <row r="80" spans="1:76" x14ac:dyDescent="0.25">
      <c r="A80" s="71" t="s">
        <v>25</v>
      </c>
      <c r="B80" s="13" t="s">
        <v>91</v>
      </c>
      <c r="C80" s="13" t="s">
        <v>52</v>
      </c>
      <c r="D80" s="135" t="s">
        <v>53</v>
      </c>
      <c r="E80" s="136"/>
      <c r="F80" s="72" t="s">
        <v>23</v>
      </c>
      <c r="G80" s="72" t="s">
        <v>23</v>
      </c>
      <c r="H80" s="72" t="s">
        <v>23</v>
      </c>
      <c r="I80" s="72" t="s">
        <v>23</v>
      </c>
      <c r="J80" s="47">
        <f>SUM(J81:J83)</f>
        <v>0</v>
      </c>
      <c r="K80" s="47">
        <f>SUM(K81:K83)</f>
        <v>0</v>
      </c>
      <c r="L80" s="47">
        <f>SUM(L81:L83)</f>
        <v>0</v>
      </c>
      <c r="M80" s="47">
        <f>SUM(M81:M83)</f>
        <v>0</v>
      </c>
      <c r="N80" s="14" t="s">
        <v>25</v>
      </c>
      <c r="O80" s="47">
        <f>SUM(O81:O83)</f>
        <v>0</v>
      </c>
      <c r="P80" s="73" t="s">
        <v>25</v>
      </c>
      <c r="AI80" s="14" t="s">
        <v>91</v>
      </c>
      <c r="AS80" s="47">
        <f>SUM(AJ81:AJ83)</f>
        <v>0</v>
      </c>
      <c r="AT80" s="47">
        <f>SUM(AK81:AK83)</f>
        <v>0</v>
      </c>
      <c r="AU80" s="47">
        <f>SUM(AL81:AL83)</f>
        <v>0</v>
      </c>
    </row>
    <row r="81" spans="1:76" x14ac:dyDescent="0.25">
      <c r="A81" s="1" t="s">
        <v>646</v>
      </c>
      <c r="B81" s="2" t="s">
        <v>91</v>
      </c>
      <c r="C81" s="2" t="s">
        <v>93</v>
      </c>
      <c r="D81" s="83" t="s">
        <v>94</v>
      </c>
      <c r="E81" s="84"/>
      <c r="F81" s="2" t="s">
        <v>35</v>
      </c>
      <c r="G81" s="17">
        <f>'Rozpočet - vybrané sloupce'!J54</f>
        <v>3</v>
      </c>
      <c r="H81" s="17">
        <f>'Rozpočet - vybrané sloupce'!K54</f>
        <v>0</v>
      </c>
      <c r="I81" s="74">
        <v>12</v>
      </c>
      <c r="J81" s="17">
        <f>ROUND(G81*AO81,2)</f>
        <v>0</v>
      </c>
      <c r="K81" s="17">
        <f>ROUND(G81*AP81,2)</f>
        <v>0</v>
      </c>
      <c r="L81" s="17">
        <f>ROUND(G81*H81,2)</f>
        <v>0</v>
      </c>
      <c r="M81" s="17">
        <f>L81*(1+BW81/100)</f>
        <v>0</v>
      </c>
      <c r="N81" s="17">
        <v>0</v>
      </c>
      <c r="O81" s="17">
        <f>G81*N81</f>
        <v>0</v>
      </c>
      <c r="P81" s="75" t="s">
        <v>576</v>
      </c>
      <c r="Z81" s="17">
        <f>ROUND(IF(AQ81="5",BJ81,0),2)</f>
        <v>0</v>
      </c>
      <c r="AB81" s="17">
        <f>ROUND(IF(AQ81="1",BH81,0),2)</f>
        <v>0</v>
      </c>
      <c r="AC81" s="17">
        <f>ROUND(IF(AQ81="1",BI81,0),2)</f>
        <v>0</v>
      </c>
      <c r="AD81" s="17">
        <f>ROUND(IF(AQ81="7",BH81,0),2)</f>
        <v>0</v>
      </c>
      <c r="AE81" s="17">
        <f>ROUND(IF(AQ81="7",BI81,0),2)</f>
        <v>0</v>
      </c>
      <c r="AF81" s="17">
        <f>ROUND(IF(AQ81="2",BH81,0),2)</f>
        <v>0</v>
      </c>
      <c r="AG81" s="17">
        <f>ROUND(IF(AQ81="2",BI81,0),2)</f>
        <v>0</v>
      </c>
      <c r="AH81" s="17">
        <f>ROUND(IF(AQ81="0",BJ81,0),2)</f>
        <v>0</v>
      </c>
      <c r="AI81" s="14" t="s">
        <v>91</v>
      </c>
      <c r="AJ81" s="17">
        <f>IF(AN81=0,L81,0)</f>
        <v>0</v>
      </c>
      <c r="AK81" s="17">
        <f>IF(AN81=12,L81,0)</f>
        <v>0</v>
      </c>
      <c r="AL81" s="17">
        <f>IF(AN81=21,L81,0)</f>
        <v>0</v>
      </c>
      <c r="AN81" s="17">
        <v>12</v>
      </c>
      <c r="AO81" s="17">
        <f>H81*1</f>
        <v>0</v>
      </c>
      <c r="AP81" s="17">
        <f>H81*(1-1)</f>
        <v>0</v>
      </c>
      <c r="AQ81" s="76" t="s">
        <v>577</v>
      </c>
      <c r="AV81" s="17">
        <f>ROUND(AW81+AX81,2)</f>
        <v>0</v>
      </c>
      <c r="AW81" s="17">
        <f>ROUND(G81*AO81,2)</f>
        <v>0</v>
      </c>
      <c r="AX81" s="17">
        <f>ROUND(G81*AP81,2)</f>
        <v>0</v>
      </c>
      <c r="AY81" s="76" t="s">
        <v>603</v>
      </c>
      <c r="AZ81" s="76" t="s">
        <v>647</v>
      </c>
      <c r="BA81" s="14" t="s">
        <v>648</v>
      </c>
      <c r="BC81" s="17">
        <f>AW81+AX81</f>
        <v>0</v>
      </c>
      <c r="BD81" s="17">
        <f>H81/(100-BE81)*100</f>
        <v>0</v>
      </c>
      <c r="BE81" s="17">
        <v>0</v>
      </c>
      <c r="BF81" s="17">
        <f>O81</f>
        <v>0</v>
      </c>
      <c r="BH81" s="17">
        <f>G81*AO81</f>
        <v>0</v>
      </c>
      <c r="BI81" s="17">
        <f>G81*AP81</f>
        <v>0</v>
      </c>
      <c r="BJ81" s="17">
        <f>G81*H81</f>
        <v>0</v>
      </c>
      <c r="BK81" s="17"/>
      <c r="BL81" s="17">
        <v>713</v>
      </c>
      <c r="BW81" s="17">
        <f>I81</f>
        <v>12</v>
      </c>
      <c r="BX81" s="4" t="s">
        <v>94</v>
      </c>
    </row>
    <row r="82" spans="1:76" x14ac:dyDescent="0.25">
      <c r="A82" s="1" t="s">
        <v>649</v>
      </c>
      <c r="B82" s="2" t="s">
        <v>91</v>
      </c>
      <c r="C82" s="2" t="s">
        <v>54</v>
      </c>
      <c r="D82" s="83" t="s">
        <v>55</v>
      </c>
      <c r="E82" s="84"/>
      <c r="F82" s="2" t="s">
        <v>35</v>
      </c>
      <c r="G82" s="17">
        <f>'Rozpočet - vybrané sloupce'!J55</f>
        <v>9</v>
      </c>
      <c r="H82" s="17">
        <f>'Rozpočet - vybrané sloupce'!K55</f>
        <v>0</v>
      </c>
      <c r="I82" s="74">
        <v>12</v>
      </c>
      <c r="J82" s="17">
        <f>ROUND(G82*AO82,2)</f>
        <v>0</v>
      </c>
      <c r="K82" s="17">
        <f>ROUND(G82*AP82,2)</f>
        <v>0</v>
      </c>
      <c r="L82" s="17">
        <f>ROUND(G82*H82,2)</f>
        <v>0</v>
      </c>
      <c r="M82" s="17">
        <f>L82*(1+BW82/100)</f>
        <v>0</v>
      </c>
      <c r="N82" s="17">
        <v>0</v>
      </c>
      <c r="O82" s="17">
        <f>G82*N82</f>
        <v>0</v>
      </c>
      <c r="P82" s="75" t="s">
        <v>576</v>
      </c>
      <c r="Z82" s="17">
        <f>ROUND(IF(AQ82="5",BJ82,0),2)</f>
        <v>0</v>
      </c>
      <c r="AB82" s="17">
        <f>ROUND(IF(AQ82="1",BH82,0),2)</f>
        <v>0</v>
      </c>
      <c r="AC82" s="17">
        <f>ROUND(IF(AQ82="1",BI82,0),2)</f>
        <v>0</v>
      </c>
      <c r="AD82" s="17">
        <f>ROUND(IF(AQ82="7",BH82,0),2)</f>
        <v>0</v>
      </c>
      <c r="AE82" s="17">
        <f>ROUND(IF(AQ82="7",BI82,0),2)</f>
        <v>0</v>
      </c>
      <c r="AF82" s="17">
        <f>ROUND(IF(AQ82="2",BH82,0),2)</f>
        <v>0</v>
      </c>
      <c r="AG82" s="17">
        <f>ROUND(IF(AQ82="2",BI82,0),2)</f>
        <v>0</v>
      </c>
      <c r="AH82" s="17">
        <f>ROUND(IF(AQ82="0",BJ82,0),2)</f>
        <v>0</v>
      </c>
      <c r="AI82" s="14" t="s">
        <v>91</v>
      </c>
      <c r="AJ82" s="17">
        <f>IF(AN82=0,L82,0)</f>
        <v>0</v>
      </c>
      <c r="AK82" s="17">
        <f>IF(AN82=12,L82,0)</f>
        <v>0</v>
      </c>
      <c r="AL82" s="17">
        <f>IF(AN82=21,L82,0)</f>
        <v>0</v>
      </c>
      <c r="AN82" s="17">
        <v>12</v>
      </c>
      <c r="AO82" s="17">
        <f>H82*1</f>
        <v>0</v>
      </c>
      <c r="AP82" s="17">
        <f>H82*(1-1)</f>
        <v>0</v>
      </c>
      <c r="AQ82" s="76" t="s">
        <v>577</v>
      </c>
      <c r="AV82" s="17">
        <f>ROUND(AW82+AX82,2)</f>
        <v>0</v>
      </c>
      <c r="AW82" s="17">
        <f>ROUND(G82*AO82,2)</f>
        <v>0</v>
      </c>
      <c r="AX82" s="17">
        <f>ROUND(G82*AP82,2)</f>
        <v>0</v>
      </c>
      <c r="AY82" s="76" t="s">
        <v>603</v>
      </c>
      <c r="AZ82" s="76" t="s">
        <v>647</v>
      </c>
      <c r="BA82" s="14" t="s">
        <v>648</v>
      </c>
      <c r="BC82" s="17">
        <f>AW82+AX82</f>
        <v>0</v>
      </c>
      <c r="BD82" s="17">
        <f>H82/(100-BE82)*100</f>
        <v>0</v>
      </c>
      <c r="BE82" s="17">
        <v>0</v>
      </c>
      <c r="BF82" s="17">
        <f>O82</f>
        <v>0</v>
      </c>
      <c r="BH82" s="17">
        <f>G82*AO82</f>
        <v>0</v>
      </c>
      <c r="BI82" s="17">
        <f>G82*AP82</f>
        <v>0</v>
      </c>
      <c r="BJ82" s="17">
        <f>G82*H82</f>
        <v>0</v>
      </c>
      <c r="BK82" s="17"/>
      <c r="BL82" s="17">
        <v>713</v>
      </c>
      <c r="BW82" s="17">
        <f>I82</f>
        <v>12</v>
      </c>
      <c r="BX82" s="4" t="s">
        <v>55</v>
      </c>
    </row>
    <row r="83" spans="1:76" x14ac:dyDescent="0.25">
      <c r="A83" s="1" t="s">
        <v>650</v>
      </c>
      <c r="B83" s="2" t="s">
        <v>91</v>
      </c>
      <c r="C83" s="2" t="s">
        <v>56</v>
      </c>
      <c r="D83" s="83" t="s">
        <v>57</v>
      </c>
      <c r="E83" s="84"/>
      <c r="F83" s="2" t="s">
        <v>45</v>
      </c>
      <c r="G83" s="17">
        <f>'Rozpočet - vybrané sloupce'!J56</f>
        <v>0</v>
      </c>
      <c r="H83" s="17">
        <f>'Rozpočet - vybrané sloupce'!K56</f>
        <v>0</v>
      </c>
      <c r="I83" s="74">
        <v>12</v>
      </c>
      <c r="J83" s="17">
        <f>ROUND(G83*AO83,2)</f>
        <v>0</v>
      </c>
      <c r="K83" s="17">
        <f>ROUND(G83*AP83,2)</f>
        <v>0</v>
      </c>
      <c r="L83" s="17">
        <f>ROUND(G83*H83,2)</f>
        <v>0</v>
      </c>
      <c r="M83" s="17">
        <f>L83*(1+BW83/100)</f>
        <v>0</v>
      </c>
      <c r="N83" s="17">
        <v>0</v>
      </c>
      <c r="O83" s="17">
        <f>G83*N83</f>
        <v>0</v>
      </c>
      <c r="P83" s="75" t="s">
        <v>576</v>
      </c>
      <c r="Z83" s="17">
        <f>ROUND(IF(AQ83="5",BJ83,0),2)</f>
        <v>0</v>
      </c>
      <c r="AB83" s="17">
        <f>ROUND(IF(AQ83="1",BH83,0),2)</f>
        <v>0</v>
      </c>
      <c r="AC83" s="17">
        <f>ROUND(IF(AQ83="1",BI83,0),2)</f>
        <v>0</v>
      </c>
      <c r="AD83" s="17">
        <f>ROUND(IF(AQ83="7",BH83,0),2)</f>
        <v>0</v>
      </c>
      <c r="AE83" s="17">
        <f>ROUND(IF(AQ83="7",BI83,0),2)</f>
        <v>0</v>
      </c>
      <c r="AF83" s="17">
        <f>ROUND(IF(AQ83="2",BH83,0),2)</f>
        <v>0</v>
      </c>
      <c r="AG83" s="17">
        <f>ROUND(IF(AQ83="2",BI83,0),2)</f>
        <v>0</v>
      </c>
      <c r="AH83" s="17">
        <f>ROUND(IF(AQ83="0",BJ83,0),2)</f>
        <v>0</v>
      </c>
      <c r="AI83" s="14" t="s">
        <v>91</v>
      </c>
      <c r="AJ83" s="17">
        <f>IF(AN83=0,L83,0)</f>
        <v>0</v>
      </c>
      <c r="AK83" s="17">
        <f>IF(AN83=12,L83,0)</f>
        <v>0</v>
      </c>
      <c r="AL83" s="17">
        <f>IF(AN83=21,L83,0)</f>
        <v>0</v>
      </c>
      <c r="AN83" s="17">
        <v>12</v>
      </c>
      <c r="AO83" s="17">
        <f>H83*0</f>
        <v>0</v>
      </c>
      <c r="AP83" s="17">
        <f>H83*(1-0)</f>
        <v>0</v>
      </c>
      <c r="AQ83" s="76" t="s">
        <v>585</v>
      </c>
      <c r="AV83" s="17">
        <f>ROUND(AW83+AX83,2)</f>
        <v>0</v>
      </c>
      <c r="AW83" s="17">
        <f>ROUND(G83*AO83,2)</f>
        <v>0</v>
      </c>
      <c r="AX83" s="17">
        <f>ROUND(G83*AP83,2)</f>
        <v>0</v>
      </c>
      <c r="AY83" s="76" t="s">
        <v>603</v>
      </c>
      <c r="AZ83" s="76" t="s">
        <v>647</v>
      </c>
      <c r="BA83" s="14" t="s">
        <v>648</v>
      </c>
      <c r="BC83" s="17">
        <f>AW83+AX83</f>
        <v>0</v>
      </c>
      <c r="BD83" s="17">
        <f>H83/(100-BE83)*100</f>
        <v>0</v>
      </c>
      <c r="BE83" s="17">
        <v>0</v>
      </c>
      <c r="BF83" s="17">
        <f>O83</f>
        <v>0</v>
      </c>
      <c r="BH83" s="17">
        <f>G83*AO83</f>
        <v>0</v>
      </c>
      <c r="BI83" s="17">
        <f>G83*AP83</f>
        <v>0</v>
      </c>
      <c r="BJ83" s="17">
        <f>G83*H83</f>
        <v>0</v>
      </c>
      <c r="BK83" s="17"/>
      <c r="BL83" s="17">
        <v>713</v>
      </c>
      <c r="BW83" s="17">
        <f>I83</f>
        <v>12</v>
      </c>
      <c r="BX83" s="4" t="s">
        <v>57</v>
      </c>
    </row>
    <row r="84" spans="1:76" x14ac:dyDescent="0.25">
      <c r="A84" s="71" t="s">
        <v>25</v>
      </c>
      <c r="B84" s="13" t="s">
        <v>91</v>
      </c>
      <c r="C84" s="13" t="s">
        <v>27</v>
      </c>
      <c r="D84" s="135" t="s">
        <v>28</v>
      </c>
      <c r="E84" s="136"/>
      <c r="F84" s="72" t="s">
        <v>23</v>
      </c>
      <c r="G84" s="72" t="s">
        <v>23</v>
      </c>
      <c r="H84" s="72" t="s">
        <v>23</v>
      </c>
      <c r="I84" s="72" t="s">
        <v>23</v>
      </c>
      <c r="J84" s="47">
        <f>SUM(J85:J101)</f>
        <v>0</v>
      </c>
      <c r="K84" s="47">
        <f>SUM(K85:K101)</f>
        <v>0</v>
      </c>
      <c r="L84" s="47">
        <f>SUM(L85:L101)</f>
        <v>0</v>
      </c>
      <c r="M84" s="47">
        <f>SUM(M85:M101)</f>
        <v>0</v>
      </c>
      <c r="N84" s="14" t="s">
        <v>25</v>
      </c>
      <c r="O84" s="47">
        <f>SUM(O85:O101)</f>
        <v>0.80998499999999984</v>
      </c>
      <c r="P84" s="73" t="s">
        <v>25</v>
      </c>
      <c r="AI84" s="14" t="s">
        <v>91</v>
      </c>
      <c r="AS84" s="47">
        <f>SUM(AJ85:AJ101)</f>
        <v>0</v>
      </c>
      <c r="AT84" s="47">
        <f>SUM(AK85:AK101)</f>
        <v>0</v>
      </c>
      <c r="AU84" s="47">
        <f>SUM(AL85:AL101)</f>
        <v>0</v>
      </c>
    </row>
    <row r="85" spans="1:76" x14ac:dyDescent="0.25">
      <c r="A85" s="1" t="s">
        <v>651</v>
      </c>
      <c r="B85" s="2" t="s">
        <v>91</v>
      </c>
      <c r="C85" s="2" t="s">
        <v>58</v>
      </c>
      <c r="D85" s="83" t="s">
        <v>59</v>
      </c>
      <c r="E85" s="84"/>
      <c r="F85" s="2" t="s">
        <v>31</v>
      </c>
      <c r="G85" s="17">
        <f>'Rozpočet - vybrané sloupce'!J58</f>
        <v>18</v>
      </c>
      <c r="H85" s="17">
        <f>'Rozpočet - vybrané sloupce'!K58</f>
        <v>0</v>
      </c>
      <c r="I85" s="74">
        <v>12</v>
      </c>
      <c r="J85" s="17">
        <f t="shared" ref="J85:J101" si="130">ROUND(G85*AO85,2)</f>
        <v>0</v>
      </c>
      <c r="K85" s="17">
        <f t="shared" ref="K85:K101" si="131">ROUND(G85*AP85,2)</f>
        <v>0</v>
      </c>
      <c r="L85" s="17">
        <f t="shared" ref="L85:L101" si="132">ROUND(G85*H85,2)</f>
        <v>0</v>
      </c>
      <c r="M85" s="17">
        <f t="shared" ref="M85:M101" si="133">L85*(1+BW85/100)</f>
        <v>0</v>
      </c>
      <c r="N85" s="17">
        <v>1.4919999999999999E-2</v>
      </c>
      <c r="O85" s="17">
        <f t="shared" ref="O85:O101" si="134">G85*N85</f>
        <v>0.26855999999999997</v>
      </c>
      <c r="P85" s="75" t="s">
        <v>576</v>
      </c>
      <c r="Z85" s="17">
        <f t="shared" ref="Z85:Z101" si="135">ROUND(IF(AQ85="5",BJ85,0),2)</f>
        <v>0</v>
      </c>
      <c r="AB85" s="17">
        <f t="shared" ref="AB85:AB101" si="136">ROUND(IF(AQ85="1",BH85,0),2)</f>
        <v>0</v>
      </c>
      <c r="AC85" s="17">
        <f t="shared" ref="AC85:AC101" si="137">ROUND(IF(AQ85="1",BI85,0),2)</f>
        <v>0</v>
      </c>
      <c r="AD85" s="17">
        <f t="shared" ref="AD85:AD101" si="138">ROUND(IF(AQ85="7",BH85,0),2)</f>
        <v>0</v>
      </c>
      <c r="AE85" s="17">
        <f t="shared" ref="AE85:AE101" si="139">ROUND(IF(AQ85="7",BI85,0),2)</f>
        <v>0</v>
      </c>
      <c r="AF85" s="17">
        <f t="shared" ref="AF85:AF101" si="140">ROUND(IF(AQ85="2",BH85,0),2)</f>
        <v>0</v>
      </c>
      <c r="AG85" s="17">
        <f t="shared" ref="AG85:AG101" si="141">ROUND(IF(AQ85="2",BI85,0),2)</f>
        <v>0</v>
      </c>
      <c r="AH85" s="17">
        <f t="shared" ref="AH85:AH101" si="142">ROUND(IF(AQ85="0",BJ85,0),2)</f>
        <v>0</v>
      </c>
      <c r="AI85" s="14" t="s">
        <v>91</v>
      </c>
      <c r="AJ85" s="17">
        <f t="shared" ref="AJ85:AJ101" si="143">IF(AN85=0,L85,0)</f>
        <v>0</v>
      </c>
      <c r="AK85" s="17">
        <f t="shared" ref="AK85:AK101" si="144">IF(AN85=12,L85,0)</f>
        <v>0</v>
      </c>
      <c r="AL85" s="17">
        <f t="shared" ref="AL85:AL101" si="145">IF(AN85=21,L85,0)</f>
        <v>0</v>
      </c>
      <c r="AN85" s="17">
        <v>12</v>
      </c>
      <c r="AO85" s="17">
        <f>H85*0</f>
        <v>0</v>
      </c>
      <c r="AP85" s="17">
        <f>H85*(1-0)</f>
        <v>0</v>
      </c>
      <c r="AQ85" s="76" t="s">
        <v>577</v>
      </c>
      <c r="AV85" s="17">
        <f t="shared" ref="AV85:AV101" si="146">ROUND(AW85+AX85,2)</f>
        <v>0</v>
      </c>
      <c r="AW85" s="17">
        <f t="shared" ref="AW85:AW101" si="147">ROUND(G85*AO85,2)</f>
        <v>0</v>
      </c>
      <c r="AX85" s="17">
        <f t="shared" ref="AX85:AX101" si="148">ROUND(G85*AP85,2)</f>
        <v>0</v>
      </c>
      <c r="AY85" s="76" t="s">
        <v>578</v>
      </c>
      <c r="AZ85" s="76" t="s">
        <v>652</v>
      </c>
      <c r="BA85" s="14" t="s">
        <v>648</v>
      </c>
      <c r="BC85" s="17">
        <f t="shared" ref="BC85:BC101" si="149">AW85+AX85</f>
        <v>0</v>
      </c>
      <c r="BD85" s="17">
        <f t="shared" ref="BD85:BD101" si="150">H85/(100-BE85)*100</f>
        <v>0</v>
      </c>
      <c r="BE85" s="17">
        <v>0</v>
      </c>
      <c r="BF85" s="17">
        <f t="shared" ref="BF85:BF101" si="151">O85</f>
        <v>0.26855999999999997</v>
      </c>
      <c r="BH85" s="17">
        <f t="shared" ref="BH85:BH101" si="152">G85*AO85</f>
        <v>0</v>
      </c>
      <c r="BI85" s="17">
        <f t="shared" ref="BI85:BI101" si="153">G85*AP85</f>
        <v>0</v>
      </c>
      <c r="BJ85" s="17">
        <f t="shared" ref="BJ85:BJ101" si="154">G85*H85</f>
        <v>0</v>
      </c>
      <c r="BK85" s="17"/>
      <c r="BL85" s="17">
        <v>721</v>
      </c>
      <c r="BW85" s="17">
        <f t="shared" ref="BW85:BW101" si="155">I85</f>
        <v>12</v>
      </c>
      <c r="BX85" s="4" t="s">
        <v>59</v>
      </c>
    </row>
    <row r="86" spans="1:76" x14ac:dyDescent="0.25">
      <c r="A86" s="1" t="s">
        <v>653</v>
      </c>
      <c r="B86" s="2" t="s">
        <v>91</v>
      </c>
      <c r="C86" s="2" t="s">
        <v>60</v>
      </c>
      <c r="D86" s="83" t="s">
        <v>61</v>
      </c>
      <c r="E86" s="84"/>
      <c r="F86" s="2" t="s">
        <v>35</v>
      </c>
      <c r="G86" s="17">
        <f>'Rozpočet - vybrané sloupce'!J59</f>
        <v>4</v>
      </c>
      <c r="H86" s="17">
        <f>'Rozpočet - vybrané sloupce'!K59</f>
        <v>0</v>
      </c>
      <c r="I86" s="74">
        <v>12</v>
      </c>
      <c r="J86" s="17">
        <f t="shared" si="130"/>
        <v>0</v>
      </c>
      <c r="K86" s="17">
        <f t="shared" si="131"/>
        <v>0</v>
      </c>
      <c r="L86" s="17">
        <f t="shared" si="132"/>
        <v>0</v>
      </c>
      <c r="M86" s="17">
        <f t="shared" si="133"/>
        <v>0</v>
      </c>
      <c r="N86" s="17">
        <v>3.8000000000000002E-4</v>
      </c>
      <c r="O86" s="17">
        <f t="shared" si="134"/>
        <v>1.5200000000000001E-3</v>
      </c>
      <c r="P86" s="75" t="s">
        <v>576</v>
      </c>
      <c r="Z86" s="17">
        <f t="shared" si="135"/>
        <v>0</v>
      </c>
      <c r="AB86" s="17">
        <f t="shared" si="136"/>
        <v>0</v>
      </c>
      <c r="AC86" s="17">
        <f t="shared" si="137"/>
        <v>0</v>
      </c>
      <c r="AD86" s="17">
        <f t="shared" si="138"/>
        <v>0</v>
      </c>
      <c r="AE86" s="17">
        <f t="shared" si="139"/>
        <v>0</v>
      </c>
      <c r="AF86" s="17">
        <f t="shared" si="140"/>
        <v>0</v>
      </c>
      <c r="AG86" s="17">
        <f t="shared" si="141"/>
        <v>0</v>
      </c>
      <c r="AH86" s="17">
        <f t="shared" si="142"/>
        <v>0</v>
      </c>
      <c r="AI86" s="14" t="s">
        <v>91</v>
      </c>
      <c r="AJ86" s="17">
        <f t="shared" si="143"/>
        <v>0</v>
      </c>
      <c r="AK86" s="17">
        <f t="shared" si="144"/>
        <v>0</v>
      </c>
      <c r="AL86" s="17">
        <f t="shared" si="145"/>
        <v>0</v>
      </c>
      <c r="AN86" s="17">
        <v>12</v>
      </c>
      <c r="AO86" s="17">
        <f>H86*0.798383961</f>
        <v>0</v>
      </c>
      <c r="AP86" s="17">
        <f>H86*(1-0.798383961)</f>
        <v>0</v>
      </c>
      <c r="AQ86" s="76" t="s">
        <v>577</v>
      </c>
      <c r="AV86" s="17">
        <f t="shared" si="146"/>
        <v>0</v>
      </c>
      <c r="AW86" s="17">
        <f t="shared" si="147"/>
        <v>0</v>
      </c>
      <c r="AX86" s="17">
        <f t="shared" si="148"/>
        <v>0</v>
      </c>
      <c r="AY86" s="76" t="s">
        <v>578</v>
      </c>
      <c r="AZ86" s="76" t="s">
        <v>652</v>
      </c>
      <c r="BA86" s="14" t="s">
        <v>648</v>
      </c>
      <c r="BC86" s="17">
        <f t="shared" si="149"/>
        <v>0</v>
      </c>
      <c r="BD86" s="17">
        <f t="shared" si="150"/>
        <v>0</v>
      </c>
      <c r="BE86" s="17">
        <v>0</v>
      </c>
      <c r="BF86" s="17">
        <f t="shared" si="151"/>
        <v>1.5200000000000001E-3</v>
      </c>
      <c r="BH86" s="17">
        <f t="shared" si="152"/>
        <v>0</v>
      </c>
      <c r="BI86" s="17">
        <f t="shared" si="153"/>
        <v>0</v>
      </c>
      <c r="BJ86" s="17">
        <f t="shared" si="154"/>
        <v>0</v>
      </c>
      <c r="BK86" s="17"/>
      <c r="BL86" s="17">
        <v>721</v>
      </c>
      <c r="BW86" s="17">
        <f t="shared" si="155"/>
        <v>12</v>
      </c>
      <c r="BX86" s="4" t="s">
        <v>61</v>
      </c>
    </row>
    <row r="87" spans="1:76" x14ac:dyDescent="0.25">
      <c r="A87" s="1" t="s">
        <v>654</v>
      </c>
      <c r="B87" s="2" t="s">
        <v>91</v>
      </c>
      <c r="C87" s="2" t="s">
        <v>62</v>
      </c>
      <c r="D87" s="83" t="s">
        <v>63</v>
      </c>
      <c r="E87" s="84"/>
      <c r="F87" s="2" t="s">
        <v>31</v>
      </c>
      <c r="G87" s="17">
        <f>'Rozpočet - vybrané sloupce'!J60</f>
        <v>40</v>
      </c>
      <c r="H87" s="17">
        <f>'Rozpočet - vybrané sloupce'!K60</f>
        <v>0</v>
      </c>
      <c r="I87" s="74">
        <v>12</v>
      </c>
      <c r="J87" s="17">
        <f t="shared" si="130"/>
        <v>0</v>
      </c>
      <c r="K87" s="17">
        <f t="shared" si="131"/>
        <v>0</v>
      </c>
      <c r="L87" s="17">
        <f t="shared" si="132"/>
        <v>0</v>
      </c>
      <c r="M87" s="17">
        <f t="shared" si="133"/>
        <v>0</v>
      </c>
      <c r="N87" s="17">
        <v>6.6899999999999998E-3</v>
      </c>
      <c r="O87" s="17">
        <f t="shared" si="134"/>
        <v>0.2676</v>
      </c>
      <c r="P87" s="75" t="s">
        <v>576</v>
      </c>
      <c r="Z87" s="17">
        <f t="shared" si="135"/>
        <v>0</v>
      </c>
      <c r="AB87" s="17">
        <f t="shared" si="136"/>
        <v>0</v>
      </c>
      <c r="AC87" s="17">
        <f t="shared" si="137"/>
        <v>0</v>
      </c>
      <c r="AD87" s="17">
        <f t="shared" si="138"/>
        <v>0</v>
      </c>
      <c r="AE87" s="17">
        <f t="shared" si="139"/>
        <v>0</v>
      </c>
      <c r="AF87" s="17">
        <f t="shared" si="140"/>
        <v>0</v>
      </c>
      <c r="AG87" s="17">
        <f t="shared" si="141"/>
        <v>0</v>
      </c>
      <c r="AH87" s="17">
        <f t="shared" si="142"/>
        <v>0</v>
      </c>
      <c r="AI87" s="14" t="s">
        <v>91</v>
      </c>
      <c r="AJ87" s="17">
        <f t="shared" si="143"/>
        <v>0</v>
      </c>
      <c r="AK87" s="17">
        <f t="shared" si="144"/>
        <v>0</v>
      </c>
      <c r="AL87" s="17">
        <f t="shared" si="145"/>
        <v>0</v>
      </c>
      <c r="AN87" s="17">
        <v>12</v>
      </c>
      <c r="AO87" s="17">
        <f>H87*0.355217391</f>
        <v>0</v>
      </c>
      <c r="AP87" s="17">
        <f>H87*(1-0.355217391)</f>
        <v>0</v>
      </c>
      <c r="AQ87" s="76" t="s">
        <v>577</v>
      </c>
      <c r="AV87" s="17">
        <f t="shared" si="146"/>
        <v>0</v>
      </c>
      <c r="AW87" s="17">
        <f t="shared" si="147"/>
        <v>0</v>
      </c>
      <c r="AX87" s="17">
        <f t="shared" si="148"/>
        <v>0</v>
      </c>
      <c r="AY87" s="76" t="s">
        <v>578</v>
      </c>
      <c r="AZ87" s="76" t="s">
        <v>652</v>
      </c>
      <c r="BA87" s="14" t="s">
        <v>648</v>
      </c>
      <c r="BC87" s="17">
        <f t="shared" si="149"/>
        <v>0</v>
      </c>
      <c r="BD87" s="17">
        <f t="shared" si="150"/>
        <v>0</v>
      </c>
      <c r="BE87" s="17">
        <v>0</v>
      </c>
      <c r="BF87" s="17">
        <f t="shared" si="151"/>
        <v>0.2676</v>
      </c>
      <c r="BH87" s="17">
        <f t="shared" si="152"/>
        <v>0</v>
      </c>
      <c r="BI87" s="17">
        <f t="shared" si="153"/>
        <v>0</v>
      </c>
      <c r="BJ87" s="17">
        <f t="shared" si="154"/>
        <v>0</v>
      </c>
      <c r="BK87" s="17"/>
      <c r="BL87" s="17">
        <v>721</v>
      </c>
      <c r="BW87" s="17">
        <f t="shared" si="155"/>
        <v>12</v>
      </c>
      <c r="BX87" s="4" t="s">
        <v>63</v>
      </c>
    </row>
    <row r="88" spans="1:76" ht="25.5" x14ac:dyDescent="0.25">
      <c r="A88" s="1" t="s">
        <v>655</v>
      </c>
      <c r="B88" s="2" t="s">
        <v>91</v>
      </c>
      <c r="C88" s="2" t="s">
        <v>64</v>
      </c>
      <c r="D88" s="83" t="s">
        <v>65</v>
      </c>
      <c r="E88" s="84"/>
      <c r="F88" s="2" t="s">
        <v>35</v>
      </c>
      <c r="G88" s="17">
        <f>'Rozpočet - vybrané sloupce'!J61</f>
        <v>15</v>
      </c>
      <c r="H88" s="17">
        <f>'Rozpočet - vybrané sloupce'!K61</f>
        <v>0</v>
      </c>
      <c r="I88" s="74">
        <v>12</v>
      </c>
      <c r="J88" s="17">
        <f t="shared" si="130"/>
        <v>0</v>
      </c>
      <c r="K88" s="17">
        <f t="shared" si="131"/>
        <v>0</v>
      </c>
      <c r="L88" s="17">
        <f t="shared" si="132"/>
        <v>0</v>
      </c>
      <c r="M88" s="17">
        <f t="shared" si="133"/>
        <v>0</v>
      </c>
      <c r="N88" s="17">
        <v>1.265E-2</v>
      </c>
      <c r="O88" s="17">
        <f t="shared" si="134"/>
        <v>0.18975</v>
      </c>
      <c r="P88" s="75" t="s">
        <v>576</v>
      </c>
      <c r="Z88" s="17">
        <f t="shared" si="135"/>
        <v>0</v>
      </c>
      <c r="AB88" s="17">
        <f t="shared" si="136"/>
        <v>0</v>
      </c>
      <c r="AC88" s="17">
        <f t="shared" si="137"/>
        <v>0</v>
      </c>
      <c r="AD88" s="17">
        <f t="shared" si="138"/>
        <v>0</v>
      </c>
      <c r="AE88" s="17">
        <f t="shared" si="139"/>
        <v>0</v>
      </c>
      <c r="AF88" s="17">
        <f t="shared" si="140"/>
        <v>0</v>
      </c>
      <c r="AG88" s="17">
        <f t="shared" si="141"/>
        <v>0</v>
      </c>
      <c r="AH88" s="17">
        <f t="shared" si="142"/>
        <v>0</v>
      </c>
      <c r="AI88" s="14" t="s">
        <v>91</v>
      </c>
      <c r="AJ88" s="17">
        <f t="shared" si="143"/>
        <v>0</v>
      </c>
      <c r="AK88" s="17">
        <f t="shared" si="144"/>
        <v>0</v>
      </c>
      <c r="AL88" s="17">
        <f t="shared" si="145"/>
        <v>0</v>
      </c>
      <c r="AN88" s="17">
        <v>12</v>
      </c>
      <c r="AO88" s="17">
        <f>H88*0.232544987</f>
        <v>0</v>
      </c>
      <c r="AP88" s="17">
        <f>H88*(1-0.232544987)</f>
        <v>0</v>
      </c>
      <c r="AQ88" s="76" t="s">
        <v>577</v>
      </c>
      <c r="AV88" s="17">
        <f t="shared" si="146"/>
        <v>0</v>
      </c>
      <c r="AW88" s="17">
        <f t="shared" si="147"/>
        <v>0</v>
      </c>
      <c r="AX88" s="17">
        <f t="shared" si="148"/>
        <v>0</v>
      </c>
      <c r="AY88" s="76" t="s">
        <v>578</v>
      </c>
      <c r="AZ88" s="76" t="s">
        <v>652</v>
      </c>
      <c r="BA88" s="14" t="s">
        <v>648</v>
      </c>
      <c r="BC88" s="17">
        <f t="shared" si="149"/>
        <v>0</v>
      </c>
      <c r="BD88" s="17">
        <f t="shared" si="150"/>
        <v>0</v>
      </c>
      <c r="BE88" s="17">
        <v>0</v>
      </c>
      <c r="BF88" s="17">
        <f t="shared" si="151"/>
        <v>0.18975</v>
      </c>
      <c r="BH88" s="17">
        <f t="shared" si="152"/>
        <v>0</v>
      </c>
      <c r="BI88" s="17">
        <f t="shared" si="153"/>
        <v>0</v>
      </c>
      <c r="BJ88" s="17">
        <f t="shared" si="154"/>
        <v>0</v>
      </c>
      <c r="BK88" s="17"/>
      <c r="BL88" s="17">
        <v>721</v>
      </c>
      <c r="BW88" s="17">
        <f t="shared" si="155"/>
        <v>12</v>
      </c>
      <c r="BX88" s="4" t="s">
        <v>65</v>
      </c>
    </row>
    <row r="89" spans="1:76" x14ac:dyDescent="0.25">
      <c r="A89" s="1" t="s">
        <v>656</v>
      </c>
      <c r="B89" s="2" t="s">
        <v>91</v>
      </c>
      <c r="C89" s="2" t="s">
        <v>68</v>
      </c>
      <c r="D89" s="83" t="s">
        <v>69</v>
      </c>
      <c r="E89" s="84"/>
      <c r="F89" s="2" t="s">
        <v>31</v>
      </c>
      <c r="G89" s="17">
        <f>'Rozpočet - vybrané sloupce'!J62</f>
        <v>3</v>
      </c>
      <c r="H89" s="17">
        <f>'Rozpočet - vybrané sloupce'!K62</f>
        <v>0</v>
      </c>
      <c r="I89" s="74">
        <v>12</v>
      </c>
      <c r="J89" s="17">
        <f t="shared" si="130"/>
        <v>0</v>
      </c>
      <c r="K89" s="17">
        <f t="shared" si="131"/>
        <v>0</v>
      </c>
      <c r="L89" s="17">
        <f t="shared" si="132"/>
        <v>0</v>
      </c>
      <c r="M89" s="17">
        <f t="shared" si="133"/>
        <v>0</v>
      </c>
      <c r="N89" s="17">
        <v>1.98E-3</v>
      </c>
      <c r="O89" s="17">
        <f t="shared" si="134"/>
        <v>5.94E-3</v>
      </c>
      <c r="P89" s="75" t="s">
        <v>576</v>
      </c>
      <c r="Z89" s="17">
        <f t="shared" si="135"/>
        <v>0</v>
      </c>
      <c r="AB89" s="17">
        <f t="shared" si="136"/>
        <v>0</v>
      </c>
      <c r="AC89" s="17">
        <f t="shared" si="137"/>
        <v>0</v>
      </c>
      <c r="AD89" s="17">
        <f t="shared" si="138"/>
        <v>0</v>
      </c>
      <c r="AE89" s="17">
        <f t="shared" si="139"/>
        <v>0</v>
      </c>
      <c r="AF89" s="17">
        <f t="shared" si="140"/>
        <v>0</v>
      </c>
      <c r="AG89" s="17">
        <f t="shared" si="141"/>
        <v>0</v>
      </c>
      <c r="AH89" s="17">
        <f t="shared" si="142"/>
        <v>0</v>
      </c>
      <c r="AI89" s="14" t="s">
        <v>91</v>
      </c>
      <c r="AJ89" s="17">
        <f t="shared" si="143"/>
        <v>0</v>
      </c>
      <c r="AK89" s="17">
        <f t="shared" si="144"/>
        <v>0</v>
      </c>
      <c r="AL89" s="17">
        <f t="shared" si="145"/>
        <v>0</v>
      </c>
      <c r="AN89" s="17">
        <v>12</v>
      </c>
      <c r="AO89" s="17">
        <f>H89*0</f>
        <v>0</v>
      </c>
      <c r="AP89" s="17">
        <f>H89*(1-0)</f>
        <v>0</v>
      </c>
      <c r="AQ89" s="76" t="s">
        <v>577</v>
      </c>
      <c r="AV89" s="17">
        <f t="shared" si="146"/>
        <v>0</v>
      </c>
      <c r="AW89" s="17">
        <f t="shared" si="147"/>
        <v>0</v>
      </c>
      <c r="AX89" s="17">
        <f t="shared" si="148"/>
        <v>0</v>
      </c>
      <c r="AY89" s="76" t="s">
        <v>578</v>
      </c>
      <c r="AZ89" s="76" t="s">
        <v>652</v>
      </c>
      <c r="BA89" s="14" t="s">
        <v>648</v>
      </c>
      <c r="BC89" s="17">
        <f t="shared" si="149"/>
        <v>0</v>
      </c>
      <c r="BD89" s="17">
        <f t="shared" si="150"/>
        <v>0</v>
      </c>
      <c r="BE89" s="17">
        <v>0</v>
      </c>
      <c r="BF89" s="17">
        <f t="shared" si="151"/>
        <v>5.94E-3</v>
      </c>
      <c r="BH89" s="17">
        <f t="shared" si="152"/>
        <v>0</v>
      </c>
      <c r="BI89" s="17">
        <f t="shared" si="153"/>
        <v>0</v>
      </c>
      <c r="BJ89" s="17">
        <f t="shared" si="154"/>
        <v>0</v>
      </c>
      <c r="BK89" s="17"/>
      <c r="BL89" s="17">
        <v>721</v>
      </c>
      <c r="BW89" s="17">
        <f t="shared" si="155"/>
        <v>12</v>
      </c>
      <c r="BX89" s="4" t="s">
        <v>69</v>
      </c>
    </row>
    <row r="90" spans="1:76" x14ac:dyDescent="0.25">
      <c r="A90" s="1" t="s">
        <v>657</v>
      </c>
      <c r="B90" s="2" t="s">
        <v>91</v>
      </c>
      <c r="C90" s="2" t="s">
        <v>95</v>
      </c>
      <c r="D90" s="83" t="s">
        <v>96</v>
      </c>
      <c r="E90" s="84"/>
      <c r="F90" s="2" t="s">
        <v>31</v>
      </c>
      <c r="G90" s="17">
        <f>'Rozpočet - vybrané sloupce'!J63</f>
        <v>11</v>
      </c>
      <c r="H90" s="17">
        <f>'Rozpočet - vybrané sloupce'!K63</f>
        <v>0</v>
      </c>
      <c r="I90" s="74">
        <v>12</v>
      </c>
      <c r="J90" s="17">
        <f t="shared" si="130"/>
        <v>0</v>
      </c>
      <c r="K90" s="17">
        <f t="shared" si="131"/>
        <v>0</v>
      </c>
      <c r="L90" s="17">
        <f t="shared" si="132"/>
        <v>0</v>
      </c>
      <c r="M90" s="17">
        <f t="shared" si="133"/>
        <v>0</v>
      </c>
      <c r="N90" s="17">
        <v>7.7999999999999999E-4</v>
      </c>
      <c r="O90" s="17">
        <f t="shared" si="134"/>
        <v>8.5799999999999991E-3</v>
      </c>
      <c r="P90" s="75" t="s">
        <v>576</v>
      </c>
      <c r="Z90" s="17">
        <f t="shared" si="135"/>
        <v>0</v>
      </c>
      <c r="AB90" s="17">
        <f t="shared" si="136"/>
        <v>0</v>
      </c>
      <c r="AC90" s="17">
        <f t="shared" si="137"/>
        <v>0</v>
      </c>
      <c r="AD90" s="17">
        <f t="shared" si="138"/>
        <v>0</v>
      </c>
      <c r="AE90" s="17">
        <f t="shared" si="139"/>
        <v>0</v>
      </c>
      <c r="AF90" s="17">
        <f t="shared" si="140"/>
        <v>0</v>
      </c>
      <c r="AG90" s="17">
        <f t="shared" si="141"/>
        <v>0</v>
      </c>
      <c r="AH90" s="17">
        <f t="shared" si="142"/>
        <v>0</v>
      </c>
      <c r="AI90" s="14" t="s">
        <v>91</v>
      </c>
      <c r="AJ90" s="17">
        <f t="shared" si="143"/>
        <v>0</v>
      </c>
      <c r="AK90" s="17">
        <f t="shared" si="144"/>
        <v>0</v>
      </c>
      <c r="AL90" s="17">
        <f t="shared" si="145"/>
        <v>0</v>
      </c>
      <c r="AN90" s="17">
        <v>12</v>
      </c>
      <c r="AO90" s="17">
        <f>H90*0.29672973</f>
        <v>0</v>
      </c>
      <c r="AP90" s="17">
        <f>H90*(1-0.29672973)</f>
        <v>0</v>
      </c>
      <c r="AQ90" s="76" t="s">
        <v>577</v>
      </c>
      <c r="AV90" s="17">
        <f t="shared" si="146"/>
        <v>0</v>
      </c>
      <c r="AW90" s="17">
        <f t="shared" si="147"/>
        <v>0</v>
      </c>
      <c r="AX90" s="17">
        <f t="shared" si="148"/>
        <v>0</v>
      </c>
      <c r="AY90" s="76" t="s">
        <v>578</v>
      </c>
      <c r="AZ90" s="76" t="s">
        <v>652</v>
      </c>
      <c r="BA90" s="14" t="s">
        <v>648</v>
      </c>
      <c r="BC90" s="17">
        <f t="shared" si="149"/>
        <v>0</v>
      </c>
      <c r="BD90" s="17">
        <f t="shared" si="150"/>
        <v>0</v>
      </c>
      <c r="BE90" s="17">
        <v>0</v>
      </c>
      <c r="BF90" s="17">
        <f t="shared" si="151"/>
        <v>8.5799999999999991E-3</v>
      </c>
      <c r="BH90" s="17">
        <f t="shared" si="152"/>
        <v>0</v>
      </c>
      <c r="BI90" s="17">
        <f t="shared" si="153"/>
        <v>0</v>
      </c>
      <c r="BJ90" s="17">
        <f t="shared" si="154"/>
        <v>0</v>
      </c>
      <c r="BK90" s="17"/>
      <c r="BL90" s="17">
        <v>721</v>
      </c>
      <c r="BW90" s="17">
        <f t="shared" si="155"/>
        <v>12</v>
      </c>
      <c r="BX90" s="4" t="s">
        <v>96</v>
      </c>
    </row>
    <row r="91" spans="1:76" x14ac:dyDescent="0.25">
      <c r="A91" s="1" t="s">
        <v>658</v>
      </c>
      <c r="B91" s="2" t="s">
        <v>91</v>
      </c>
      <c r="C91" s="2" t="s">
        <v>70</v>
      </c>
      <c r="D91" s="83" t="s">
        <v>71</v>
      </c>
      <c r="E91" s="84"/>
      <c r="F91" s="2" t="s">
        <v>31</v>
      </c>
      <c r="G91" s="17">
        <f>'Rozpočet - vybrané sloupce'!J64</f>
        <v>47</v>
      </c>
      <c r="H91" s="17">
        <f>'Rozpočet - vybrané sloupce'!K64</f>
        <v>0</v>
      </c>
      <c r="I91" s="74">
        <v>12</v>
      </c>
      <c r="J91" s="17">
        <f t="shared" si="130"/>
        <v>0</v>
      </c>
      <c r="K91" s="17">
        <f t="shared" si="131"/>
        <v>0</v>
      </c>
      <c r="L91" s="17">
        <f t="shared" si="132"/>
        <v>0</v>
      </c>
      <c r="M91" s="17">
        <f t="shared" si="133"/>
        <v>0</v>
      </c>
      <c r="N91" s="17">
        <v>1.31E-3</v>
      </c>
      <c r="O91" s="17">
        <f t="shared" si="134"/>
        <v>6.157E-2</v>
      </c>
      <c r="P91" s="75" t="s">
        <v>576</v>
      </c>
      <c r="Z91" s="17">
        <f t="shared" si="135"/>
        <v>0</v>
      </c>
      <c r="AB91" s="17">
        <f t="shared" si="136"/>
        <v>0</v>
      </c>
      <c r="AC91" s="17">
        <f t="shared" si="137"/>
        <v>0</v>
      </c>
      <c r="AD91" s="17">
        <f t="shared" si="138"/>
        <v>0</v>
      </c>
      <c r="AE91" s="17">
        <f t="shared" si="139"/>
        <v>0</v>
      </c>
      <c r="AF91" s="17">
        <f t="shared" si="140"/>
        <v>0</v>
      </c>
      <c r="AG91" s="17">
        <f t="shared" si="141"/>
        <v>0</v>
      </c>
      <c r="AH91" s="17">
        <f t="shared" si="142"/>
        <v>0</v>
      </c>
      <c r="AI91" s="14" t="s">
        <v>91</v>
      </c>
      <c r="AJ91" s="17">
        <f t="shared" si="143"/>
        <v>0</v>
      </c>
      <c r="AK91" s="17">
        <f t="shared" si="144"/>
        <v>0</v>
      </c>
      <c r="AL91" s="17">
        <f t="shared" si="145"/>
        <v>0</v>
      </c>
      <c r="AN91" s="17">
        <v>12</v>
      </c>
      <c r="AO91" s="17">
        <f>H91*0.372245658</f>
        <v>0</v>
      </c>
      <c r="AP91" s="17">
        <f>H91*(1-0.372245658)</f>
        <v>0</v>
      </c>
      <c r="AQ91" s="76" t="s">
        <v>577</v>
      </c>
      <c r="AV91" s="17">
        <f t="shared" si="146"/>
        <v>0</v>
      </c>
      <c r="AW91" s="17">
        <f t="shared" si="147"/>
        <v>0</v>
      </c>
      <c r="AX91" s="17">
        <f t="shared" si="148"/>
        <v>0</v>
      </c>
      <c r="AY91" s="76" t="s">
        <v>578</v>
      </c>
      <c r="AZ91" s="76" t="s">
        <v>652</v>
      </c>
      <c r="BA91" s="14" t="s">
        <v>648</v>
      </c>
      <c r="BC91" s="17">
        <f t="shared" si="149"/>
        <v>0</v>
      </c>
      <c r="BD91" s="17">
        <f t="shared" si="150"/>
        <v>0</v>
      </c>
      <c r="BE91" s="17">
        <v>0</v>
      </c>
      <c r="BF91" s="17">
        <f t="shared" si="151"/>
        <v>6.157E-2</v>
      </c>
      <c r="BH91" s="17">
        <f t="shared" si="152"/>
        <v>0</v>
      </c>
      <c r="BI91" s="17">
        <f t="shared" si="153"/>
        <v>0</v>
      </c>
      <c r="BJ91" s="17">
        <f t="shared" si="154"/>
        <v>0</v>
      </c>
      <c r="BK91" s="17"/>
      <c r="BL91" s="17">
        <v>721</v>
      </c>
      <c r="BW91" s="17">
        <f t="shared" si="155"/>
        <v>12</v>
      </c>
      <c r="BX91" s="4" t="s">
        <v>71</v>
      </c>
    </row>
    <row r="92" spans="1:76" x14ac:dyDescent="0.25">
      <c r="A92" s="1" t="s">
        <v>659</v>
      </c>
      <c r="B92" s="2" t="s">
        <v>91</v>
      </c>
      <c r="C92" s="2" t="s">
        <v>72</v>
      </c>
      <c r="D92" s="83" t="s">
        <v>73</v>
      </c>
      <c r="E92" s="84"/>
      <c r="F92" s="2" t="s">
        <v>31</v>
      </c>
      <c r="G92" s="17">
        <f>'Rozpočet - vybrané sloupce'!J65</f>
        <v>1.5</v>
      </c>
      <c r="H92" s="17">
        <f>'Rozpočet - vybrané sloupce'!K65</f>
        <v>0</v>
      </c>
      <c r="I92" s="74">
        <v>12</v>
      </c>
      <c r="J92" s="17">
        <f t="shared" si="130"/>
        <v>0</v>
      </c>
      <c r="K92" s="17">
        <f t="shared" si="131"/>
        <v>0</v>
      </c>
      <c r="L92" s="17">
        <f t="shared" si="132"/>
        <v>0</v>
      </c>
      <c r="M92" s="17">
        <f t="shared" si="133"/>
        <v>0</v>
      </c>
      <c r="N92" s="17">
        <v>4.6999999999999999E-4</v>
      </c>
      <c r="O92" s="17">
        <f t="shared" si="134"/>
        <v>7.0500000000000001E-4</v>
      </c>
      <c r="P92" s="75" t="s">
        <v>576</v>
      </c>
      <c r="Z92" s="17">
        <f t="shared" si="135"/>
        <v>0</v>
      </c>
      <c r="AB92" s="17">
        <f t="shared" si="136"/>
        <v>0</v>
      </c>
      <c r="AC92" s="17">
        <f t="shared" si="137"/>
        <v>0</v>
      </c>
      <c r="AD92" s="17">
        <f t="shared" si="138"/>
        <v>0</v>
      </c>
      <c r="AE92" s="17">
        <f t="shared" si="139"/>
        <v>0</v>
      </c>
      <c r="AF92" s="17">
        <f t="shared" si="140"/>
        <v>0</v>
      </c>
      <c r="AG92" s="17">
        <f t="shared" si="141"/>
        <v>0</v>
      </c>
      <c r="AH92" s="17">
        <f t="shared" si="142"/>
        <v>0</v>
      </c>
      <c r="AI92" s="14" t="s">
        <v>91</v>
      </c>
      <c r="AJ92" s="17">
        <f t="shared" si="143"/>
        <v>0</v>
      </c>
      <c r="AK92" s="17">
        <f t="shared" si="144"/>
        <v>0</v>
      </c>
      <c r="AL92" s="17">
        <f t="shared" si="145"/>
        <v>0</v>
      </c>
      <c r="AN92" s="17">
        <v>12</v>
      </c>
      <c r="AO92" s="17">
        <f>H92*0.288029046</f>
        <v>0</v>
      </c>
      <c r="AP92" s="17">
        <f>H92*(1-0.288029046)</f>
        <v>0</v>
      </c>
      <c r="AQ92" s="76" t="s">
        <v>577</v>
      </c>
      <c r="AV92" s="17">
        <f t="shared" si="146"/>
        <v>0</v>
      </c>
      <c r="AW92" s="17">
        <f t="shared" si="147"/>
        <v>0</v>
      </c>
      <c r="AX92" s="17">
        <f t="shared" si="148"/>
        <v>0</v>
      </c>
      <c r="AY92" s="76" t="s">
        <v>578</v>
      </c>
      <c r="AZ92" s="76" t="s">
        <v>652</v>
      </c>
      <c r="BA92" s="14" t="s">
        <v>648</v>
      </c>
      <c r="BC92" s="17">
        <f t="shared" si="149"/>
        <v>0</v>
      </c>
      <c r="BD92" s="17">
        <f t="shared" si="150"/>
        <v>0</v>
      </c>
      <c r="BE92" s="17">
        <v>0</v>
      </c>
      <c r="BF92" s="17">
        <f t="shared" si="151"/>
        <v>7.0500000000000001E-4</v>
      </c>
      <c r="BH92" s="17">
        <f t="shared" si="152"/>
        <v>0</v>
      </c>
      <c r="BI92" s="17">
        <f t="shared" si="153"/>
        <v>0</v>
      </c>
      <c r="BJ92" s="17">
        <f t="shared" si="154"/>
        <v>0</v>
      </c>
      <c r="BK92" s="17"/>
      <c r="BL92" s="17">
        <v>721</v>
      </c>
      <c r="BW92" s="17">
        <f t="shared" si="155"/>
        <v>12</v>
      </c>
      <c r="BX92" s="4" t="s">
        <v>73</v>
      </c>
    </row>
    <row r="93" spans="1:76" x14ac:dyDescent="0.25">
      <c r="A93" s="1" t="s">
        <v>660</v>
      </c>
      <c r="B93" s="2" t="s">
        <v>91</v>
      </c>
      <c r="C93" s="2" t="s">
        <v>74</v>
      </c>
      <c r="D93" s="83" t="s">
        <v>75</v>
      </c>
      <c r="E93" s="84"/>
      <c r="F93" s="2" t="s">
        <v>31</v>
      </c>
      <c r="G93" s="17">
        <f>'Rozpočet - vybrané sloupce'!J66</f>
        <v>3</v>
      </c>
      <c r="H93" s="17">
        <f>'Rozpočet - vybrané sloupce'!K66</f>
        <v>0</v>
      </c>
      <c r="I93" s="74">
        <v>12</v>
      </c>
      <c r="J93" s="17">
        <f t="shared" si="130"/>
        <v>0</v>
      </c>
      <c r="K93" s="17">
        <f t="shared" si="131"/>
        <v>0</v>
      </c>
      <c r="L93" s="17">
        <f t="shared" si="132"/>
        <v>0</v>
      </c>
      <c r="M93" s="17">
        <f t="shared" si="133"/>
        <v>0</v>
      </c>
      <c r="N93" s="17">
        <v>1.5200000000000001E-3</v>
      </c>
      <c r="O93" s="17">
        <f t="shared" si="134"/>
        <v>4.5599999999999998E-3</v>
      </c>
      <c r="P93" s="75" t="s">
        <v>576</v>
      </c>
      <c r="Z93" s="17">
        <f t="shared" si="135"/>
        <v>0</v>
      </c>
      <c r="AB93" s="17">
        <f t="shared" si="136"/>
        <v>0</v>
      </c>
      <c r="AC93" s="17">
        <f t="shared" si="137"/>
        <v>0</v>
      </c>
      <c r="AD93" s="17">
        <f t="shared" si="138"/>
        <v>0</v>
      </c>
      <c r="AE93" s="17">
        <f t="shared" si="139"/>
        <v>0</v>
      </c>
      <c r="AF93" s="17">
        <f t="shared" si="140"/>
        <v>0</v>
      </c>
      <c r="AG93" s="17">
        <f t="shared" si="141"/>
        <v>0</v>
      </c>
      <c r="AH93" s="17">
        <f t="shared" si="142"/>
        <v>0</v>
      </c>
      <c r="AI93" s="14" t="s">
        <v>91</v>
      </c>
      <c r="AJ93" s="17">
        <f t="shared" si="143"/>
        <v>0</v>
      </c>
      <c r="AK93" s="17">
        <f t="shared" si="144"/>
        <v>0</v>
      </c>
      <c r="AL93" s="17">
        <f t="shared" si="145"/>
        <v>0</v>
      </c>
      <c r="AN93" s="17">
        <v>12</v>
      </c>
      <c r="AO93" s="17">
        <f>H93*0.262895257</f>
        <v>0</v>
      </c>
      <c r="AP93" s="17">
        <f>H93*(1-0.262895257)</f>
        <v>0</v>
      </c>
      <c r="AQ93" s="76" t="s">
        <v>577</v>
      </c>
      <c r="AV93" s="17">
        <f t="shared" si="146"/>
        <v>0</v>
      </c>
      <c r="AW93" s="17">
        <f t="shared" si="147"/>
        <v>0</v>
      </c>
      <c r="AX93" s="17">
        <f t="shared" si="148"/>
        <v>0</v>
      </c>
      <c r="AY93" s="76" t="s">
        <v>578</v>
      </c>
      <c r="AZ93" s="76" t="s">
        <v>652</v>
      </c>
      <c r="BA93" s="14" t="s">
        <v>648</v>
      </c>
      <c r="BC93" s="17">
        <f t="shared" si="149"/>
        <v>0</v>
      </c>
      <c r="BD93" s="17">
        <f t="shared" si="150"/>
        <v>0</v>
      </c>
      <c r="BE93" s="17">
        <v>0</v>
      </c>
      <c r="BF93" s="17">
        <f t="shared" si="151"/>
        <v>4.5599999999999998E-3</v>
      </c>
      <c r="BH93" s="17">
        <f t="shared" si="152"/>
        <v>0</v>
      </c>
      <c r="BI93" s="17">
        <f t="shared" si="153"/>
        <v>0</v>
      </c>
      <c r="BJ93" s="17">
        <f t="shared" si="154"/>
        <v>0</v>
      </c>
      <c r="BK93" s="17"/>
      <c r="BL93" s="17">
        <v>721</v>
      </c>
      <c r="BW93" s="17">
        <f t="shared" si="155"/>
        <v>12</v>
      </c>
      <c r="BX93" s="4" t="s">
        <v>75</v>
      </c>
    </row>
    <row r="94" spans="1:76" x14ac:dyDescent="0.25">
      <c r="A94" s="1" t="s">
        <v>661</v>
      </c>
      <c r="B94" s="2" t="s">
        <v>91</v>
      </c>
      <c r="C94" s="2" t="s">
        <v>76</v>
      </c>
      <c r="D94" s="83" t="s">
        <v>77</v>
      </c>
      <c r="E94" s="84"/>
      <c r="F94" s="2" t="s">
        <v>35</v>
      </c>
      <c r="G94" s="17">
        <f>'Rozpočet - vybrané sloupce'!J67</f>
        <v>3</v>
      </c>
      <c r="H94" s="17">
        <f>'Rozpočet - vybrané sloupce'!K67</f>
        <v>0</v>
      </c>
      <c r="I94" s="74">
        <v>12</v>
      </c>
      <c r="J94" s="17">
        <f t="shared" si="130"/>
        <v>0</v>
      </c>
      <c r="K94" s="17">
        <f t="shared" si="131"/>
        <v>0</v>
      </c>
      <c r="L94" s="17">
        <f t="shared" si="132"/>
        <v>0</v>
      </c>
      <c r="M94" s="17">
        <f t="shared" si="133"/>
        <v>0</v>
      </c>
      <c r="N94" s="17">
        <v>0</v>
      </c>
      <c r="O94" s="17">
        <f t="shared" si="134"/>
        <v>0</v>
      </c>
      <c r="P94" s="75" t="s">
        <v>576</v>
      </c>
      <c r="Z94" s="17">
        <f t="shared" si="135"/>
        <v>0</v>
      </c>
      <c r="AB94" s="17">
        <f t="shared" si="136"/>
        <v>0</v>
      </c>
      <c r="AC94" s="17">
        <f t="shared" si="137"/>
        <v>0</v>
      </c>
      <c r="AD94" s="17">
        <f t="shared" si="138"/>
        <v>0</v>
      </c>
      <c r="AE94" s="17">
        <f t="shared" si="139"/>
        <v>0</v>
      </c>
      <c r="AF94" s="17">
        <f t="shared" si="140"/>
        <v>0</v>
      </c>
      <c r="AG94" s="17">
        <f t="shared" si="141"/>
        <v>0</v>
      </c>
      <c r="AH94" s="17">
        <f t="shared" si="142"/>
        <v>0</v>
      </c>
      <c r="AI94" s="14" t="s">
        <v>91</v>
      </c>
      <c r="AJ94" s="17">
        <f t="shared" si="143"/>
        <v>0</v>
      </c>
      <c r="AK94" s="17">
        <f t="shared" si="144"/>
        <v>0</v>
      </c>
      <c r="AL94" s="17">
        <f t="shared" si="145"/>
        <v>0</v>
      </c>
      <c r="AN94" s="17">
        <v>12</v>
      </c>
      <c r="AO94" s="17">
        <f>H94*0</f>
        <v>0</v>
      </c>
      <c r="AP94" s="17">
        <f>H94*(1-0)</f>
        <v>0</v>
      </c>
      <c r="AQ94" s="76" t="s">
        <v>577</v>
      </c>
      <c r="AV94" s="17">
        <f t="shared" si="146"/>
        <v>0</v>
      </c>
      <c r="AW94" s="17">
        <f t="shared" si="147"/>
        <v>0</v>
      </c>
      <c r="AX94" s="17">
        <f t="shared" si="148"/>
        <v>0</v>
      </c>
      <c r="AY94" s="76" t="s">
        <v>578</v>
      </c>
      <c r="AZ94" s="76" t="s">
        <v>652</v>
      </c>
      <c r="BA94" s="14" t="s">
        <v>648</v>
      </c>
      <c r="BC94" s="17">
        <f t="shared" si="149"/>
        <v>0</v>
      </c>
      <c r="BD94" s="17">
        <f t="shared" si="150"/>
        <v>0</v>
      </c>
      <c r="BE94" s="17">
        <v>0</v>
      </c>
      <c r="BF94" s="17">
        <f t="shared" si="151"/>
        <v>0</v>
      </c>
      <c r="BH94" s="17">
        <f t="shared" si="152"/>
        <v>0</v>
      </c>
      <c r="BI94" s="17">
        <f t="shared" si="153"/>
        <v>0</v>
      </c>
      <c r="BJ94" s="17">
        <f t="shared" si="154"/>
        <v>0</v>
      </c>
      <c r="BK94" s="17"/>
      <c r="BL94" s="17">
        <v>721</v>
      </c>
      <c r="BW94" s="17">
        <f t="shared" si="155"/>
        <v>12</v>
      </c>
      <c r="BX94" s="4" t="s">
        <v>77</v>
      </c>
    </row>
    <row r="95" spans="1:76" x14ac:dyDescent="0.25">
      <c r="A95" s="1" t="s">
        <v>662</v>
      </c>
      <c r="B95" s="2" t="s">
        <v>91</v>
      </c>
      <c r="C95" s="2" t="s">
        <v>78</v>
      </c>
      <c r="D95" s="83" t="s">
        <v>79</v>
      </c>
      <c r="E95" s="84"/>
      <c r="F95" s="2" t="s">
        <v>35</v>
      </c>
      <c r="G95" s="17">
        <f>'Rozpočet - vybrané sloupce'!J68</f>
        <v>6</v>
      </c>
      <c r="H95" s="17">
        <f>'Rozpočet - vybrané sloupce'!K68</f>
        <v>0</v>
      </c>
      <c r="I95" s="74">
        <v>12</v>
      </c>
      <c r="J95" s="17">
        <f t="shared" si="130"/>
        <v>0</v>
      </c>
      <c r="K95" s="17">
        <f t="shared" si="131"/>
        <v>0</v>
      </c>
      <c r="L95" s="17">
        <f t="shared" si="132"/>
        <v>0</v>
      </c>
      <c r="M95" s="17">
        <f t="shared" si="133"/>
        <v>0</v>
      </c>
      <c r="N95" s="17">
        <v>0</v>
      </c>
      <c r="O95" s="17">
        <f t="shared" si="134"/>
        <v>0</v>
      </c>
      <c r="P95" s="75" t="s">
        <v>576</v>
      </c>
      <c r="Z95" s="17">
        <f t="shared" si="135"/>
        <v>0</v>
      </c>
      <c r="AB95" s="17">
        <f t="shared" si="136"/>
        <v>0</v>
      </c>
      <c r="AC95" s="17">
        <f t="shared" si="137"/>
        <v>0</v>
      </c>
      <c r="AD95" s="17">
        <f t="shared" si="138"/>
        <v>0</v>
      </c>
      <c r="AE95" s="17">
        <f t="shared" si="139"/>
        <v>0</v>
      </c>
      <c r="AF95" s="17">
        <f t="shared" si="140"/>
        <v>0</v>
      </c>
      <c r="AG95" s="17">
        <f t="shared" si="141"/>
        <v>0</v>
      </c>
      <c r="AH95" s="17">
        <f t="shared" si="142"/>
        <v>0</v>
      </c>
      <c r="AI95" s="14" t="s">
        <v>91</v>
      </c>
      <c r="AJ95" s="17">
        <f t="shared" si="143"/>
        <v>0</v>
      </c>
      <c r="AK95" s="17">
        <f t="shared" si="144"/>
        <v>0</v>
      </c>
      <c r="AL95" s="17">
        <f t="shared" si="145"/>
        <v>0</v>
      </c>
      <c r="AN95" s="17">
        <v>12</v>
      </c>
      <c r="AO95" s="17">
        <f>H95*0</f>
        <v>0</v>
      </c>
      <c r="AP95" s="17">
        <f>H95*(1-0)</f>
        <v>0</v>
      </c>
      <c r="AQ95" s="76" t="s">
        <v>577</v>
      </c>
      <c r="AV95" s="17">
        <f t="shared" si="146"/>
        <v>0</v>
      </c>
      <c r="AW95" s="17">
        <f t="shared" si="147"/>
        <v>0</v>
      </c>
      <c r="AX95" s="17">
        <f t="shared" si="148"/>
        <v>0</v>
      </c>
      <c r="AY95" s="76" t="s">
        <v>578</v>
      </c>
      <c r="AZ95" s="76" t="s">
        <v>652</v>
      </c>
      <c r="BA95" s="14" t="s">
        <v>648</v>
      </c>
      <c r="BC95" s="17">
        <f t="shared" si="149"/>
        <v>0</v>
      </c>
      <c r="BD95" s="17">
        <f t="shared" si="150"/>
        <v>0</v>
      </c>
      <c r="BE95" s="17">
        <v>0</v>
      </c>
      <c r="BF95" s="17">
        <f t="shared" si="151"/>
        <v>0</v>
      </c>
      <c r="BH95" s="17">
        <f t="shared" si="152"/>
        <v>0</v>
      </c>
      <c r="BI95" s="17">
        <f t="shared" si="153"/>
        <v>0</v>
      </c>
      <c r="BJ95" s="17">
        <f t="shared" si="154"/>
        <v>0</v>
      </c>
      <c r="BK95" s="17"/>
      <c r="BL95" s="17">
        <v>721</v>
      </c>
      <c r="BW95" s="17">
        <f t="shared" si="155"/>
        <v>12</v>
      </c>
      <c r="BX95" s="4" t="s">
        <v>79</v>
      </c>
    </row>
    <row r="96" spans="1:76" x14ac:dyDescent="0.25">
      <c r="A96" s="1" t="s">
        <v>663</v>
      </c>
      <c r="B96" s="2" t="s">
        <v>91</v>
      </c>
      <c r="C96" s="2" t="s">
        <v>97</v>
      </c>
      <c r="D96" s="83" t="s">
        <v>98</v>
      </c>
      <c r="E96" s="84"/>
      <c r="F96" s="2" t="s">
        <v>35</v>
      </c>
      <c r="G96" s="17">
        <f>'Rozpočet - vybrané sloupce'!J69</f>
        <v>0</v>
      </c>
      <c r="H96" s="17">
        <f>'Rozpočet - vybrané sloupce'!K69</f>
        <v>0</v>
      </c>
      <c r="I96" s="74">
        <v>12</v>
      </c>
      <c r="J96" s="17">
        <f t="shared" si="130"/>
        <v>0</v>
      </c>
      <c r="K96" s="17">
        <f t="shared" si="131"/>
        <v>0</v>
      </c>
      <c r="L96" s="17">
        <f t="shared" si="132"/>
        <v>0</v>
      </c>
      <c r="M96" s="17">
        <f t="shared" si="133"/>
        <v>0</v>
      </c>
      <c r="N96" s="17">
        <v>1.2999999999999999E-4</v>
      </c>
      <c r="O96" s="17">
        <f t="shared" si="134"/>
        <v>0</v>
      </c>
      <c r="P96" s="75" t="s">
        <v>576</v>
      </c>
      <c r="Z96" s="17">
        <f t="shared" si="135"/>
        <v>0</v>
      </c>
      <c r="AB96" s="17">
        <f t="shared" si="136"/>
        <v>0</v>
      </c>
      <c r="AC96" s="17">
        <f t="shared" si="137"/>
        <v>0</v>
      </c>
      <c r="AD96" s="17">
        <f t="shared" si="138"/>
        <v>0</v>
      </c>
      <c r="AE96" s="17">
        <f t="shared" si="139"/>
        <v>0</v>
      </c>
      <c r="AF96" s="17">
        <f t="shared" si="140"/>
        <v>0</v>
      </c>
      <c r="AG96" s="17">
        <f t="shared" si="141"/>
        <v>0</v>
      </c>
      <c r="AH96" s="17">
        <f t="shared" si="142"/>
        <v>0</v>
      </c>
      <c r="AI96" s="14" t="s">
        <v>91</v>
      </c>
      <c r="AJ96" s="17">
        <f t="shared" si="143"/>
        <v>0</v>
      </c>
      <c r="AK96" s="17">
        <f t="shared" si="144"/>
        <v>0</v>
      </c>
      <c r="AL96" s="17">
        <f t="shared" si="145"/>
        <v>0</v>
      </c>
      <c r="AN96" s="17">
        <v>12</v>
      </c>
      <c r="AO96" s="17">
        <f>H96*0</f>
        <v>0</v>
      </c>
      <c r="AP96" s="17">
        <f>H96*(1-0)</f>
        <v>0</v>
      </c>
      <c r="AQ96" s="76" t="s">
        <v>577</v>
      </c>
      <c r="AV96" s="17">
        <f t="shared" si="146"/>
        <v>0</v>
      </c>
      <c r="AW96" s="17">
        <f t="shared" si="147"/>
        <v>0</v>
      </c>
      <c r="AX96" s="17">
        <f t="shared" si="148"/>
        <v>0</v>
      </c>
      <c r="AY96" s="76" t="s">
        <v>578</v>
      </c>
      <c r="AZ96" s="76" t="s">
        <v>652</v>
      </c>
      <c r="BA96" s="14" t="s">
        <v>648</v>
      </c>
      <c r="BC96" s="17">
        <f t="shared" si="149"/>
        <v>0</v>
      </c>
      <c r="BD96" s="17">
        <f t="shared" si="150"/>
        <v>0</v>
      </c>
      <c r="BE96" s="17">
        <v>0</v>
      </c>
      <c r="BF96" s="17">
        <f t="shared" si="151"/>
        <v>0</v>
      </c>
      <c r="BH96" s="17">
        <f t="shared" si="152"/>
        <v>0</v>
      </c>
      <c r="BI96" s="17">
        <f t="shared" si="153"/>
        <v>0</v>
      </c>
      <c r="BJ96" s="17">
        <f t="shared" si="154"/>
        <v>0</v>
      </c>
      <c r="BK96" s="17"/>
      <c r="BL96" s="17">
        <v>721</v>
      </c>
      <c r="BW96" s="17">
        <f t="shared" si="155"/>
        <v>12</v>
      </c>
      <c r="BX96" s="4" t="s">
        <v>98</v>
      </c>
    </row>
    <row r="97" spans="1:76" x14ac:dyDescent="0.25">
      <c r="A97" s="1" t="s">
        <v>664</v>
      </c>
      <c r="B97" s="2" t="s">
        <v>91</v>
      </c>
      <c r="C97" s="2" t="s">
        <v>80</v>
      </c>
      <c r="D97" s="83" t="s">
        <v>81</v>
      </c>
      <c r="E97" s="84"/>
      <c r="F97" s="2" t="s">
        <v>35</v>
      </c>
      <c r="G97" s="17">
        <f>'Rozpočet - vybrané sloupce'!J70</f>
        <v>4</v>
      </c>
      <c r="H97" s="17">
        <f>'Rozpočet - vybrané sloupce'!K70</f>
        <v>0</v>
      </c>
      <c r="I97" s="74">
        <v>12</v>
      </c>
      <c r="J97" s="17">
        <f t="shared" si="130"/>
        <v>0</v>
      </c>
      <c r="K97" s="17">
        <f t="shared" si="131"/>
        <v>0</v>
      </c>
      <c r="L97" s="17">
        <f t="shared" si="132"/>
        <v>0</v>
      </c>
      <c r="M97" s="17">
        <f t="shared" si="133"/>
        <v>0</v>
      </c>
      <c r="N97" s="17">
        <v>6.0000000000000002E-5</v>
      </c>
      <c r="O97" s="17">
        <f t="shared" si="134"/>
        <v>2.4000000000000001E-4</v>
      </c>
      <c r="P97" s="75" t="s">
        <v>576</v>
      </c>
      <c r="Z97" s="17">
        <f t="shared" si="135"/>
        <v>0</v>
      </c>
      <c r="AB97" s="17">
        <f t="shared" si="136"/>
        <v>0</v>
      </c>
      <c r="AC97" s="17">
        <f t="shared" si="137"/>
        <v>0</v>
      </c>
      <c r="AD97" s="17">
        <f t="shared" si="138"/>
        <v>0</v>
      </c>
      <c r="AE97" s="17">
        <f t="shared" si="139"/>
        <v>0</v>
      </c>
      <c r="AF97" s="17">
        <f t="shared" si="140"/>
        <v>0</v>
      </c>
      <c r="AG97" s="17">
        <f t="shared" si="141"/>
        <v>0</v>
      </c>
      <c r="AH97" s="17">
        <f t="shared" si="142"/>
        <v>0</v>
      </c>
      <c r="AI97" s="14" t="s">
        <v>91</v>
      </c>
      <c r="AJ97" s="17">
        <f t="shared" si="143"/>
        <v>0</v>
      </c>
      <c r="AK97" s="17">
        <f t="shared" si="144"/>
        <v>0</v>
      </c>
      <c r="AL97" s="17">
        <f t="shared" si="145"/>
        <v>0</v>
      </c>
      <c r="AN97" s="17">
        <v>12</v>
      </c>
      <c r="AO97" s="17">
        <f>H97*0.826636852</f>
        <v>0</v>
      </c>
      <c r="AP97" s="17">
        <f>H97*(1-0.826636852)</f>
        <v>0</v>
      </c>
      <c r="AQ97" s="76" t="s">
        <v>577</v>
      </c>
      <c r="AV97" s="17">
        <f t="shared" si="146"/>
        <v>0</v>
      </c>
      <c r="AW97" s="17">
        <f t="shared" si="147"/>
        <v>0</v>
      </c>
      <c r="AX97" s="17">
        <f t="shared" si="148"/>
        <v>0</v>
      </c>
      <c r="AY97" s="76" t="s">
        <v>578</v>
      </c>
      <c r="AZ97" s="76" t="s">
        <v>652</v>
      </c>
      <c r="BA97" s="14" t="s">
        <v>648</v>
      </c>
      <c r="BC97" s="17">
        <f t="shared" si="149"/>
        <v>0</v>
      </c>
      <c r="BD97" s="17">
        <f t="shared" si="150"/>
        <v>0</v>
      </c>
      <c r="BE97" s="17">
        <v>0</v>
      </c>
      <c r="BF97" s="17">
        <f t="shared" si="151"/>
        <v>2.4000000000000001E-4</v>
      </c>
      <c r="BH97" s="17">
        <f t="shared" si="152"/>
        <v>0</v>
      </c>
      <c r="BI97" s="17">
        <f t="shared" si="153"/>
        <v>0</v>
      </c>
      <c r="BJ97" s="17">
        <f t="shared" si="154"/>
        <v>0</v>
      </c>
      <c r="BK97" s="17"/>
      <c r="BL97" s="17">
        <v>721</v>
      </c>
      <c r="BW97" s="17">
        <f t="shared" si="155"/>
        <v>12</v>
      </c>
      <c r="BX97" s="4" t="s">
        <v>81</v>
      </c>
    </row>
    <row r="98" spans="1:76" x14ac:dyDescent="0.25">
      <c r="A98" s="1" t="s">
        <v>665</v>
      </c>
      <c r="B98" s="2" t="s">
        <v>91</v>
      </c>
      <c r="C98" s="2" t="s">
        <v>82</v>
      </c>
      <c r="D98" s="83" t="s">
        <v>83</v>
      </c>
      <c r="E98" s="84"/>
      <c r="F98" s="2" t="s">
        <v>35</v>
      </c>
      <c r="G98" s="17">
        <f>'Rozpočet - vybrané sloupce'!J71</f>
        <v>4</v>
      </c>
      <c r="H98" s="17">
        <f>'Rozpočet - vybrané sloupce'!K71</f>
        <v>0</v>
      </c>
      <c r="I98" s="74">
        <v>12</v>
      </c>
      <c r="J98" s="17">
        <f t="shared" si="130"/>
        <v>0</v>
      </c>
      <c r="K98" s="17">
        <f t="shared" si="131"/>
        <v>0</v>
      </c>
      <c r="L98" s="17">
        <f t="shared" si="132"/>
        <v>0</v>
      </c>
      <c r="M98" s="17">
        <f t="shared" si="133"/>
        <v>0</v>
      </c>
      <c r="N98" s="17">
        <v>2.4000000000000001E-4</v>
      </c>
      <c r="O98" s="17">
        <f t="shared" si="134"/>
        <v>9.6000000000000002E-4</v>
      </c>
      <c r="P98" s="75" t="s">
        <v>576</v>
      </c>
      <c r="Z98" s="17">
        <f t="shared" si="135"/>
        <v>0</v>
      </c>
      <c r="AB98" s="17">
        <f t="shared" si="136"/>
        <v>0</v>
      </c>
      <c r="AC98" s="17">
        <f t="shared" si="137"/>
        <v>0</v>
      </c>
      <c r="AD98" s="17">
        <f t="shared" si="138"/>
        <v>0</v>
      </c>
      <c r="AE98" s="17">
        <f t="shared" si="139"/>
        <v>0</v>
      </c>
      <c r="AF98" s="17">
        <f t="shared" si="140"/>
        <v>0</v>
      </c>
      <c r="AG98" s="17">
        <f t="shared" si="141"/>
        <v>0</v>
      </c>
      <c r="AH98" s="17">
        <f t="shared" si="142"/>
        <v>0</v>
      </c>
      <c r="AI98" s="14" t="s">
        <v>91</v>
      </c>
      <c r="AJ98" s="17">
        <f t="shared" si="143"/>
        <v>0</v>
      </c>
      <c r="AK98" s="17">
        <f t="shared" si="144"/>
        <v>0</v>
      </c>
      <c r="AL98" s="17">
        <f t="shared" si="145"/>
        <v>0</v>
      </c>
      <c r="AN98" s="17">
        <v>12</v>
      </c>
      <c r="AO98" s="17">
        <f>H98*0.584438503</f>
        <v>0</v>
      </c>
      <c r="AP98" s="17">
        <f>H98*(1-0.584438503)</f>
        <v>0</v>
      </c>
      <c r="AQ98" s="76" t="s">
        <v>577</v>
      </c>
      <c r="AV98" s="17">
        <f t="shared" si="146"/>
        <v>0</v>
      </c>
      <c r="AW98" s="17">
        <f t="shared" si="147"/>
        <v>0</v>
      </c>
      <c r="AX98" s="17">
        <f t="shared" si="148"/>
        <v>0</v>
      </c>
      <c r="AY98" s="76" t="s">
        <v>578</v>
      </c>
      <c r="AZ98" s="76" t="s">
        <v>652</v>
      </c>
      <c r="BA98" s="14" t="s">
        <v>648</v>
      </c>
      <c r="BC98" s="17">
        <f t="shared" si="149"/>
        <v>0</v>
      </c>
      <c r="BD98" s="17">
        <f t="shared" si="150"/>
        <v>0</v>
      </c>
      <c r="BE98" s="17">
        <v>0</v>
      </c>
      <c r="BF98" s="17">
        <f t="shared" si="151"/>
        <v>9.6000000000000002E-4</v>
      </c>
      <c r="BH98" s="17">
        <f t="shared" si="152"/>
        <v>0</v>
      </c>
      <c r="BI98" s="17">
        <f t="shared" si="153"/>
        <v>0</v>
      </c>
      <c r="BJ98" s="17">
        <f t="shared" si="154"/>
        <v>0</v>
      </c>
      <c r="BK98" s="17"/>
      <c r="BL98" s="17">
        <v>721</v>
      </c>
      <c r="BW98" s="17">
        <f t="shared" si="155"/>
        <v>12</v>
      </c>
      <c r="BX98" s="4" t="s">
        <v>83</v>
      </c>
    </row>
    <row r="99" spans="1:76" x14ac:dyDescent="0.25">
      <c r="A99" s="1" t="s">
        <v>666</v>
      </c>
      <c r="B99" s="2" t="s">
        <v>91</v>
      </c>
      <c r="C99" s="2" t="s">
        <v>84</v>
      </c>
      <c r="D99" s="83" t="s">
        <v>85</v>
      </c>
      <c r="E99" s="84"/>
      <c r="F99" s="2" t="s">
        <v>31</v>
      </c>
      <c r="G99" s="17">
        <f>'Rozpočet - vybrané sloupce'!J72</f>
        <v>58</v>
      </c>
      <c r="H99" s="17">
        <f>'Rozpočet - vybrané sloupce'!K72</f>
        <v>0</v>
      </c>
      <c r="I99" s="74">
        <v>12</v>
      </c>
      <c r="J99" s="17">
        <f t="shared" si="130"/>
        <v>0</v>
      </c>
      <c r="K99" s="17">
        <f t="shared" si="131"/>
        <v>0</v>
      </c>
      <c r="L99" s="17">
        <f t="shared" si="132"/>
        <v>0</v>
      </c>
      <c r="M99" s="17">
        <f t="shared" si="133"/>
        <v>0</v>
      </c>
      <c r="N99" s="17">
        <v>0</v>
      </c>
      <c r="O99" s="17">
        <f t="shared" si="134"/>
        <v>0</v>
      </c>
      <c r="P99" s="75" t="s">
        <v>576</v>
      </c>
      <c r="Z99" s="17">
        <f t="shared" si="135"/>
        <v>0</v>
      </c>
      <c r="AB99" s="17">
        <f t="shared" si="136"/>
        <v>0</v>
      </c>
      <c r="AC99" s="17">
        <f t="shared" si="137"/>
        <v>0</v>
      </c>
      <c r="AD99" s="17">
        <f t="shared" si="138"/>
        <v>0</v>
      </c>
      <c r="AE99" s="17">
        <f t="shared" si="139"/>
        <v>0</v>
      </c>
      <c r="AF99" s="17">
        <f t="shared" si="140"/>
        <v>0</v>
      </c>
      <c r="AG99" s="17">
        <f t="shared" si="141"/>
        <v>0</v>
      </c>
      <c r="AH99" s="17">
        <f t="shared" si="142"/>
        <v>0</v>
      </c>
      <c r="AI99" s="14" t="s">
        <v>91</v>
      </c>
      <c r="AJ99" s="17">
        <f t="shared" si="143"/>
        <v>0</v>
      </c>
      <c r="AK99" s="17">
        <f t="shared" si="144"/>
        <v>0</v>
      </c>
      <c r="AL99" s="17">
        <f t="shared" si="145"/>
        <v>0</v>
      </c>
      <c r="AN99" s="17">
        <v>12</v>
      </c>
      <c r="AO99" s="17">
        <f>H99*0.028571429</f>
        <v>0</v>
      </c>
      <c r="AP99" s="17">
        <f>H99*(1-0.028571429)</f>
        <v>0</v>
      </c>
      <c r="AQ99" s="76" t="s">
        <v>577</v>
      </c>
      <c r="AV99" s="17">
        <f t="shared" si="146"/>
        <v>0</v>
      </c>
      <c r="AW99" s="17">
        <f t="shared" si="147"/>
        <v>0</v>
      </c>
      <c r="AX99" s="17">
        <f t="shared" si="148"/>
        <v>0</v>
      </c>
      <c r="AY99" s="76" t="s">
        <v>578</v>
      </c>
      <c r="AZ99" s="76" t="s">
        <v>652</v>
      </c>
      <c r="BA99" s="14" t="s">
        <v>648</v>
      </c>
      <c r="BC99" s="17">
        <f t="shared" si="149"/>
        <v>0</v>
      </c>
      <c r="BD99" s="17">
        <f t="shared" si="150"/>
        <v>0</v>
      </c>
      <c r="BE99" s="17">
        <v>0</v>
      </c>
      <c r="BF99" s="17">
        <f t="shared" si="151"/>
        <v>0</v>
      </c>
      <c r="BH99" s="17">
        <f t="shared" si="152"/>
        <v>0</v>
      </c>
      <c r="BI99" s="17">
        <f t="shared" si="153"/>
        <v>0</v>
      </c>
      <c r="BJ99" s="17">
        <f t="shared" si="154"/>
        <v>0</v>
      </c>
      <c r="BK99" s="17"/>
      <c r="BL99" s="17">
        <v>721</v>
      </c>
      <c r="BW99" s="17">
        <f t="shared" si="155"/>
        <v>12</v>
      </c>
      <c r="BX99" s="4" t="s">
        <v>85</v>
      </c>
    </row>
    <row r="100" spans="1:76" x14ac:dyDescent="0.25">
      <c r="A100" s="1" t="s">
        <v>667</v>
      </c>
      <c r="B100" s="2" t="s">
        <v>91</v>
      </c>
      <c r="C100" s="2" t="s">
        <v>86</v>
      </c>
      <c r="D100" s="83" t="s">
        <v>87</v>
      </c>
      <c r="E100" s="84"/>
      <c r="F100" s="2" t="s">
        <v>88</v>
      </c>
      <c r="G100" s="17">
        <f>'Rozpočet - vybrané sloupce'!J73</f>
        <v>0.5</v>
      </c>
      <c r="H100" s="17">
        <f>'Rozpočet - vybrané sloupce'!K73</f>
        <v>0</v>
      </c>
      <c r="I100" s="74">
        <v>12</v>
      </c>
      <c r="J100" s="17">
        <f t="shared" si="130"/>
        <v>0</v>
      </c>
      <c r="K100" s="17">
        <f t="shared" si="131"/>
        <v>0</v>
      </c>
      <c r="L100" s="17">
        <f t="shared" si="132"/>
        <v>0</v>
      </c>
      <c r="M100" s="17">
        <f t="shared" si="133"/>
        <v>0</v>
      </c>
      <c r="N100" s="17">
        <v>0</v>
      </c>
      <c r="O100" s="17">
        <f t="shared" si="134"/>
        <v>0</v>
      </c>
      <c r="P100" s="75" t="s">
        <v>576</v>
      </c>
      <c r="Z100" s="17">
        <f t="shared" si="135"/>
        <v>0</v>
      </c>
      <c r="AB100" s="17">
        <f t="shared" si="136"/>
        <v>0</v>
      </c>
      <c r="AC100" s="17">
        <f t="shared" si="137"/>
        <v>0</v>
      </c>
      <c r="AD100" s="17">
        <f t="shared" si="138"/>
        <v>0</v>
      </c>
      <c r="AE100" s="17">
        <f t="shared" si="139"/>
        <v>0</v>
      </c>
      <c r="AF100" s="17">
        <f t="shared" si="140"/>
        <v>0</v>
      </c>
      <c r="AG100" s="17">
        <f t="shared" si="141"/>
        <v>0</v>
      </c>
      <c r="AH100" s="17">
        <f t="shared" si="142"/>
        <v>0</v>
      </c>
      <c r="AI100" s="14" t="s">
        <v>91</v>
      </c>
      <c r="AJ100" s="17">
        <f t="shared" si="143"/>
        <v>0</v>
      </c>
      <c r="AK100" s="17">
        <f t="shared" si="144"/>
        <v>0</v>
      </c>
      <c r="AL100" s="17">
        <f t="shared" si="145"/>
        <v>0</v>
      </c>
      <c r="AN100" s="17">
        <v>12</v>
      </c>
      <c r="AO100" s="17">
        <f>H100*0</f>
        <v>0</v>
      </c>
      <c r="AP100" s="17">
        <f>H100*(1-0)</f>
        <v>0</v>
      </c>
      <c r="AQ100" s="76" t="s">
        <v>577</v>
      </c>
      <c r="AV100" s="17">
        <f t="shared" si="146"/>
        <v>0</v>
      </c>
      <c r="AW100" s="17">
        <f t="shared" si="147"/>
        <v>0</v>
      </c>
      <c r="AX100" s="17">
        <f t="shared" si="148"/>
        <v>0</v>
      </c>
      <c r="AY100" s="76" t="s">
        <v>578</v>
      </c>
      <c r="AZ100" s="76" t="s">
        <v>652</v>
      </c>
      <c r="BA100" s="14" t="s">
        <v>648</v>
      </c>
      <c r="BC100" s="17">
        <f t="shared" si="149"/>
        <v>0</v>
      </c>
      <c r="BD100" s="17">
        <f t="shared" si="150"/>
        <v>0</v>
      </c>
      <c r="BE100" s="17">
        <v>0</v>
      </c>
      <c r="BF100" s="17">
        <f t="shared" si="151"/>
        <v>0</v>
      </c>
      <c r="BH100" s="17">
        <f t="shared" si="152"/>
        <v>0</v>
      </c>
      <c r="BI100" s="17">
        <f t="shared" si="153"/>
        <v>0</v>
      </c>
      <c r="BJ100" s="17">
        <f t="shared" si="154"/>
        <v>0</v>
      </c>
      <c r="BK100" s="17"/>
      <c r="BL100" s="17">
        <v>721</v>
      </c>
      <c r="BW100" s="17">
        <f t="shared" si="155"/>
        <v>12</v>
      </c>
      <c r="BX100" s="4" t="s">
        <v>87</v>
      </c>
    </row>
    <row r="101" spans="1:76" x14ac:dyDescent="0.25">
      <c r="A101" s="1" t="s">
        <v>668</v>
      </c>
      <c r="B101" s="2" t="s">
        <v>91</v>
      </c>
      <c r="C101" s="2" t="s">
        <v>43</v>
      </c>
      <c r="D101" s="83" t="s">
        <v>44</v>
      </c>
      <c r="E101" s="84"/>
      <c r="F101" s="2" t="s">
        <v>45</v>
      </c>
      <c r="G101" s="17">
        <f>'Rozpočet - vybrané sloupce'!J74</f>
        <v>0</v>
      </c>
      <c r="H101" s="17">
        <f>'Rozpočet - vybrané sloupce'!K74</f>
        <v>0</v>
      </c>
      <c r="I101" s="74">
        <v>12</v>
      </c>
      <c r="J101" s="17">
        <f t="shared" si="130"/>
        <v>0</v>
      </c>
      <c r="K101" s="17">
        <f t="shared" si="131"/>
        <v>0</v>
      </c>
      <c r="L101" s="17">
        <f t="shared" si="132"/>
        <v>0</v>
      </c>
      <c r="M101" s="17">
        <f t="shared" si="133"/>
        <v>0</v>
      </c>
      <c r="N101" s="17">
        <v>0</v>
      </c>
      <c r="O101" s="17">
        <f t="shared" si="134"/>
        <v>0</v>
      </c>
      <c r="P101" s="75" t="s">
        <v>576</v>
      </c>
      <c r="Z101" s="17">
        <f t="shared" si="135"/>
        <v>0</v>
      </c>
      <c r="AB101" s="17">
        <f t="shared" si="136"/>
        <v>0</v>
      </c>
      <c r="AC101" s="17">
        <f t="shared" si="137"/>
        <v>0</v>
      </c>
      <c r="AD101" s="17">
        <f t="shared" si="138"/>
        <v>0</v>
      </c>
      <c r="AE101" s="17">
        <f t="shared" si="139"/>
        <v>0</v>
      </c>
      <c r="AF101" s="17">
        <f t="shared" si="140"/>
        <v>0</v>
      </c>
      <c r="AG101" s="17">
        <f t="shared" si="141"/>
        <v>0</v>
      </c>
      <c r="AH101" s="17">
        <f t="shared" si="142"/>
        <v>0</v>
      </c>
      <c r="AI101" s="14" t="s">
        <v>91</v>
      </c>
      <c r="AJ101" s="17">
        <f t="shared" si="143"/>
        <v>0</v>
      </c>
      <c r="AK101" s="17">
        <f t="shared" si="144"/>
        <v>0</v>
      </c>
      <c r="AL101" s="17">
        <f t="shared" si="145"/>
        <v>0</v>
      </c>
      <c r="AN101" s="17">
        <v>12</v>
      </c>
      <c r="AO101" s="17">
        <f>H101*0</f>
        <v>0</v>
      </c>
      <c r="AP101" s="17">
        <f>H101*(1-0)</f>
        <v>0</v>
      </c>
      <c r="AQ101" s="76" t="s">
        <v>585</v>
      </c>
      <c r="AV101" s="17">
        <f t="shared" si="146"/>
        <v>0</v>
      </c>
      <c r="AW101" s="17">
        <f t="shared" si="147"/>
        <v>0</v>
      </c>
      <c r="AX101" s="17">
        <f t="shared" si="148"/>
        <v>0</v>
      </c>
      <c r="AY101" s="76" t="s">
        <v>578</v>
      </c>
      <c r="AZ101" s="76" t="s">
        <v>652</v>
      </c>
      <c r="BA101" s="14" t="s">
        <v>648</v>
      </c>
      <c r="BC101" s="17">
        <f t="shared" si="149"/>
        <v>0</v>
      </c>
      <c r="BD101" s="17">
        <f t="shared" si="150"/>
        <v>0</v>
      </c>
      <c r="BE101" s="17">
        <v>0</v>
      </c>
      <c r="BF101" s="17">
        <f t="shared" si="151"/>
        <v>0</v>
      </c>
      <c r="BH101" s="17">
        <f t="shared" si="152"/>
        <v>0</v>
      </c>
      <c r="BI101" s="17">
        <f t="shared" si="153"/>
        <v>0</v>
      </c>
      <c r="BJ101" s="17">
        <f t="shared" si="154"/>
        <v>0</v>
      </c>
      <c r="BK101" s="17"/>
      <c r="BL101" s="17">
        <v>721</v>
      </c>
      <c r="BW101" s="17">
        <f t="shared" si="155"/>
        <v>12</v>
      </c>
      <c r="BX101" s="4" t="s">
        <v>44</v>
      </c>
    </row>
    <row r="102" spans="1:76" x14ac:dyDescent="0.25">
      <c r="A102" s="71" t="s">
        <v>25</v>
      </c>
      <c r="B102" s="13" t="s">
        <v>99</v>
      </c>
      <c r="C102" s="13" t="s">
        <v>25</v>
      </c>
      <c r="D102" s="135" t="s">
        <v>100</v>
      </c>
      <c r="E102" s="136"/>
      <c r="F102" s="72" t="s">
        <v>23</v>
      </c>
      <c r="G102" s="72" t="s">
        <v>23</v>
      </c>
      <c r="H102" s="72" t="s">
        <v>23</v>
      </c>
      <c r="I102" s="72" t="s">
        <v>23</v>
      </c>
      <c r="J102" s="47">
        <f>J103+J110</f>
        <v>0</v>
      </c>
      <c r="K102" s="47">
        <f>K103+K110</f>
        <v>0</v>
      </c>
      <c r="L102" s="47">
        <f>L103+L110</f>
        <v>0</v>
      </c>
      <c r="M102" s="47">
        <f>M103+M110</f>
        <v>0</v>
      </c>
      <c r="N102" s="14" t="s">
        <v>25</v>
      </c>
      <c r="O102" s="47">
        <f>O103+O110</f>
        <v>0.17071</v>
      </c>
      <c r="P102" s="73" t="s">
        <v>25</v>
      </c>
    </row>
    <row r="103" spans="1:76" x14ac:dyDescent="0.25">
      <c r="A103" s="71" t="s">
        <v>25</v>
      </c>
      <c r="B103" s="13" t="s">
        <v>99</v>
      </c>
      <c r="C103" s="13" t="s">
        <v>52</v>
      </c>
      <c r="D103" s="135" t="s">
        <v>53</v>
      </c>
      <c r="E103" s="136"/>
      <c r="F103" s="72" t="s">
        <v>23</v>
      </c>
      <c r="G103" s="72" t="s">
        <v>23</v>
      </c>
      <c r="H103" s="72" t="s">
        <v>23</v>
      </c>
      <c r="I103" s="72" t="s">
        <v>23</v>
      </c>
      <c r="J103" s="47">
        <f>SUM(J104:J109)</f>
        <v>0</v>
      </c>
      <c r="K103" s="47">
        <f>SUM(K104:K109)</f>
        <v>0</v>
      </c>
      <c r="L103" s="47">
        <f>SUM(L104:L109)</f>
        <v>0</v>
      </c>
      <c r="M103" s="47">
        <f>SUM(M104:M109)</f>
        <v>0</v>
      </c>
      <c r="N103" s="14" t="s">
        <v>25</v>
      </c>
      <c r="O103" s="47">
        <f>SUM(O104:O109)</f>
        <v>0</v>
      </c>
      <c r="P103" s="73" t="s">
        <v>25</v>
      </c>
      <c r="AI103" s="14" t="s">
        <v>99</v>
      </c>
      <c r="AS103" s="47">
        <f>SUM(AJ104:AJ109)</f>
        <v>0</v>
      </c>
      <c r="AT103" s="47">
        <f>SUM(AK104:AK109)</f>
        <v>0</v>
      </c>
      <c r="AU103" s="47">
        <f>SUM(AL104:AL109)</f>
        <v>0</v>
      </c>
    </row>
    <row r="104" spans="1:76" x14ac:dyDescent="0.25">
      <c r="A104" s="1" t="s">
        <v>371</v>
      </c>
      <c r="B104" s="2" t="s">
        <v>99</v>
      </c>
      <c r="C104" s="2" t="s">
        <v>101</v>
      </c>
      <c r="D104" s="83" t="s">
        <v>102</v>
      </c>
      <c r="E104" s="84"/>
      <c r="F104" s="2" t="s">
        <v>35</v>
      </c>
      <c r="G104" s="17">
        <f>'Rozpočet - vybrané sloupce'!J77</f>
        <v>4</v>
      </c>
      <c r="H104" s="17">
        <f>'Rozpočet - vybrané sloupce'!K77</f>
        <v>0</v>
      </c>
      <c r="I104" s="74">
        <v>12</v>
      </c>
      <c r="J104" s="17">
        <f t="shared" ref="J104:J109" si="156">ROUND(G104*AO104,2)</f>
        <v>0</v>
      </c>
      <c r="K104" s="17">
        <f t="shared" ref="K104:K109" si="157">ROUND(G104*AP104,2)</f>
        <v>0</v>
      </c>
      <c r="L104" s="17">
        <f t="shared" ref="L104:L109" si="158">ROUND(G104*H104,2)</f>
        <v>0</v>
      </c>
      <c r="M104" s="17">
        <f t="shared" ref="M104:M109" si="159">L104*(1+BW104/100)</f>
        <v>0</v>
      </c>
      <c r="N104" s="17">
        <v>0</v>
      </c>
      <c r="O104" s="17">
        <f t="shared" ref="O104:O109" si="160">G104*N104</f>
        <v>0</v>
      </c>
      <c r="P104" s="75" t="s">
        <v>576</v>
      </c>
      <c r="Z104" s="17">
        <f t="shared" ref="Z104:Z109" si="161">ROUND(IF(AQ104="5",BJ104,0),2)</f>
        <v>0</v>
      </c>
      <c r="AB104" s="17">
        <f t="shared" ref="AB104:AB109" si="162">ROUND(IF(AQ104="1",BH104,0),2)</f>
        <v>0</v>
      </c>
      <c r="AC104" s="17">
        <f t="shared" ref="AC104:AC109" si="163">ROUND(IF(AQ104="1",BI104,0),2)</f>
        <v>0</v>
      </c>
      <c r="AD104" s="17">
        <f t="shared" ref="AD104:AD109" si="164">ROUND(IF(AQ104="7",BH104,0),2)</f>
        <v>0</v>
      </c>
      <c r="AE104" s="17">
        <f t="shared" ref="AE104:AE109" si="165">ROUND(IF(AQ104="7",BI104,0),2)</f>
        <v>0</v>
      </c>
      <c r="AF104" s="17">
        <f t="shared" ref="AF104:AF109" si="166">ROUND(IF(AQ104="2",BH104,0),2)</f>
        <v>0</v>
      </c>
      <c r="AG104" s="17">
        <f t="shared" ref="AG104:AG109" si="167">ROUND(IF(AQ104="2",BI104,0),2)</f>
        <v>0</v>
      </c>
      <c r="AH104" s="17">
        <f t="shared" ref="AH104:AH109" si="168">ROUND(IF(AQ104="0",BJ104,0),2)</f>
        <v>0</v>
      </c>
      <c r="AI104" s="14" t="s">
        <v>99</v>
      </c>
      <c r="AJ104" s="17">
        <f t="shared" ref="AJ104:AJ109" si="169">IF(AN104=0,L104,0)</f>
        <v>0</v>
      </c>
      <c r="AK104" s="17">
        <f t="shared" ref="AK104:AK109" si="170">IF(AN104=12,L104,0)</f>
        <v>0</v>
      </c>
      <c r="AL104" s="17">
        <f t="shared" ref="AL104:AL109" si="171">IF(AN104=21,L104,0)</f>
        <v>0</v>
      </c>
      <c r="AN104" s="17">
        <v>12</v>
      </c>
      <c r="AO104" s="17">
        <f>H104*1</f>
        <v>0</v>
      </c>
      <c r="AP104" s="17">
        <f>H104*(1-1)</f>
        <v>0</v>
      </c>
      <c r="AQ104" s="76" t="s">
        <v>577</v>
      </c>
      <c r="AV104" s="17">
        <f t="shared" ref="AV104:AV109" si="172">ROUND(AW104+AX104,2)</f>
        <v>0</v>
      </c>
      <c r="AW104" s="17">
        <f t="shared" ref="AW104:AW109" si="173">ROUND(G104*AO104,2)</f>
        <v>0</v>
      </c>
      <c r="AX104" s="17">
        <f t="shared" ref="AX104:AX109" si="174">ROUND(G104*AP104,2)</f>
        <v>0</v>
      </c>
      <c r="AY104" s="76" t="s">
        <v>603</v>
      </c>
      <c r="AZ104" s="76" t="s">
        <v>669</v>
      </c>
      <c r="BA104" s="14" t="s">
        <v>670</v>
      </c>
      <c r="BC104" s="17">
        <f t="shared" ref="BC104:BC109" si="175">AW104+AX104</f>
        <v>0</v>
      </c>
      <c r="BD104" s="17">
        <f t="shared" ref="BD104:BD109" si="176">H104/(100-BE104)*100</f>
        <v>0</v>
      </c>
      <c r="BE104" s="17">
        <v>0</v>
      </c>
      <c r="BF104" s="17">
        <f t="shared" ref="BF104:BF109" si="177">O104</f>
        <v>0</v>
      </c>
      <c r="BH104" s="17">
        <f t="shared" ref="BH104:BH109" si="178">G104*AO104</f>
        <v>0</v>
      </c>
      <c r="BI104" s="17">
        <f t="shared" ref="BI104:BI109" si="179">G104*AP104</f>
        <v>0</v>
      </c>
      <c r="BJ104" s="17">
        <f t="shared" ref="BJ104:BJ109" si="180">G104*H104</f>
        <v>0</v>
      </c>
      <c r="BK104" s="17"/>
      <c r="BL104" s="17">
        <v>713</v>
      </c>
      <c r="BW104" s="17">
        <f t="shared" ref="BW104:BW109" si="181">I104</f>
        <v>12</v>
      </c>
      <c r="BX104" s="4" t="s">
        <v>102</v>
      </c>
    </row>
    <row r="105" spans="1:76" x14ac:dyDescent="0.25">
      <c r="A105" s="1" t="s">
        <v>671</v>
      </c>
      <c r="B105" s="2" t="s">
        <v>99</v>
      </c>
      <c r="C105" s="2" t="s">
        <v>103</v>
      </c>
      <c r="D105" s="83" t="s">
        <v>104</v>
      </c>
      <c r="E105" s="84"/>
      <c r="F105" s="2" t="s">
        <v>35</v>
      </c>
      <c r="G105" s="17">
        <f>'Rozpočet - vybrané sloupce'!J78</f>
        <v>5</v>
      </c>
      <c r="H105" s="17">
        <f>'Rozpočet - vybrané sloupce'!K78</f>
        <v>0</v>
      </c>
      <c r="I105" s="74">
        <v>12</v>
      </c>
      <c r="J105" s="17">
        <f t="shared" si="156"/>
        <v>0</v>
      </c>
      <c r="K105" s="17">
        <f t="shared" si="157"/>
        <v>0</v>
      </c>
      <c r="L105" s="17">
        <f t="shared" si="158"/>
        <v>0</v>
      </c>
      <c r="M105" s="17">
        <f t="shared" si="159"/>
        <v>0</v>
      </c>
      <c r="N105" s="17">
        <v>0</v>
      </c>
      <c r="O105" s="17">
        <f t="shared" si="160"/>
        <v>0</v>
      </c>
      <c r="P105" s="75" t="s">
        <v>576</v>
      </c>
      <c r="Z105" s="17">
        <f t="shared" si="161"/>
        <v>0</v>
      </c>
      <c r="AB105" s="17">
        <f t="shared" si="162"/>
        <v>0</v>
      </c>
      <c r="AC105" s="17">
        <f t="shared" si="163"/>
        <v>0</v>
      </c>
      <c r="AD105" s="17">
        <f t="shared" si="164"/>
        <v>0</v>
      </c>
      <c r="AE105" s="17">
        <f t="shared" si="165"/>
        <v>0</v>
      </c>
      <c r="AF105" s="17">
        <f t="shared" si="166"/>
        <v>0</v>
      </c>
      <c r="AG105" s="17">
        <f t="shared" si="167"/>
        <v>0</v>
      </c>
      <c r="AH105" s="17">
        <f t="shared" si="168"/>
        <v>0</v>
      </c>
      <c r="AI105" s="14" t="s">
        <v>99</v>
      </c>
      <c r="AJ105" s="17">
        <f t="shared" si="169"/>
        <v>0</v>
      </c>
      <c r="AK105" s="17">
        <f t="shared" si="170"/>
        <v>0</v>
      </c>
      <c r="AL105" s="17">
        <f t="shared" si="171"/>
        <v>0</v>
      </c>
      <c r="AN105" s="17">
        <v>12</v>
      </c>
      <c r="AO105" s="17">
        <f>H105*1</f>
        <v>0</v>
      </c>
      <c r="AP105" s="17">
        <f>H105*(1-1)</f>
        <v>0</v>
      </c>
      <c r="AQ105" s="76" t="s">
        <v>577</v>
      </c>
      <c r="AV105" s="17">
        <f t="shared" si="172"/>
        <v>0</v>
      </c>
      <c r="AW105" s="17">
        <f t="shared" si="173"/>
        <v>0</v>
      </c>
      <c r="AX105" s="17">
        <f t="shared" si="174"/>
        <v>0</v>
      </c>
      <c r="AY105" s="76" t="s">
        <v>603</v>
      </c>
      <c r="AZ105" s="76" t="s">
        <v>669</v>
      </c>
      <c r="BA105" s="14" t="s">
        <v>670</v>
      </c>
      <c r="BC105" s="17">
        <f t="shared" si="175"/>
        <v>0</v>
      </c>
      <c r="BD105" s="17">
        <f t="shared" si="176"/>
        <v>0</v>
      </c>
      <c r="BE105" s="17">
        <v>0</v>
      </c>
      <c r="BF105" s="17">
        <f t="shared" si="177"/>
        <v>0</v>
      </c>
      <c r="BH105" s="17">
        <f t="shared" si="178"/>
        <v>0</v>
      </c>
      <c r="BI105" s="17">
        <f t="shared" si="179"/>
        <v>0</v>
      </c>
      <c r="BJ105" s="17">
        <f t="shared" si="180"/>
        <v>0</v>
      </c>
      <c r="BK105" s="17"/>
      <c r="BL105" s="17">
        <v>713</v>
      </c>
      <c r="BW105" s="17">
        <f t="shared" si="181"/>
        <v>12</v>
      </c>
      <c r="BX105" s="4" t="s">
        <v>104</v>
      </c>
    </row>
    <row r="106" spans="1:76" x14ac:dyDescent="0.25">
      <c r="A106" s="1" t="s">
        <v>672</v>
      </c>
      <c r="B106" s="2" t="s">
        <v>99</v>
      </c>
      <c r="C106" s="2" t="s">
        <v>105</v>
      </c>
      <c r="D106" s="83" t="s">
        <v>106</v>
      </c>
      <c r="E106" s="84"/>
      <c r="F106" s="2" t="s">
        <v>35</v>
      </c>
      <c r="G106" s="17">
        <f>'Rozpočet - vybrané sloupce'!J79</f>
        <v>6</v>
      </c>
      <c r="H106" s="17">
        <f>'Rozpočet - vybrané sloupce'!K79</f>
        <v>0</v>
      </c>
      <c r="I106" s="74">
        <v>12</v>
      </c>
      <c r="J106" s="17">
        <f t="shared" si="156"/>
        <v>0</v>
      </c>
      <c r="K106" s="17">
        <f t="shared" si="157"/>
        <v>0</v>
      </c>
      <c r="L106" s="17">
        <f t="shared" si="158"/>
        <v>0</v>
      </c>
      <c r="M106" s="17">
        <f t="shared" si="159"/>
        <v>0</v>
      </c>
      <c r="N106" s="17">
        <v>0</v>
      </c>
      <c r="O106" s="17">
        <f t="shared" si="160"/>
        <v>0</v>
      </c>
      <c r="P106" s="75" t="s">
        <v>576</v>
      </c>
      <c r="Z106" s="17">
        <f t="shared" si="161"/>
        <v>0</v>
      </c>
      <c r="AB106" s="17">
        <f t="shared" si="162"/>
        <v>0</v>
      </c>
      <c r="AC106" s="17">
        <f t="shared" si="163"/>
        <v>0</v>
      </c>
      <c r="AD106" s="17">
        <f t="shared" si="164"/>
        <v>0</v>
      </c>
      <c r="AE106" s="17">
        <f t="shared" si="165"/>
        <v>0</v>
      </c>
      <c r="AF106" s="17">
        <f t="shared" si="166"/>
        <v>0</v>
      </c>
      <c r="AG106" s="17">
        <f t="shared" si="167"/>
        <v>0</v>
      </c>
      <c r="AH106" s="17">
        <f t="shared" si="168"/>
        <v>0</v>
      </c>
      <c r="AI106" s="14" t="s">
        <v>99</v>
      </c>
      <c r="AJ106" s="17">
        <f t="shared" si="169"/>
        <v>0</v>
      </c>
      <c r="AK106" s="17">
        <f t="shared" si="170"/>
        <v>0</v>
      </c>
      <c r="AL106" s="17">
        <f t="shared" si="171"/>
        <v>0</v>
      </c>
      <c r="AN106" s="17">
        <v>12</v>
      </c>
      <c r="AO106" s="17">
        <f>H106*1</f>
        <v>0</v>
      </c>
      <c r="AP106" s="17">
        <f>H106*(1-1)</f>
        <v>0</v>
      </c>
      <c r="AQ106" s="76" t="s">
        <v>577</v>
      </c>
      <c r="AV106" s="17">
        <f t="shared" si="172"/>
        <v>0</v>
      </c>
      <c r="AW106" s="17">
        <f t="shared" si="173"/>
        <v>0</v>
      </c>
      <c r="AX106" s="17">
        <f t="shared" si="174"/>
        <v>0</v>
      </c>
      <c r="AY106" s="76" t="s">
        <v>603</v>
      </c>
      <c r="AZ106" s="76" t="s">
        <v>669</v>
      </c>
      <c r="BA106" s="14" t="s">
        <v>670</v>
      </c>
      <c r="BC106" s="17">
        <f t="shared" si="175"/>
        <v>0</v>
      </c>
      <c r="BD106" s="17">
        <f t="shared" si="176"/>
        <v>0</v>
      </c>
      <c r="BE106" s="17">
        <v>0</v>
      </c>
      <c r="BF106" s="17">
        <f t="shared" si="177"/>
        <v>0</v>
      </c>
      <c r="BH106" s="17">
        <f t="shared" si="178"/>
        <v>0</v>
      </c>
      <c r="BI106" s="17">
        <f t="shared" si="179"/>
        <v>0</v>
      </c>
      <c r="BJ106" s="17">
        <f t="shared" si="180"/>
        <v>0</v>
      </c>
      <c r="BK106" s="17"/>
      <c r="BL106" s="17">
        <v>713</v>
      </c>
      <c r="BW106" s="17">
        <f t="shared" si="181"/>
        <v>12</v>
      </c>
      <c r="BX106" s="4" t="s">
        <v>106</v>
      </c>
    </row>
    <row r="107" spans="1:76" x14ac:dyDescent="0.25">
      <c r="A107" s="1" t="s">
        <v>673</v>
      </c>
      <c r="B107" s="2" t="s">
        <v>99</v>
      </c>
      <c r="C107" s="2" t="s">
        <v>107</v>
      </c>
      <c r="D107" s="83" t="s">
        <v>108</v>
      </c>
      <c r="E107" s="84"/>
      <c r="F107" s="2" t="s">
        <v>35</v>
      </c>
      <c r="G107" s="17">
        <f>'Rozpočet - vybrané sloupce'!J80</f>
        <v>3</v>
      </c>
      <c r="H107" s="17">
        <f>'Rozpočet - vybrané sloupce'!K80</f>
        <v>0</v>
      </c>
      <c r="I107" s="74">
        <v>12</v>
      </c>
      <c r="J107" s="17">
        <f t="shared" si="156"/>
        <v>0</v>
      </c>
      <c r="K107" s="17">
        <f t="shared" si="157"/>
        <v>0</v>
      </c>
      <c r="L107" s="17">
        <f t="shared" si="158"/>
        <v>0</v>
      </c>
      <c r="M107" s="17">
        <f t="shared" si="159"/>
        <v>0</v>
      </c>
      <c r="N107" s="17">
        <v>0</v>
      </c>
      <c r="O107" s="17">
        <f t="shared" si="160"/>
        <v>0</v>
      </c>
      <c r="P107" s="75" t="s">
        <v>576</v>
      </c>
      <c r="Z107" s="17">
        <f t="shared" si="161"/>
        <v>0</v>
      </c>
      <c r="AB107" s="17">
        <f t="shared" si="162"/>
        <v>0</v>
      </c>
      <c r="AC107" s="17">
        <f t="shared" si="163"/>
        <v>0</v>
      </c>
      <c r="AD107" s="17">
        <f t="shared" si="164"/>
        <v>0</v>
      </c>
      <c r="AE107" s="17">
        <f t="shared" si="165"/>
        <v>0</v>
      </c>
      <c r="AF107" s="17">
        <f t="shared" si="166"/>
        <v>0</v>
      </c>
      <c r="AG107" s="17">
        <f t="shared" si="167"/>
        <v>0</v>
      </c>
      <c r="AH107" s="17">
        <f t="shared" si="168"/>
        <v>0</v>
      </c>
      <c r="AI107" s="14" t="s">
        <v>99</v>
      </c>
      <c r="AJ107" s="17">
        <f t="shared" si="169"/>
        <v>0</v>
      </c>
      <c r="AK107" s="17">
        <f t="shared" si="170"/>
        <v>0</v>
      </c>
      <c r="AL107" s="17">
        <f t="shared" si="171"/>
        <v>0</v>
      </c>
      <c r="AN107" s="17">
        <v>12</v>
      </c>
      <c r="AO107" s="17">
        <f>H107*1</f>
        <v>0</v>
      </c>
      <c r="AP107" s="17">
        <f>H107*(1-1)</f>
        <v>0</v>
      </c>
      <c r="AQ107" s="76" t="s">
        <v>577</v>
      </c>
      <c r="AV107" s="17">
        <f t="shared" si="172"/>
        <v>0</v>
      </c>
      <c r="AW107" s="17">
        <f t="shared" si="173"/>
        <v>0</v>
      </c>
      <c r="AX107" s="17">
        <f t="shared" si="174"/>
        <v>0</v>
      </c>
      <c r="AY107" s="76" t="s">
        <v>603</v>
      </c>
      <c r="AZ107" s="76" t="s">
        <v>669</v>
      </c>
      <c r="BA107" s="14" t="s">
        <v>670</v>
      </c>
      <c r="BC107" s="17">
        <f t="shared" si="175"/>
        <v>0</v>
      </c>
      <c r="BD107" s="17">
        <f t="shared" si="176"/>
        <v>0</v>
      </c>
      <c r="BE107" s="17">
        <v>0</v>
      </c>
      <c r="BF107" s="17">
        <f t="shared" si="177"/>
        <v>0</v>
      </c>
      <c r="BH107" s="17">
        <f t="shared" si="178"/>
        <v>0</v>
      </c>
      <c r="BI107" s="17">
        <f t="shared" si="179"/>
        <v>0</v>
      </c>
      <c r="BJ107" s="17">
        <f t="shared" si="180"/>
        <v>0</v>
      </c>
      <c r="BK107" s="17"/>
      <c r="BL107" s="17">
        <v>713</v>
      </c>
      <c r="BW107" s="17">
        <f t="shared" si="181"/>
        <v>12</v>
      </c>
      <c r="BX107" s="4" t="s">
        <v>108</v>
      </c>
    </row>
    <row r="108" spans="1:76" x14ac:dyDescent="0.25">
      <c r="A108" s="1" t="s">
        <v>674</v>
      </c>
      <c r="B108" s="2" t="s">
        <v>99</v>
      </c>
      <c r="C108" s="2" t="s">
        <v>109</v>
      </c>
      <c r="D108" s="83" t="s">
        <v>110</v>
      </c>
      <c r="E108" s="84"/>
      <c r="F108" s="2" t="s">
        <v>35</v>
      </c>
      <c r="G108" s="17">
        <f>'Rozpočet - vybrané sloupce'!J81</f>
        <v>3</v>
      </c>
      <c r="H108" s="17">
        <f>'Rozpočet - vybrané sloupce'!K81</f>
        <v>0</v>
      </c>
      <c r="I108" s="74">
        <v>12</v>
      </c>
      <c r="J108" s="17">
        <f t="shared" si="156"/>
        <v>0</v>
      </c>
      <c r="K108" s="17">
        <f t="shared" si="157"/>
        <v>0</v>
      </c>
      <c r="L108" s="17">
        <f t="shared" si="158"/>
        <v>0</v>
      </c>
      <c r="M108" s="17">
        <f t="shared" si="159"/>
        <v>0</v>
      </c>
      <c r="N108" s="17">
        <v>0</v>
      </c>
      <c r="O108" s="17">
        <f t="shared" si="160"/>
        <v>0</v>
      </c>
      <c r="P108" s="75" t="s">
        <v>576</v>
      </c>
      <c r="Z108" s="17">
        <f t="shared" si="161"/>
        <v>0</v>
      </c>
      <c r="AB108" s="17">
        <f t="shared" si="162"/>
        <v>0</v>
      </c>
      <c r="AC108" s="17">
        <f t="shared" si="163"/>
        <v>0</v>
      </c>
      <c r="AD108" s="17">
        <f t="shared" si="164"/>
        <v>0</v>
      </c>
      <c r="AE108" s="17">
        <f t="shared" si="165"/>
        <v>0</v>
      </c>
      <c r="AF108" s="17">
        <f t="shared" si="166"/>
        <v>0</v>
      </c>
      <c r="AG108" s="17">
        <f t="shared" si="167"/>
        <v>0</v>
      </c>
      <c r="AH108" s="17">
        <f t="shared" si="168"/>
        <v>0</v>
      </c>
      <c r="AI108" s="14" t="s">
        <v>99</v>
      </c>
      <c r="AJ108" s="17">
        <f t="shared" si="169"/>
        <v>0</v>
      </c>
      <c r="AK108" s="17">
        <f t="shared" si="170"/>
        <v>0</v>
      </c>
      <c r="AL108" s="17">
        <f t="shared" si="171"/>
        <v>0</v>
      </c>
      <c r="AN108" s="17">
        <v>12</v>
      </c>
      <c r="AO108" s="17">
        <f>H108*1</f>
        <v>0</v>
      </c>
      <c r="AP108" s="17">
        <f>H108*(1-1)</f>
        <v>0</v>
      </c>
      <c r="AQ108" s="76" t="s">
        <v>577</v>
      </c>
      <c r="AV108" s="17">
        <f t="shared" si="172"/>
        <v>0</v>
      </c>
      <c r="AW108" s="17">
        <f t="shared" si="173"/>
        <v>0</v>
      </c>
      <c r="AX108" s="17">
        <f t="shared" si="174"/>
        <v>0</v>
      </c>
      <c r="AY108" s="76" t="s">
        <v>603</v>
      </c>
      <c r="AZ108" s="76" t="s">
        <v>669</v>
      </c>
      <c r="BA108" s="14" t="s">
        <v>670</v>
      </c>
      <c r="BC108" s="17">
        <f t="shared" si="175"/>
        <v>0</v>
      </c>
      <c r="BD108" s="17">
        <f t="shared" si="176"/>
        <v>0</v>
      </c>
      <c r="BE108" s="17">
        <v>0</v>
      </c>
      <c r="BF108" s="17">
        <f t="shared" si="177"/>
        <v>0</v>
      </c>
      <c r="BH108" s="17">
        <f t="shared" si="178"/>
        <v>0</v>
      </c>
      <c r="BI108" s="17">
        <f t="shared" si="179"/>
        <v>0</v>
      </c>
      <c r="BJ108" s="17">
        <f t="shared" si="180"/>
        <v>0</v>
      </c>
      <c r="BK108" s="17"/>
      <c r="BL108" s="17">
        <v>713</v>
      </c>
      <c r="BW108" s="17">
        <f t="shared" si="181"/>
        <v>12</v>
      </c>
      <c r="BX108" s="4" t="s">
        <v>110</v>
      </c>
    </row>
    <row r="109" spans="1:76" x14ac:dyDescent="0.25">
      <c r="A109" s="1" t="s">
        <v>675</v>
      </c>
      <c r="B109" s="2" t="s">
        <v>99</v>
      </c>
      <c r="C109" s="2" t="s">
        <v>56</v>
      </c>
      <c r="D109" s="83" t="s">
        <v>57</v>
      </c>
      <c r="E109" s="84"/>
      <c r="F109" s="2" t="s">
        <v>45</v>
      </c>
      <c r="G109" s="17">
        <f>'Rozpočet - vybrané sloupce'!J82</f>
        <v>0</v>
      </c>
      <c r="H109" s="17">
        <f>'Rozpočet - vybrané sloupce'!K82</f>
        <v>0</v>
      </c>
      <c r="I109" s="74">
        <v>12</v>
      </c>
      <c r="J109" s="17">
        <f t="shared" si="156"/>
        <v>0</v>
      </c>
      <c r="K109" s="17">
        <f t="shared" si="157"/>
        <v>0</v>
      </c>
      <c r="L109" s="17">
        <f t="shared" si="158"/>
        <v>0</v>
      </c>
      <c r="M109" s="17">
        <f t="shared" si="159"/>
        <v>0</v>
      </c>
      <c r="N109" s="17">
        <v>0</v>
      </c>
      <c r="O109" s="17">
        <f t="shared" si="160"/>
        <v>0</v>
      </c>
      <c r="P109" s="75" t="s">
        <v>576</v>
      </c>
      <c r="Z109" s="17">
        <f t="shared" si="161"/>
        <v>0</v>
      </c>
      <c r="AB109" s="17">
        <f t="shared" si="162"/>
        <v>0</v>
      </c>
      <c r="AC109" s="17">
        <f t="shared" si="163"/>
        <v>0</v>
      </c>
      <c r="AD109" s="17">
        <f t="shared" si="164"/>
        <v>0</v>
      </c>
      <c r="AE109" s="17">
        <f t="shared" si="165"/>
        <v>0</v>
      </c>
      <c r="AF109" s="17">
        <f t="shared" si="166"/>
        <v>0</v>
      </c>
      <c r="AG109" s="17">
        <f t="shared" si="167"/>
        <v>0</v>
      </c>
      <c r="AH109" s="17">
        <f t="shared" si="168"/>
        <v>0</v>
      </c>
      <c r="AI109" s="14" t="s">
        <v>99</v>
      </c>
      <c r="AJ109" s="17">
        <f t="shared" si="169"/>
        <v>0</v>
      </c>
      <c r="AK109" s="17">
        <f t="shared" si="170"/>
        <v>0</v>
      </c>
      <c r="AL109" s="17">
        <f t="shared" si="171"/>
        <v>0</v>
      </c>
      <c r="AN109" s="17">
        <v>12</v>
      </c>
      <c r="AO109" s="17">
        <f>H109*0</f>
        <v>0</v>
      </c>
      <c r="AP109" s="17">
        <f>H109*(1-0)</f>
        <v>0</v>
      </c>
      <c r="AQ109" s="76" t="s">
        <v>585</v>
      </c>
      <c r="AV109" s="17">
        <f t="shared" si="172"/>
        <v>0</v>
      </c>
      <c r="AW109" s="17">
        <f t="shared" si="173"/>
        <v>0</v>
      </c>
      <c r="AX109" s="17">
        <f t="shared" si="174"/>
        <v>0</v>
      </c>
      <c r="AY109" s="76" t="s">
        <v>603</v>
      </c>
      <c r="AZ109" s="76" t="s">
        <v>669</v>
      </c>
      <c r="BA109" s="14" t="s">
        <v>670</v>
      </c>
      <c r="BC109" s="17">
        <f t="shared" si="175"/>
        <v>0</v>
      </c>
      <c r="BD109" s="17">
        <f t="shared" si="176"/>
        <v>0</v>
      </c>
      <c r="BE109" s="17">
        <v>0</v>
      </c>
      <c r="BF109" s="17">
        <f t="shared" si="177"/>
        <v>0</v>
      </c>
      <c r="BH109" s="17">
        <f t="shared" si="178"/>
        <v>0</v>
      </c>
      <c r="BI109" s="17">
        <f t="shared" si="179"/>
        <v>0</v>
      </c>
      <c r="BJ109" s="17">
        <f t="shared" si="180"/>
        <v>0</v>
      </c>
      <c r="BK109" s="17"/>
      <c r="BL109" s="17">
        <v>713</v>
      </c>
      <c r="BW109" s="17">
        <f t="shared" si="181"/>
        <v>12</v>
      </c>
      <c r="BX109" s="4" t="s">
        <v>57</v>
      </c>
    </row>
    <row r="110" spans="1:76" x14ac:dyDescent="0.25">
      <c r="A110" s="71" t="s">
        <v>25</v>
      </c>
      <c r="B110" s="13" t="s">
        <v>99</v>
      </c>
      <c r="C110" s="13" t="s">
        <v>111</v>
      </c>
      <c r="D110" s="135" t="s">
        <v>112</v>
      </c>
      <c r="E110" s="136"/>
      <c r="F110" s="72" t="s">
        <v>23</v>
      </c>
      <c r="G110" s="72" t="s">
        <v>23</v>
      </c>
      <c r="H110" s="72" t="s">
        <v>23</v>
      </c>
      <c r="I110" s="72" t="s">
        <v>23</v>
      </c>
      <c r="J110" s="47">
        <f>SUM(J111:J160)</f>
        <v>0</v>
      </c>
      <c r="K110" s="47">
        <f>SUM(K111:K160)</f>
        <v>0</v>
      </c>
      <c r="L110" s="47">
        <f>SUM(L111:L160)</f>
        <v>0</v>
      </c>
      <c r="M110" s="47">
        <f>SUM(M111:M160)</f>
        <v>0</v>
      </c>
      <c r="N110" s="14" t="s">
        <v>25</v>
      </c>
      <c r="O110" s="47">
        <f>SUM(O111:O160)</f>
        <v>0.17071</v>
      </c>
      <c r="P110" s="73" t="s">
        <v>25</v>
      </c>
      <c r="AI110" s="14" t="s">
        <v>99</v>
      </c>
      <c r="AS110" s="47">
        <f>SUM(AJ111:AJ160)</f>
        <v>0</v>
      </c>
      <c r="AT110" s="47">
        <f>SUM(AK111:AK160)</f>
        <v>0</v>
      </c>
      <c r="AU110" s="47">
        <f>SUM(AL111:AL160)</f>
        <v>0</v>
      </c>
    </row>
    <row r="111" spans="1:76" x14ac:dyDescent="0.25">
      <c r="A111" s="1" t="s">
        <v>676</v>
      </c>
      <c r="B111" s="2" t="s">
        <v>99</v>
      </c>
      <c r="C111" s="2" t="s">
        <v>113</v>
      </c>
      <c r="D111" s="83" t="s">
        <v>114</v>
      </c>
      <c r="E111" s="84"/>
      <c r="F111" s="2" t="s">
        <v>31</v>
      </c>
      <c r="G111" s="17">
        <f>'Rozpočet - vybrané sloupce'!J84</f>
        <v>62</v>
      </c>
      <c r="H111" s="17">
        <f>'Rozpočet - vybrané sloupce'!K84</f>
        <v>0</v>
      </c>
      <c r="I111" s="74">
        <v>12</v>
      </c>
      <c r="J111" s="17">
        <f>ROUND(G111*AO111,2)</f>
        <v>0</v>
      </c>
      <c r="K111" s="17">
        <f>ROUND(G111*AP111,2)</f>
        <v>0</v>
      </c>
      <c r="L111" s="17">
        <f>ROUND(G111*H111,2)</f>
        <v>0</v>
      </c>
      <c r="M111" s="17">
        <f>L111*(1+BW111/100)</f>
        <v>0</v>
      </c>
      <c r="N111" s="17">
        <v>2.7999999999999998E-4</v>
      </c>
      <c r="O111" s="17">
        <f>G111*N111</f>
        <v>1.7359999999999997E-2</v>
      </c>
      <c r="P111" s="75" t="s">
        <v>576</v>
      </c>
      <c r="Z111" s="17">
        <f>ROUND(IF(AQ111="5",BJ111,0),2)</f>
        <v>0</v>
      </c>
      <c r="AB111" s="17">
        <f>ROUND(IF(AQ111="1",BH111,0),2)</f>
        <v>0</v>
      </c>
      <c r="AC111" s="17">
        <f>ROUND(IF(AQ111="1",BI111,0),2)</f>
        <v>0</v>
      </c>
      <c r="AD111" s="17">
        <f>ROUND(IF(AQ111="7",BH111,0),2)</f>
        <v>0</v>
      </c>
      <c r="AE111" s="17">
        <f>ROUND(IF(AQ111="7",BI111,0),2)</f>
        <v>0</v>
      </c>
      <c r="AF111" s="17">
        <f>ROUND(IF(AQ111="2",BH111,0),2)</f>
        <v>0</v>
      </c>
      <c r="AG111" s="17">
        <f>ROUND(IF(AQ111="2",BI111,0),2)</f>
        <v>0</v>
      </c>
      <c r="AH111" s="17">
        <f>ROUND(IF(AQ111="0",BJ111,0),2)</f>
        <v>0</v>
      </c>
      <c r="AI111" s="14" t="s">
        <v>99</v>
      </c>
      <c r="AJ111" s="17">
        <f>IF(AN111=0,L111,0)</f>
        <v>0</v>
      </c>
      <c r="AK111" s="17">
        <f>IF(AN111=12,L111,0)</f>
        <v>0</v>
      </c>
      <c r="AL111" s="17">
        <f>IF(AN111=21,L111,0)</f>
        <v>0</v>
      </c>
      <c r="AN111" s="17">
        <v>12</v>
      </c>
      <c r="AO111" s="17">
        <f>H111*0</f>
        <v>0</v>
      </c>
      <c r="AP111" s="17">
        <f>H111*(1-0)</f>
        <v>0</v>
      </c>
      <c r="AQ111" s="76" t="s">
        <v>577</v>
      </c>
      <c r="AV111" s="17">
        <f>ROUND(AW111+AX111,2)</f>
        <v>0</v>
      </c>
      <c r="AW111" s="17">
        <f>ROUND(G111*AO111,2)</f>
        <v>0</v>
      </c>
      <c r="AX111" s="17">
        <f>ROUND(G111*AP111,2)</f>
        <v>0</v>
      </c>
      <c r="AY111" s="76" t="s">
        <v>677</v>
      </c>
      <c r="AZ111" s="76" t="s">
        <v>678</v>
      </c>
      <c r="BA111" s="14" t="s">
        <v>670</v>
      </c>
      <c r="BC111" s="17">
        <f>AW111+AX111</f>
        <v>0</v>
      </c>
      <c r="BD111" s="17">
        <f>H111/(100-BE111)*100</f>
        <v>0</v>
      </c>
      <c r="BE111" s="17">
        <v>0</v>
      </c>
      <c r="BF111" s="17">
        <f>O111</f>
        <v>1.7359999999999997E-2</v>
      </c>
      <c r="BH111" s="17">
        <f>G111*AO111</f>
        <v>0</v>
      </c>
      <c r="BI111" s="17">
        <f>G111*AP111</f>
        <v>0</v>
      </c>
      <c r="BJ111" s="17">
        <f>G111*H111</f>
        <v>0</v>
      </c>
      <c r="BK111" s="17"/>
      <c r="BL111" s="17">
        <v>722</v>
      </c>
      <c r="BW111" s="17">
        <f>I111</f>
        <v>12</v>
      </c>
      <c r="BX111" s="4" t="s">
        <v>114</v>
      </c>
    </row>
    <row r="112" spans="1:76" x14ac:dyDescent="0.25">
      <c r="A112" s="1" t="s">
        <v>679</v>
      </c>
      <c r="B112" s="2" t="s">
        <v>99</v>
      </c>
      <c r="C112" s="2" t="s">
        <v>115</v>
      </c>
      <c r="D112" s="83" t="s">
        <v>116</v>
      </c>
      <c r="E112" s="84"/>
      <c r="F112" s="2" t="s">
        <v>31</v>
      </c>
      <c r="G112" s="17">
        <f>'Rozpočet - vybrané sloupce'!J85</f>
        <v>34</v>
      </c>
      <c r="H112" s="17">
        <f>'Rozpočet - vybrané sloupce'!K85</f>
        <v>0</v>
      </c>
      <c r="I112" s="74">
        <v>12</v>
      </c>
      <c r="J112" s="17">
        <f>ROUND(G112*AO112,2)</f>
        <v>0</v>
      </c>
      <c r="K112" s="17">
        <f>ROUND(G112*AP112,2)</f>
        <v>0</v>
      </c>
      <c r="L112" s="17">
        <f>ROUND(G112*H112,2)</f>
        <v>0</v>
      </c>
      <c r="M112" s="17">
        <f>L112*(1+BW112/100)</f>
        <v>0</v>
      </c>
      <c r="N112" s="17">
        <v>2.9E-4</v>
      </c>
      <c r="O112" s="17">
        <f>G112*N112</f>
        <v>9.8600000000000007E-3</v>
      </c>
      <c r="P112" s="75" t="s">
        <v>576</v>
      </c>
      <c r="Z112" s="17">
        <f>ROUND(IF(AQ112="5",BJ112,0),2)</f>
        <v>0</v>
      </c>
      <c r="AB112" s="17">
        <f>ROUND(IF(AQ112="1",BH112,0),2)</f>
        <v>0</v>
      </c>
      <c r="AC112" s="17">
        <f>ROUND(IF(AQ112="1",BI112,0),2)</f>
        <v>0</v>
      </c>
      <c r="AD112" s="17">
        <f>ROUND(IF(AQ112="7",BH112,0),2)</f>
        <v>0</v>
      </c>
      <c r="AE112" s="17">
        <f>ROUND(IF(AQ112="7",BI112,0),2)</f>
        <v>0</v>
      </c>
      <c r="AF112" s="17">
        <f>ROUND(IF(AQ112="2",BH112,0),2)</f>
        <v>0</v>
      </c>
      <c r="AG112" s="17">
        <f>ROUND(IF(AQ112="2",BI112,0),2)</f>
        <v>0</v>
      </c>
      <c r="AH112" s="17">
        <f>ROUND(IF(AQ112="0",BJ112,0),2)</f>
        <v>0</v>
      </c>
      <c r="AI112" s="14" t="s">
        <v>99</v>
      </c>
      <c r="AJ112" s="17">
        <f>IF(AN112=0,L112,0)</f>
        <v>0</v>
      </c>
      <c r="AK112" s="17">
        <f>IF(AN112=12,L112,0)</f>
        <v>0</v>
      </c>
      <c r="AL112" s="17">
        <f>IF(AN112=21,L112,0)</f>
        <v>0</v>
      </c>
      <c r="AN112" s="17">
        <v>12</v>
      </c>
      <c r="AO112" s="17">
        <f>H112*0</f>
        <v>0</v>
      </c>
      <c r="AP112" s="17">
        <f>H112*(1-0)</f>
        <v>0</v>
      </c>
      <c r="AQ112" s="76" t="s">
        <v>577</v>
      </c>
      <c r="AV112" s="17">
        <f>ROUND(AW112+AX112,2)</f>
        <v>0</v>
      </c>
      <c r="AW112" s="17">
        <f>ROUND(G112*AO112,2)</f>
        <v>0</v>
      </c>
      <c r="AX112" s="17">
        <f>ROUND(G112*AP112,2)</f>
        <v>0</v>
      </c>
      <c r="AY112" s="76" t="s">
        <v>677</v>
      </c>
      <c r="AZ112" s="76" t="s">
        <v>678</v>
      </c>
      <c r="BA112" s="14" t="s">
        <v>670</v>
      </c>
      <c r="BC112" s="17">
        <f>AW112+AX112</f>
        <v>0</v>
      </c>
      <c r="BD112" s="17">
        <f>H112/(100-BE112)*100</f>
        <v>0</v>
      </c>
      <c r="BE112" s="17">
        <v>0</v>
      </c>
      <c r="BF112" s="17">
        <f>O112</f>
        <v>9.8600000000000007E-3</v>
      </c>
      <c r="BH112" s="17">
        <f>G112*AO112</f>
        <v>0</v>
      </c>
      <c r="BI112" s="17">
        <f>G112*AP112</f>
        <v>0</v>
      </c>
      <c r="BJ112" s="17">
        <f>G112*H112</f>
        <v>0</v>
      </c>
      <c r="BK112" s="17"/>
      <c r="BL112" s="17">
        <v>722</v>
      </c>
      <c r="BW112" s="17">
        <f>I112</f>
        <v>12</v>
      </c>
      <c r="BX112" s="4" t="s">
        <v>116</v>
      </c>
    </row>
    <row r="113" spans="1:76" x14ac:dyDescent="0.25">
      <c r="A113" s="1" t="s">
        <v>680</v>
      </c>
      <c r="B113" s="2" t="s">
        <v>99</v>
      </c>
      <c r="C113" s="2" t="s">
        <v>117</v>
      </c>
      <c r="D113" s="83" t="s">
        <v>118</v>
      </c>
      <c r="E113" s="84"/>
      <c r="F113" s="2" t="s">
        <v>31</v>
      </c>
      <c r="G113" s="17">
        <f>'Rozpočet - vybrané sloupce'!J86</f>
        <v>25</v>
      </c>
      <c r="H113" s="17">
        <f>'Rozpočet - vybrané sloupce'!K86</f>
        <v>0</v>
      </c>
      <c r="I113" s="74">
        <v>12</v>
      </c>
      <c r="J113" s="17">
        <f>ROUND(G113*AO113,2)</f>
        <v>0</v>
      </c>
      <c r="K113" s="17">
        <f>ROUND(G113*AP113,2)</f>
        <v>0</v>
      </c>
      <c r="L113" s="17">
        <f>ROUND(G113*H113,2)</f>
        <v>0</v>
      </c>
      <c r="M113" s="17">
        <f>L113*(1+BW113/100)</f>
        <v>0</v>
      </c>
      <c r="N113" s="17">
        <v>4.2999999999999999E-4</v>
      </c>
      <c r="O113" s="17">
        <f>G113*N113</f>
        <v>1.0749999999999999E-2</v>
      </c>
      <c r="P113" s="75" t="s">
        <v>576</v>
      </c>
      <c r="Z113" s="17">
        <f>ROUND(IF(AQ113="5",BJ113,0),2)</f>
        <v>0</v>
      </c>
      <c r="AB113" s="17">
        <f>ROUND(IF(AQ113="1",BH113,0),2)</f>
        <v>0</v>
      </c>
      <c r="AC113" s="17">
        <f>ROUND(IF(AQ113="1",BI113,0),2)</f>
        <v>0</v>
      </c>
      <c r="AD113" s="17">
        <f>ROUND(IF(AQ113="7",BH113,0),2)</f>
        <v>0</v>
      </c>
      <c r="AE113" s="17">
        <f>ROUND(IF(AQ113="7",BI113,0),2)</f>
        <v>0</v>
      </c>
      <c r="AF113" s="17">
        <f>ROUND(IF(AQ113="2",BH113,0),2)</f>
        <v>0</v>
      </c>
      <c r="AG113" s="17">
        <f>ROUND(IF(AQ113="2",BI113,0),2)</f>
        <v>0</v>
      </c>
      <c r="AH113" s="17">
        <f>ROUND(IF(AQ113="0",BJ113,0),2)</f>
        <v>0</v>
      </c>
      <c r="AI113" s="14" t="s">
        <v>99</v>
      </c>
      <c r="AJ113" s="17">
        <f>IF(AN113=0,L113,0)</f>
        <v>0</v>
      </c>
      <c r="AK113" s="17">
        <f>IF(AN113=12,L113,0)</f>
        <v>0</v>
      </c>
      <c r="AL113" s="17">
        <f>IF(AN113=21,L113,0)</f>
        <v>0</v>
      </c>
      <c r="AN113" s="17">
        <v>12</v>
      </c>
      <c r="AO113" s="17">
        <f>H113*0.433809524</f>
        <v>0</v>
      </c>
      <c r="AP113" s="17">
        <f>H113*(1-0.433809524)</f>
        <v>0</v>
      </c>
      <c r="AQ113" s="76" t="s">
        <v>577</v>
      </c>
      <c r="AV113" s="17">
        <f>ROUND(AW113+AX113,2)</f>
        <v>0</v>
      </c>
      <c r="AW113" s="17">
        <f>ROUND(G113*AO113,2)</f>
        <v>0</v>
      </c>
      <c r="AX113" s="17">
        <f>ROUND(G113*AP113,2)</f>
        <v>0</v>
      </c>
      <c r="AY113" s="76" t="s">
        <v>677</v>
      </c>
      <c r="AZ113" s="76" t="s">
        <v>678</v>
      </c>
      <c r="BA113" s="14" t="s">
        <v>670</v>
      </c>
      <c r="BC113" s="17">
        <f>AW113+AX113</f>
        <v>0</v>
      </c>
      <c r="BD113" s="17">
        <f>H113/(100-BE113)*100</f>
        <v>0</v>
      </c>
      <c r="BE113" s="17">
        <v>0</v>
      </c>
      <c r="BF113" s="17">
        <f>O113</f>
        <v>1.0749999999999999E-2</v>
      </c>
      <c r="BH113" s="17">
        <f>G113*AO113</f>
        <v>0</v>
      </c>
      <c r="BI113" s="17">
        <f>G113*AP113</f>
        <v>0</v>
      </c>
      <c r="BJ113" s="17">
        <f>G113*H113</f>
        <v>0</v>
      </c>
      <c r="BK113" s="17"/>
      <c r="BL113" s="17">
        <v>722</v>
      </c>
      <c r="BW113" s="17">
        <f>I113</f>
        <v>12</v>
      </c>
      <c r="BX113" s="4" t="s">
        <v>118</v>
      </c>
    </row>
    <row r="114" spans="1:76" x14ac:dyDescent="0.25">
      <c r="A114" s="77"/>
      <c r="C114" s="78" t="s">
        <v>610</v>
      </c>
      <c r="D114" s="161" t="s">
        <v>681</v>
      </c>
      <c r="E114" s="162"/>
      <c r="F114" s="162"/>
      <c r="G114" s="162"/>
      <c r="H114" s="162"/>
      <c r="I114" s="162"/>
      <c r="J114" s="162"/>
      <c r="K114" s="162"/>
      <c r="L114" s="162"/>
      <c r="M114" s="162"/>
      <c r="N114" s="162"/>
      <c r="O114" s="162"/>
      <c r="P114" s="163"/>
      <c r="BX114" s="79" t="s">
        <v>681</v>
      </c>
    </row>
    <row r="115" spans="1:76" x14ac:dyDescent="0.25">
      <c r="A115" s="1" t="s">
        <v>682</v>
      </c>
      <c r="B115" s="2" t="s">
        <v>99</v>
      </c>
      <c r="C115" s="2" t="s">
        <v>119</v>
      </c>
      <c r="D115" s="83" t="s">
        <v>120</v>
      </c>
      <c r="E115" s="84"/>
      <c r="F115" s="2" t="s">
        <v>31</v>
      </c>
      <c r="G115" s="17">
        <f>'Rozpočet - vybrané sloupce'!J87</f>
        <v>26</v>
      </c>
      <c r="H115" s="17">
        <f>'Rozpočet - vybrané sloupce'!K87</f>
        <v>0</v>
      </c>
      <c r="I115" s="74">
        <v>12</v>
      </c>
      <c r="J115" s="17">
        <f>ROUND(G115*AO115,2)</f>
        <v>0</v>
      </c>
      <c r="K115" s="17">
        <f>ROUND(G115*AP115,2)</f>
        <v>0</v>
      </c>
      <c r="L115" s="17">
        <f>ROUND(G115*H115,2)</f>
        <v>0</v>
      </c>
      <c r="M115" s="17">
        <f>L115*(1+BW115/100)</f>
        <v>0</v>
      </c>
      <c r="N115" s="17">
        <v>5.2999999999999998E-4</v>
      </c>
      <c r="O115" s="17">
        <f>G115*N115</f>
        <v>1.3779999999999999E-2</v>
      </c>
      <c r="P115" s="75" t="s">
        <v>576</v>
      </c>
      <c r="Z115" s="17">
        <f>ROUND(IF(AQ115="5",BJ115,0),2)</f>
        <v>0</v>
      </c>
      <c r="AB115" s="17">
        <f>ROUND(IF(AQ115="1",BH115,0),2)</f>
        <v>0</v>
      </c>
      <c r="AC115" s="17">
        <f>ROUND(IF(AQ115="1",BI115,0),2)</f>
        <v>0</v>
      </c>
      <c r="AD115" s="17">
        <f>ROUND(IF(AQ115="7",BH115,0),2)</f>
        <v>0</v>
      </c>
      <c r="AE115" s="17">
        <f>ROUND(IF(AQ115="7",BI115,0),2)</f>
        <v>0</v>
      </c>
      <c r="AF115" s="17">
        <f>ROUND(IF(AQ115="2",BH115,0),2)</f>
        <v>0</v>
      </c>
      <c r="AG115" s="17">
        <f>ROUND(IF(AQ115="2",BI115,0),2)</f>
        <v>0</v>
      </c>
      <c r="AH115" s="17">
        <f>ROUND(IF(AQ115="0",BJ115,0),2)</f>
        <v>0</v>
      </c>
      <c r="AI115" s="14" t="s">
        <v>99</v>
      </c>
      <c r="AJ115" s="17">
        <f>IF(AN115=0,L115,0)</f>
        <v>0</v>
      </c>
      <c r="AK115" s="17">
        <f>IF(AN115=12,L115,0)</f>
        <v>0</v>
      </c>
      <c r="AL115" s="17">
        <f>IF(AN115=21,L115,0)</f>
        <v>0</v>
      </c>
      <c r="AN115" s="17">
        <v>12</v>
      </c>
      <c r="AO115" s="17">
        <f>H115*0.499111111</f>
        <v>0</v>
      </c>
      <c r="AP115" s="17">
        <f>H115*(1-0.499111111)</f>
        <v>0</v>
      </c>
      <c r="AQ115" s="76" t="s">
        <v>577</v>
      </c>
      <c r="AV115" s="17">
        <f>ROUND(AW115+AX115,2)</f>
        <v>0</v>
      </c>
      <c r="AW115" s="17">
        <f>ROUND(G115*AO115,2)</f>
        <v>0</v>
      </c>
      <c r="AX115" s="17">
        <f>ROUND(G115*AP115,2)</f>
        <v>0</v>
      </c>
      <c r="AY115" s="76" t="s">
        <v>677</v>
      </c>
      <c r="AZ115" s="76" t="s">
        <v>678</v>
      </c>
      <c r="BA115" s="14" t="s">
        <v>670</v>
      </c>
      <c r="BC115" s="17">
        <f>AW115+AX115</f>
        <v>0</v>
      </c>
      <c r="BD115" s="17">
        <f>H115/(100-BE115)*100</f>
        <v>0</v>
      </c>
      <c r="BE115" s="17">
        <v>0</v>
      </c>
      <c r="BF115" s="17">
        <f>O115</f>
        <v>1.3779999999999999E-2</v>
      </c>
      <c r="BH115" s="17">
        <f>G115*AO115</f>
        <v>0</v>
      </c>
      <c r="BI115" s="17">
        <f>G115*AP115</f>
        <v>0</v>
      </c>
      <c r="BJ115" s="17">
        <f>G115*H115</f>
        <v>0</v>
      </c>
      <c r="BK115" s="17"/>
      <c r="BL115" s="17">
        <v>722</v>
      </c>
      <c r="BW115" s="17">
        <f>I115</f>
        <v>12</v>
      </c>
      <c r="BX115" s="4" t="s">
        <v>120</v>
      </c>
    </row>
    <row r="116" spans="1:76" x14ac:dyDescent="0.25">
      <c r="A116" s="1" t="s">
        <v>683</v>
      </c>
      <c r="B116" s="2" t="s">
        <v>99</v>
      </c>
      <c r="C116" s="2" t="s">
        <v>121</v>
      </c>
      <c r="D116" s="83" t="s">
        <v>122</v>
      </c>
      <c r="E116" s="84"/>
      <c r="F116" s="2" t="s">
        <v>31</v>
      </c>
      <c r="G116" s="17">
        <f>'Rozpočet - vybrané sloupce'!J88</f>
        <v>39</v>
      </c>
      <c r="H116" s="17">
        <f>'Rozpočet - vybrané sloupce'!K88</f>
        <v>0</v>
      </c>
      <c r="I116" s="74">
        <v>12</v>
      </c>
      <c r="J116" s="17">
        <f>ROUND(G116*AO116,2)</f>
        <v>0</v>
      </c>
      <c r="K116" s="17">
        <f>ROUND(G116*AP116,2)</f>
        <v>0</v>
      </c>
      <c r="L116" s="17">
        <f>ROUND(G116*H116,2)</f>
        <v>0</v>
      </c>
      <c r="M116" s="17">
        <f>L116*(1+BW116/100)</f>
        <v>0</v>
      </c>
      <c r="N116" s="17">
        <v>7.2999999999999996E-4</v>
      </c>
      <c r="O116" s="17">
        <f>G116*N116</f>
        <v>2.8469999999999999E-2</v>
      </c>
      <c r="P116" s="75" t="s">
        <v>576</v>
      </c>
      <c r="Z116" s="17">
        <f>ROUND(IF(AQ116="5",BJ116,0),2)</f>
        <v>0</v>
      </c>
      <c r="AB116" s="17">
        <f>ROUND(IF(AQ116="1",BH116,0),2)</f>
        <v>0</v>
      </c>
      <c r="AC116" s="17">
        <f>ROUND(IF(AQ116="1",BI116,0),2)</f>
        <v>0</v>
      </c>
      <c r="AD116" s="17">
        <f>ROUND(IF(AQ116="7",BH116,0),2)</f>
        <v>0</v>
      </c>
      <c r="AE116" s="17">
        <f>ROUND(IF(AQ116="7",BI116,0),2)</f>
        <v>0</v>
      </c>
      <c r="AF116" s="17">
        <f>ROUND(IF(AQ116="2",BH116,0),2)</f>
        <v>0</v>
      </c>
      <c r="AG116" s="17">
        <f>ROUND(IF(AQ116="2",BI116,0),2)</f>
        <v>0</v>
      </c>
      <c r="AH116" s="17">
        <f>ROUND(IF(AQ116="0",BJ116,0),2)</f>
        <v>0</v>
      </c>
      <c r="AI116" s="14" t="s">
        <v>99</v>
      </c>
      <c r="AJ116" s="17">
        <f>IF(AN116=0,L116,0)</f>
        <v>0</v>
      </c>
      <c r="AK116" s="17">
        <f>IF(AN116=12,L116,0)</f>
        <v>0</v>
      </c>
      <c r="AL116" s="17">
        <f>IF(AN116=21,L116,0)</f>
        <v>0</v>
      </c>
      <c r="AN116" s="17">
        <v>12</v>
      </c>
      <c r="AO116" s="17">
        <f>H116*0.578547486</f>
        <v>0</v>
      </c>
      <c r="AP116" s="17">
        <f>H116*(1-0.578547486)</f>
        <v>0</v>
      </c>
      <c r="AQ116" s="76" t="s">
        <v>577</v>
      </c>
      <c r="AV116" s="17">
        <f>ROUND(AW116+AX116,2)</f>
        <v>0</v>
      </c>
      <c r="AW116" s="17">
        <f>ROUND(G116*AO116,2)</f>
        <v>0</v>
      </c>
      <c r="AX116" s="17">
        <f>ROUND(G116*AP116,2)</f>
        <v>0</v>
      </c>
      <c r="AY116" s="76" t="s">
        <v>677</v>
      </c>
      <c r="AZ116" s="76" t="s">
        <v>678</v>
      </c>
      <c r="BA116" s="14" t="s">
        <v>670</v>
      </c>
      <c r="BC116" s="17">
        <f>AW116+AX116</f>
        <v>0</v>
      </c>
      <c r="BD116" s="17">
        <f>H116/(100-BE116)*100</f>
        <v>0</v>
      </c>
      <c r="BE116" s="17">
        <v>0</v>
      </c>
      <c r="BF116" s="17">
        <f>O116</f>
        <v>2.8469999999999999E-2</v>
      </c>
      <c r="BH116" s="17">
        <f>G116*AO116</f>
        <v>0</v>
      </c>
      <c r="BI116" s="17">
        <f>G116*AP116</f>
        <v>0</v>
      </c>
      <c r="BJ116" s="17">
        <f>G116*H116</f>
        <v>0</v>
      </c>
      <c r="BK116" s="17"/>
      <c r="BL116" s="17">
        <v>722</v>
      </c>
      <c r="BW116" s="17">
        <f>I116</f>
        <v>12</v>
      </c>
      <c r="BX116" s="4" t="s">
        <v>122</v>
      </c>
    </row>
    <row r="117" spans="1:76" x14ac:dyDescent="0.25">
      <c r="A117" s="1" t="s">
        <v>684</v>
      </c>
      <c r="B117" s="2" t="s">
        <v>99</v>
      </c>
      <c r="C117" s="2" t="s">
        <v>123</v>
      </c>
      <c r="D117" s="83" t="s">
        <v>124</v>
      </c>
      <c r="E117" s="84"/>
      <c r="F117" s="2" t="s">
        <v>31</v>
      </c>
      <c r="G117" s="17">
        <f>'Rozpočet - vybrané sloupce'!J89</f>
        <v>14</v>
      </c>
      <c r="H117" s="17">
        <f>'Rozpočet - vybrané sloupce'!K89</f>
        <v>0</v>
      </c>
      <c r="I117" s="74">
        <v>12</v>
      </c>
      <c r="J117" s="17">
        <f>ROUND(G117*AO117,2)</f>
        <v>0</v>
      </c>
      <c r="K117" s="17">
        <f>ROUND(G117*AP117,2)</f>
        <v>0</v>
      </c>
      <c r="L117" s="17">
        <f>ROUND(G117*H117,2)</f>
        <v>0</v>
      </c>
      <c r="M117" s="17">
        <f>L117*(1+BW117/100)</f>
        <v>0</v>
      </c>
      <c r="N117" s="17">
        <v>1.0200000000000001E-3</v>
      </c>
      <c r="O117" s="17">
        <f>G117*N117</f>
        <v>1.4280000000000001E-2</v>
      </c>
      <c r="P117" s="75" t="s">
        <v>576</v>
      </c>
      <c r="Z117" s="17">
        <f>ROUND(IF(AQ117="5",BJ117,0),2)</f>
        <v>0</v>
      </c>
      <c r="AB117" s="17">
        <f>ROUND(IF(AQ117="1",BH117,0),2)</f>
        <v>0</v>
      </c>
      <c r="AC117" s="17">
        <f>ROUND(IF(AQ117="1",BI117,0),2)</f>
        <v>0</v>
      </c>
      <c r="AD117" s="17">
        <f>ROUND(IF(AQ117="7",BH117,0),2)</f>
        <v>0</v>
      </c>
      <c r="AE117" s="17">
        <f>ROUND(IF(AQ117="7",BI117,0),2)</f>
        <v>0</v>
      </c>
      <c r="AF117" s="17">
        <f>ROUND(IF(AQ117="2",BH117,0),2)</f>
        <v>0</v>
      </c>
      <c r="AG117" s="17">
        <f>ROUND(IF(AQ117="2",BI117,0),2)</f>
        <v>0</v>
      </c>
      <c r="AH117" s="17">
        <f>ROUND(IF(AQ117="0",BJ117,0),2)</f>
        <v>0</v>
      </c>
      <c r="AI117" s="14" t="s">
        <v>99</v>
      </c>
      <c r="AJ117" s="17">
        <f>IF(AN117=0,L117,0)</f>
        <v>0</v>
      </c>
      <c r="AK117" s="17">
        <f>IF(AN117=12,L117,0)</f>
        <v>0</v>
      </c>
      <c r="AL117" s="17">
        <f>IF(AN117=21,L117,0)</f>
        <v>0</v>
      </c>
      <c r="AN117" s="17">
        <v>12</v>
      </c>
      <c r="AO117" s="17">
        <f>H117*0.679694377</f>
        <v>0</v>
      </c>
      <c r="AP117" s="17">
        <f>H117*(1-0.679694377)</f>
        <v>0</v>
      </c>
      <c r="AQ117" s="76" t="s">
        <v>577</v>
      </c>
      <c r="AV117" s="17">
        <f>ROUND(AW117+AX117,2)</f>
        <v>0</v>
      </c>
      <c r="AW117" s="17">
        <f>ROUND(G117*AO117,2)</f>
        <v>0</v>
      </c>
      <c r="AX117" s="17">
        <f>ROUND(G117*AP117,2)</f>
        <v>0</v>
      </c>
      <c r="AY117" s="76" t="s">
        <v>677</v>
      </c>
      <c r="AZ117" s="76" t="s">
        <v>678</v>
      </c>
      <c r="BA117" s="14" t="s">
        <v>670</v>
      </c>
      <c r="BC117" s="17">
        <f>AW117+AX117</f>
        <v>0</v>
      </c>
      <c r="BD117" s="17">
        <f>H117/(100-BE117)*100</f>
        <v>0</v>
      </c>
      <c r="BE117" s="17">
        <v>0</v>
      </c>
      <c r="BF117" s="17">
        <f>O117</f>
        <v>1.4280000000000001E-2</v>
      </c>
      <c r="BH117" s="17">
        <f>G117*AO117</f>
        <v>0</v>
      </c>
      <c r="BI117" s="17">
        <f>G117*AP117</f>
        <v>0</v>
      </c>
      <c r="BJ117" s="17">
        <f>G117*H117</f>
        <v>0</v>
      </c>
      <c r="BK117" s="17"/>
      <c r="BL117" s="17">
        <v>722</v>
      </c>
      <c r="BW117" s="17">
        <f>I117</f>
        <v>12</v>
      </c>
      <c r="BX117" s="4" t="s">
        <v>124</v>
      </c>
    </row>
    <row r="118" spans="1:76" x14ac:dyDescent="0.25">
      <c r="A118" s="1" t="s">
        <v>685</v>
      </c>
      <c r="B118" s="2" t="s">
        <v>99</v>
      </c>
      <c r="C118" s="2" t="s">
        <v>125</v>
      </c>
      <c r="D118" s="83" t="s">
        <v>126</v>
      </c>
      <c r="E118" s="84"/>
      <c r="F118" s="2" t="s">
        <v>31</v>
      </c>
      <c r="G118" s="17">
        <f>'Rozpočet - vybrané sloupce'!J90</f>
        <v>20</v>
      </c>
      <c r="H118" s="17">
        <f>'Rozpočet - vybrané sloupce'!K90</f>
        <v>0</v>
      </c>
      <c r="I118" s="74">
        <v>12</v>
      </c>
      <c r="J118" s="17">
        <f>ROUND(G118*AO118,2)</f>
        <v>0</v>
      </c>
      <c r="K118" s="17">
        <f>ROUND(G118*AP118,2)</f>
        <v>0</v>
      </c>
      <c r="L118" s="17">
        <f>ROUND(G118*H118,2)</f>
        <v>0</v>
      </c>
      <c r="M118" s="17">
        <f>L118*(1+BW118/100)</f>
        <v>0</v>
      </c>
      <c r="N118" s="17">
        <v>2.0999999999999999E-3</v>
      </c>
      <c r="O118" s="17">
        <f>G118*N118</f>
        <v>4.1999999999999996E-2</v>
      </c>
      <c r="P118" s="75" t="s">
        <v>576</v>
      </c>
      <c r="Z118" s="17">
        <f>ROUND(IF(AQ118="5",BJ118,0),2)</f>
        <v>0</v>
      </c>
      <c r="AB118" s="17">
        <f>ROUND(IF(AQ118="1",BH118,0),2)</f>
        <v>0</v>
      </c>
      <c r="AC118" s="17">
        <f>ROUND(IF(AQ118="1",BI118,0),2)</f>
        <v>0</v>
      </c>
      <c r="AD118" s="17">
        <f>ROUND(IF(AQ118="7",BH118,0),2)</f>
        <v>0</v>
      </c>
      <c r="AE118" s="17">
        <f>ROUND(IF(AQ118="7",BI118,0),2)</f>
        <v>0</v>
      </c>
      <c r="AF118" s="17">
        <f>ROUND(IF(AQ118="2",BH118,0),2)</f>
        <v>0</v>
      </c>
      <c r="AG118" s="17">
        <f>ROUND(IF(AQ118="2",BI118,0),2)</f>
        <v>0</v>
      </c>
      <c r="AH118" s="17">
        <f>ROUND(IF(AQ118="0",BJ118,0),2)</f>
        <v>0</v>
      </c>
      <c r="AI118" s="14" t="s">
        <v>99</v>
      </c>
      <c r="AJ118" s="17">
        <f>IF(AN118=0,L118,0)</f>
        <v>0</v>
      </c>
      <c r="AK118" s="17">
        <f>IF(AN118=12,L118,0)</f>
        <v>0</v>
      </c>
      <c r="AL118" s="17">
        <f>IF(AN118=21,L118,0)</f>
        <v>0</v>
      </c>
      <c r="AN118" s="17">
        <v>12</v>
      </c>
      <c r="AO118" s="17">
        <f>H118*0.734723375</f>
        <v>0</v>
      </c>
      <c r="AP118" s="17">
        <f>H118*(1-0.734723375)</f>
        <v>0</v>
      </c>
      <c r="AQ118" s="76" t="s">
        <v>577</v>
      </c>
      <c r="AV118" s="17">
        <f>ROUND(AW118+AX118,2)</f>
        <v>0</v>
      </c>
      <c r="AW118" s="17">
        <f>ROUND(G118*AO118,2)</f>
        <v>0</v>
      </c>
      <c r="AX118" s="17">
        <f>ROUND(G118*AP118,2)</f>
        <v>0</v>
      </c>
      <c r="AY118" s="76" t="s">
        <v>677</v>
      </c>
      <c r="AZ118" s="76" t="s">
        <v>678</v>
      </c>
      <c r="BA118" s="14" t="s">
        <v>670</v>
      </c>
      <c r="BC118" s="17">
        <f>AW118+AX118</f>
        <v>0</v>
      </c>
      <c r="BD118" s="17">
        <f>H118/(100-BE118)*100</f>
        <v>0</v>
      </c>
      <c r="BE118" s="17">
        <v>0</v>
      </c>
      <c r="BF118" s="17">
        <f>O118</f>
        <v>4.1999999999999996E-2</v>
      </c>
      <c r="BH118" s="17">
        <f>G118*AO118</f>
        <v>0</v>
      </c>
      <c r="BI118" s="17">
        <f>G118*AP118</f>
        <v>0</v>
      </c>
      <c r="BJ118" s="17">
        <f>G118*H118</f>
        <v>0</v>
      </c>
      <c r="BK118" s="17"/>
      <c r="BL118" s="17">
        <v>722</v>
      </c>
      <c r="BW118" s="17">
        <f>I118</f>
        <v>12</v>
      </c>
      <c r="BX118" s="4" t="s">
        <v>126</v>
      </c>
    </row>
    <row r="119" spans="1:76" x14ac:dyDescent="0.25">
      <c r="A119" s="1" t="s">
        <v>686</v>
      </c>
      <c r="B119" s="2" t="s">
        <v>99</v>
      </c>
      <c r="C119" s="2" t="s">
        <v>127</v>
      </c>
      <c r="D119" s="83" t="s">
        <v>128</v>
      </c>
      <c r="E119" s="84"/>
      <c r="F119" s="2" t="s">
        <v>31</v>
      </c>
      <c r="G119" s="17">
        <f>'Rozpočet - vybrané sloupce'!J91</f>
        <v>6</v>
      </c>
      <c r="H119" s="17">
        <f>'Rozpočet - vybrané sloupce'!K91</f>
        <v>0</v>
      </c>
      <c r="I119" s="74">
        <v>12</v>
      </c>
      <c r="J119" s="17">
        <f>ROUND(G119*AO119,2)</f>
        <v>0</v>
      </c>
      <c r="K119" s="17">
        <f>ROUND(G119*AP119,2)</f>
        <v>0</v>
      </c>
      <c r="L119" s="17">
        <f>ROUND(G119*H119,2)</f>
        <v>0</v>
      </c>
      <c r="M119" s="17">
        <f>L119*(1+BW119/100)</f>
        <v>0</v>
      </c>
      <c r="N119" s="17">
        <v>6.9999999999999994E-5</v>
      </c>
      <c r="O119" s="17">
        <f>G119*N119</f>
        <v>4.1999999999999996E-4</v>
      </c>
      <c r="P119" s="75" t="s">
        <v>576</v>
      </c>
      <c r="Z119" s="17">
        <f>ROUND(IF(AQ119="5",BJ119,0),2)</f>
        <v>0</v>
      </c>
      <c r="AB119" s="17">
        <f>ROUND(IF(AQ119="1",BH119,0),2)</f>
        <v>0</v>
      </c>
      <c r="AC119" s="17">
        <f>ROUND(IF(AQ119="1",BI119,0),2)</f>
        <v>0</v>
      </c>
      <c r="AD119" s="17">
        <f>ROUND(IF(AQ119="7",BH119,0),2)</f>
        <v>0</v>
      </c>
      <c r="AE119" s="17">
        <f>ROUND(IF(AQ119="7",BI119,0),2)</f>
        <v>0</v>
      </c>
      <c r="AF119" s="17">
        <f>ROUND(IF(AQ119="2",BH119,0),2)</f>
        <v>0</v>
      </c>
      <c r="AG119" s="17">
        <f>ROUND(IF(AQ119="2",BI119,0),2)</f>
        <v>0</v>
      </c>
      <c r="AH119" s="17">
        <f>ROUND(IF(AQ119="0",BJ119,0),2)</f>
        <v>0</v>
      </c>
      <c r="AI119" s="14" t="s">
        <v>99</v>
      </c>
      <c r="AJ119" s="17">
        <f>IF(AN119=0,L119,0)</f>
        <v>0</v>
      </c>
      <c r="AK119" s="17">
        <f>IF(AN119=12,L119,0)</f>
        <v>0</v>
      </c>
      <c r="AL119" s="17">
        <f>IF(AN119=21,L119,0)</f>
        <v>0</v>
      </c>
      <c r="AN119" s="17">
        <v>12</v>
      </c>
      <c r="AO119" s="17">
        <f>H119*0.244228188</f>
        <v>0</v>
      </c>
      <c r="AP119" s="17">
        <f>H119*(1-0.244228188)</f>
        <v>0</v>
      </c>
      <c r="AQ119" s="76" t="s">
        <v>577</v>
      </c>
      <c r="AV119" s="17">
        <f>ROUND(AW119+AX119,2)</f>
        <v>0</v>
      </c>
      <c r="AW119" s="17">
        <f>ROUND(G119*AO119,2)</f>
        <v>0</v>
      </c>
      <c r="AX119" s="17">
        <f>ROUND(G119*AP119,2)</f>
        <v>0</v>
      </c>
      <c r="AY119" s="76" t="s">
        <v>677</v>
      </c>
      <c r="AZ119" s="76" t="s">
        <v>678</v>
      </c>
      <c r="BA119" s="14" t="s">
        <v>670</v>
      </c>
      <c r="BC119" s="17">
        <f>AW119+AX119</f>
        <v>0</v>
      </c>
      <c r="BD119" s="17">
        <f>H119/(100-BE119)*100</f>
        <v>0</v>
      </c>
      <c r="BE119" s="17">
        <v>0</v>
      </c>
      <c r="BF119" s="17">
        <f>O119</f>
        <v>4.1999999999999996E-4</v>
      </c>
      <c r="BH119" s="17">
        <f>G119*AO119</f>
        <v>0</v>
      </c>
      <c r="BI119" s="17">
        <f>G119*AP119</f>
        <v>0</v>
      </c>
      <c r="BJ119" s="17">
        <f>G119*H119</f>
        <v>0</v>
      </c>
      <c r="BK119" s="17"/>
      <c r="BL119" s="17">
        <v>722</v>
      </c>
      <c r="BW119" s="17">
        <f>I119</f>
        <v>12</v>
      </c>
      <c r="BX119" s="4" t="s">
        <v>128</v>
      </c>
    </row>
    <row r="120" spans="1:76" x14ac:dyDescent="0.25">
      <c r="A120" s="77"/>
      <c r="C120" s="78" t="s">
        <v>610</v>
      </c>
      <c r="D120" s="161" t="s">
        <v>687</v>
      </c>
      <c r="E120" s="162"/>
      <c r="F120" s="162"/>
      <c r="G120" s="162"/>
      <c r="H120" s="162"/>
      <c r="I120" s="162"/>
      <c r="J120" s="162"/>
      <c r="K120" s="162"/>
      <c r="L120" s="162"/>
      <c r="M120" s="162"/>
      <c r="N120" s="162"/>
      <c r="O120" s="162"/>
      <c r="P120" s="163"/>
      <c r="BX120" s="79" t="s">
        <v>687</v>
      </c>
    </row>
    <row r="121" spans="1:76" x14ac:dyDescent="0.25">
      <c r="A121" s="1" t="s">
        <v>688</v>
      </c>
      <c r="B121" s="2" t="s">
        <v>99</v>
      </c>
      <c r="C121" s="2" t="s">
        <v>129</v>
      </c>
      <c r="D121" s="83" t="s">
        <v>130</v>
      </c>
      <c r="E121" s="84"/>
      <c r="F121" s="2" t="s">
        <v>31</v>
      </c>
      <c r="G121" s="17">
        <f>'Rozpočet - vybrané sloupce'!J92</f>
        <v>20</v>
      </c>
      <c r="H121" s="17">
        <f>'Rozpočet - vybrané sloupce'!K92</f>
        <v>0</v>
      </c>
      <c r="I121" s="74">
        <v>12</v>
      </c>
      <c r="J121" s="17">
        <f>ROUND(G121*AO121,2)</f>
        <v>0</v>
      </c>
      <c r="K121" s="17">
        <f>ROUND(G121*AP121,2)</f>
        <v>0</v>
      </c>
      <c r="L121" s="17">
        <f>ROUND(G121*H121,2)</f>
        <v>0</v>
      </c>
      <c r="M121" s="17">
        <f>L121*(1+BW121/100)</f>
        <v>0</v>
      </c>
      <c r="N121" s="17">
        <v>6.0000000000000002E-5</v>
      </c>
      <c r="O121" s="17">
        <f>G121*N121</f>
        <v>1.2000000000000001E-3</v>
      </c>
      <c r="P121" s="75" t="s">
        <v>576</v>
      </c>
      <c r="Z121" s="17">
        <f>ROUND(IF(AQ121="5",BJ121,0),2)</f>
        <v>0</v>
      </c>
      <c r="AB121" s="17">
        <f>ROUND(IF(AQ121="1",BH121,0),2)</f>
        <v>0</v>
      </c>
      <c r="AC121" s="17">
        <f>ROUND(IF(AQ121="1",BI121,0),2)</f>
        <v>0</v>
      </c>
      <c r="AD121" s="17">
        <f>ROUND(IF(AQ121="7",BH121,0),2)</f>
        <v>0</v>
      </c>
      <c r="AE121" s="17">
        <f>ROUND(IF(AQ121="7",BI121,0),2)</f>
        <v>0</v>
      </c>
      <c r="AF121" s="17">
        <f>ROUND(IF(AQ121="2",BH121,0),2)</f>
        <v>0</v>
      </c>
      <c r="AG121" s="17">
        <f>ROUND(IF(AQ121="2",BI121,0),2)</f>
        <v>0</v>
      </c>
      <c r="AH121" s="17">
        <f>ROUND(IF(AQ121="0",BJ121,0),2)</f>
        <v>0</v>
      </c>
      <c r="AI121" s="14" t="s">
        <v>99</v>
      </c>
      <c r="AJ121" s="17">
        <f>IF(AN121=0,L121,0)</f>
        <v>0</v>
      </c>
      <c r="AK121" s="17">
        <f>IF(AN121=12,L121,0)</f>
        <v>0</v>
      </c>
      <c r="AL121" s="17">
        <f>IF(AN121=21,L121,0)</f>
        <v>0</v>
      </c>
      <c r="AN121" s="17">
        <v>12</v>
      </c>
      <c r="AO121" s="17">
        <f>H121*0.242374429</f>
        <v>0</v>
      </c>
      <c r="AP121" s="17">
        <f>H121*(1-0.242374429)</f>
        <v>0</v>
      </c>
      <c r="AQ121" s="76" t="s">
        <v>577</v>
      </c>
      <c r="AV121" s="17">
        <f>ROUND(AW121+AX121,2)</f>
        <v>0</v>
      </c>
      <c r="AW121" s="17">
        <f>ROUND(G121*AO121,2)</f>
        <v>0</v>
      </c>
      <c r="AX121" s="17">
        <f>ROUND(G121*AP121,2)</f>
        <v>0</v>
      </c>
      <c r="AY121" s="76" t="s">
        <v>677</v>
      </c>
      <c r="AZ121" s="76" t="s">
        <v>678</v>
      </c>
      <c r="BA121" s="14" t="s">
        <v>670</v>
      </c>
      <c r="BC121" s="17">
        <f>AW121+AX121</f>
        <v>0</v>
      </c>
      <c r="BD121" s="17">
        <f>H121/(100-BE121)*100</f>
        <v>0</v>
      </c>
      <c r="BE121" s="17">
        <v>0</v>
      </c>
      <c r="BF121" s="17">
        <f>O121</f>
        <v>1.2000000000000001E-3</v>
      </c>
      <c r="BH121" s="17">
        <f>G121*AO121</f>
        <v>0</v>
      </c>
      <c r="BI121" s="17">
        <f>G121*AP121</f>
        <v>0</v>
      </c>
      <c r="BJ121" s="17">
        <f>G121*H121</f>
        <v>0</v>
      </c>
      <c r="BK121" s="17"/>
      <c r="BL121" s="17">
        <v>722</v>
      </c>
      <c r="BW121" s="17">
        <f>I121</f>
        <v>12</v>
      </c>
      <c r="BX121" s="4" t="s">
        <v>130</v>
      </c>
    </row>
    <row r="122" spans="1:76" x14ac:dyDescent="0.25">
      <c r="A122" s="77"/>
      <c r="C122" s="78" t="s">
        <v>610</v>
      </c>
      <c r="D122" s="161" t="s">
        <v>687</v>
      </c>
      <c r="E122" s="162"/>
      <c r="F122" s="162"/>
      <c r="G122" s="162"/>
      <c r="H122" s="162"/>
      <c r="I122" s="162"/>
      <c r="J122" s="162"/>
      <c r="K122" s="162"/>
      <c r="L122" s="162"/>
      <c r="M122" s="162"/>
      <c r="N122" s="162"/>
      <c r="O122" s="162"/>
      <c r="P122" s="163"/>
      <c r="BX122" s="79" t="s">
        <v>687</v>
      </c>
    </row>
    <row r="123" spans="1:76" x14ac:dyDescent="0.25">
      <c r="A123" s="1" t="s">
        <v>689</v>
      </c>
      <c r="B123" s="2" t="s">
        <v>99</v>
      </c>
      <c r="C123" s="2" t="s">
        <v>131</v>
      </c>
      <c r="D123" s="83" t="s">
        <v>132</v>
      </c>
      <c r="E123" s="84"/>
      <c r="F123" s="2" t="s">
        <v>31</v>
      </c>
      <c r="G123" s="17">
        <f>'Rozpočet - vybrané sloupce'!J93</f>
        <v>20</v>
      </c>
      <c r="H123" s="17">
        <f>'Rozpočet - vybrané sloupce'!K93</f>
        <v>0</v>
      </c>
      <c r="I123" s="74">
        <v>12</v>
      </c>
      <c r="J123" s="17">
        <f>ROUND(G123*AO123,2)</f>
        <v>0</v>
      </c>
      <c r="K123" s="17">
        <f>ROUND(G123*AP123,2)</f>
        <v>0</v>
      </c>
      <c r="L123" s="17">
        <f>ROUND(G123*H123,2)</f>
        <v>0</v>
      </c>
      <c r="M123" s="17">
        <f>L123*(1+BW123/100)</f>
        <v>0</v>
      </c>
      <c r="N123" s="17">
        <v>1.9000000000000001E-4</v>
      </c>
      <c r="O123" s="17">
        <f>G123*N123</f>
        <v>3.8000000000000004E-3</v>
      </c>
      <c r="P123" s="75" t="s">
        <v>576</v>
      </c>
      <c r="Z123" s="17">
        <f>ROUND(IF(AQ123="5",BJ123,0),2)</f>
        <v>0</v>
      </c>
      <c r="AB123" s="17">
        <f>ROUND(IF(AQ123="1",BH123,0),2)</f>
        <v>0</v>
      </c>
      <c r="AC123" s="17">
        <f>ROUND(IF(AQ123="1",BI123,0),2)</f>
        <v>0</v>
      </c>
      <c r="AD123" s="17">
        <f>ROUND(IF(AQ123="7",BH123,0),2)</f>
        <v>0</v>
      </c>
      <c r="AE123" s="17">
        <f>ROUND(IF(AQ123="7",BI123,0),2)</f>
        <v>0</v>
      </c>
      <c r="AF123" s="17">
        <f>ROUND(IF(AQ123="2",BH123,0),2)</f>
        <v>0</v>
      </c>
      <c r="AG123" s="17">
        <f>ROUND(IF(AQ123="2",BI123,0),2)</f>
        <v>0</v>
      </c>
      <c r="AH123" s="17">
        <f>ROUND(IF(AQ123="0",BJ123,0),2)</f>
        <v>0</v>
      </c>
      <c r="AI123" s="14" t="s">
        <v>99</v>
      </c>
      <c r="AJ123" s="17">
        <f>IF(AN123=0,L123,0)</f>
        <v>0</v>
      </c>
      <c r="AK123" s="17">
        <f>IF(AN123=12,L123,0)</f>
        <v>0</v>
      </c>
      <c r="AL123" s="17">
        <f>IF(AN123=21,L123,0)</f>
        <v>0</v>
      </c>
      <c r="AN123" s="17">
        <v>12</v>
      </c>
      <c r="AO123" s="17">
        <f>H123*0.336695157</f>
        <v>0</v>
      </c>
      <c r="AP123" s="17">
        <f>H123*(1-0.336695157)</f>
        <v>0</v>
      </c>
      <c r="AQ123" s="76" t="s">
        <v>577</v>
      </c>
      <c r="AV123" s="17">
        <f>ROUND(AW123+AX123,2)</f>
        <v>0</v>
      </c>
      <c r="AW123" s="17">
        <f>ROUND(G123*AO123,2)</f>
        <v>0</v>
      </c>
      <c r="AX123" s="17">
        <f>ROUND(G123*AP123,2)</f>
        <v>0</v>
      </c>
      <c r="AY123" s="76" t="s">
        <v>677</v>
      </c>
      <c r="AZ123" s="76" t="s">
        <v>678</v>
      </c>
      <c r="BA123" s="14" t="s">
        <v>670</v>
      </c>
      <c r="BC123" s="17">
        <f>AW123+AX123</f>
        <v>0</v>
      </c>
      <c r="BD123" s="17">
        <f>H123/(100-BE123)*100</f>
        <v>0</v>
      </c>
      <c r="BE123" s="17">
        <v>0</v>
      </c>
      <c r="BF123" s="17">
        <f>O123</f>
        <v>3.8000000000000004E-3</v>
      </c>
      <c r="BH123" s="17">
        <f>G123*AO123</f>
        <v>0</v>
      </c>
      <c r="BI123" s="17">
        <f>G123*AP123</f>
        <v>0</v>
      </c>
      <c r="BJ123" s="17">
        <f>G123*H123</f>
        <v>0</v>
      </c>
      <c r="BK123" s="17"/>
      <c r="BL123" s="17">
        <v>722</v>
      </c>
      <c r="BW123" s="17">
        <f>I123</f>
        <v>12</v>
      </c>
      <c r="BX123" s="4" t="s">
        <v>132</v>
      </c>
    </row>
    <row r="124" spans="1:76" x14ac:dyDescent="0.25">
      <c r="A124" s="77"/>
      <c r="C124" s="78" t="s">
        <v>610</v>
      </c>
      <c r="D124" s="161" t="s">
        <v>687</v>
      </c>
      <c r="E124" s="162"/>
      <c r="F124" s="162"/>
      <c r="G124" s="162"/>
      <c r="H124" s="162"/>
      <c r="I124" s="162"/>
      <c r="J124" s="162"/>
      <c r="K124" s="162"/>
      <c r="L124" s="162"/>
      <c r="M124" s="162"/>
      <c r="N124" s="162"/>
      <c r="O124" s="162"/>
      <c r="P124" s="163"/>
      <c r="BX124" s="79" t="s">
        <v>687</v>
      </c>
    </row>
    <row r="125" spans="1:76" x14ac:dyDescent="0.25">
      <c r="A125" s="1" t="s">
        <v>690</v>
      </c>
      <c r="B125" s="2" t="s">
        <v>99</v>
      </c>
      <c r="C125" s="2" t="s">
        <v>133</v>
      </c>
      <c r="D125" s="83" t="s">
        <v>134</v>
      </c>
      <c r="E125" s="84"/>
      <c r="F125" s="2" t="s">
        <v>31</v>
      </c>
      <c r="G125" s="17">
        <f>'Rozpočet - vybrané sloupce'!J94</f>
        <v>25</v>
      </c>
      <c r="H125" s="17">
        <f>'Rozpočet - vybrané sloupce'!K94</f>
        <v>0</v>
      </c>
      <c r="I125" s="74">
        <v>12</v>
      </c>
      <c r="J125" s="17">
        <f>ROUND(G125*AO125,2)</f>
        <v>0</v>
      </c>
      <c r="K125" s="17">
        <f>ROUND(G125*AP125,2)</f>
        <v>0</v>
      </c>
      <c r="L125" s="17">
        <f>ROUND(G125*H125,2)</f>
        <v>0</v>
      </c>
      <c r="M125" s="17">
        <f>L125*(1+BW125/100)</f>
        <v>0</v>
      </c>
      <c r="N125" s="17">
        <v>6.9999999999999994E-5</v>
      </c>
      <c r="O125" s="17">
        <f>G125*N125</f>
        <v>1.7499999999999998E-3</v>
      </c>
      <c r="P125" s="75" t="s">
        <v>576</v>
      </c>
      <c r="Z125" s="17">
        <f>ROUND(IF(AQ125="5",BJ125,0),2)</f>
        <v>0</v>
      </c>
      <c r="AB125" s="17">
        <f>ROUND(IF(AQ125="1",BH125,0),2)</f>
        <v>0</v>
      </c>
      <c r="AC125" s="17">
        <f>ROUND(IF(AQ125="1",BI125,0),2)</f>
        <v>0</v>
      </c>
      <c r="AD125" s="17">
        <f>ROUND(IF(AQ125="7",BH125,0),2)</f>
        <v>0</v>
      </c>
      <c r="AE125" s="17">
        <f>ROUND(IF(AQ125="7",BI125,0),2)</f>
        <v>0</v>
      </c>
      <c r="AF125" s="17">
        <f>ROUND(IF(AQ125="2",BH125,0),2)</f>
        <v>0</v>
      </c>
      <c r="AG125" s="17">
        <f>ROUND(IF(AQ125="2",BI125,0),2)</f>
        <v>0</v>
      </c>
      <c r="AH125" s="17">
        <f>ROUND(IF(AQ125="0",BJ125,0),2)</f>
        <v>0</v>
      </c>
      <c r="AI125" s="14" t="s">
        <v>99</v>
      </c>
      <c r="AJ125" s="17">
        <f>IF(AN125=0,L125,0)</f>
        <v>0</v>
      </c>
      <c r="AK125" s="17">
        <f>IF(AN125=12,L125,0)</f>
        <v>0</v>
      </c>
      <c r="AL125" s="17">
        <f>IF(AN125=21,L125,0)</f>
        <v>0</v>
      </c>
      <c r="AN125" s="17">
        <v>12</v>
      </c>
      <c r="AO125" s="17">
        <f>H125*0.496107383</f>
        <v>0</v>
      </c>
      <c r="AP125" s="17">
        <f>H125*(1-0.496107383)</f>
        <v>0</v>
      </c>
      <c r="AQ125" s="76" t="s">
        <v>577</v>
      </c>
      <c r="AV125" s="17">
        <f>ROUND(AW125+AX125,2)</f>
        <v>0</v>
      </c>
      <c r="AW125" s="17">
        <f>ROUND(G125*AO125,2)</f>
        <v>0</v>
      </c>
      <c r="AX125" s="17">
        <f>ROUND(G125*AP125,2)</f>
        <v>0</v>
      </c>
      <c r="AY125" s="76" t="s">
        <v>677</v>
      </c>
      <c r="AZ125" s="76" t="s">
        <v>678</v>
      </c>
      <c r="BA125" s="14" t="s">
        <v>670</v>
      </c>
      <c r="BC125" s="17">
        <f>AW125+AX125</f>
        <v>0</v>
      </c>
      <c r="BD125" s="17">
        <f>H125/(100-BE125)*100</f>
        <v>0</v>
      </c>
      <c r="BE125" s="17">
        <v>0</v>
      </c>
      <c r="BF125" s="17">
        <f>O125</f>
        <v>1.7499999999999998E-3</v>
      </c>
      <c r="BH125" s="17">
        <f>G125*AO125</f>
        <v>0</v>
      </c>
      <c r="BI125" s="17">
        <f>G125*AP125</f>
        <v>0</v>
      </c>
      <c r="BJ125" s="17">
        <f>G125*H125</f>
        <v>0</v>
      </c>
      <c r="BK125" s="17"/>
      <c r="BL125" s="17">
        <v>722</v>
      </c>
      <c r="BW125" s="17">
        <f>I125</f>
        <v>12</v>
      </c>
      <c r="BX125" s="4" t="s">
        <v>134</v>
      </c>
    </row>
    <row r="126" spans="1:76" x14ac:dyDescent="0.25">
      <c r="A126" s="77"/>
      <c r="C126" s="78" t="s">
        <v>610</v>
      </c>
      <c r="D126" s="161" t="s">
        <v>687</v>
      </c>
      <c r="E126" s="162"/>
      <c r="F126" s="162"/>
      <c r="G126" s="162"/>
      <c r="H126" s="162"/>
      <c r="I126" s="162"/>
      <c r="J126" s="162"/>
      <c r="K126" s="162"/>
      <c r="L126" s="162"/>
      <c r="M126" s="162"/>
      <c r="N126" s="162"/>
      <c r="O126" s="162"/>
      <c r="P126" s="163"/>
      <c r="BX126" s="79" t="s">
        <v>687</v>
      </c>
    </row>
    <row r="127" spans="1:76" x14ac:dyDescent="0.25">
      <c r="A127" s="1" t="s">
        <v>691</v>
      </c>
      <c r="B127" s="2" t="s">
        <v>99</v>
      </c>
      <c r="C127" s="2" t="s">
        <v>135</v>
      </c>
      <c r="D127" s="83" t="s">
        <v>136</v>
      </c>
      <c r="E127" s="84"/>
      <c r="F127" s="2" t="s">
        <v>31</v>
      </c>
      <c r="G127" s="17">
        <f>'Rozpočet - vybrané sloupce'!J95</f>
        <v>20</v>
      </c>
      <c r="H127" s="17">
        <f>'Rozpočet - vybrané sloupce'!K95</f>
        <v>0</v>
      </c>
      <c r="I127" s="74">
        <v>12</v>
      </c>
      <c r="J127" s="17">
        <f>ROUND(G127*AO127,2)</f>
        <v>0</v>
      </c>
      <c r="K127" s="17">
        <f>ROUND(G127*AP127,2)</f>
        <v>0</v>
      </c>
      <c r="L127" s="17">
        <f>ROUND(G127*H127,2)</f>
        <v>0</v>
      </c>
      <c r="M127" s="17">
        <f>L127*(1+BW127/100)</f>
        <v>0</v>
      </c>
      <c r="N127" s="17">
        <v>6.9999999999999994E-5</v>
      </c>
      <c r="O127" s="17">
        <f>G127*N127</f>
        <v>1.3999999999999998E-3</v>
      </c>
      <c r="P127" s="75" t="s">
        <v>576</v>
      </c>
      <c r="Z127" s="17">
        <f>ROUND(IF(AQ127="5",BJ127,0),2)</f>
        <v>0</v>
      </c>
      <c r="AB127" s="17">
        <f>ROUND(IF(AQ127="1",BH127,0),2)</f>
        <v>0</v>
      </c>
      <c r="AC127" s="17">
        <f>ROUND(IF(AQ127="1",BI127,0),2)</f>
        <v>0</v>
      </c>
      <c r="AD127" s="17">
        <f>ROUND(IF(AQ127="7",BH127,0),2)</f>
        <v>0</v>
      </c>
      <c r="AE127" s="17">
        <f>ROUND(IF(AQ127="7",BI127,0),2)</f>
        <v>0</v>
      </c>
      <c r="AF127" s="17">
        <f>ROUND(IF(AQ127="2",BH127,0),2)</f>
        <v>0</v>
      </c>
      <c r="AG127" s="17">
        <f>ROUND(IF(AQ127="2",BI127,0),2)</f>
        <v>0</v>
      </c>
      <c r="AH127" s="17">
        <f>ROUND(IF(AQ127="0",BJ127,0),2)</f>
        <v>0</v>
      </c>
      <c r="AI127" s="14" t="s">
        <v>99</v>
      </c>
      <c r="AJ127" s="17">
        <f>IF(AN127=0,L127,0)</f>
        <v>0</v>
      </c>
      <c r="AK127" s="17">
        <f>IF(AN127=12,L127,0)</f>
        <v>0</v>
      </c>
      <c r="AL127" s="17">
        <f>IF(AN127=21,L127,0)</f>
        <v>0</v>
      </c>
      <c r="AN127" s="17">
        <v>12</v>
      </c>
      <c r="AO127" s="17">
        <f>H127*0.523301587</f>
        <v>0</v>
      </c>
      <c r="AP127" s="17">
        <f>H127*(1-0.523301587)</f>
        <v>0</v>
      </c>
      <c r="AQ127" s="76" t="s">
        <v>577</v>
      </c>
      <c r="AV127" s="17">
        <f>ROUND(AW127+AX127,2)</f>
        <v>0</v>
      </c>
      <c r="AW127" s="17">
        <f>ROUND(G127*AO127,2)</f>
        <v>0</v>
      </c>
      <c r="AX127" s="17">
        <f>ROUND(G127*AP127,2)</f>
        <v>0</v>
      </c>
      <c r="AY127" s="76" t="s">
        <v>677</v>
      </c>
      <c r="AZ127" s="76" t="s">
        <v>678</v>
      </c>
      <c r="BA127" s="14" t="s">
        <v>670</v>
      </c>
      <c r="BC127" s="17">
        <f>AW127+AX127</f>
        <v>0</v>
      </c>
      <c r="BD127" s="17">
        <f>H127/(100-BE127)*100</f>
        <v>0</v>
      </c>
      <c r="BE127" s="17">
        <v>0</v>
      </c>
      <c r="BF127" s="17">
        <f>O127</f>
        <v>1.3999999999999998E-3</v>
      </c>
      <c r="BH127" s="17">
        <f>G127*AO127</f>
        <v>0</v>
      </c>
      <c r="BI127" s="17">
        <f>G127*AP127</f>
        <v>0</v>
      </c>
      <c r="BJ127" s="17">
        <f>G127*H127</f>
        <v>0</v>
      </c>
      <c r="BK127" s="17"/>
      <c r="BL127" s="17">
        <v>722</v>
      </c>
      <c r="BW127" s="17">
        <f>I127</f>
        <v>12</v>
      </c>
      <c r="BX127" s="4" t="s">
        <v>136</v>
      </c>
    </row>
    <row r="128" spans="1:76" x14ac:dyDescent="0.25">
      <c r="A128" s="77"/>
      <c r="C128" s="78" t="s">
        <v>610</v>
      </c>
      <c r="D128" s="161" t="s">
        <v>687</v>
      </c>
      <c r="E128" s="162"/>
      <c r="F128" s="162"/>
      <c r="G128" s="162"/>
      <c r="H128" s="162"/>
      <c r="I128" s="162"/>
      <c r="J128" s="162"/>
      <c r="K128" s="162"/>
      <c r="L128" s="162"/>
      <c r="M128" s="162"/>
      <c r="N128" s="162"/>
      <c r="O128" s="162"/>
      <c r="P128" s="163"/>
      <c r="BX128" s="79" t="s">
        <v>687</v>
      </c>
    </row>
    <row r="129" spans="1:76" x14ac:dyDescent="0.25">
      <c r="A129" s="1" t="s">
        <v>692</v>
      </c>
      <c r="B129" s="2" t="s">
        <v>99</v>
      </c>
      <c r="C129" s="2" t="s">
        <v>137</v>
      </c>
      <c r="D129" s="83" t="s">
        <v>138</v>
      </c>
      <c r="E129" s="84"/>
      <c r="F129" s="2" t="s">
        <v>31</v>
      </c>
      <c r="G129" s="17">
        <f>'Rozpočet - vybrané sloupce'!J96</f>
        <v>19</v>
      </c>
      <c r="H129" s="17">
        <f>'Rozpočet - vybrané sloupce'!K96</f>
        <v>0</v>
      </c>
      <c r="I129" s="74">
        <v>12</v>
      </c>
      <c r="J129" s="17">
        <f>ROUND(G129*AO129,2)</f>
        <v>0</v>
      </c>
      <c r="K129" s="17">
        <f>ROUND(G129*AP129,2)</f>
        <v>0</v>
      </c>
      <c r="L129" s="17">
        <f>ROUND(G129*H129,2)</f>
        <v>0</v>
      </c>
      <c r="M129" s="17">
        <f>L129*(1+BW129/100)</f>
        <v>0</v>
      </c>
      <c r="N129" s="17">
        <v>8.0000000000000007E-5</v>
      </c>
      <c r="O129" s="17">
        <f>G129*N129</f>
        <v>1.5200000000000001E-3</v>
      </c>
      <c r="P129" s="75" t="s">
        <v>576</v>
      </c>
      <c r="Z129" s="17">
        <f>ROUND(IF(AQ129="5",BJ129,0),2)</f>
        <v>0</v>
      </c>
      <c r="AB129" s="17">
        <f>ROUND(IF(AQ129="1",BH129,0),2)</f>
        <v>0</v>
      </c>
      <c r="AC129" s="17">
        <f>ROUND(IF(AQ129="1",BI129,0),2)</f>
        <v>0</v>
      </c>
      <c r="AD129" s="17">
        <f>ROUND(IF(AQ129="7",BH129,0),2)</f>
        <v>0</v>
      </c>
      <c r="AE129" s="17">
        <f>ROUND(IF(AQ129="7",BI129,0),2)</f>
        <v>0</v>
      </c>
      <c r="AF129" s="17">
        <f>ROUND(IF(AQ129="2",BH129,0),2)</f>
        <v>0</v>
      </c>
      <c r="AG129" s="17">
        <f>ROUND(IF(AQ129="2",BI129,0),2)</f>
        <v>0</v>
      </c>
      <c r="AH129" s="17">
        <f>ROUND(IF(AQ129="0",BJ129,0),2)</f>
        <v>0</v>
      </c>
      <c r="AI129" s="14" t="s">
        <v>99</v>
      </c>
      <c r="AJ129" s="17">
        <f>IF(AN129=0,L129,0)</f>
        <v>0</v>
      </c>
      <c r="AK129" s="17">
        <f>IF(AN129=12,L129,0)</f>
        <v>0</v>
      </c>
      <c r="AL129" s="17">
        <f>IF(AN129=21,L129,0)</f>
        <v>0</v>
      </c>
      <c r="AN129" s="17">
        <v>12</v>
      </c>
      <c r="AO129" s="17">
        <f>H129*0.527714286</f>
        <v>0</v>
      </c>
      <c r="AP129" s="17">
        <f>H129*(1-0.527714286)</f>
        <v>0</v>
      </c>
      <c r="AQ129" s="76" t="s">
        <v>577</v>
      </c>
      <c r="AV129" s="17">
        <f>ROUND(AW129+AX129,2)</f>
        <v>0</v>
      </c>
      <c r="AW129" s="17">
        <f>ROUND(G129*AO129,2)</f>
        <v>0</v>
      </c>
      <c r="AX129" s="17">
        <f>ROUND(G129*AP129,2)</f>
        <v>0</v>
      </c>
      <c r="AY129" s="76" t="s">
        <v>677</v>
      </c>
      <c r="AZ129" s="76" t="s">
        <v>678</v>
      </c>
      <c r="BA129" s="14" t="s">
        <v>670</v>
      </c>
      <c r="BC129" s="17">
        <f>AW129+AX129</f>
        <v>0</v>
      </c>
      <c r="BD129" s="17">
        <f>H129/(100-BE129)*100</f>
        <v>0</v>
      </c>
      <c r="BE129" s="17">
        <v>0</v>
      </c>
      <c r="BF129" s="17">
        <f>O129</f>
        <v>1.5200000000000001E-3</v>
      </c>
      <c r="BH129" s="17">
        <f>G129*AO129</f>
        <v>0</v>
      </c>
      <c r="BI129" s="17">
        <f>G129*AP129</f>
        <v>0</v>
      </c>
      <c r="BJ129" s="17">
        <f>G129*H129</f>
        <v>0</v>
      </c>
      <c r="BK129" s="17"/>
      <c r="BL129" s="17">
        <v>722</v>
      </c>
      <c r="BW129" s="17">
        <f>I129</f>
        <v>12</v>
      </c>
      <c r="BX129" s="4" t="s">
        <v>138</v>
      </c>
    </row>
    <row r="130" spans="1:76" x14ac:dyDescent="0.25">
      <c r="A130" s="77"/>
      <c r="C130" s="78" t="s">
        <v>610</v>
      </c>
      <c r="D130" s="161" t="s">
        <v>687</v>
      </c>
      <c r="E130" s="162"/>
      <c r="F130" s="162"/>
      <c r="G130" s="162"/>
      <c r="H130" s="162"/>
      <c r="I130" s="162"/>
      <c r="J130" s="162"/>
      <c r="K130" s="162"/>
      <c r="L130" s="162"/>
      <c r="M130" s="162"/>
      <c r="N130" s="162"/>
      <c r="O130" s="162"/>
      <c r="P130" s="163"/>
      <c r="BX130" s="79" t="s">
        <v>687</v>
      </c>
    </row>
    <row r="131" spans="1:76" x14ac:dyDescent="0.25">
      <c r="A131" s="1" t="s">
        <v>693</v>
      </c>
      <c r="B131" s="2" t="s">
        <v>99</v>
      </c>
      <c r="C131" s="2" t="s">
        <v>139</v>
      </c>
      <c r="D131" s="83" t="s">
        <v>140</v>
      </c>
      <c r="E131" s="84"/>
      <c r="F131" s="2" t="s">
        <v>31</v>
      </c>
      <c r="G131" s="17">
        <f>'Rozpočet - vybrané sloupce'!J97</f>
        <v>14</v>
      </c>
      <c r="H131" s="17">
        <f>'Rozpočet - vybrané sloupce'!K97</f>
        <v>0</v>
      </c>
      <c r="I131" s="74">
        <v>12</v>
      </c>
      <c r="J131" s="17">
        <f>ROUND(G131*AO131,2)</f>
        <v>0</v>
      </c>
      <c r="K131" s="17">
        <f>ROUND(G131*AP131,2)</f>
        <v>0</v>
      </c>
      <c r="L131" s="17">
        <f>ROUND(G131*H131,2)</f>
        <v>0</v>
      </c>
      <c r="M131" s="17">
        <f>L131*(1+BW131/100)</f>
        <v>0</v>
      </c>
      <c r="N131" s="17">
        <v>1.2999999999999999E-4</v>
      </c>
      <c r="O131" s="17">
        <f>G131*N131</f>
        <v>1.8199999999999998E-3</v>
      </c>
      <c r="P131" s="75" t="s">
        <v>576</v>
      </c>
      <c r="Z131" s="17">
        <f>ROUND(IF(AQ131="5",BJ131,0),2)</f>
        <v>0</v>
      </c>
      <c r="AB131" s="17">
        <f>ROUND(IF(AQ131="1",BH131,0),2)</f>
        <v>0</v>
      </c>
      <c r="AC131" s="17">
        <f>ROUND(IF(AQ131="1",BI131,0),2)</f>
        <v>0</v>
      </c>
      <c r="AD131" s="17">
        <f>ROUND(IF(AQ131="7",BH131,0),2)</f>
        <v>0</v>
      </c>
      <c r="AE131" s="17">
        <f>ROUND(IF(AQ131="7",BI131,0),2)</f>
        <v>0</v>
      </c>
      <c r="AF131" s="17">
        <f>ROUND(IF(AQ131="2",BH131,0),2)</f>
        <v>0</v>
      </c>
      <c r="AG131" s="17">
        <f>ROUND(IF(AQ131="2",BI131,0),2)</f>
        <v>0</v>
      </c>
      <c r="AH131" s="17">
        <f>ROUND(IF(AQ131="0",BJ131,0),2)</f>
        <v>0</v>
      </c>
      <c r="AI131" s="14" t="s">
        <v>99</v>
      </c>
      <c r="AJ131" s="17">
        <f>IF(AN131=0,L131,0)</f>
        <v>0</v>
      </c>
      <c r="AK131" s="17">
        <f>IF(AN131=12,L131,0)</f>
        <v>0</v>
      </c>
      <c r="AL131" s="17">
        <f>IF(AN131=21,L131,0)</f>
        <v>0</v>
      </c>
      <c r="AN131" s="17">
        <v>12</v>
      </c>
      <c r="AO131" s="17">
        <f>H131*0.526528497</f>
        <v>0</v>
      </c>
      <c r="AP131" s="17">
        <f>H131*(1-0.526528497)</f>
        <v>0</v>
      </c>
      <c r="AQ131" s="76" t="s">
        <v>577</v>
      </c>
      <c r="AV131" s="17">
        <f>ROUND(AW131+AX131,2)</f>
        <v>0</v>
      </c>
      <c r="AW131" s="17">
        <f>ROUND(G131*AO131,2)</f>
        <v>0</v>
      </c>
      <c r="AX131" s="17">
        <f>ROUND(G131*AP131,2)</f>
        <v>0</v>
      </c>
      <c r="AY131" s="76" t="s">
        <v>677</v>
      </c>
      <c r="AZ131" s="76" t="s">
        <v>678</v>
      </c>
      <c r="BA131" s="14" t="s">
        <v>670</v>
      </c>
      <c r="BC131" s="17">
        <f>AW131+AX131</f>
        <v>0</v>
      </c>
      <c r="BD131" s="17">
        <f>H131/(100-BE131)*100</f>
        <v>0</v>
      </c>
      <c r="BE131" s="17">
        <v>0</v>
      </c>
      <c r="BF131" s="17">
        <f>O131</f>
        <v>1.8199999999999998E-3</v>
      </c>
      <c r="BH131" s="17">
        <f>G131*AO131</f>
        <v>0</v>
      </c>
      <c r="BI131" s="17">
        <f>G131*AP131</f>
        <v>0</v>
      </c>
      <c r="BJ131" s="17">
        <f>G131*H131</f>
        <v>0</v>
      </c>
      <c r="BK131" s="17"/>
      <c r="BL131" s="17">
        <v>722</v>
      </c>
      <c r="BW131" s="17">
        <f>I131</f>
        <v>12</v>
      </c>
      <c r="BX131" s="4" t="s">
        <v>140</v>
      </c>
    </row>
    <row r="132" spans="1:76" x14ac:dyDescent="0.25">
      <c r="A132" s="77"/>
      <c r="C132" s="78" t="s">
        <v>610</v>
      </c>
      <c r="D132" s="161" t="s">
        <v>687</v>
      </c>
      <c r="E132" s="162"/>
      <c r="F132" s="162"/>
      <c r="G132" s="162"/>
      <c r="H132" s="162"/>
      <c r="I132" s="162"/>
      <c r="J132" s="162"/>
      <c r="K132" s="162"/>
      <c r="L132" s="162"/>
      <c r="M132" s="162"/>
      <c r="N132" s="162"/>
      <c r="O132" s="162"/>
      <c r="P132" s="163"/>
      <c r="BX132" s="79" t="s">
        <v>687</v>
      </c>
    </row>
    <row r="133" spans="1:76" x14ac:dyDescent="0.25">
      <c r="A133" s="1" t="s">
        <v>694</v>
      </c>
      <c r="B133" s="2" t="s">
        <v>99</v>
      </c>
      <c r="C133" s="2" t="s">
        <v>141</v>
      </c>
      <c r="D133" s="83" t="s">
        <v>142</v>
      </c>
      <c r="E133" s="84"/>
      <c r="F133" s="2" t="s">
        <v>31</v>
      </c>
      <c r="G133" s="17">
        <f>'Rozpočet - vybrané sloupce'!J98</f>
        <v>20</v>
      </c>
      <c r="H133" s="17">
        <f>'Rozpočet - vybrané sloupce'!K98</f>
        <v>0</v>
      </c>
      <c r="I133" s="74">
        <v>12</v>
      </c>
      <c r="J133" s="17">
        <f t="shared" ref="J133:J158" si="182">ROUND(G133*AO133,2)</f>
        <v>0</v>
      </c>
      <c r="K133" s="17">
        <f t="shared" ref="K133:K158" si="183">ROUND(G133*AP133,2)</f>
        <v>0</v>
      </c>
      <c r="L133" s="17">
        <f t="shared" ref="L133:L158" si="184">ROUND(G133*H133,2)</f>
        <v>0</v>
      </c>
      <c r="M133" s="17">
        <f t="shared" ref="M133:M158" si="185">L133*(1+BW133/100)</f>
        <v>0</v>
      </c>
      <c r="N133" s="17">
        <v>0</v>
      </c>
      <c r="O133" s="17">
        <f t="shared" ref="O133:O158" si="186">G133*N133</f>
        <v>0</v>
      </c>
      <c r="P133" s="75" t="s">
        <v>576</v>
      </c>
      <c r="Z133" s="17">
        <f t="shared" ref="Z133:Z158" si="187">ROUND(IF(AQ133="5",BJ133,0),2)</f>
        <v>0</v>
      </c>
      <c r="AB133" s="17">
        <f t="shared" ref="AB133:AB158" si="188">ROUND(IF(AQ133="1",BH133,0),2)</f>
        <v>0</v>
      </c>
      <c r="AC133" s="17">
        <f t="shared" ref="AC133:AC158" si="189">ROUND(IF(AQ133="1",BI133,0),2)</f>
        <v>0</v>
      </c>
      <c r="AD133" s="17">
        <f t="shared" ref="AD133:AD158" si="190">ROUND(IF(AQ133="7",BH133,0),2)</f>
        <v>0</v>
      </c>
      <c r="AE133" s="17">
        <f t="shared" ref="AE133:AE158" si="191">ROUND(IF(AQ133="7",BI133,0),2)</f>
        <v>0</v>
      </c>
      <c r="AF133" s="17">
        <f t="shared" ref="AF133:AF158" si="192">ROUND(IF(AQ133="2",BH133,0),2)</f>
        <v>0</v>
      </c>
      <c r="AG133" s="17">
        <f t="shared" ref="AG133:AG158" si="193">ROUND(IF(AQ133="2",BI133,0),2)</f>
        <v>0</v>
      </c>
      <c r="AH133" s="17">
        <f t="shared" ref="AH133:AH158" si="194">ROUND(IF(AQ133="0",BJ133,0),2)</f>
        <v>0</v>
      </c>
      <c r="AI133" s="14" t="s">
        <v>99</v>
      </c>
      <c r="AJ133" s="17">
        <f t="shared" ref="AJ133:AJ158" si="195">IF(AN133=0,L133,0)</f>
        <v>0</v>
      </c>
      <c r="AK133" s="17">
        <f t="shared" ref="AK133:AK158" si="196">IF(AN133=12,L133,0)</f>
        <v>0</v>
      </c>
      <c r="AL133" s="17">
        <f t="shared" ref="AL133:AL158" si="197">IF(AN133=21,L133,0)</f>
        <v>0</v>
      </c>
      <c r="AN133" s="17">
        <v>12</v>
      </c>
      <c r="AO133" s="17">
        <f t="shared" ref="AO133:AO138" si="198">H133*1</f>
        <v>0</v>
      </c>
      <c r="AP133" s="17">
        <f t="shared" ref="AP133:AP138" si="199">H133*(1-1)</f>
        <v>0</v>
      </c>
      <c r="AQ133" s="76" t="s">
        <v>577</v>
      </c>
      <c r="AV133" s="17">
        <f t="shared" ref="AV133:AV158" si="200">ROUND(AW133+AX133,2)</f>
        <v>0</v>
      </c>
      <c r="AW133" s="17">
        <f t="shared" ref="AW133:AW158" si="201">ROUND(G133*AO133,2)</f>
        <v>0</v>
      </c>
      <c r="AX133" s="17">
        <f t="shared" ref="AX133:AX158" si="202">ROUND(G133*AP133,2)</f>
        <v>0</v>
      </c>
      <c r="AY133" s="76" t="s">
        <v>677</v>
      </c>
      <c r="AZ133" s="76" t="s">
        <v>678</v>
      </c>
      <c r="BA133" s="14" t="s">
        <v>670</v>
      </c>
      <c r="BC133" s="17">
        <f t="shared" ref="BC133:BC158" si="203">AW133+AX133</f>
        <v>0</v>
      </c>
      <c r="BD133" s="17">
        <f t="shared" ref="BD133:BD158" si="204">H133/(100-BE133)*100</f>
        <v>0</v>
      </c>
      <c r="BE133" s="17">
        <v>0</v>
      </c>
      <c r="BF133" s="17">
        <f t="shared" ref="BF133:BF158" si="205">O133</f>
        <v>0</v>
      </c>
      <c r="BH133" s="17">
        <f t="shared" ref="BH133:BH158" si="206">G133*AO133</f>
        <v>0</v>
      </c>
      <c r="BI133" s="17">
        <f t="shared" ref="BI133:BI158" si="207">G133*AP133</f>
        <v>0</v>
      </c>
      <c r="BJ133" s="17">
        <f t="shared" ref="BJ133:BJ158" si="208">G133*H133</f>
        <v>0</v>
      </c>
      <c r="BK133" s="17"/>
      <c r="BL133" s="17">
        <v>722</v>
      </c>
      <c r="BW133" s="17">
        <f t="shared" ref="BW133:BW158" si="209">I133</f>
        <v>12</v>
      </c>
      <c r="BX133" s="4" t="s">
        <v>142</v>
      </c>
    </row>
    <row r="134" spans="1:76" x14ac:dyDescent="0.25">
      <c r="A134" s="1" t="s">
        <v>417</v>
      </c>
      <c r="B134" s="2" t="s">
        <v>99</v>
      </c>
      <c r="C134" s="2" t="s">
        <v>143</v>
      </c>
      <c r="D134" s="83" t="s">
        <v>144</v>
      </c>
      <c r="E134" s="84"/>
      <c r="F134" s="2" t="s">
        <v>31</v>
      </c>
      <c r="G134" s="17">
        <f>'Rozpočet - vybrané sloupce'!J99</f>
        <v>12</v>
      </c>
      <c r="H134" s="17">
        <f>'Rozpočet - vybrané sloupce'!K99</f>
        <v>0</v>
      </c>
      <c r="I134" s="74">
        <v>12</v>
      </c>
      <c r="J134" s="17">
        <f t="shared" si="182"/>
        <v>0</v>
      </c>
      <c r="K134" s="17">
        <f t="shared" si="183"/>
        <v>0</v>
      </c>
      <c r="L134" s="17">
        <f t="shared" si="184"/>
        <v>0</v>
      </c>
      <c r="M134" s="17">
        <f t="shared" si="185"/>
        <v>0</v>
      </c>
      <c r="N134" s="17">
        <v>0</v>
      </c>
      <c r="O134" s="17">
        <f t="shared" si="186"/>
        <v>0</v>
      </c>
      <c r="P134" s="75" t="s">
        <v>576</v>
      </c>
      <c r="Z134" s="17">
        <f t="shared" si="187"/>
        <v>0</v>
      </c>
      <c r="AB134" s="17">
        <f t="shared" si="188"/>
        <v>0</v>
      </c>
      <c r="AC134" s="17">
        <f t="shared" si="189"/>
        <v>0</v>
      </c>
      <c r="AD134" s="17">
        <f t="shared" si="190"/>
        <v>0</v>
      </c>
      <c r="AE134" s="17">
        <f t="shared" si="191"/>
        <v>0</v>
      </c>
      <c r="AF134" s="17">
        <f t="shared" si="192"/>
        <v>0</v>
      </c>
      <c r="AG134" s="17">
        <f t="shared" si="193"/>
        <v>0</v>
      </c>
      <c r="AH134" s="17">
        <f t="shared" si="194"/>
        <v>0</v>
      </c>
      <c r="AI134" s="14" t="s">
        <v>99</v>
      </c>
      <c r="AJ134" s="17">
        <f t="shared" si="195"/>
        <v>0</v>
      </c>
      <c r="AK134" s="17">
        <f t="shared" si="196"/>
        <v>0</v>
      </c>
      <c r="AL134" s="17">
        <f t="shared" si="197"/>
        <v>0</v>
      </c>
      <c r="AN134" s="17">
        <v>12</v>
      </c>
      <c r="AO134" s="17">
        <f t="shared" si="198"/>
        <v>0</v>
      </c>
      <c r="AP134" s="17">
        <f t="shared" si="199"/>
        <v>0</v>
      </c>
      <c r="AQ134" s="76" t="s">
        <v>577</v>
      </c>
      <c r="AV134" s="17">
        <f t="shared" si="200"/>
        <v>0</v>
      </c>
      <c r="AW134" s="17">
        <f t="shared" si="201"/>
        <v>0</v>
      </c>
      <c r="AX134" s="17">
        <f t="shared" si="202"/>
        <v>0</v>
      </c>
      <c r="AY134" s="76" t="s">
        <v>677</v>
      </c>
      <c r="AZ134" s="76" t="s">
        <v>678</v>
      </c>
      <c r="BA134" s="14" t="s">
        <v>670</v>
      </c>
      <c r="BC134" s="17">
        <f t="shared" si="203"/>
        <v>0</v>
      </c>
      <c r="BD134" s="17">
        <f t="shared" si="204"/>
        <v>0</v>
      </c>
      <c r="BE134" s="17">
        <v>0</v>
      </c>
      <c r="BF134" s="17">
        <f t="shared" si="205"/>
        <v>0</v>
      </c>
      <c r="BH134" s="17">
        <f t="shared" si="206"/>
        <v>0</v>
      </c>
      <c r="BI134" s="17">
        <f t="shared" si="207"/>
        <v>0</v>
      </c>
      <c r="BJ134" s="17">
        <f t="shared" si="208"/>
        <v>0</v>
      </c>
      <c r="BK134" s="17"/>
      <c r="BL134" s="17">
        <v>722</v>
      </c>
      <c r="BW134" s="17">
        <f t="shared" si="209"/>
        <v>12</v>
      </c>
      <c r="BX134" s="4" t="s">
        <v>144</v>
      </c>
    </row>
    <row r="135" spans="1:76" x14ac:dyDescent="0.25">
      <c r="A135" s="1" t="s">
        <v>421</v>
      </c>
      <c r="B135" s="2" t="s">
        <v>99</v>
      </c>
      <c r="C135" s="2" t="s">
        <v>145</v>
      </c>
      <c r="D135" s="83" t="s">
        <v>146</v>
      </c>
      <c r="E135" s="84"/>
      <c r="F135" s="2" t="s">
        <v>35</v>
      </c>
      <c r="G135" s="17">
        <f>'Rozpočet - vybrané sloupce'!J100</f>
        <v>31</v>
      </c>
      <c r="H135" s="17">
        <f>'Rozpočet - vybrané sloupce'!K100</f>
        <v>0</v>
      </c>
      <c r="I135" s="74">
        <v>12</v>
      </c>
      <c r="J135" s="17">
        <f t="shared" si="182"/>
        <v>0</v>
      </c>
      <c r="K135" s="17">
        <f t="shared" si="183"/>
        <v>0</v>
      </c>
      <c r="L135" s="17">
        <f t="shared" si="184"/>
        <v>0</v>
      </c>
      <c r="M135" s="17">
        <f t="shared" si="185"/>
        <v>0</v>
      </c>
      <c r="N135" s="17">
        <v>0</v>
      </c>
      <c r="O135" s="17">
        <f t="shared" si="186"/>
        <v>0</v>
      </c>
      <c r="P135" s="75" t="s">
        <v>576</v>
      </c>
      <c r="Z135" s="17">
        <f t="shared" si="187"/>
        <v>0</v>
      </c>
      <c r="AB135" s="17">
        <f t="shared" si="188"/>
        <v>0</v>
      </c>
      <c r="AC135" s="17">
        <f t="shared" si="189"/>
        <v>0</v>
      </c>
      <c r="AD135" s="17">
        <f t="shared" si="190"/>
        <v>0</v>
      </c>
      <c r="AE135" s="17">
        <f t="shared" si="191"/>
        <v>0</v>
      </c>
      <c r="AF135" s="17">
        <f t="shared" si="192"/>
        <v>0</v>
      </c>
      <c r="AG135" s="17">
        <f t="shared" si="193"/>
        <v>0</v>
      </c>
      <c r="AH135" s="17">
        <f t="shared" si="194"/>
        <v>0</v>
      </c>
      <c r="AI135" s="14" t="s">
        <v>99</v>
      </c>
      <c r="AJ135" s="17">
        <f t="shared" si="195"/>
        <v>0</v>
      </c>
      <c r="AK135" s="17">
        <f t="shared" si="196"/>
        <v>0</v>
      </c>
      <c r="AL135" s="17">
        <f t="shared" si="197"/>
        <v>0</v>
      </c>
      <c r="AN135" s="17">
        <v>12</v>
      </c>
      <c r="AO135" s="17">
        <f t="shared" si="198"/>
        <v>0</v>
      </c>
      <c r="AP135" s="17">
        <f t="shared" si="199"/>
        <v>0</v>
      </c>
      <c r="AQ135" s="76" t="s">
        <v>577</v>
      </c>
      <c r="AV135" s="17">
        <f t="shared" si="200"/>
        <v>0</v>
      </c>
      <c r="AW135" s="17">
        <f t="shared" si="201"/>
        <v>0</v>
      </c>
      <c r="AX135" s="17">
        <f t="shared" si="202"/>
        <v>0</v>
      </c>
      <c r="AY135" s="76" t="s">
        <v>677</v>
      </c>
      <c r="AZ135" s="76" t="s">
        <v>678</v>
      </c>
      <c r="BA135" s="14" t="s">
        <v>670</v>
      </c>
      <c r="BC135" s="17">
        <f t="shared" si="203"/>
        <v>0</v>
      </c>
      <c r="BD135" s="17">
        <f t="shared" si="204"/>
        <v>0</v>
      </c>
      <c r="BE135" s="17">
        <v>0</v>
      </c>
      <c r="BF135" s="17">
        <f t="shared" si="205"/>
        <v>0</v>
      </c>
      <c r="BH135" s="17">
        <f t="shared" si="206"/>
        <v>0</v>
      </c>
      <c r="BI135" s="17">
        <f t="shared" si="207"/>
        <v>0</v>
      </c>
      <c r="BJ135" s="17">
        <f t="shared" si="208"/>
        <v>0</v>
      </c>
      <c r="BK135" s="17"/>
      <c r="BL135" s="17">
        <v>722</v>
      </c>
      <c r="BW135" s="17">
        <f t="shared" si="209"/>
        <v>12</v>
      </c>
      <c r="BX135" s="4" t="s">
        <v>146</v>
      </c>
    </row>
    <row r="136" spans="1:76" x14ac:dyDescent="0.25">
      <c r="A136" s="1" t="s">
        <v>425</v>
      </c>
      <c r="B136" s="2" t="s">
        <v>99</v>
      </c>
      <c r="C136" s="2" t="s">
        <v>147</v>
      </c>
      <c r="D136" s="83" t="s">
        <v>148</v>
      </c>
      <c r="E136" s="84"/>
      <c r="F136" s="2" t="s">
        <v>35</v>
      </c>
      <c r="G136" s="17">
        <f>'Rozpočet - vybrané sloupce'!J101</f>
        <v>4</v>
      </c>
      <c r="H136" s="17">
        <f>'Rozpočet - vybrané sloupce'!K101</f>
        <v>0</v>
      </c>
      <c r="I136" s="74">
        <v>12</v>
      </c>
      <c r="J136" s="17">
        <f t="shared" si="182"/>
        <v>0</v>
      </c>
      <c r="K136" s="17">
        <f t="shared" si="183"/>
        <v>0</v>
      </c>
      <c r="L136" s="17">
        <f t="shared" si="184"/>
        <v>0</v>
      </c>
      <c r="M136" s="17">
        <f t="shared" si="185"/>
        <v>0</v>
      </c>
      <c r="N136" s="17">
        <v>0</v>
      </c>
      <c r="O136" s="17">
        <f t="shared" si="186"/>
        <v>0</v>
      </c>
      <c r="P136" s="75" t="s">
        <v>576</v>
      </c>
      <c r="Z136" s="17">
        <f t="shared" si="187"/>
        <v>0</v>
      </c>
      <c r="AB136" s="17">
        <f t="shared" si="188"/>
        <v>0</v>
      </c>
      <c r="AC136" s="17">
        <f t="shared" si="189"/>
        <v>0</v>
      </c>
      <c r="AD136" s="17">
        <f t="shared" si="190"/>
        <v>0</v>
      </c>
      <c r="AE136" s="17">
        <f t="shared" si="191"/>
        <v>0</v>
      </c>
      <c r="AF136" s="17">
        <f t="shared" si="192"/>
        <v>0</v>
      </c>
      <c r="AG136" s="17">
        <f t="shared" si="193"/>
        <v>0</v>
      </c>
      <c r="AH136" s="17">
        <f t="shared" si="194"/>
        <v>0</v>
      </c>
      <c r="AI136" s="14" t="s">
        <v>99</v>
      </c>
      <c r="AJ136" s="17">
        <f t="shared" si="195"/>
        <v>0</v>
      </c>
      <c r="AK136" s="17">
        <f t="shared" si="196"/>
        <v>0</v>
      </c>
      <c r="AL136" s="17">
        <f t="shared" si="197"/>
        <v>0</v>
      </c>
      <c r="AN136" s="17">
        <v>12</v>
      </c>
      <c r="AO136" s="17">
        <f t="shared" si="198"/>
        <v>0</v>
      </c>
      <c r="AP136" s="17">
        <f t="shared" si="199"/>
        <v>0</v>
      </c>
      <c r="AQ136" s="76" t="s">
        <v>577</v>
      </c>
      <c r="AV136" s="17">
        <f t="shared" si="200"/>
        <v>0</v>
      </c>
      <c r="AW136" s="17">
        <f t="shared" si="201"/>
        <v>0</v>
      </c>
      <c r="AX136" s="17">
        <f t="shared" si="202"/>
        <v>0</v>
      </c>
      <c r="AY136" s="76" t="s">
        <v>677</v>
      </c>
      <c r="AZ136" s="76" t="s">
        <v>678</v>
      </c>
      <c r="BA136" s="14" t="s">
        <v>670</v>
      </c>
      <c r="BC136" s="17">
        <f t="shared" si="203"/>
        <v>0</v>
      </c>
      <c r="BD136" s="17">
        <f t="shared" si="204"/>
        <v>0</v>
      </c>
      <c r="BE136" s="17">
        <v>0</v>
      </c>
      <c r="BF136" s="17">
        <f t="shared" si="205"/>
        <v>0</v>
      </c>
      <c r="BH136" s="17">
        <f t="shared" si="206"/>
        <v>0</v>
      </c>
      <c r="BI136" s="17">
        <f t="shared" si="207"/>
        <v>0</v>
      </c>
      <c r="BJ136" s="17">
        <f t="shared" si="208"/>
        <v>0</v>
      </c>
      <c r="BK136" s="17"/>
      <c r="BL136" s="17">
        <v>722</v>
      </c>
      <c r="BW136" s="17">
        <f t="shared" si="209"/>
        <v>12</v>
      </c>
      <c r="BX136" s="4" t="s">
        <v>148</v>
      </c>
    </row>
    <row r="137" spans="1:76" x14ac:dyDescent="0.25">
      <c r="A137" s="1" t="s">
        <v>695</v>
      </c>
      <c r="B137" s="2" t="s">
        <v>99</v>
      </c>
      <c r="C137" s="2" t="s">
        <v>149</v>
      </c>
      <c r="D137" s="83" t="s">
        <v>150</v>
      </c>
      <c r="E137" s="84"/>
      <c r="F137" s="2" t="s">
        <v>35</v>
      </c>
      <c r="G137" s="17">
        <f>'Rozpočet - vybrané sloupce'!J102</f>
        <v>17</v>
      </c>
      <c r="H137" s="17">
        <f>'Rozpočet - vybrané sloupce'!K102</f>
        <v>0</v>
      </c>
      <c r="I137" s="74">
        <v>12</v>
      </c>
      <c r="J137" s="17">
        <f t="shared" si="182"/>
        <v>0</v>
      </c>
      <c r="K137" s="17">
        <f t="shared" si="183"/>
        <v>0</v>
      </c>
      <c r="L137" s="17">
        <f t="shared" si="184"/>
        <v>0</v>
      </c>
      <c r="M137" s="17">
        <f t="shared" si="185"/>
        <v>0</v>
      </c>
      <c r="N137" s="17">
        <v>0</v>
      </c>
      <c r="O137" s="17">
        <f t="shared" si="186"/>
        <v>0</v>
      </c>
      <c r="P137" s="75" t="s">
        <v>576</v>
      </c>
      <c r="Z137" s="17">
        <f t="shared" si="187"/>
        <v>0</v>
      </c>
      <c r="AB137" s="17">
        <f t="shared" si="188"/>
        <v>0</v>
      </c>
      <c r="AC137" s="17">
        <f t="shared" si="189"/>
        <v>0</v>
      </c>
      <c r="AD137" s="17">
        <f t="shared" si="190"/>
        <v>0</v>
      </c>
      <c r="AE137" s="17">
        <f t="shared" si="191"/>
        <v>0</v>
      </c>
      <c r="AF137" s="17">
        <f t="shared" si="192"/>
        <v>0</v>
      </c>
      <c r="AG137" s="17">
        <f t="shared" si="193"/>
        <v>0</v>
      </c>
      <c r="AH137" s="17">
        <f t="shared" si="194"/>
        <v>0</v>
      </c>
      <c r="AI137" s="14" t="s">
        <v>99</v>
      </c>
      <c r="AJ137" s="17">
        <f t="shared" si="195"/>
        <v>0</v>
      </c>
      <c r="AK137" s="17">
        <f t="shared" si="196"/>
        <v>0</v>
      </c>
      <c r="AL137" s="17">
        <f t="shared" si="197"/>
        <v>0</v>
      </c>
      <c r="AN137" s="17">
        <v>12</v>
      </c>
      <c r="AO137" s="17">
        <f t="shared" si="198"/>
        <v>0</v>
      </c>
      <c r="AP137" s="17">
        <f t="shared" si="199"/>
        <v>0</v>
      </c>
      <c r="AQ137" s="76" t="s">
        <v>577</v>
      </c>
      <c r="AV137" s="17">
        <f t="shared" si="200"/>
        <v>0</v>
      </c>
      <c r="AW137" s="17">
        <f t="shared" si="201"/>
        <v>0</v>
      </c>
      <c r="AX137" s="17">
        <f t="shared" si="202"/>
        <v>0</v>
      </c>
      <c r="AY137" s="76" t="s">
        <v>677</v>
      </c>
      <c r="AZ137" s="76" t="s">
        <v>678</v>
      </c>
      <c r="BA137" s="14" t="s">
        <v>670</v>
      </c>
      <c r="BC137" s="17">
        <f t="shared" si="203"/>
        <v>0</v>
      </c>
      <c r="BD137" s="17">
        <f t="shared" si="204"/>
        <v>0</v>
      </c>
      <c r="BE137" s="17">
        <v>0</v>
      </c>
      <c r="BF137" s="17">
        <f t="shared" si="205"/>
        <v>0</v>
      </c>
      <c r="BH137" s="17">
        <f t="shared" si="206"/>
        <v>0</v>
      </c>
      <c r="BI137" s="17">
        <f t="shared" si="207"/>
        <v>0</v>
      </c>
      <c r="BJ137" s="17">
        <f t="shared" si="208"/>
        <v>0</v>
      </c>
      <c r="BK137" s="17"/>
      <c r="BL137" s="17">
        <v>722</v>
      </c>
      <c r="BW137" s="17">
        <f t="shared" si="209"/>
        <v>12</v>
      </c>
      <c r="BX137" s="4" t="s">
        <v>150</v>
      </c>
    </row>
    <row r="138" spans="1:76" x14ac:dyDescent="0.25">
      <c r="A138" s="1" t="s">
        <v>696</v>
      </c>
      <c r="B138" s="2" t="s">
        <v>99</v>
      </c>
      <c r="C138" s="2" t="s">
        <v>151</v>
      </c>
      <c r="D138" s="83" t="s">
        <v>152</v>
      </c>
      <c r="E138" s="84"/>
      <c r="F138" s="2" t="s">
        <v>35</v>
      </c>
      <c r="G138" s="17">
        <f>'Rozpočet - vybrané sloupce'!J103</f>
        <v>7</v>
      </c>
      <c r="H138" s="17">
        <f>'Rozpočet - vybrané sloupce'!K103</f>
        <v>0</v>
      </c>
      <c r="I138" s="74">
        <v>12</v>
      </c>
      <c r="J138" s="17">
        <f t="shared" si="182"/>
        <v>0</v>
      </c>
      <c r="K138" s="17">
        <f t="shared" si="183"/>
        <v>0</v>
      </c>
      <c r="L138" s="17">
        <f t="shared" si="184"/>
        <v>0</v>
      </c>
      <c r="M138" s="17">
        <f t="shared" si="185"/>
        <v>0</v>
      </c>
      <c r="N138" s="17">
        <v>0</v>
      </c>
      <c r="O138" s="17">
        <f t="shared" si="186"/>
        <v>0</v>
      </c>
      <c r="P138" s="75" t="s">
        <v>576</v>
      </c>
      <c r="Z138" s="17">
        <f t="shared" si="187"/>
        <v>0</v>
      </c>
      <c r="AB138" s="17">
        <f t="shared" si="188"/>
        <v>0</v>
      </c>
      <c r="AC138" s="17">
        <f t="shared" si="189"/>
        <v>0</v>
      </c>
      <c r="AD138" s="17">
        <f t="shared" si="190"/>
        <v>0</v>
      </c>
      <c r="AE138" s="17">
        <f t="shared" si="191"/>
        <v>0</v>
      </c>
      <c r="AF138" s="17">
        <f t="shared" si="192"/>
        <v>0</v>
      </c>
      <c r="AG138" s="17">
        <f t="shared" si="193"/>
        <v>0</v>
      </c>
      <c r="AH138" s="17">
        <f t="shared" si="194"/>
        <v>0</v>
      </c>
      <c r="AI138" s="14" t="s">
        <v>99</v>
      </c>
      <c r="AJ138" s="17">
        <f t="shared" si="195"/>
        <v>0</v>
      </c>
      <c r="AK138" s="17">
        <f t="shared" si="196"/>
        <v>0</v>
      </c>
      <c r="AL138" s="17">
        <f t="shared" si="197"/>
        <v>0</v>
      </c>
      <c r="AN138" s="17">
        <v>12</v>
      </c>
      <c r="AO138" s="17">
        <f t="shared" si="198"/>
        <v>0</v>
      </c>
      <c r="AP138" s="17">
        <f t="shared" si="199"/>
        <v>0</v>
      </c>
      <c r="AQ138" s="76" t="s">
        <v>577</v>
      </c>
      <c r="AV138" s="17">
        <f t="shared" si="200"/>
        <v>0</v>
      </c>
      <c r="AW138" s="17">
        <f t="shared" si="201"/>
        <v>0</v>
      </c>
      <c r="AX138" s="17">
        <f t="shared" si="202"/>
        <v>0</v>
      </c>
      <c r="AY138" s="76" t="s">
        <v>677</v>
      </c>
      <c r="AZ138" s="76" t="s">
        <v>678</v>
      </c>
      <c r="BA138" s="14" t="s">
        <v>670</v>
      </c>
      <c r="BC138" s="17">
        <f t="shared" si="203"/>
        <v>0</v>
      </c>
      <c r="BD138" s="17">
        <f t="shared" si="204"/>
        <v>0</v>
      </c>
      <c r="BE138" s="17">
        <v>0</v>
      </c>
      <c r="BF138" s="17">
        <f t="shared" si="205"/>
        <v>0</v>
      </c>
      <c r="BH138" s="17">
        <f t="shared" si="206"/>
        <v>0</v>
      </c>
      <c r="BI138" s="17">
        <f t="shared" si="207"/>
        <v>0</v>
      </c>
      <c r="BJ138" s="17">
        <f t="shared" si="208"/>
        <v>0</v>
      </c>
      <c r="BK138" s="17"/>
      <c r="BL138" s="17">
        <v>722</v>
      </c>
      <c r="BW138" s="17">
        <f t="shared" si="209"/>
        <v>12</v>
      </c>
      <c r="BX138" s="4" t="s">
        <v>152</v>
      </c>
    </row>
    <row r="139" spans="1:76" x14ac:dyDescent="0.25">
      <c r="A139" s="1" t="s">
        <v>697</v>
      </c>
      <c r="B139" s="2" t="s">
        <v>99</v>
      </c>
      <c r="C139" s="2" t="s">
        <v>153</v>
      </c>
      <c r="D139" s="83" t="s">
        <v>154</v>
      </c>
      <c r="E139" s="84"/>
      <c r="F139" s="2" t="s">
        <v>35</v>
      </c>
      <c r="G139" s="17">
        <f>'Rozpočet - vybrané sloupce'!J104</f>
        <v>7</v>
      </c>
      <c r="H139" s="17">
        <f>'Rozpočet - vybrané sloupce'!K104</f>
        <v>0</v>
      </c>
      <c r="I139" s="74">
        <v>12</v>
      </c>
      <c r="J139" s="17">
        <f t="shared" si="182"/>
        <v>0</v>
      </c>
      <c r="K139" s="17">
        <f t="shared" si="183"/>
        <v>0</v>
      </c>
      <c r="L139" s="17">
        <f t="shared" si="184"/>
        <v>0</v>
      </c>
      <c r="M139" s="17">
        <f t="shared" si="185"/>
        <v>0</v>
      </c>
      <c r="N139" s="17">
        <v>2.4000000000000001E-4</v>
      </c>
      <c r="O139" s="17">
        <f t="shared" si="186"/>
        <v>1.6800000000000001E-3</v>
      </c>
      <c r="P139" s="75" t="s">
        <v>576</v>
      </c>
      <c r="Z139" s="17">
        <f t="shared" si="187"/>
        <v>0</v>
      </c>
      <c r="AB139" s="17">
        <f t="shared" si="188"/>
        <v>0</v>
      </c>
      <c r="AC139" s="17">
        <f t="shared" si="189"/>
        <v>0</v>
      </c>
      <c r="AD139" s="17">
        <f t="shared" si="190"/>
        <v>0</v>
      </c>
      <c r="AE139" s="17">
        <f t="shared" si="191"/>
        <v>0</v>
      </c>
      <c r="AF139" s="17">
        <f t="shared" si="192"/>
        <v>0</v>
      </c>
      <c r="AG139" s="17">
        <f t="shared" si="193"/>
        <v>0</v>
      </c>
      <c r="AH139" s="17">
        <f t="shared" si="194"/>
        <v>0</v>
      </c>
      <c r="AI139" s="14" t="s">
        <v>99</v>
      </c>
      <c r="AJ139" s="17">
        <f t="shared" si="195"/>
        <v>0</v>
      </c>
      <c r="AK139" s="17">
        <f t="shared" si="196"/>
        <v>0</v>
      </c>
      <c r="AL139" s="17">
        <f t="shared" si="197"/>
        <v>0</v>
      </c>
      <c r="AN139" s="17">
        <v>12</v>
      </c>
      <c r="AO139" s="17">
        <f>H139*0.728238342</f>
        <v>0</v>
      </c>
      <c r="AP139" s="17">
        <f>H139*(1-0.728238342)</f>
        <v>0</v>
      </c>
      <c r="AQ139" s="76" t="s">
        <v>577</v>
      </c>
      <c r="AV139" s="17">
        <f t="shared" si="200"/>
        <v>0</v>
      </c>
      <c r="AW139" s="17">
        <f t="shared" si="201"/>
        <v>0</v>
      </c>
      <c r="AX139" s="17">
        <f t="shared" si="202"/>
        <v>0</v>
      </c>
      <c r="AY139" s="76" t="s">
        <v>677</v>
      </c>
      <c r="AZ139" s="76" t="s">
        <v>678</v>
      </c>
      <c r="BA139" s="14" t="s">
        <v>670</v>
      </c>
      <c r="BC139" s="17">
        <f t="shared" si="203"/>
        <v>0</v>
      </c>
      <c r="BD139" s="17">
        <f t="shared" si="204"/>
        <v>0</v>
      </c>
      <c r="BE139" s="17">
        <v>0</v>
      </c>
      <c r="BF139" s="17">
        <f t="shared" si="205"/>
        <v>1.6800000000000001E-3</v>
      </c>
      <c r="BH139" s="17">
        <f t="shared" si="206"/>
        <v>0</v>
      </c>
      <c r="BI139" s="17">
        <f t="shared" si="207"/>
        <v>0</v>
      </c>
      <c r="BJ139" s="17">
        <f t="shared" si="208"/>
        <v>0</v>
      </c>
      <c r="BK139" s="17"/>
      <c r="BL139" s="17">
        <v>722</v>
      </c>
      <c r="BW139" s="17">
        <f t="shared" si="209"/>
        <v>12</v>
      </c>
      <c r="BX139" s="4" t="s">
        <v>154</v>
      </c>
    </row>
    <row r="140" spans="1:76" x14ac:dyDescent="0.25">
      <c r="A140" s="1" t="s">
        <v>698</v>
      </c>
      <c r="B140" s="2" t="s">
        <v>99</v>
      </c>
      <c r="C140" s="2" t="s">
        <v>155</v>
      </c>
      <c r="D140" s="83" t="s">
        <v>156</v>
      </c>
      <c r="E140" s="84"/>
      <c r="F140" s="2" t="s">
        <v>35</v>
      </c>
      <c r="G140" s="17">
        <f>'Rozpočet - vybrané sloupce'!J105</f>
        <v>2</v>
      </c>
      <c r="H140" s="17">
        <f>'Rozpočet - vybrané sloupce'!K105</f>
        <v>0</v>
      </c>
      <c r="I140" s="74">
        <v>12</v>
      </c>
      <c r="J140" s="17">
        <f t="shared" si="182"/>
        <v>0</v>
      </c>
      <c r="K140" s="17">
        <f t="shared" si="183"/>
        <v>0</v>
      </c>
      <c r="L140" s="17">
        <f t="shared" si="184"/>
        <v>0</v>
      </c>
      <c r="M140" s="17">
        <f t="shared" si="185"/>
        <v>0</v>
      </c>
      <c r="N140" s="17">
        <v>3.8000000000000002E-4</v>
      </c>
      <c r="O140" s="17">
        <f t="shared" si="186"/>
        <v>7.6000000000000004E-4</v>
      </c>
      <c r="P140" s="75" t="s">
        <v>576</v>
      </c>
      <c r="Z140" s="17">
        <f t="shared" si="187"/>
        <v>0</v>
      </c>
      <c r="AB140" s="17">
        <f t="shared" si="188"/>
        <v>0</v>
      </c>
      <c r="AC140" s="17">
        <f t="shared" si="189"/>
        <v>0</v>
      </c>
      <c r="AD140" s="17">
        <f t="shared" si="190"/>
        <v>0</v>
      </c>
      <c r="AE140" s="17">
        <f t="shared" si="191"/>
        <v>0</v>
      </c>
      <c r="AF140" s="17">
        <f t="shared" si="192"/>
        <v>0</v>
      </c>
      <c r="AG140" s="17">
        <f t="shared" si="193"/>
        <v>0</v>
      </c>
      <c r="AH140" s="17">
        <f t="shared" si="194"/>
        <v>0</v>
      </c>
      <c r="AI140" s="14" t="s">
        <v>99</v>
      </c>
      <c r="AJ140" s="17">
        <f t="shared" si="195"/>
        <v>0</v>
      </c>
      <c r="AK140" s="17">
        <f t="shared" si="196"/>
        <v>0</v>
      </c>
      <c r="AL140" s="17">
        <f t="shared" si="197"/>
        <v>0</v>
      </c>
      <c r="AN140" s="17">
        <v>12</v>
      </c>
      <c r="AO140" s="17">
        <f>H140*0.758069853</f>
        <v>0</v>
      </c>
      <c r="AP140" s="17">
        <f>H140*(1-0.758069853)</f>
        <v>0</v>
      </c>
      <c r="AQ140" s="76" t="s">
        <v>577</v>
      </c>
      <c r="AV140" s="17">
        <f t="shared" si="200"/>
        <v>0</v>
      </c>
      <c r="AW140" s="17">
        <f t="shared" si="201"/>
        <v>0</v>
      </c>
      <c r="AX140" s="17">
        <f t="shared" si="202"/>
        <v>0</v>
      </c>
      <c r="AY140" s="76" t="s">
        <v>677</v>
      </c>
      <c r="AZ140" s="76" t="s">
        <v>678</v>
      </c>
      <c r="BA140" s="14" t="s">
        <v>670</v>
      </c>
      <c r="BC140" s="17">
        <f t="shared" si="203"/>
        <v>0</v>
      </c>
      <c r="BD140" s="17">
        <f t="shared" si="204"/>
        <v>0</v>
      </c>
      <c r="BE140" s="17">
        <v>0</v>
      </c>
      <c r="BF140" s="17">
        <f t="shared" si="205"/>
        <v>7.6000000000000004E-4</v>
      </c>
      <c r="BH140" s="17">
        <f t="shared" si="206"/>
        <v>0</v>
      </c>
      <c r="BI140" s="17">
        <f t="shared" si="207"/>
        <v>0</v>
      </c>
      <c r="BJ140" s="17">
        <f t="shared" si="208"/>
        <v>0</v>
      </c>
      <c r="BK140" s="17"/>
      <c r="BL140" s="17">
        <v>722</v>
      </c>
      <c r="BW140" s="17">
        <f t="shared" si="209"/>
        <v>12</v>
      </c>
      <c r="BX140" s="4" t="s">
        <v>156</v>
      </c>
    </row>
    <row r="141" spans="1:76" x14ac:dyDescent="0.25">
      <c r="A141" s="1" t="s">
        <v>699</v>
      </c>
      <c r="B141" s="2" t="s">
        <v>99</v>
      </c>
      <c r="C141" s="2" t="s">
        <v>157</v>
      </c>
      <c r="D141" s="83" t="s">
        <v>158</v>
      </c>
      <c r="E141" s="84"/>
      <c r="F141" s="2" t="s">
        <v>35</v>
      </c>
      <c r="G141" s="17">
        <f>'Rozpočet - vybrané sloupce'!J106</f>
        <v>9</v>
      </c>
      <c r="H141" s="17">
        <f>'Rozpočet - vybrané sloupce'!K106</f>
        <v>0</v>
      </c>
      <c r="I141" s="74">
        <v>12</v>
      </c>
      <c r="J141" s="17">
        <f t="shared" si="182"/>
        <v>0</v>
      </c>
      <c r="K141" s="17">
        <f t="shared" si="183"/>
        <v>0</v>
      </c>
      <c r="L141" s="17">
        <f t="shared" si="184"/>
        <v>0</v>
      </c>
      <c r="M141" s="17">
        <f t="shared" si="185"/>
        <v>0</v>
      </c>
      <c r="N141" s="17">
        <v>6.0999999999999997E-4</v>
      </c>
      <c r="O141" s="17">
        <f t="shared" si="186"/>
        <v>5.4900000000000001E-3</v>
      </c>
      <c r="P141" s="75" t="s">
        <v>576</v>
      </c>
      <c r="Z141" s="17">
        <f t="shared" si="187"/>
        <v>0</v>
      </c>
      <c r="AB141" s="17">
        <f t="shared" si="188"/>
        <v>0</v>
      </c>
      <c r="AC141" s="17">
        <f t="shared" si="189"/>
        <v>0</v>
      </c>
      <c r="AD141" s="17">
        <f t="shared" si="190"/>
        <v>0</v>
      </c>
      <c r="AE141" s="17">
        <f t="shared" si="191"/>
        <v>0</v>
      </c>
      <c r="AF141" s="17">
        <f t="shared" si="192"/>
        <v>0</v>
      </c>
      <c r="AG141" s="17">
        <f t="shared" si="193"/>
        <v>0</v>
      </c>
      <c r="AH141" s="17">
        <f t="shared" si="194"/>
        <v>0</v>
      </c>
      <c r="AI141" s="14" t="s">
        <v>99</v>
      </c>
      <c r="AJ141" s="17">
        <f t="shared" si="195"/>
        <v>0</v>
      </c>
      <c r="AK141" s="17">
        <f t="shared" si="196"/>
        <v>0</v>
      </c>
      <c r="AL141" s="17">
        <f t="shared" si="197"/>
        <v>0</v>
      </c>
      <c r="AN141" s="17">
        <v>12</v>
      </c>
      <c r="AO141" s="17">
        <f>H141*0.817316456</f>
        <v>0</v>
      </c>
      <c r="AP141" s="17">
        <f>H141*(1-0.817316456)</f>
        <v>0</v>
      </c>
      <c r="AQ141" s="76" t="s">
        <v>577</v>
      </c>
      <c r="AV141" s="17">
        <f t="shared" si="200"/>
        <v>0</v>
      </c>
      <c r="AW141" s="17">
        <f t="shared" si="201"/>
        <v>0</v>
      </c>
      <c r="AX141" s="17">
        <f t="shared" si="202"/>
        <v>0</v>
      </c>
      <c r="AY141" s="76" t="s">
        <v>677</v>
      </c>
      <c r="AZ141" s="76" t="s">
        <v>678</v>
      </c>
      <c r="BA141" s="14" t="s">
        <v>670</v>
      </c>
      <c r="BC141" s="17">
        <f t="shared" si="203"/>
        <v>0</v>
      </c>
      <c r="BD141" s="17">
        <f t="shared" si="204"/>
        <v>0</v>
      </c>
      <c r="BE141" s="17">
        <v>0</v>
      </c>
      <c r="BF141" s="17">
        <f t="shared" si="205"/>
        <v>5.4900000000000001E-3</v>
      </c>
      <c r="BH141" s="17">
        <f t="shared" si="206"/>
        <v>0</v>
      </c>
      <c r="BI141" s="17">
        <f t="shared" si="207"/>
        <v>0</v>
      </c>
      <c r="BJ141" s="17">
        <f t="shared" si="208"/>
        <v>0</v>
      </c>
      <c r="BK141" s="17"/>
      <c r="BL141" s="17">
        <v>722</v>
      </c>
      <c r="BW141" s="17">
        <f t="shared" si="209"/>
        <v>12</v>
      </c>
      <c r="BX141" s="4" t="s">
        <v>158</v>
      </c>
    </row>
    <row r="142" spans="1:76" x14ac:dyDescent="0.25">
      <c r="A142" s="1" t="s">
        <v>700</v>
      </c>
      <c r="B142" s="2" t="s">
        <v>99</v>
      </c>
      <c r="C142" s="2" t="s">
        <v>159</v>
      </c>
      <c r="D142" s="83" t="s">
        <v>160</v>
      </c>
      <c r="E142" s="84"/>
      <c r="F142" s="2" t="s">
        <v>35</v>
      </c>
      <c r="G142" s="17">
        <f>'Rozpočet - vybrané sloupce'!J107</f>
        <v>2</v>
      </c>
      <c r="H142" s="17">
        <f>'Rozpočet - vybrané sloupce'!K107</f>
        <v>0</v>
      </c>
      <c r="I142" s="74">
        <v>12</v>
      </c>
      <c r="J142" s="17">
        <f t="shared" si="182"/>
        <v>0</v>
      </c>
      <c r="K142" s="17">
        <f t="shared" si="183"/>
        <v>0</v>
      </c>
      <c r="L142" s="17">
        <f t="shared" si="184"/>
        <v>0</v>
      </c>
      <c r="M142" s="17">
        <f t="shared" si="185"/>
        <v>0</v>
      </c>
      <c r="N142" s="17">
        <v>2.0799999999999998E-3</v>
      </c>
      <c r="O142" s="17">
        <f t="shared" si="186"/>
        <v>4.1599999999999996E-3</v>
      </c>
      <c r="P142" s="75" t="s">
        <v>576</v>
      </c>
      <c r="Z142" s="17">
        <f t="shared" si="187"/>
        <v>0</v>
      </c>
      <c r="AB142" s="17">
        <f t="shared" si="188"/>
        <v>0</v>
      </c>
      <c r="AC142" s="17">
        <f t="shared" si="189"/>
        <v>0</v>
      </c>
      <c r="AD142" s="17">
        <f t="shared" si="190"/>
        <v>0</v>
      </c>
      <c r="AE142" s="17">
        <f t="shared" si="191"/>
        <v>0</v>
      </c>
      <c r="AF142" s="17">
        <f t="shared" si="192"/>
        <v>0</v>
      </c>
      <c r="AG142" s="17">
        <f t="shared" si="193"/>
        <v>0</v>
      </c>
      <c r="AH142" s="17">
        <f t="shared" si="194"/>
        <v>0</v>
      </c>
      <c r="AI142" s="14" t="s">
        <v>99</v>
      </c>
      <c r="AJ142" s="17">
        <f t="shared" si="195"/>
        <v>0</v>
      </c>
      <c r="AK142" s="17">
        <f t="shared" si="196"/>
        <v>0</v>
      </c>
      <c r="AL142" s="17">
        <f t="shared" si="197"/>
        <v>0</v>
      </c>
      <c r="AN142" s="17">
        <v>12</v>
      </c>
      <c r="AO142" s="17">
        <f>H142*0.887209205</f>
        <v>0</v>
      </c>
      <c r="AP142" s="17">
        <f>H142*(1-0.887209205)</f>
        <v>0</v>
      </c>
      <c r="AQ142" s="76" t="s">
        <v>577</v>
      </c>
      <c r="AV142" s="17">
        <f t="shared" si="200"/>
        <v>0</v>
      </c>
      <c r="AW142" s="17">
        <f t="shared" si="201"/>
        <v>0</v>
      </c>
      <c r="AX142" s="17">
        <f t="shared" si="202"/>
        <v>0</v>
      </c>
      <c r="AY142" s="76" t="s">
        <v>677</v>
      </c>
      <c r="AZ142" s="76" t="s">
        <v>678</v>
      </c>
      <c r="BA142" s="14" t="s">
        <v>670</v>
      </c>
      <c r="BC142" s="17">
        <f t="shared" si="203"/>
        <v>0</v>
      </c>
      <c r="BD142" s="17">
        <f t="shared" si="204"/>
        <v>0</v>
      </c>
      <c r="BE142" s="17">
        <v>0</v>
      </c>
      <c r="BF142" s="17">
        <f t="shared" si="205"/>
        <v>4.1599999999999996E-3</v>
      </c>
      <c r="BH142" s="17">
        <f t="shared" si="206"/>
        <v>0</v>
      </c>
      <c r="BI142" s="17">
        <f t="shared" si="207"/>
        <v>0</v>
      </c>
      <c r="BJ142" s="17">
        <f t="shared" si="208"/>
        <v>0</v>
      </c>
      <c r="BK142" s="17"/>
      <c r="BL142" s="17">
        <v>722</v>
      </c>
      <c r="BW142" s="17">
        <f t="shared" si="209"/>
        <v>12</v>
      </c>
      <c r="BX142" s="4" t="s">
        <v>160</v>
      </c>
    </row>
    <row r="143" spans="1:76" x14ac:dyDescent="0.25">
      <c r="A143" s="1" t="s">
        <v>701</v>
      </c>
      <c r="B143" s="2" t="s">
        <v>99</v>
      </c>
      <c r="C143" s="2" t="s">
        <v>161</v>
      </c>
      <c r="D143" s="83" t="s">
        <v>162</v>
      </c>
      <c r="E143" s="84"/>
      <c r="F143" s="2" t="s">
        <v>35</v>
      </c>
      <c r="G143" s="17">
        <f>'Rozpočet - vybrané sloupce'!J108</f>
        <v>11</v>
      </c>
      <c r="H143" s="17">
        <f>'Rozpočet - vybrané sloupce'!K108</f>
        <v>0</v>
      </c>
      <c r="I143" s="74">
        <v>12</v>
      </c>
      <c r="J143" s="17">
        <f t="shared" si="182"/>
        <v>0</v>
      </c>
      <c r="K143" s="17">
        <f t="shared" si="183"/>
        <v>0</v>
      </c>
      <c r="L143" s="17">
        <f t="shared" si="184"/>
        <v>0</v>
      </c>
      <c r="M143" s="17">
        <f t="shared" si="185"/>
        <v>0</v>
      </c>
      <c r="N143" s="17">
        <v>4.0000000000000003E-5</v>
      </c>
      <c r="O143" s="17">
        <f t="shared" si="186"/>
        <v>4.4000000000000002E-4</v>
      </c>
      <c r="P143" s="75" t="s">
        <v>576</v>
      </c>
      <c r="Z143" s="17">
        <f t="shared" si="187"/>
        <v>0</v>
      </c>
      <c r="AB143" s="17">
        <f t="shared" si="188"/>
        <v>0</v>
      </c>
      <c r="AC143" s="17">
        <f t="shared" si="189"/>
        <v>0</v>
      </c>
      <c r="AD143" s="17">
        <f t="shared" si="190"/>
        <v>0</v>
      </c>
      <c r="AE143" s="17">
        <f t="shared" si="191"/>
        <v>0</v>
      </c>
      <c r="AF143" s="17">
        <f t="shared" si="192"/>
        <v>0</v>
      </c>
      <c r="AG143" s="17">
        <f t="shared" si="193"/>
        <v>0</v>
      </c>
      <c r="AH143" s="17">
        <f t="shared" si="194"/>
        <v>0</v>
      </c>
      <c r="AI143" s="14" t="s">
        <v>99</v>
      </c>
      <c r="AJ143" s="17">
        <f t="shared" si="195"/>
        <v>0</v>
      </c>
      <c r="AK143" s="17">
        <f t="shared" si="196"/>
        <v>0</v>
      </c>
      <c r="AL143" s="17">
        <f t="shared" si="197"/>
        <v>0</v>
      </c>
      <c r="AN143" s="17">
        <v>12</v>
      </c>
      <c r="AO143" s="17">
        <f>H143*0.339029316</f>
        <v>0</v>
      </c>
      <c r="AP143" s="17">
        <f>H143*(1-0.339029316)</f>
        <v>0</v>
      </c>
      <c r="AQ143" s="76" t="s">
        <v>577</v>
      </c>
      <c r="AV143" s="17">
        <f t="shared" si="200"/>
        <v>0</v>
      </c>
      <c r="AW143" s="17">
        <f t="shared" si="201"/>
        <v>0</v>
      </c>
      <c r="AX143" s="17">
        <f t="shared" si="202"/>
        <v>0</v>
      </c>
      <c r="AY143" s="76" t="s">
        <v>677</v>
      </c>
      <c r="AZ143" s="76" t="s">
        <v>678</v>
      </c>
      <c r="BA143" s="14" t="s">
        <v>670</v>
      </c>
      <c r="BC143" s="17">
        <f t="shared" si="203"/>
        <v>0</v>
      </c>
      <c r="BD143" s="17">
        <f t="shared" si="204"/>
        <v>0</v>
      </c>
      <c r="BE143" s="17">
        <v>0</v>
      </c>
      <c r="BF143" s="17">
        <f t="shared" si="205"/>
        <v>4.4000000000000002E-4</v>
      </c>
      <c r="BH143" s="17">
        <f t="shared" si="206"/>
        <v>0</v>
      </c>
      <c r="BI143" s="17">
        <f t="shared" si="207"/>
        <v>0</v>
      </c>
      <c r="BJ143" s="17">
        <f t="shared" si="208"/>
        <v>0</v>
      </c>
      <c r="BK143" s="17"/>
      <c r="BL143" s="17">
        <v>722</v>
      </c>
      <c r="BW143" s="17">
        <f t="shared" si="209"/>
        <v>12</v>
      </c>
      <c r="BX143" s="4" t="s">
        <v>162</v>
      </c>
    </row>
    <row r="144" spans="1:76" x14ac:dyDescent="0.25">
      <c r="A144" s="1" t="s">
        <v>702</v>
      </c>
      <c r="B144" s="2" t="s">
        <v>99</v>
      </c>
      <c r="C144" s="2" t="s">
        <v>163</v>
      </c>
      <c r="D144" s="83" t="s">
        <v>164</v>
      </c>
      <c r="E144" s="84"/>
      <c r="F144" s="2" t="s">
        <v>35</v>
      </c>
      <c r="G144" s="17">
        <f>'Rozpočet - vybrané sloupce'!J109</f>
        <v>11</v>
      </c>
      <c r="H144" s="17">
        <f>'Rozpočet - vybrané sloupce'!K109</f>
        <v>0</v>
      </c>
      <c r="I144" s="74">
        <v>12</v>
      </c>
      <c r="J144" s="17">
        <f t="shared" si="182"/>
        <v>0</v>
      </c>
      <c r="K144" s="17">
        <f t="shared" si="183"/>
        <v>0</v>
      </c>
      <c r="L144" s="17">
        <f t="shared" si="184"/>
        <v>0</v>
      </c>
      <c r="M144" s="17">
        <f t="shared" si="185"/>
        <v>0</v>
      </c>
      <c r="N144" s="17">
        <v>0</v>
      </c>
      <c r="O144" s="17">
        <f t="shared" si="186"/>
        <v>0</v>
      </c>
      <c r="P144" s="75" t="s">
        <v>576</v>
      </c>
      <c r="Z144" s="17">
        <f t="shared" si="187"/>
        <v>0</v>
      </c>
      <c r="AB144" s="17">
        <f t="shared" si="188"/>
        <v>0</v>
      </c>
      <c r="AC144" s="17">
        <f t="shared" si="189"/>
        <v>0</v>
      </c>
      <c r="AD144" s="17">
        <f t="shared" si="190"/>
        <v>0</v>
      </c>
      <c r="AE144" s="17">
        <f t="shared" si="191"/>
        <v>0</v>
      </c>
      <c r="AF144" s="17">
        <f t="shared" si="192"/>
        <v>0</v>
      </c>
      <c r="AG144" s="17">
        <f t="shared" si="193"/>
        <v>0</v>
      </c>
      <c r="AH144" s="17">
        <f t="shared" si="194"/>
        <v>0</v>
      </c>
      <c r="AI144" s="14" t="s">
        <v>99</v>
      </c>
      <c r="AJ144" s="17">
        <f t="shared" si="195"/>
        <v>0</v>
      </c>
      <c r="AK144" s="17">
        <f t="shared" si="196"/>
        <v>0</v>
      </c>
      <c r="AL144" s="17">
        <f t="shared" si="197"/>
        <v>0</v>
      </c>
      <c r="AN144" s="17">
        <v>12</v>
      </c>
      <c r="AO144" s="17">
        <f>H144*1</f>
        <v>0</v>
      </c>
      <c r="AP144" s="17">
        <f>H144*(1-1)</f>
        <v>0</v>
      </c>
      <c r="AQ144" s="76" t="s">
        <v>577</v>
      </c>
      <c r="AV144" s="17">
        <f t="shared" si="200"/>
        <v>0</v>
      </c>
      <c r="AW144" s="17">
        <f t="shared" si="201"/>
        <v>0</v>
      </c>
      <c r="AX144" s="17">
        <f t="shared" si="202"/>
        <v>0</v>
      </c>
      <c r="AY144" s="76" t="s">
        <v>677</v>
      </c>
      <c r="AZ144" s="76" t="s">
        <v>678</v>
      </c>
      <c r="BA144" s="14" t="s">
        <v>670</v>
      </c>
      <c r="BC144" s="17">
        <f t="shared" si="203"/>
        <v>0</v>
      </c>
      <c r="BD144" s="17">
        <f t="shared" si="204"/>
        <v>0</v>
      </c>
      <c r="BE144" s="17">
        <v>0</v>
      </c>
      <c r="BF144" s="17">
        <f t="shared" si="205"/>
        <v>0</v>
      </c>
      <c r="BH144" s="17">
        <f t="shared" si="206"/>
        <v>0</v>
      </c>
      <c r="BI144" s="17">
        <f t="shared" si="207"/>
        <v>0</v>
      </c>
      <c r="BJ144" s="17">
        <f t="shared" si="208"/>
        <v>0</v>
      </c>
      <c r="BK144" s="17"/>
      <c r="BL144" s="17">
        <v>722</v>
      </c>
      <c r="BW144" s="17">
        <f t="shared" si="209"/>
        <v>12</v>
      </c>
      <c r="BX144" s="4" t="s">
        <v>164</v>
      </c>
    </row>
    <row r="145" spans="1:76" x14ac:dyDescent="0.25">
      <c r="A145" s="1" t="s">
        <v>703</v>
      </c>
      <c r="B145" s="2" t="s">
        <v>99</v>
      </c>
      <c r="C145" s="2" t="s">
        <v>166</v>
      </c>
      <c r="D145" s="83" t="s">
        <v>167</v>
      </c>
      <c r="E145" s="84"/>
      <c r="F145" s="2" t="s">
        <v>35</v>
      </c>
      <c r="G145" s="17">
        <f>'Rozpočet - vybrané sloupce'!J110</f>
        <v>4</v>
      </c>
      <c r="H145" s="17">
        <f>'Rozpočet - vybrané sloupce'!K110</f>
        <v>0</v>
      </c>
      <c r="I145" s="74">
        <v>12</v>
      </c>
      <c r="J145" s="17">
        <f t="shared" si="182"/>
        <v>0</v>
      </c>
      <c r="K145" s="17">
        <f t="shared" si="183"/>
        <v>0</v>
      </c>
      <c r="L145" s="17">
        <f t="shared" si="184"/>
        <v>0</v>
      </c>
      <c r="M145" s="17">
        <f t="shared" si="185"/>
        <v>0</v>
      </c>
      <c r="N145" s="17">
        <v>0</v>
      </c>
      <c r="O145" s="17">
        <f t="shared" si="186"/>
        <v>0</v>
      </c>
      <c r="P145" s="75" t="s">
        <v>576</v>
      </c>
      <c r="Z145" s="17">
        <f t="shared" si="187"/>
        <v>0</v>
      </c>
      <c r="AB145" s="17">
        <f t="shared" si="188"/>
        <v>0</v>
      </c>
      <c r="AC145" s="17">
        <f t="shared" si="189"/>
        <v>0</v>
      </c>
      <c r="AD145" s="17">
        <f t="shared" si="190"/>
        <v>0</v>
      </c>
      <c r="AE145" s="17">
        <f t="shared" si="191"/>
        <v>0</v>
      </c>
      <c r="AF145" s="17">
        <f t="shared" si="192"/>
        <v>0</v>
      </c>
      <c r="AG145" s="17">
        <f t="shared" si="193"/>
        <v>0</v>
      </c>
      <c r="AH145" s="17">
        <f t="shared" si="194"/>
        <v>0</v>
      </c>
      <c r="AI145" s="14" t="s">
        <v>99</v>
      </c>
      <c r="AJ145" s="17">
        <f t="shared" si="195"/>
        <v>0</v>
      </c>
      <c r="AK145" s="17">
        <f t="shared" si="196"/>
        <v>0</v>
      </c>
      <c r="AL145" s="17">
        <f t="shared" si="197"/>
        <v>0</v>
      </c>
      <c r="AN145" s="17">
        <v>12</v>
      </c>
      <c r="AO145" s="17">
        <f>H145*0.039269406</f>
        <v>0</v>
      </c>
      <c r="AP145" s="17">
        <f>H145*(1-0.039269406)</f>
        <v>0</v>
      </c>
      <c r="AQ145" s="76" t="s">
        <v>577</v>
      </c>
      <c r="AV145" s="17">
        <f t="shared" si="200"/>
        <v>0</v>
      </c>
      <c r="AW145" s="17">
        <f t="shared" si="201"/>
        <v>0</v>
      </c>
      <c r="AX145" s="17">
        <f t="shared" si="202"/>
        <v>0</v>
      </c>
      <c r="AY145" s="76" t="s">
        <v>677</v>
      </c>
      <c r="AZ145" s="76" t="s">
        <v>678</v>
      </c>
      <c r="BA145" s="14" t="s">
        <v>670</v>
      </c>
      <c r="BC145" s="17">
        <f t="shared" si="203"/>
        <v>0</v>
      </c>
      <c r="BD145" s="17">
        <f t="shared" si="204"/>
        <v>0</v>
      </c>
      <c r="BE145" s="17">
        <v>0</v>
      </c>
      <c r="BF145" s="17">
        <f t="shared" si="205"/>
        <v>0</v>
      </c>
      <c r="BH145" s="17">
        <f t="shared" si="206"/>
        <v>0</v>
      </c>
      <c r="BI145" s="17">
        <f t="shared" si="207"/>
        <v>0</v>
      </c>
      <c r="BJ145" s="17">
        <f t="shared" si="208"/>
        <v>0</v>
      </c>
      <c r="BK145" s="17"/>
      <c r="BL145" s="17">
        <v>722</v>
      </c>
      <c r="BW145" s="17">
        <f t="shared" si="209"/>
        <v>12</v>
      </c>
      <c r="BX145" s="4" t="s">
        <v>167</v>
      </c>
    </row>
    <row r="146" spans="1:76" x14ac:dyDescent="0.25">
      <c r="A146" s="1" t="s">
        <v>704</v>
      </c>
      <c r="B146" s="2" t="s">
        <v>99</v>
      </c>
      <c r="C146" s="2" t="s">
        <v>168</v>
      </c>
      <c r="D146" s="83" t="s">
        <v>169</v>
      </c>
      <c r="E146" s="84"/>
      <c r="F146" s="2" t="s">
        <v>35</v>
      </c>
      <c r="G146" s="17">
        <f>'Rozpočet - vybrané sloupce'!J111</f>
        <v>4</v>
      </c>
      <c r="H146" s="17">
        <f>'Rozpočet - vybrané sloupce'!K111</f>
        <v>0</v>
      </c>
      <c r="I146" s="74">
        <v>12</v>
      </c>
      <c r="J146" s="17">
        <f t="shared" si="182"/>
        <v>0</v>
      </c>
      <c r="K146" s="17">
        <f t="shared" si="183"/>
        <v>0</v>
      </c>
      <c r="L146" s="17">
        <f t="shared" si="184"/>
        <v>0</v>
      </c>
      <c r="M146" s="17">
        <f t="shared" si="185"/>
        <v>0</v>
      </c>
      <c r="N146" s="17">
        <v>0</v>
      </c>
      <c r="O146" s="17">
        <f t="shared" si="186"/>
        <v>0</v>
      </c>
      <c r="P146" s="75" t="s">
        <v>576</v>
      </c>
      <c r="Z146" s="17">
        <f t="shared" si="187"/>
        <v>0</v>
      </c>
      <c r="AB146" s="17">
        <f t="shared" si="188"/>
        <v>0</v>
      </c>
      <c r="AC146" s="17">
        <f t="shared" si="189"/>
        <v>0</v>
      </c>
      <c r="AD146" s="17">
        <f t="shared" si="190"/>
        <v>0</v>
      </c>
      <c r="AE146" s="17">
        <f t="shared" si="191"/>
        <v>0</v>
      </c>
      <c r="AF146" s="17">
        <f t="shared" si="192"/>
        <v>0</v>
      </c>
      <c r="AG146" s="17">
        <f t="shared" si="193"/>
        <v>0</v>
      </c>
      <c r="AH146" s="17">
        <f t="shared" si="194"/>
        <v>0</v>
      </c>
      <c r="AI146" s="14" t="s">
        <v>99</v>
      </c>
      <c r="AJ146" s="17">
        <f t="shared" si="195"/>
        <v>0</v>
      </c>
      <c r="AK146" s="17">
        <f t="shared" si="196"/>
        <v>0</v>
      </c>
      <c r="AL146" s="17">
        <f t="shared" si="197"/>
        <v>0</v>
      </c>
      <c r="AN146" s="17">
        <v>12</v>
      </c>
      <c r="AO146" s="17">
        <f>H146*1</f>
        <v>0</v>
      </c>
      <c r="AP146" s="17">
        <f>H146*(1-1)</f>
        <v>0</v>
      </c>
      <c r="AQ146" s="76" t="s">
        <v>577</v>
      </c>
      <c r="AV146" s="17">
        <f t="shared" si="200"/>
        <v>0</v>
      </c>
      <c r="AW146" s="17">
        <f t="shared" si="201"/>
        <v>0</v>
      </c>
      <c r="AX146" s="17">
        <f t="shared" si="202"/>
        <v>0</v>
      </c>
      <c r="AY146" s="76" t="s">
        <v>677</v>
      </c>
      <c r="AZ146" s="76" t="s">
        <v>678</v>
      </c>
      <c r="BA146" s="14" t="s">
        <v>670</v>
      </c>
      <c r="BC146" s="17">
        <f t="shared" si="203"/>
        <v>0</v>
      </c>
      <c r="BD146" s="17">
        <f t="shared" si="204"/>
        <v>0</v>
      </c>
      <c r="BE146" s="17">
        <v>0</v>
      </c>
      <c r="BF146" s="17">
        <f t="shared" si="205"/>
        <v>0</v>
      </c>
      <c r="BH146" s="17">
        <f t="shared" si="206"/>
        <v>0</v>
      </c>
      <c r="BI146" s="17">
        <f t="shared" si="207"/>
        <v>0</v>
      </c>
      <c r="BJ146" s="17">
        <f t="shared" si="208"/>
        <v>0</v>
      </c>
      <c r="BK146" s="17"/>
      <c r="BL146" s="17">
        <v>722</v>
      </c>
      <c r="BW146" s="17">
        <f t="shared" si="209"/>
        <v>12</v>
      </c>
      <c r="BX146" s="4" t="s">
        <v>169</v>
      </c>
    </row>
    <row r="147" spans="1:76" x14ac:dyDescent="0.25">
      <c r="A147" s="1" t="s">
        <v>705</v>
      </c>
      <c r="B147" s="2" t="s">
        <v>99</v>
      </c>
      <c r="C147" s="2" t="s">
        <v>170</v>
      </c>
      <c r="D147" s="83" t="s">
        <v>171</v>
      </c>
      <c r="E147" s="84"/>
      <c r="F147" s="2" t="s">
        <v>35</v>
      </c>
      <c r="G147" s="17">
        <f>'Rozpočet - vybrané sloupce'!J112</f>
        <v>1</v>
      </c>
      <c r="H147" s="17">
        <f>'Rozpočet - vybrané sloupce'!K112</f>
        <v>0</v>
      </c>
      <c r="I147" s="74">
        <v>12</v>
      </c>
      <c r="J147" s="17">
        <f t="shared" si="182"/>
        <v>0</v>
      </c>
      <c r="K147" s="17">
        <f t="shared" si="183"/>
        <v>0</v>
      </c>
      <c r="L147" s="17">
        <f t="shared" si="184"/>
        <v>0</v>
      </c>
      <c r="M147" s="17">
        <f t="shared" si="185"/>
        <v>0</v>
      </c>
      <c r="N147" s="17">
        <v>1.3500000000000001E-3</v>
      </c>
      <c r="O147" s="17">
        <f t="shared" si="186"/>
        <v>1.3500000000000001E-3</v>
      </c>
      <c r="P147" s="75" t="s">
        <v>576</v>
      </c>
      <c r="Z147" s="17">
        <f t="shared" si="187"/>
        <v>0</v>
      </c>
      <c r="AB147" s="17">
        <f t="shared" si="188"/>
        <v>0</v>
      </c>
      <c r="AC147" s="17">
        <f t="shared" si="189"/>
        <v>0</v>
      </c>
      <c r="AD147" s="17">
        <f t="shared" si="190"/>
        <v>0</v>
      </c>
      <c r="AE147" s="17">
        <f t="shared" si="191"/>
        <v>0</v>
      </c>
      <c r="AF147" s="17">
        <f t="shared" si="192"/>
        <v>0</v>
      </c>
      <c r="AG147" s="17">
        <f t="shared" si="193"/>
        <v>0</v>
      </c>
      <c r="AH147" s="17">
        <f t="shared" si="194"/>
        <v>0</v>
      </c>
      <c r="AI147" s="14" t="s">
        <v>99</v>
      </c>
      <c r="AJ147" s="17">
        <f t="shared" si="195"/>
        <v>0</v>
      </c>
      <c r="AK147" s="17">
        <f t="shared" si="196"/>
        <v>0</v>
      </c>
      <c r="AL147" s="17">
        <f t="shared" si="197"/>
        <v>0</v>
      </c>
      <c r="AN147" s="17">
        <v>12</v>
      </c>
      <c r="AO147" s="17">
        <f>H147*0.825068138</f>
        <v>0</v>
      </c>
      <c r="AP147" s="17">
        <f>H147*(1-0.825068138)</f>
        <v>0</v>
      </c>
      <c r="AQ147" s="76" t="s">
        <v>577</v>
      </c>
      <c r="AV147" s="17">
        <f t="shared" si="200"/>
        <v>0</v>
      </c>
      <c r="AW147" s="17">
        <f t="shared" si="201"/>
        <v>0</v>
      </c>
      <c r="AX147" s="17">
        <f t="shared" si="202"/>
        <v>0</v>
      </c>
      <c r="AY147" s="76" t="s">
        <v>677</v>
      </c>
      <c r="AZ147" s="76" t="s">
        <v>678</v>
      </c>
      <c r="BA147" s="14" t="s">
        <v>670</v>
      </c>
      <c r="BC147" s="17">
        <f t="shared" si="203"/>
        <v>0</v>
      </c>
      <c r="BD147" s="17">
        <f t="shared" si="204"/>
        <v>0</v>
      </c>
      <c r="BE147" s="17">
        <v>0</v>
      </c>
      <c r="BF147" s="17">
        <f t="shared" si="205"/>
        <v>1.3500000000000001E-3</v>
      </c>
      <c r="BH147" s="17">
        <f t="shared" si="206"/>
        <v>0</v>
      </c>
      <c r="BI147" s="17">
        <f t="shared" si="207"/>
        <v>0</v>
      </c>
      <c r="BJ147" s="17">
        <f t="shared" si="208"/>
        <v>0</v>
      </c>
      <c r="BK147" s="17"/>
      <c r="BL147" s="17">
        <v>722</v>
      </c>
      <c r="BW147" s="17">
        <f t="shared" si="209"/>
        <v>12</v>
      </c>
      <c r="BX147" s="4" t="s">
        <v>171</v>
      </c>
    </row>
    <row r="148" spans="1:76" x14ac:dyDescent="0.25">
      <c r="A148" s="1" t="s">
        <v>706</v>
      </c>
      <c r="B148" s="2" t="s">
        <v>99</v>
      </c>
      <c r="C148" s="2" t="s">
        <v>172</v>
      </c>
      <c r="D148" s="83" t="s">
        <v>173</v>
      </c>
      <c r="E148" s="84"/>
      <c r="F148" s="2" t="s">
        <v>35</v>
      </c>
      <c r="G148" s="17">
        <f>'Rozpočet - vybrané sloupce'!J113</f>
        <v>1</v>
      </c>
      <c r="H148" s="17">
        <f>'Rozpočet - vybrané sloupce'!K113</f>
        <v>0</v>
      </c>
      <c r="I148" s="74">
        <v>12</v>
      </c>
      <c r="J148" s="17">
        <f t="shared" si="182"/>
        <v>0</v>
      </c>
      <c r="K148" s="17">
        <f t="shared" si="183"/>
        <v>0</v>
      </c>
      <c r="L148" s="17">
        <f t="shared" si="184"/>
        <v>0</v>
      </c>
      <c r="M148" s="17">
        <f t="shared" si="185"/>
        <v>0</v>
      </c>
      <c r="N148" s="17">
        <v>0</v>
      </c>
      <c r="O148" s="17">
        <f t="shared" si="186"/>
        <v>0</v>
      </c>
      <c r="P148" s="75" t="s">
        <v>576</v>
      </c>
      <c r="Z148" s="17">
        <f t="shared" si="187"/>
        <v>0</v>
      </c>
      <c r="AB148" s="17">
        <f t="shared" si="188"/>
        <v>0</v>
      </c>
      <c r="AC148" s="17">
        <f t="shared" si="189"/>
        <v>0</v>
      </c>
      <c r="AD148" s="17">
        <f t="shared" si="190"/>
        <v>0</v>
      </c>
      <c r="AE148" s="17">
        <f t="shared" si="191"/>
        <v>0</v>
      </c>
      <c r="AF148" s="17">
        <f t="shared" si="192"/>
        <v>0</v>
      </c>
      <c r="AG148" s="17">
        <f t="shared" si="193"/>
        <v>0</v>
      </c>
      <c r="AH148" s="17">
        <f t="shared" si="194"/>
        <v>0</v>
      </c>
      <c r="AI148" s="14" t="s">
        <v>99</v>
      </c>
      <c r="AJ148" s="17">
        <f t="shared" si="195"/>
        <v>0</v>
      </c>
      <c r="AK148" s="17">
        <f t="shared" si="196"/>
        <v>0</v>
      </c>
      <c r="AL148" s="17">
        <f t="shared" si="197"/>
        <v>0</v>
      </c>
      <c r="AN148" s="17">
        <v>12</v>
      </c>
      <c r="AO148" s="17">
        <f>H148*0.05627451</f>
        <v>0</v>
      </c>
      <c r="AP148" s="17">
        <f>H148*(1-0.05627451)</f>
        <v>0</v>
      </c>
      <c r="AQ148" s="76" t="s">
        <v>577</v>
      </c>
      <c r="AV148" s="17">
        <f t="shared" si="200"/>
        <v>0</v>
      </c>
      <c r="AW148" s="17">
        <f t="shared" si="201"/>
        <v>0</v>
      </c>
      <c r="AX148" s="17">
        <f t="shared" si="202"/>
        <v>0</v>
      </c>
      <c r="AY148" s="76" t="s">
        <v>677</v>
      </c>
      <c r="AZ148" s="76" t="s">
        <v>678</v>
      </c>
      <c r="BA148" s="14" t="s">
        <v>670</v>
      </c>
      <c r="BC148" s="17">
        <f t="shared" si="203"/>
        <v>0</v>
      </c>
      <c r="BD148" s="17">
        <f t="shared" si="204"/>
        <v>0</v>
      </c>
      <c r="BE148" s="17">
        <v>0</v>
      </c>
      <c r="BF148" s="17">
        <f t="shared" si="205"/>
        <v>0</v>
      </c>
      <c r="BH148" s="17">
        <f t="shared" si="206"/>
        <v>0</v>
      </c>
      <c r="BI148" s="17">
        <f t="shared" si="207"/>
        <v>0</v>
      </c>
      <c r="BJ148" s="17">
        <f t="shared" si="208"/>
        <v>0</v>
      </c>
      <c r="BK148" s="17"/>
      <c r="BL148" s="17">
        <v>722</v>
      </c>
      <c r="BW148" s="17">
        <f t="shared" si="209"/>
        <v>12</v>
      </c>
      <c r="BX148" s="4" t="s">
        <v>173</v>
      </c>
    </row>
    <row r="149" spans="1:76" x14ac:dyDescent="0.25">
      <c r="A149" s="1" t="s">
        <v>707</v>
      </c>
      <c r="B149" s="2" t="s">
        <v>99</v>
      </c>
      <c r="C149" s="2" t="s">
        <v>174</v>
      </c>
      <c r="D149" s="83" t="s">
        <v>175</v>
      </c>
      <c r="E149" s="84"/>
      <c r="F149" s="2" t="s">
        <v>35</v>
      </c>
      <c r="G149" s="17">
        <f>'Rozpočet - vybrané sloupce'!J114</f>
        <v>1</v>
      </c>
      <c r="H149" s="17">
        <f>'Rozpočet - vybrané sloupce'!K114</f>
        <v>0</v>
      </c>
      <c r="I149" s="74">
        <v>12</v>
      </c>
      <c r="J149" s="17">
        <f t="shared" si="182"/>
        <v>0</v>
      </c>
      <c r="K149" s="17">
        <f t="shared" si="183"/>
        <v>0</v>
      </c>
      <c r="L149" s="17">
        <f t="shared" si="184"/>
        <v>0</v>
      </c>
      <c r="M149" s="17">
        <f t="shared" si="185"/>
        <v>0</v>
      </c>
      <c r="N149" s="17">
        <v>0</v>
      </c>
      <c r="O149" s="17">
        <f t="shared" si="186"/>
        <v>0</v>
      </c>
      <c r="P149" s="75" t="s">
        <v>576</v>
      </c>
      <c r="Z149" s="17">
        <f t="shared" si="187"/>
        <v>0</v>
      </c>
      <c r="AB149" s="17">
        <f t="shared" si="188"/>
        <v>0</v>
      </c>
      <c r="AC149" s="17">
        <f t="shared" si="189"/>
        <v>0</v>
      </c>
      <c r="AD149" s="17">
        <f t="shared" si="190"/>
        <v>0</v>
      </c>
      <c r="AE149" s="17">
        <f t="shared" si="191"/>
        <v>0</v>
      </c>
      <c r="AF149" s="17">
        <f t="shared" si="192"/>
        <v>0</v>
      </c>
      <c r="AG149" s="17">
        <f t="shared" si="193"/>
        <v>0</v>
      </c>
      <c r="AH149" s="17">
        <f t="shared" si="194"/>
        <v>0</v>
      </c>
      <c r="AI149" s="14" t="s">
        <v>99</v>
      </c>
      <c r="AJ149" s="17">
        <f t="shared" si="195"/>
        <v>0</v>
      </c>
      <c r="AK149" s="17">
        <f t="shared" si="196"/>
        <v>0</v>
      </c>
      <c r="AL149" s="17">
        <f t="shared" si="197"/>
        <v>0</v>
      </c>
      <c r="AN149" s="17">
        <v>12</v>
      </c>
      <c r="AO149" s="17">
        <f>H149*1</f>
        <v>0</v>
      </c>
      <c r="AP149" s="17">
        <f>H149*(1-1)</f>
        <v>0</v>
      </c>
      <c r="AQ149" s="76" t="s">
        <v>577</v>
      </c>
      <c r="AV149" s="17">
        <f t="shared" si="200"/>
        <v>0</v>
      </c>
      <c r="AW149" s="17">
        <f t="shared" si="201"/>
        <v>0</v>
      </c>
      <c r="AX149" s="17">
        <f t="shared" si="202"/>
        <v>0</v>
      </c>
      <c r="AY149" s="76" t="s">
        <v>677</v>
      </c>
      <c r="AZ149" s="76" t="s">
        <v>678</v>
      </c>
      <c r="BA149" s="14" t="s">
        <v>670</v>
      </c>
      <c r="BC149" s="17">
        <f t="shared" si="203"/>
        <v>0</v>
      </c>
      <c r="BD149" s="17">
        <f t="shared" si="204"/>
        <v>0</v>
      </c>
      <c r="BE149" s="17">
        <v>0</v>
      </c>
      <c r="BF149" s="17">
        <f t="shared" si="205"/>
        <v>0</v>
      </c>
      <c r="BH149" s="17">
        <f t="shared" si="206"/>
        <v>0</v>
      </c>
      <c r="BI149" s="17">
        <f t="shared" si="207"/>
        <v>0</v>
      </c>
      <c r="BJ149" s="17">
        <f t="shared" si="208"/>
        <v>0</v>
      </c>
      <c r="BK149" s="17"/>
      <c r="BL149" s="17">
        <v>722</v>
      </c>
      <c r="BW149" s="17">
        <f t="shared" si="209"/>
        <v>12</v>
      </c>
      <c r="BX149" s="4" t="s">
        <v>175</v>
      </c>
    </row>
    <row r="150" spans="1:76" x14ac:dyDescent="0.25">
      <c r="A150" s="1" t="s">
        <v>708</v>
      </c>
      <c r="B150" s="2" t="s">
        <v>99</v>
      </c>
      <c r="C150" s="2" t="s">
        <v>176</v>
      </c>
      <c r="D150" s="83" t="s">
        <v>177</v>
      </c>
      <c r="E150" s="84"/>
      <c r="F150" s="2" t="s">
        <v>35</v>
      </c>
      <c r="G150" s="17">
        <f>'Rozpočet - vybrané sloupce'!J115</f>
        <v>1</v>
      </c>
      <c r="H150" s="17">
        <f>'Rozpočet - vybrané sloupce'!K115</f>
        <v>0</v>
      </c>
      <c r="I150" s="74">
        <v>12</v>
      </c>
      <c r="J150" s="17">
        <f t="shared" si="182"/>
        <v>0</v>
      </c>
      <c r="K150" s="17">
        <f t="shared" si="183"/>
        <v>0</v>
      </c>
      <c r="L150" s="17">
        <f t="shared" si="184"/>
        <v>0</v>
      </c>
      <c r="M150" s="17">
        <f t="shared" si="185"/>
        <v>0</v>
      </c>
      <c r="N150" s="17">
        <v>0</v>
      </c>
      <c r="O150" s="17">
        <f t="shared" si="186"/>
        <v>0</v>
      </c>
      <c r="P150" s="75" t="s">
        <v>576</v>
      </c>
      <c r="Z150" s="17">
        <f t="shared" si="187"/>
        <v>0</v>
      </c>
      <c r="AB150" s="17">
        <f t="shared" si="188"/>
        <v>0</v>
      </c>
      <c r="AC150" s="17">
        <f t="shared" si="189"/>
        <v>0</v>
      </c>
      <c r="AD150" s="17">
        <f t="shared" si="190"/>
        <v>0</v>
      </c>
      <c r="AE150" s="17">
        <f t="shared" si="191"/>
        <v>0</v>
      </c>
      <c r="AF150" s="17">
        <f t="shared" si="192"/>
        <v>0</v>
      </c>
      <c r="AG150" s="17">
        <f t="shared" si="193"/>
        <v>0</v>
      </c>
      <c r="AH150" s="17">
        <f t="shared" si="194"/>
        <v>0</v>
      </c>
      <c r="AI150" s="14" t="s">
        <v>99</v>
      </c>
      <c r="AJ150" s="17">
        <f t="shared" si="195"/>
        <v>0</v>
      </c>
      <c r="AK150" s="17">
        <f t="shared" si="196"/>
        <v>0</v>
      </c>
      <c r="AL150" s="17">
        <f t="shared" si="197"/>
        <v>0</v>
      </c>
      <c r="AN150" s="17">
        <v>12</v>
      </c>
      <c r="AO150" s="17">
        <f>H150*0.091784512</f>
        <v>0</v>
      </c>
      <c r="AP150" s="17">
        <f>H150*(1-0.091784512)</f>
        <v>0</v>
      </c>
      <c r="AQ150" s="76" t="s">
        <v>577</v>
      </c>
      <c r="AV150" s="17">
        <f t="shared" si="200"/>
        <v>0</v>
      </c>
      <c r="AW150" s="17">
        <f t="shared" si="201"/>
        <v>0</v>
      </c>
      <c r="AX150" s="17">
        <f t="shared" si="202"/>
        <v>0</v>
      </c>
      <c r="AY150" s="76" t="s">
        <v>677</v>
      </c>
      <c r="AZ150" s="76" t="s">
        <v>678</v>
      </c>
      <c r="BA150" s="14" t="s">
        <v>670</v>
      </c>
      <c r="BC150" s="17">
        <f t="shared" si="203"/>
        <v>0</v>
      </c>
      <c r="BD150" s="17">
        <f t="shared" si="204"/>
        <v>0</v>
      </c>
      <c r="BE150" s="17">
        <v>0</v>
      </c>
      <c r="BF150" s="17">
        <f t="shared" si="205"/>
        <v>0</v>
      </c>
      <c r="BH150" s="17">
        <f t="shared" si="206"/>
        <v>0</v>
      </c>
      <c r="BI150" s="17">
        <f t="shared" si="207"/>
        <v>0</v>
      </c>
      <c r="BJ150" s="17">
        <f t="shared" si="208"/>
        <v>0</v>
      </c>
      <c r="BK150" s="17"/>
      <c r="BL150" s="17">
        <v>722</v>
      </c>
      <c r="BW150" s="17">
        <f t="shared" si="209"/>
        <v>12</v>
      </c>
      <c r="BX150" s="4" t="s">
        <v>177</v>
      </c>
    </row>
    <row r="151" spans="1:76" x14ac:dyDescent="0.25">
      <c r="A151" s="1" t="s">
        <v>709</v>
      </c>
      <c r="B151" s="2" t="s">
        <v>99</v>
      </c>
      <c r="C151" s="2" t="s">
        <v>178</v>
      </c>
      <c r="D151" s="83" t="s">
        <v>179</v>
      </c>
      <c r="E151" s="84"/>
      <c r="F151" s="2" t="s">
        <v>35</v>
      </c>
      <c r="G151" s="17">
        <f>'Rozpočet - vybrané sloupce'!J116</f>
        <v>1</v>
      </c>
      <c r="H151" s="17">
        <f>'Rozpočet - vybrané sloupce'!K116</f>
        <v>0</v>
      </c>
      <c r="I151" s="74">
        <v>12</v>
      </c>
      <c r="J151" s="17">
        <f t="shared" si="182"/>
        <v>0</v>
      </c>
      <c r="K151" s="17">
        <f t="shared" si="183"/>
        <v>0</v>
      </c>
      <c r="L151" s="17">
        <f t="shared" si="184"/>
        <v>0</v>
      </c>
      <c r="M151" s="17">
        <f t="shared" si="185"/>
        <v>0</v>
      </c>
      <c r="N151" s="17">
        <v>0</v>
      </c>
      <c r="O151" s="17">
        <f t="shared" si="186"/>
        <v>0</v>
      </c>
      <c r="P151" s="75" t="s">
        <v>576</v>
      </c>
      <c r="Z151" s="17">
        <f t="shared" si="187"/>
        <v>0</v>
      </c>
      <c r="AB151" s="17">
        <f t="shared" si="188"/>
        <v>0</v>
      </c>
      <c r="AC151" s="17">
        <f t="shared" si="189"/>
        <v>0</v>
      </c>
      <c r="AD151" s="17">
        <f t="shared" si="190"/>
        <v>0</v>
      </c>
      <c r="AE151" s="17">
        <f t="shared" si="191"/>
        <v>0</v>
      </c>
      <c r="AF151" s="17">
        <f t="shared" si="192"/>
        <v>0</v>
      </c>
      <c r="AG151" s="17">
        <f t="shared" si="193"/>
        <v>0</v>
      </c>
      <c r="AH151" s="17">
        <f t="shared" si="194"/>
        <v>0</v>
      </c>
      <c r="AI151" s="14" t="s">
        <v>99</v>
      </c>
      <c r="AJ151" s="17">
        <f t="shared" si="195"/>
        <v>0</v>
      </c>
      <c r="AK151" s="17">
        <f t="shared" si="196"/>
        <v>0</v>
      </c>
      <c r="AL151" s="17">
        <f t="shared" si="197"/>
        <v>0</v>
      </c>
      <c r="AN151" s="17">
        <v>12</v>
      </c>
      <c r="AO151" s="17">
        <f>H151*1</f>
        <v>0</v>
      </c>
      <c r="AP151" s="17">
        <f>H151*(1-1)</f>
        <v>0</v>
      </c>
      <c r="AQ151" s="76" t="s">
        <v>577</v>
      </c>
      <c r="AV151" s="17">
        <f t="shared" si="200"/>
        <v>0</v>
      </c>
      <c r="AW151" s="17">
        <f t="shared" si="201"/>
        <v>0</v>
      </c>
      <c r="AX151" s="17">
        <f t="shared" si="202"/>
        <v>0</v>
      </c>
      <c r="AY151" s="76" t="s">
        <v>677</v>
      </c>
      <c r="AZ151" s="76" t="s">
        <v>678</v>
      </c>
      <c r="BA151" s="14" t="s">
        <v>670</v>
      </c>
      <c r="BC151" s="17">
        <f t="shared" si="203"/>
        <v>0</v>
      </c>
      <c r="BD151" s="17">
        <f t="shared" si="204"/>
        <v>0</v>
      </c>
      <c r="BE151" s="17">
        <v>0</v>
      </c>
      <c r="BF151" s="17">
        <f t="shared" si="205"/>
        <v>0</v>
      </c>
      <c r="BH151" s="17">
        <f t="shared" si="206"/>
        <v>0</v>
      </c>
      <c r="BI151" s="17">
        <f t="shared" si="207"/>
        <v>0</v>
      </c>
      <c r="BJ151" s="17">
        <f t="shared" si="208"/>
        <v>0</v>
      </c>
      <c r="BK151" s="17"/>
      <c r="BL151" s="17">
        <v>722</v>
      </c>
      <c r="BW151" s="17">
        <f t="shared" si="209"/>
        <v>12</v>
      </c>
      <c r="BX151" s="4" t="s">
        <v>179</v>
      </c>
    </row>
    <row r="152" spans="1:76" x14ac:dyDescent="0.25">
      <c r="A152" s="1" t="s">
        <v>710</v>
      </c>
      <c r="B152" s="2" t="s">
        <v>99</v>
      </c>
      <c r="C152" s="2" t="s">
        <v>180</v>
      </c>
      <c r="D152" s="83" t="s">
        <v>181</v>
      </c>
      <c r="E152" s="84"/>
      <c r="F152" s="2" t="s">
        <v>35</v>
      </c>
      <c r="G152" s="17">
        <f>'Rozpočet - vybrané sloupce'!J117</f>
        <v>1</v>
      </c>
      <c r="H152" s="17">
        <f>'Rozpočet - vybrané sloupce'!K117</f>
        <v>0</v>
      </c>
      <c r="I152" s="74">
        <v>12</v>
      </c>
      <c r="J152" s="17">
        <f t="shared" si="182"/>
        <v>0</v>
      </c>
      <c r="K152" s="17">
        <f t="shared" si="183"/>
        <v>0</v>
      </c>
      <c r="L152" s="17">
        <f t="shared" si="184"/>
        <v>0</v>
      </c>
      <c r="M152" s="17">
        <f t="shared" si="185"/>
        <v>0</v>
      </c>
      <c r="N152" s="17">
        <v>7.2199999999999999E-3</v>
      </c>
      <c r="O152" s="17">
        <f t="shared" si="186"/>
        <v>7.2199999999999999E-3</v>
      </c>
      <c r="P152" s="75" t="s">
        <v>576</v>
      </c>
      <c r="Z152" s="17">
        <f t="shared" si="187"/>
        <v>0</v>
      </c>
      <c r="AB152" s="17">
        <f t="shared" si="188"/>
        <v>0</v>
      </c>
      <c r="AC152" s="17">
        <f t="shared" si="189"/>
        <v>0</v>
      </c>
      <c r="AD152" s="17">
        <f t="shared" si="190"/>
        <v>0</v>
      </c>
      <c r="AE152" s="17">
        <f t="shared" si="191"/>
        <v>0</v>
      </c>
      <c r="AF152" s="17">
        <f t="shared" si="192"/>
        <v>0</v>
      </c>
      <c r="AG152" s="17">
        <f t="shared" si="193"/>
        <v>0</v>
      </c>
      <c r="AH152" s="17">
        <f t="shared" si="194"/>
        <v>0</v>
      </c>
      <c r="AI152" s="14" t="s">
        <v>99</v>
      </c>
      <c r="AJ152" s="17">
        <f t="shared" si="195"/>
        <v>0</v>
      </c>
      <c r="AK152" s="17">
        <f t="shared" si="196"/>
        <v>0</v>
      </c>
      <c r="AL152" s="17">
        <f t="shared" si="197"/>
        <v>0</v>
      </c>
      <c r="AN152" s="17">
        <v>12</v>
      </c>
      <c r="AO152" s="17">
        <f>H152*0</f>
        <v>0</v>
      </c>
      <c r="AP152" s="17">
        <f>H152*(1-0)</f>
        <v>0</v>
      </c>
      <c r="AQ152" s="76" t="s">
        <v>577</v>
      </c>
      <c r="AV152" s="17">
        <f t="shared" si="200"/>
        <v>0</v>
      </c>
      <c r="AW152" s="17">
        <f t="shared" si="201"/>
        <v>0</v>
      </c>
      <c r="AX152" s="17">
        <f t="shared" si="202"/>
        <v>0</v>
      </c>
      <c r="AY152" s="76" t="s">
        <v>677</v>
      </c>
      <c r="AZ152" s="76" t="s">
        <v>678</v>
      </c>
      <c r="BA152" s="14" t="s">
        <v>670</v>
      </c>
      <c r="BC152" s="17">
        <f t="shared" si="203"/>
        <v>0</v>
      </c>
      <c r="BD152" s="17">
        <f t="shared" si="204"/>
        <v>0</v>
      </c>
      <c r="BE152" s="17">
        <v>0</v>
      </c>
      <c r="BF152" s="17">
        <f t="shared" si="205"/>
        <v>7.2199999999999999E-3</v>
      </c>
      <c r="BH152" s="17">
        <f t="shared" si="206"/>
        <v>0</v>
      </c>
      <c r="BI152" s="17">
        <f t="shared" si="207"/>
        <v>0</v>
      </c>
      <c r="BJ152" s="17">
        <f t="shared" si="208"/>
        <v>0</v>
      </c>
      <c r="BK152" s="17"/>
      <c r="BL152" s="17">
        <v>722</v>
      </c>
      <c r="BW152" s="17">
        <f t="shared" si="209"/>
        <v>12</v>
      </c>
      <c r="BX152" s="4" t="s">
        <v>181</v>
      </c>
    </row>
    <row r="153" spans="1:76" x14ac:dyDescent="0.25">
      <c r="A153" s="1" t="s">
        <v>711</v>
      </c>
      <c r="B153" s="2" t="s">
        <v>99</v>
      </c>
      <c r="C153" s="2" t="s">
        <v>182</v>
      </c>
      <c r="D153" s="83" t="s">
        <v>183</v>
      </c>
      <c r="E153" s="84"/>
      <c r="F153" s="2" t="s">
        <v>35</v>
      </c>
      <c r="G153" s="17">
        <f>'Rozpočet - vybrané sloupce'!J118</f>
        <v>1</v>
      </c>
      <c r="H153" s="17">
        <f>'Rozpočet - vybrané sloupce'!K118</f>
        <v>0</v>
      </c>
      <c r="I153" s="74">
        <v>12</v>
      </c>
      <c r="J153" s="17">
        <f t="shared" si="182"/>
        <v>0</v>
      </c>
      <c r="K153" s="17">
        <f t="shared" si="183"/>
        <v>0</v>
      </c>
      <c r="L153" s="17">
        <f t="shared" si="184"/>
        <v>0</v>
      </c>
      <c r="M153" s="17">
        <f t="shared" si="185"/>
        <v>0</v>
      </c>
      <c r="N153" s="17">
        <v>3.0000000000000001E-5</v>
      </c>
      <c r="O153" s="17">
        <f t="shared" si="186"/>
        <v>3.0000000000000001E-5</v>
      </c>
      <c r="P153" s="75" t="s">
        <v>576</v>
      </c>
      <c r="Z153" s="17">
        <f t="shared" si="187"/>
        <v>0</v>
      </c>
      <c r="AB153" s="17">
        <f t="shared" si="188"/>
        <v>0</v>
      </c>
      <c r="AC153" s="17">
        <f t="shared" si="189"/>
        <v>0</v>
      </c>
      <c r="AD153" s="17">
        <f t="shared" si="190"/>
        <v>0</v>
      </c>
      <c r="AE153" s="17">
        <f t="shared" si="191"/>
        <v>0</v>
      </c>
      <c r="AF153" s="17">
        <f t="shared" si="192"/>
        <v>0</v>
      </c>
      <c r="AG153" s="17">
        <f t="shared" si="193"/>
        <v>0</v>
      </c>
      <c r="AH153" s="17">
        <f t="shared" si="194"/>
        <v>0</v>
      </c>
      <c r="AI153" s="14" t="s">
        <v>99</v>
      </c>
      <c r="AJ153" s="17">
        <f t="shared" si="195"/>
        <v>0</v>
      </c>
      <c r="AK153" s="17">
        <f t="shared" si="196"/>
        <v>0</v>
      </c>
      <c r="AL153" s="17">
        <f t="shared" si="197"/>
        <v>0</v>
      </c>
      <c r="AN153" s="17">
        <v>12</v>
      </c>
      <c r="AO153" s="17">
        <f>H153*0.038896552</f>
        <v>0</v>
      </c>
      <c r="AP153" s="17">
        <f>H153*(1-0.038896552)</f>
        <v>0</v>
      </c>
      <c r="AQ153" s="76" t="s">
        <v>577</v>
      </c>
      <c r="AV153" s="17">
        <f t="shared" si="200"/>
        <v>0</v>
      </c>
      <c r="AW153" s="17">
        <f t="shared" si="201"/>
        <v>0</v>
      </c>
      <c r="AX153" s="17">
        <f t="shared" si="202"/>
        <v>0</v>
      </c>
      <c r="AY153" s="76" t="s">
        <v>677</v>
      </c>
      <c r="AZ153" s="76" t="s">
        <v>678</v>
      </c>
      <c r="BA153" s="14" t="s">
        <v>670</v>
      </c>
      <c r="BC153" s="17">
        <f t="shared" si="203"/>
        <v>0</v>
      </c>
      <c r="BD153" s="17">
        <f t="shared" si="204"/>
        <v>0</v>
      </c>
      <c r="BE153" s="17">
        <v>0</v>
      </c>
      <c r="BF153" s="17">
        <f t="shared" si="205"/>
        <v>3.0000000000000001E-5</v>
      </c>
      <c r="BH153" s="17">
        <f t="shared" si="206"/>
        <v>0</v>
      </c>
      <c r="BI153" s="17">
        <f t="shared" si="207"/>
        <v>0</v>
      </c>
      <c r="BJ153" s="17">
        <f t="shared" si="208"/>
        <v>0</v>
      </c>
      <c r="BK153" s="17"/>
      <c r="BL153" s="17">
        <v>722</v>
      </c>
      <c r="BW153" s="17">
        <f t="shared" si="209"/>
        <v>12</v>
      </c>
      <c r="BX153" s="4" t="s">
        <v>183</v>
      </c>
    </row>
    <row r="154" spans="1:76" x14ac:dyDescent="0.25">
      <c r="A154" s="1" t="s">
        <v>712</v>
      </c>
      <c r="B154" s="2" t="s">
        <v>99</v>
      </c>
      <c r="C154" s="2" t="s">
        <v>184</v>
      </c>
      <c r="D154" s="83" t="s">
        <v>185</v>
      </c>
      <c r="E154" s="84"/>
      <c r="F154" s="2" t="s">
        <v>40</v>
      </c>
      <c r="G154" s="17">
        <f>'Rozpočet - vybrané sloupce'!J119</f>
        <v>3</v>
      </c>
      <c r="H154" s="17">
        <f>'Rozpočet - vybrané sloupce'!K119</f>
        <v>0</v>
      </c>
      <c r="I154" s="74">
        <v>12</v>
      </c>
      <c r="J154" s="17">
        <f t="shared" si="182"/>
        <v>0</v>
      </c>
      <c r="K154" s="17">
        <f t="shared" si="183"/>
        <v>0</v>
      </c>
      <c r="L154" s="17">
        <f t="shared" si="184"/>
        <v>0</v>
      </c>
      <c r="M154" s="17">
        <f t="shared" si="185"/>
        <v>0</v>
      </c>
      <c r="N154" s="17">
        <v>3.8999999999999999E-4</v>
      </c>
      <c r="O154" s="17">
        <f t="shared" si="186"/>
        <v>1.17E-3</v>
      </c>
      <c r="P154" s="75" t="s">
        <v>576</v>
      </c>
      <c r="Z154" s="17">
        <f t="shared" si="187"/>
        <v>0</v>
      </c>
      <c r="AB154" s="17">
        <f t="shared" si="188"/>
        <v>0</v>
      </c>
      <c r="AC154" s="17">
        <f t="shared" si="189"/>
        <v>0</v>
      </c>
      <c r="AD154" s="17">
        <f t="shared" si="190"/>
        <v>0</v>
      </c>
      <c r="AE154" s="17">
        <f t="shared" si="191"/>
        <v>0</v>
      </c>
      <c r="AF154" s="17">
        <f t="shared" si="192"/>
        <v>0</v>
      </c>
      <c r="AG154" s="17">
        <f t="shared" si="193"/>
        <v>0</v>
      </c>
      <c r="AH154" s="17">
        <f t="shared" si="194"/>
        <v>0</v>
      </c>
      <c r="AI154" s="14" t="s">
        <v>99</v>
      </c>
      <c r="AJ154" s="17">
        <f t="shared" si="195"/>
        <v>0</v>
      </c>
      <c r="AK154" s="17">
        <f t="shared" si="196"/>
        <v>0</v>
      </c>
      <c r="AL154" s="17">
        <f t="shared" si="197"/>
        <v>0</v>
      </c>
      <c r="AN154" s="17">
        <v>12</v>
      </c>
      <c r="AO154" s="17">
        <f>H154*0.615809129</f>
        <v>0</v>
      </c>
      <c r="AP154" s="17">
        <f>H154*(1-0.615809129)</f>
        <v>0</v>
      </c>
      <c r="AQ154" s="76" t="s">
        <v>577</v>
      </c>
      <c r="AV154" s="17">
        <f t="shared" si="200"/>
        <v>0</v>
      </c>
      <c r="AW154" s="17">
        <f t="shared" si="201"/>
        <v>0</v>
      </c>
      <c r="AX154" s="17">
        <f t="shared" si="202"/>
        <v>0</v>
      </c>
      <c r="AY154" s="76" t="s">
        <v>677</v>
      </c>
      <c r="AZ154" s="76" t="s">
        <v>678</v>
      </c>
      <c r="BA154" s="14" t="s">
        <v>670</v>
      </c>
      <c r="BC154" s="17">
        <f t="shared" si="203"/>
        <v>0</v>
      </c>
      <c r="BD154" s="17">
        <f t="shared" si="204"/>
        <v>0</v>
      </c>
      <c r="BE154" s="17">
        <v>0</v>
      </c>
      <c r="BF154" s="17">
        <f t="shared" si="205"/>
        <v>1.17E-3</v>
      </c>
      <c r="BH154" s="17">
        <f t="shared" si="206"/>
        <v>0</v>
      </c>
      <c r="BI154" s="17">
        <f t="shared" si="207"/>
        <v>0</v>
      </c>
      <c r="BJ154" s="17">
        <f t="shared" si="208"/>
        <v>0</v>
      </c>
      <c r="BK154" s="17"/>
      <c r="BL154" s="17">
        <v>722</v>
      </c>
      <c r="BW154" s="17">
        <f t="shared" si="209"/>
        <v>12</v>
      </c>
      <c r="BX154" s="4" t="s">
        <v>185</v>
      </c>
    </row>
    <row r="155" spans="1:76" x14ac:dyDescent="0.25">
      <c r="A155" s="1" t="s">
        <v>713</v>
      </c>
      <c r="B155" s="2" t="s">
        <v>99</v>
      </c>
      <c r="C155" s="2" t="s">
        <v>186</v>
      </c>
      <c r="D155" s="83" t="s">
        <v>187</v>
      </c>
      <c r="E155" s="84"/>
      <c r="F155" s="2" t="s">
        <v>31</v>
      </c>
      <c r="G155" s="17">
        <f>'Rozpočet - vybrané sloupce'!J120</f>
        <v>90</v>
      </c>
      <c r="H155" s="17">
        <f>'Rozpočet - vybrané sloupce'!K120</f>
        <v>0</v>
      </c>
      <c r="I155" s="74">
        <v>12</v>
      </c>
      <c r="J155" s="17">
        <f t="shared" si="182"/>
        <v>0</v>
      </c>
      <c r="K155" s="17">
        <f t="shared" si="183"/>
        <v>0</v>
      </c>
      <c r="L155" s="17">
        <f t="shared" si="184"/>
        <v>0</v>
      </c>
      <c r="M155" s="17">
        <f t="shared" si="185"/>
        <v>0</v>
      </c>
      <c r="N155" s="17">
        <v>0</v>
      </c>
      <c r="O155" s="17">
        <f t="shared" si="186"/>
        <v>0</v>
      </c>
      <c r="P155" s="75" t="s">
        <v>576</v>
      </c>
      <c r="Z155" s="17">
        <f t="shared" si="187"/>
        <v>0</v>
      </c>
      <c r="AB155" s="17">
        <f t="shared" si="188"/>
        <v>0</v>
      </c>
      <c r="AC155" s="17">
        <f t="shared" si="189"/>
        <v>0</v>
      </c>
      <c r="AD155" s="17">
        <f t="shared" si="190"/>
        <v>0</v>
      </c>
      <c r="AE155" s="17">
        <f t="shared" si="191"/>
        <v>0</v>
      </c>
      <c r="AF155" s="17">
        <f t="shared" si="192"/>
        <v>0</v>
      </c>
      <c r="AG155" s="17">
        <f t="shared" si="193"/>
        <v>0</v>
      </c>
      <c r="AH155" s="17">
        <f t="shared" si="194"/>
        <v>0</v>
      </c>
      <c r="AI155" s="14" t="s">
        <v>99</v>
      </c>
      <c r="AJ155" s="17">
        <f t="shared" si="195"/>
        <v>0</v>
      </c>
      <c r="AK155" s="17">
        <f t="shared" si="196"/>
        <v>0</v>
      </c>
      <c r="AL155" s="17">
        <f t="shared" si="197"/>
        <v>0</v>
      </c>
      <c r="AN155" s="17">
        <v>12</v>
      </c>
      <c r="AO155" s="17">
        <f>H155*0.014893617</f>
        <v>0</v>
      </c>
      <c r="AP155" s="17">
        <f>H155*(1-0.014893617)</f>
        <v>0</v>
      </c>
      <c r="AQ155" s="76" t="s">
        <v>577</v>
      </c>
      <c r="AV155" s="17">
        <f t="shared" si="200"/>
        <v>0</v>
      </c>
      <c r="AW155" s="17">
        <f t="shared" si="201"/>
        <v>0</v>
      </c>
      <c r="AX155" s="17">
        <f t="shared" si="202"/>
        <v>0</v>
      </c>
      <c r="AY155" s="76" t="s">
        <v>677</v>
      </c>
      <c r="AZ155" s="76" t="s">
        <v>678</v>
      </c>
      <c r="BA155" s="14" t="s">
        <v>670</v>
      </c>
      <c r="BC155" s="17">
        <f t="shared" si="203"/>
        <v>0</v>
      </c>
      <c r="BD155" s="17">
        <f t="shared" si="204"/>
        <v>0</v>
      </c>
      <c r="BE155" s="17">
        <v>0</v>
      </c>
      <c r="BF155" s="17">
        <f t="shared" si="205"/>
        <v>0</v>
      </c>
      <c r="BH155" s="17">
        <f t="shared" si="206"/>
        <v>0</v>
      </c>
      <c r="BI155" s="17">
        <f t="shared" si="207"/>
        <v>0</v>
      </c>
      <c r="BJ155" s="17">
        <f t="shared" si="208"/>
        <v>0</v>
      </c>
      <c r="BK155" s="17"/>
      <c r="BL155" s="17">
        <v>722</v>
      </c>
      <c r="BW155" s="17">
        <f t="shared" si="209"/>
        <v>12</v>
      </c>
      <c r="BX155" s="4" t="s">
        <v>187</v>
      </c>
    </row>
    <row r="156" spans="1:76" x14ac:dyDescent="0.25">
      <c r="A156" s="1" t="s">
        <v>714</v>
      </c>
      <c r="B156" s="2" t="s">
        <v>99</v>
      </c>
      <c r="C156" s="2" t="s">
        <v>188</v>
      </c>
      <c r="D156" s="83" t="s">
        <v>189</v>
      </c>
      <c r="E156" s="84"/>
      <c r="F156" s="2" t="s">
        <v>31</v>
      </c>
      <c r="G156" s="17">
        <f>'Rozpočet - vybrané sloupce'!J121</f>
        <v>14</v>
      </c>
      <c r="H156" s="17">
        <f>'Rozpočet - vybrané sloupce'!K121</f>
        <v>0</v>
      </c>
      <c r="I156" s="74">
        <v>12</v>
      </c>
      <c r="J156" s="17">
        <f t="shared" si="182"/>
        <v>0</v>
      </c>
      <c r="K156" s="17">
        <f t="shared" si="183"/>
        <v>0</v>
      </c>
      <c r="L156" s="17">
        <f t="shared" si="184"/>
        <v>0</v>
      </c>
      <c r="M156" s="17">
        <f t="shared" si="185"/>
        <v>0</v>
      </c>
      <c r="N156" s="17">
        <v>0</v>
      </c>
      <c r="O156" s="17">
        <f t="shared" si="186"/>
        <v>0</v>
      </c>
      <c r="P156" s="75" t="s">
        <v>576</v>
      </c>
      <c r="Z156" s="17">
        <f t="shared" si="187"/>
        <v>0</v>
      </c>
      <c r="AB156" s="17">
        <f t="shared" si="188"/>
        <v>0</v>
      </c>
      <c r="AC156" s="17">
        <f t="shared" si="189"/>
        <v>0</v>
      </c>
      <c r="AD156" s="17">
        <f t="shared" si="190"/>
        <v>0</v>
      </c>
      <c r="AE156" s="17">
        <f t="shared" si="191"/>
        <v>0</v>
      </c>
      <c r="AF156" s="17">
        <f t="shared" si="192"/>
        <v>0</v>
      </c>
      <c r="AG156" s="17">
        <f t="shared" si="193"/>
        <v>0</v>
      </c>
      <c r="AH156" s="17">
        <f t="shared" si="194"/>
        <v>0</v>
      </c>
      <c r="AI156" s="14" t="s">
        <v>99</v>
      </c>
      <c r="AJ156" s="17">
        <f t="shared" si="195"/>
        <v>0</v>
      </c>
      <c r="AK156" s="17">
        <f t="shared" si="196"/>
        <v>0</v>
      </c>
      <c r="AL156" s="17">
        <f t="shared" si="197"/>
        <v>0</v>
      </c>
      <c r="AN156" s="17">
        <v>12</v>
      </c>
      <c r="AO156" s="17">
        <f>H156*0.016939502</f>
        <v>0</v>
      </c>
      <c r="AP156" s="17">
        <f>H156*(1-0.016939502)</f>
        <v>0</v>
      </c>
      <c r="AQ156" s="76" t="s">
        <v>577</v>
      </c>
      <c r="AV156" s="17">
        <f t="shared" si="200"/>
        <v>0</v>
      </c>
      <c r="AW156" s="17">
        <f t="shared" si="201"/>
        <v>0</v>
      </c>
      <c r="AX156" s="17">
        <f t="shared" si="202"/>
        <v>0</v>
      </c>
      <c r="AY156" s="76" t="s">
        <v>677</v>
      </c>
      <c r="AZ156" s="76" t="s">
        <v>678</v>
      </c>
      <c r="BA156" s="14" t="s">
        <v>670</v>
      </c>
      <c r="BC156" s="17">
        <f t="shared" si="203"/>
        <v>0</v>
      </c>
      <c r="BD156" s="17">
        <f t="shared" si="204"/>
        <v>0</v>
      </c>
      <c r="BE156" s="17">
        <v>0</v>
      </c>
      <c r="BF156" s="17">
        <f t="shared" si="205"/>
        <v>0</v>
      </c>
      <c r="BH156" s="17">
        <f t="shared" si="206"/>
        <v>0</v>
      </c>
      <c r="BI156" s="17">
        <f t="shared" si="207"/>
        <v>0</v>
      </c>
      <c r="BJ156" s="17">
        <f t="shared" si="208"/>
        <v>0</v>
      </c>
      <c r="BK156" s="17"/>
      <c r="BL156" s="17">
        <v>722</v>
      </c>
      <c r="BW156" s="17">
        <f t="shared" si="209"/>
        <v>12</v>
      </c>
      <c r="BX156" s="4" t="s">
        <v>189</v>
      </c>
    </row>
    <row r="157" spans="1:76" x14ac:dyDescent="0.25">
      <c r="A157" s="1" t="s">
        <v>715</v>
      </c>
      <c r="B157" s="2" t="s">
        <v>99</v>
      </c>
      <c r="C157" s="2" t="s">
        <v>190</v>
      </c>
      <c r="D157" s="83" t="s">
        <v>191</v>
      </c>
      <c r="E157" s="84"/>
      <c r="F157" s="2" t="s">
        <v>31</v>
      </c>
      <c r="G157" s="17">
        <f>'Rozpočet - vybrané sloupce'!J122</f>
        <v>20</v>
      </c>
      <c r="H157" s="17">
        <f>'Rozpočet - vybrané sloupce'!K122</f>
        <v>0</v>
      </c>
      <c r="I157" s="74">
        <v>12</v>
      </c>
      <c r="J157" s="17">
        <f t="shared" si="182"/>
        <v>0</v>
      </c>
      <c r="K157" s="17">
        <f t="shared" si="183"/>
        <v>0</v>
      </c>
      <c r="L157" s="17">
        <f t="shared" si="184"/>
        <v>0</v>
      </c>
      <c r="M157" s="17">
        <f t="shared" si="185"/>
        <v>0</v>
      </c>
      <c r="N157" s="17">
        <v>0</v>
      </c>
      <c r="O157" s="17">
        <f t="shared" si="186"/>
        <v>0</v>
      </c>
      <c r="P157" s="75" t="s">
        <v>576</v>
      </c>
      <c r="Z157" s="17">
        <f t="shared" si="187"/>
        <v>0</v>
      </c>
      <c r="AB157" s="17">
        <f t="shared" si="188"/>
        <v>0</v>
      </c>
      <c r="AC157" s="17">
        <f t="shared" si="189"/>
        <v>0</v>
      </c>
      <c r="AD157" s="17">
        <f t="shared" si="190"/>
        <v>0</v>
      </c>
      <c r="AE157" s="17">
        <f t="shared" si="191"/>
        <v>0</v>
      </c>
      <c r="AF157" s="17">
        <f t="shared" si="192"/>
        <v>0</v>
      </c>
      <c r="AG157" s="17">
        <f t="shared" si="193"/>
        <v>0</v>
      </c>
      <c r="AH157" s="17">
        <f t="shared" si="194"/>
        <v>0</v>
      </c>
      <c r="AI157" s="14" t="s">
        <v>99</v>
      </c>
      <c r="AJ157" s="17">
        <f t="shared" si="195"/>
        <v>0</v>
      </c>
      <c r="AK157" s="17">
        <f t="shared" si="196"/>
        <v>0</v>
      </c>
      <c r="AL157" s="17">
        <f t="shared" si="197"/>
        <v>0</v>
      </c>
      <c r="AN157" s="17">
        <v>12</v>
      </c>
      <c r="AO157" s="17">
        <f>H157*0.018285714</f>
        <v>0</v>
      </c>
      <c r="AP157" s="17">
        <f>H157*(1-0.018285714)</f>
        <v>0</v>
      </c>
      <c r="AQ157" s="76" t="s">
        <v>577</v>
      </c>
      <c r="AV157" s="17">
        <f t="shared" si="200"/>
        <v>0</v>
      </c>
      <c r="AW157" s="17">
        <f t="shared" si="201"/>
        <v>0</v>
      </c>
      <c r="AX157" s="17">
        <f t="shared" si="202"/>
        <v>0</v>
      </c>
      <c r="AY157" s="76" t="s">
        <v>677</v>
      </c>
      <c r="AZ157" s="76" t="s">
        <v>678</v>
      </c>
      <c r="BA157" s="14" t="s">
        <v>670</v>
      </c>
      <c r="BC157" s="17">
        <f t="shared" si="203"/>
        <v>0</v>
      </c>
      <c r="BD157" s="17">
        <f t="shared" si="204"/>
        <v>0</v>
      </c>
      <c r="BE157" s="17">
        <v>0</v>
      </c>
      <c r="BF157" s="17">
        <f t="shared" si="205"/>
        <v>0</v>
      </c>
      <c r="BH157" s="17">
        <f t="shared" si="206"/>
        <v>0</v>
      </c>
      <c r="BI157" s="17">
        <f t="shared" si="207"/>
        <v>0</v>
      </c>
      <c r="BJ157" s="17">
        <f t="shared" si="208"/>
        <v>0</v>
      </c>
      <c r="BK157" s="17"/>
      <c r="BL157" s="17">
        <v>722</v>
      </c>
      <c r="BW157" s="17">
        <f t="shared" si="209"/>
        <v>12</v>
      </c>
      <c r="BX157" s="4" t="s">
        <v>191</v>
      </c>
    </row>
    <row r="158" spans="1:76" x14ac:dyDescent="0.25">
      <c r="A158" s="1" t="s">
        <v>716</v>
      </c>
      <c r="B158" s="2" t="s">
        <v>99</v>
      </c>
      <c r="C158" s="2" t="s">
        <v>192</v>
      </c>
      <c r="D158" s="83" t="s">
        <v>193</v>
      </c>
      <c r="E158" s="84"/>
      <c r="F158" s="2" t="s">
        <v>88</v>
      </c>
      <c r="G158" s="17">
        <f>'Rozpočet - vybrané sloupce'!J123</f>
        <v>0.1</v>
      </c>
      <c r="H158" s="17">
        <f>'Rozpočet - vybrané sloupce'!K123</f>
        <v>0</v>
      </c>
      <c r="I158" s="74">
        <v>12</v>
      </c>
      <c r="J158" s="17">
        <f t="shared" si="182"/>
        <v>0</v>
      </c>
      <c r="K158" s="17">
        <f t="shared" si="183"/>
        <v>0</v>
      </c>
      <c r="L158" s="17">
        <f t="shared" si="184"/>
        <v>0</v>
      </c>
      <c r="M158" s="17">
        <f t="shared" si="185"/>
        <v>0</v>
      </c>
      <c r="N158" s="17">
        <v>0</v>
      </c>
      <c r="O158" s="17">
        <f t="shared" si="186"/>
        <v>0</v>
      </c>
      <c r="P158" s="75" t="s">
        <v>576</v>
      </c>
      <c r="Z158" s="17">
        <f t="shared" si="187"/>
        <v>0</v>
      </c>
      <c r="AB158" s="17">
        <f t="shared" si="188"/>
        <v>0</v>
      </c>
      <c r="AC158" s="17">
        <f t="shared" si="189"/>
        <v>0</v>
      </c>
      <c r="AD158" s="17">
        <f t="shared" si="190"/>
        <v>0</v>
      </c>
      <c r="AE158" s="17">
        <f t="shared" si="191"/>
        <v>0</v>
      </c>
      <c r="AF158" s="17">
        <f t="shared" si="192"/>
        <v>0</v>
      </c>
      <c r="AG158" s="17">
        <f t="shared" si="193"/>
        <v>0</v>
      </c>
      <c r="AH158" s="17">
        <f t="shared" si="194"/>
        <v>0</v>
      </c>
      <c r="AI158" s="14" t="s">
        <v>99</v>
      </c>
      <c r="AJ158" s="17">
        <f t="shared" si="195"/>
        <v>0</v>
      </c>
      <c r="AK158" s="17">
        <f t="shared" si="196"/>
        <v>0</v>
      </c>
      <c r="AL158" s="17">
        <f t="shared" si="197"/>
        <v>0</v>
      </c>
      <c r="AN158" s="17">
        <v>12</v>
      </c>
      <c r="AO158" s="17">
        <f>H158*0</f>
        <v>0</v>
      </c>
      <c r="AP158" s="17">
        <f>H158*(1-0)</f>
        <v>0</v>
      </c>
      <c r="AQ158" s="76" t="s">
        <v>577</v>
      </c>
      <c r="AV158" s="17">
        <f t="shared" si="200"/>
        <v>0</v>
      </c>
      <c r="AW158" s="17">
        <f t="shared" si="201"/>
        <v>0</v>
      </c>
      <c r="AX158" s="17">
        <f t="shared" si="202"/>
        <v>0</v>
      </c>
      <c r="AY158" s="76" t="s">
        <v>677</v>
      </c>
      <c r="AZ158" s="76" t="s">
        <v>678</v>
      </c>
      <c r="BA158" s="14" t="s">
        <v>670</v>
      </c>
      <c r="BC158" s="17">
        <f t="shared" si="203"/>
        <v>0</v>
      </c>
      <c r="BD158" s="17">
        <f t="shared" si="204"/>
        <v>0</v>
      </c>
      <c r="BE158" s="17">
        <v>0</v>
      </c>
      <c r="BF158" s="17">
        <f t="shared" si="205"/>
        <v>0</v>
      </c>
      <c r="BH158" s="17">
        <f t="shared" si="206"/>
        <v>0</v>
      </c>
      <c r="BI158" s="17">
        <f t="shared" si="207"/>
        <v>0</v>
      </c>
      <c r="BJ158" s="17">
        <f t="shared" si="208"/>
        <v>0</v>
      </c>
      <c r="BK158" s="17"/>
      <c r="BL158" s="17">
        <v>722</v>
      </c>
      <c r="BW158" s="17">
        <f t="shared" si="209"/>
        <v>12</v>
      </c>
      <c r="BX158" s="4" t="s">
        <v>193</v>
      </c>
    </row>
    <row r="159" spans="1:76" x14ac:dyDescent="0.25">
      <c r="A159" s="77"/>
      <c r="C159" s="78" t="s">
        <v>610</v>
      </c>
      <c r="D159" s="161" t="s">
        <v>717</v>
      </c>
      <c r="E159" s="162"/>
      <c r="F159" s="162"/>
      <c r="G159" s="162"/>
      <c r="H159" s="162"/>
      <c r="I159" s="162"/>
      <c r="J159" s="162"/>
      <c r="K159" s="162"/>
      <c r="L159" s="162"/>
      <c r="M159" s="162"/>
      <c r="N159" s="162"/>
      <c r="O159" s="162"/>
      <c r="P159" s="163"/>
      <c r="BX159" s="79" t="s">
        <v>717</v>
      </c>
    </row>
    <row r="160" spans="1:76" x14ac:dyDescent="0.25">
      <c r="A160" s="1" t="s">
        <v>718</v>
      </c>
      <c r="B160" s="2" t="s">
        <v>99</v>
      </c>
      <c r="C160" s="2" t="s">
        <v>194</v>
      </c>
      <c r="D160" s="83" t="s">
        <v>195</v>
      </c>
      <c r="E160" s="84"/>
      <c r="F160" s="2" t="s">
        <v>45</v>
      </c>
      <c r="G160" s="17">
        <f>'Rozpočet - vybrané sloupce'!J124</f>
        <v>0</v>
      </c>
      <c r="H160" s="17">
        <f>'Rozpočet - vybrané sloupce'!K124</f>
        <v>0</v>
      </c>
      <c r="I160" s="74">
        <v>12</v>
      </c>
      <c r="J160" s="17">
        <f>ROUND(G160*AO160,2)</f>
        <v>0</v>
      </c>
      <c r="K160" s="17">
        <f>ROUND(G160*AP160,2)</f>
        <v>0</v>
      </c>
      <c r="L160" s="17">
        <f>ROUND(G160*H160,2)</f>
        <v>0</v>
      </c>
      <c r="M160" s="17">
        <f>L160*(1+BW160/100)</f>
        <v>0</v>
      </c>
      <c r="N160" s="17">
        <v>0</v>
      </c>
      <c r="O160" s="17">
        <f>G160*N160</f>
        <v>0</v>
      </c>
      <c r="P160" s="75" t="s">
        <v>576</v>
      </c>
      <c r="Z160" s="17">
        <f>ROUND(IF(AQ160="5",BJ160,0),2)</f>
        <v>0</v>
      </c>
      <c r="AB160" s="17">
        <f>ROUND(IF(AQ160="1",BH160,0),2)</f>
        <v>0</v>
      </c>
      <c r="AC160" s="17">
        <f>ROUND(IF(AQ160="1",BI160,0),2)</f>
        <v>0</v>
      </c>
      <c r="AD160" s="17">
        <f>ROUND(IF(AQ160="7",BH160,0),2)</f>
        <v>0</v>
      </c>
      <c r="AE160" s="17">
        <f>ROUND(IF(AQ160="7",BI160,0),2)</f>
        <v>0</v>
      </c>
      <c r="AF160" s="17">
        <f>ROUND(IF(AQ160="2",BH160,0),2)</f>
        <v>0</v>
      </c>
      <c r="AG160" s="17">
        <f>ROUND(IF(AQ160="2",BI160,0),2)</f>
        <v>0</v>
      </c>
      <c r="AH160" s="17">
        <f>ROUND(IF(AQ160="0",BJ160,0),2)</f>
        <v>0</v>
      </c>
      <c r="AI160" s="14" t="s">
        <v>99</v>
      </c>
      <c r="AJ160" s="17">
        <f>IF(AN160=0,L160,0)</f>
        <v>0</v>
      </c>
      <c r="AK160" s="17">
        <f>IF(AN160=12,L160,0)</f>
        <v>0</v>
      </c>
      <c r="AL160" s="17">
        <f>IF(AN160=21,L160,0)</f>
        <v>0</v>
      </c>
      <c r="AN160" s="17">
        <v>12</v>
      </c>
      <c r="AO160" s="17">
        <f>H160*0</f>
        <v>0</v>
      </c>
      <c r="AP160" s="17">
        <f>H160*(1-0)</f>
        <v>0</v>
      </c>
      <c r="AQ160" s="76" t="s">
        <v>585</v>
      </c>
      <c r="AV160" s="17">
        <f>ROUND(AW160+AX160,2)</f>
        <v>0</v>
      </c>
      <c r="AW160" s="17">
        <f>ROUND(G160*AO160,2)</f>
        <v>0</v>
      </c>
      <c r="AX160" s="17">
        <f>ROUND(G160*AP160,2)</f>
        <v>0</v>
      </c>
      <c r="AY160" s="76" t="s">
        <v>677</v>
      </c>
      <c r="AZ160" s="76" t="s">
        <v>678</v>
      </c>
      <c r="BA160" s="14" t="s">
        <v>670</v>
      </c>
      <c r="BC160" s="17">
        <f>AW160+AX160</f>
        <v>0</v>
      </c>
      <c r="BD160" s="17">
        <f>H160/(100-BE160)*100</f>
        <v>0</v>
      </c>
      <c r="BE160" s="17">
        <v>0</v>
      </c>
      <c r="BF160" s="17">
        <f>O160</f>
        <v>0</v>
      </c>
      <c r="BH160" s="17">
        <f>G160*AO160</f>
        <v>0</v>
      </c>
      <c r="BI160" s="17">
        <f>G160*AP160</f>
        <v>0</v>
      </c>
      <c r="BJ160" s="17">
        <f>G160*H160</f>
        <v>0</v>
      </c>
      <c r="BK160" s="17"/>
      <c r="BL160" s="17">
        <v>722</v>
      </c>
      <c r="BW160" s="17">
        <f>I160</f>
        <v>12</v>
      </c>
      <c r="BX160" s="4" t="s">
        <v>195</v>
      </c>
    </row>
    <row r="161" spans="1:76" x14ac:dyDescent="0.25">
      <c r="A161" s="71" t="s">
        <v>25</v>
      </c>
      <c r="B161" s="13" t="s">
        <v>196</v>
      </c>
      <c r="C161" s="13" t="s">
        <v>25</v>
      </c>
      <c r="D161" s="135" t="s">
        <v>197</v>
      </c>
      <c r="E161" s="136"/>
      <c r="F161" s="72" t="s">
        <v>23</v>
      </c>
      <c r="G161" s="72" t="s">
        <v>23</v>
      </c>
      <c r="H161" s="72" t="s">
        <v>23</v>
      </c>
      <c r="I161" s="72" t="s">
        <v>23</v>
      </c>
      <c r="J161" s="47" t="e">
        <f>J162+J170</f>
        <v>#REF!</v>
      </c>
      <c r="K161" s="47" t="e">
        <f>K162+K170</f>
        <v>#REF!</v>
      </c>
      <c r="L161" s="47" t="e">
        <f>L162+L170</f>
        <v>#REF!</v>
      </c>
      <c r="M161" s="47" t="e">
        <f>M162+M170</f>
        <v>#REF!</v>
      </c>
      <c r="N161" s="14" t="s">
        <v>25</v>
      </c>
      <c r="O161" s="47" t="e">
        <f>O162+O170</f>
        <v>#REF!</v>
      </c>
      <c r="P161" s="73" t="s">
        <v>25</v>
      </c>
    </row>
    <row r="162" spans="1:76" x14ac:dyDescent="0.25">
      <c r="A162" s="71" t="s">
        <v>25</v>
      </c>
      <c r="B162" s="13" t="s">
        <v>196</v>
      </c>
      <c r="C162" s="13" t="s">
        <v>52</v>
      </c>
      <c r="D162" s="135" t="s">
        <v>53</v>
      </c>
      <c r="E162" s="136"/>
      <c r="F162" s="72" t="s">
        <v>23</v>
      </c>
      <c r="G162" s="72" t="s">
        <v>23</v>
      </c>
      <c r="H162" s="72" t="s">
        <v>23</v>
      </c>
      <c r="I162" s="72" t="s">
        <v>23</v>
      </c>
      <c r="J162" s="47">
        <f>SUM(J163:J169)</f>
        <v>0</v>
      </c>
      <c r="K162" s="47">
        <f>SUM(K163:K169)</f>
        <v>0</v>
      </c>
      <c r="L162" s="47">
        <f>SUM(L163:L169)</f>
        <v>0</v>
      </c>
      <c r="M162" s="47">
        <f>SUM(M163:M169)</f>
        <v>0</v>
      </c>
      <c r="N162" s="14" t="s">
        <v>25</v>
      </c>
      <c r="O162" s="47">
        <f>SUM(O163:O169)</f>
        <v>0</v>
      </c>
      <c r="P162" s="73" t="s">
        <v>25</v>
      </c>
      <c r="AI162" s="14" t="s">
        <v>196</v>
      </c>
      <c r="AS162" s="47">
        <f>SUM(AJ163:AJ169)</f>
        <v>0</v>
      </c>
      <c r="AT162" s="47">
        <f>SUM(AK163:AK169)</f>
        <v>0</v>
      </c>
      <c r="AU162" s="47">
        <f>SUM(AL163:AL169)</f>
        <v>0</v>
      </c>
    </row>
    <row r="163" spans="1:76" x14ac:dyDescent="0.25">
      <c r="A163" s="1" t="s">
        <v>719</v>
      </c>
      <c r="B163" s="2" t="s">
        <v>196</v>
      </c>
      <c r="C163" s="2" t="s">
        <v>101</v>
      </c>
      <c r="D163" s="83" t="s">
        <v>102</v>
      </c>
      <c r="E163" s="84"/>
      <c r="F163" s="2" t="s">
        <v>35</v>
      </c>
      <c r="G163" s="17">
        <f>'Rozpočet - vybrané sloupce'!J127</f>
        <v>4</v>
      </c>
      <c r="H163" s="17">
        <f>'Rozpočet - vybrané sloupce'!K127</f>
        <v>0</v>
      </c>
      <c r="I163" s="74">
        <v>12</v>
      </c>
      <c r="J163" s="17">
        <f t="shared" ref="J163:J169" si="210">ROUND(G163*AO163,2)</f>
        <v>0</v>
      </c>
      <c r="K163" s="17">
        <f t="shared" ref="K163:K169" si="211">ROUND(G163*AP163,2)</f>
        <v>0</v>
      </c>
      <c r="L163" s="17">
        <f t="shared" ref="L163:L169" si="212">ROUND(G163*H163,2)</f>
        <v>0</v>
      </c>
      <c r="M163" s="17">
        <f t="shared" ref="M163:M169" si="213">L163*(1+BW163/100)</f>
        <v>0</v>
      </c>
      <c r="N163" s="17">
        <v>0</v>
      </c>
      <c r="O163" s="17">
        <f t="shared" ref="O163:O169" si="214">G163*N163</f>
        <v>0</v>
      </c>
      <c r="P163" s="75" t="s">
        <v>576</v>
      </c>
      <c r="Z163" s="17">
        <f t="shared" ref="Z163:Z169" si="215">ROUND(IF(AQ163="5",BJ163,0),2)</f>
        <v>0</v>
      </c>
      <c r="AB163" s="17">
        <f t="shared" ref="AB163:AB169" si="216">ROUND(IF(AQ163="1",BH163,0),2)</f>
        <v>0</v>
      </c>
      <c r="AC163" s="17">
        <f t="shared" ref="AC163:AC169" si="217">ROUND(IF(AQ163="1",BI163,0),2)</f>
        <v>0</v>
      </c>
      <c r="AD163" s="17">
        <f t="shared" ref="AD163:AD169" si="218">ROUND(IF(AQ163="7",BH163,0),2)</f>
        <v>0</v>
      </c>
      <c r="AE163" s="17">
        <f t="shared" ref="AE163:AE169" si="219">ROUND(IF(AQ163="7",BI163,0),2)</f>
        <v>0</v>
      </c>
      <c r="AF163" s="17">
        <f t="shared" ref="AF163:AF169" si="220">ROUND(IF(AQ163="2",BH163,0),2)</f>
        <v>0</v>
      </c>
      <c r="AG163" s="17">
        <f t="shared" ref="AG163:AG169" si="221">ROUND(IF(AQ163="2",BI163,0),2)</f>
        <v>0</v>
      </c>
      <c r="AH163" s="17">
        <f t="shared" ref="AH163:AH169" si="222">ROUND(IF(AQ163="0",BJ163,0),2)</f>
        <v>0</v>
      </c>
      <c r="AI163" s="14" t="s">
        <v>196</v>
      </c>
      <c r="AJ163" s="17">
        <f t="shared" ref="AJ163:AJ169" si="223">IF(AN163=0,L163,0)</f>
        <v>0</v>
      </c>
      <c r="AK163" s="17">
        <f t="shared" ref="AK163:AK169" si="224">IF(AN163=12,L163,0)</f>
        <v>0</v>
      </c>
      <c r="AL163" s="17">
        <f t="shared" ref="AL163:AL169" si="225">IF(AN163=21,L163,0)</f>
        <v>0</v>
      </c>
      <c r="AN163" s="17">
        <v>12</v>
      </c>
      <c r="AO163" s="17">
        <f t="shared" ref="AO163:AO168" si="226">H163*1</f>
        <v>0</v>
      </c>
      <c r="AP163" s="17">
        <f t="shared" ref="AP163:AP168" si="227">H163*(1-1)</f>
        <v>0</v>
      </c>
      <c r="AQ163" s="76" t="s">
        <v>577</v>
      </c>
      <c r="AV163" s="17">
        <f t="shared" ref="AV163:AV169" si="228">ROUND(AW163+AX163,2)</f>
        <v>0</v>
      </c>
      <c r="AW163" s="17">
        <f t="shared" ref="AW163:AW169" si="229">ROUND(G163*AO163,2)</f>
        <v>0</v>
      </c>
      <c r="AX163" s="17">
        <f t="shared" ref="AX163:AX169" si="230">ROUND(G163*AP163,2)</f>
        <v>0</v>
      </c>
      <c r="AY163" s="76" t="s">
        <v>603</v>
      </c>
      <c r="AZ163" s="76" t="s">
        <v>720</v>
      </c>
      <c r="BA163" s="14" t="s">
        <v>721</v>
      </c>
      <c r="BC163" s="17">
        <f t="shared" ref="BC163:BC169" si="231">AW163+AX163</f>
        <v>0</v>
      </c>
      <c r="BD163" s="17">
        <f t="shared" ref="BD163:BD169" si="232">H163/(100-BE163)*100</f>
        <v>0</v>
      </c>
      <c r="BE163" s="17">
        <v>0</v>
      </c>
      <c r="BF163" s="17">
        <f t="shared" ref="BF163:BF169" si="233">O163</f>
        <v>0</v>
      </c>
      <c r="BH163" s="17">
        <f t="shared" ref="BH163:BH169" si="234">G163*AO163</f>
        <v>0</v>
      </c>
      <c r="BI163" s="17">
        <f t="shared" ref="BI163:BI169" si="235">G163*AP163</f>
        <v>0</v>
      </c>
      <c r="BJ163" s="17">
        <f t="shared" ref="BJ163:BJ169" si="236">G163*H163</f>
        <v>0</v>
      </c>
      <c r="BK163" s="17"/>
      <c r="BL163" s="17">
        <v>713</v>
      </c>
      <c r="BW163" s="17">
        <f t="shared" ref="BW163:BW169" si="237">I163</f>
        <v>12</v>
      </c>
      <c r="BX163" s="4" t="s">
        <v>102</v>
      </c>
    </row>
    <row r="164" spans="1:76" x14ac:dyDescent="0.25">
      <c r="A164" s="1" t="s">
        <v>722</v>
      </c>
      <c r="B164" s="2" t="s">
        <v>196</v>
      </c>
      <c r="C164" s="2" t="s">
        <v>103</v>
      </c>
      <c r="D164" s="83" t="s">
        <v>104</v>
      </c>
      <c r="E164" s="84"/>
      <c r="F164" s="2" t="s">
        <v>35</v>
      </c>
      <c r="G164" s="17">
        <f>'Rozpočet - vybrané sloupce'!J128</f>
        <v>2</v>
      </c>
      <c r="H164" s="17">
        <f>'Rozpočet - vybrané sloupce'!K128</f>
        <v>0</v>
      </c>
      <c r="I164" s="74">
        <v>12</v>
      </c>
      <c r="J164" s="17">
        <f t="shared" si="210"/>
        <v>0</v>
      </c>
      <c r="K164" s="17">
        <f t="shared" si="211"/>
        <v>0</v>
      </c>
      <c r="L164" s="17">
        <f t="shared" si="212"/>
        <v>0</v>
      </c>
      <c r="M164" s="17">
        <f t="shared" si="213"/>
        <v>0</v>
      </c>
      <c r="N164" s="17">
        <v>0</v>
      </c>
      <c r="O164" s="17">
        <f t="shared" si="214"/>
        <v>0</v>
      </c>
      <c r="P164" s="75" t="s">
        <v>576</v>
      </c>
      <c r="Z164" s="17">
        <f t="shared" si="215"/>
        <v>0</v>
      </c>
      <c r="AB164" s="17">
        <f t="shared" si="216"/>
        <v>0</v>
      </c>
      <c r="AC164" s="17">
        <f t="shared" si="217"/>
        <v>0</v>
      </c>
      <c r="AD164" s="17">
        <f t="shared" si="218"/>
        <v>0</v>
      </c>
      <c r="AE164" s="17">
        <f t="shared" si="219"/>
        <v>0</v>
      </c>
      <c r="AF164" s="17">
        <f t="shared" si="220"/>
        <v>0</v>
      </c>
      <c r="AG164" s="17">
        <f t="shared" si="221"/>
        <v>0</v>
      </c>
      <c r="AH164" s="17">
        <f t="shared" si="222"/>
        <v>0</v>
      </c>
      <c r="AI164" s="14" t="s">
        <v>196</v>
      </c>
      <c r="AJ164" s="17">
        <f t="shared" si="223"/>
        <v>0</v>
      </c>
      <c r="AK164" s="17">
        <f t="shared" si="224"/>
        <v>0</v>
      </c>
      <c r="AL164" s="17">
        <f t="shared" si="225"/>
        <v>0</v>
      </c>
      <c r="AN164" s="17">
        <v>12</v>
      </c>
      <c r="AO164" s="17">
        <f t="shared" si="226"/>
        <v>0</v>
      </c>
      <c r="AP164" s="17">
        <f t="shared" si="227"/>
        <v>0</v>
      </c>
      <c r="AQ164" s="76" t="s">
        <v>577</v>
      </c>
      <c r="AV164" s="17">
        <f t="shared" si="228"/>
        <v>0</v>
      </c>
      <c r="AW164" s="17">
        <f t="shared" si="229"/>
        <v>0</v>
      </c>
      <c r="AX164" s="17">
        <f t="shared" si="230"/>
        <v>0</v>
      </c>
      <c r="AY164" s="76" t="s">
        <v>603</v>
      </c>
      <c r="AZ164" s="76" t="s">
        <v>720</v>
      </c>
      <c r="BA164" s="14" t="s">
        <v>721</v>
      </c>
      <c r="BC164" s="17">
        <f t="shared" si="231"/>
        <v>0</v>
      </c>
      <c r="BD164" s="17">
        <f t="shared" si="232"/>
        <v>0</v>
      </c>
      <c r="BE164" s="17">
        <v>0</v>
      </c>
      <c r="BF164" s="17">
        <f t="shared" si="233"/>
        <v>0</v>
      </c>
      <c r="BH164" s="17">
        <f t="shared" si="234"/>
        <v>0</v>
      </c>
      <c r="BI164" s="17">
        <f t="shared" si="235"/>
        <v>0</v>
      </c>
      <c r="BJ164" s="17">
        <f t="shared" si="236"/>
        <v>0</v>
      </c>
      <c r="BK164" s="17"/>
      <c r="BL164" s="17">
        <v>713</v>
      </c>
      <c r="BW164" s="17">
        <f t="shared" si="237"/>
        <v>12</v>
      </c>
      <c r="BX164" s="4" t="s">
        <v>104</v>
      </c>
    </row>
    <row r="165" spans="1:76" x14ac:dyDescent="0.25">
      <c r="A165" s="1" t="s">
        <v>723</v>
      </c>
      <c r="B165" s="2" t="s">
        <v>196</v>
      </c>
      <c r="C165" s="2" t="s">
        <v>105</v>
      </c>
      <c r="D165" s="83" t="s">
        <v>106</v>
      </c>
      <c r="E165" s="84"/>
      <c r="F165" s="2" t="s">
        <v>35</v>
      </c>
      <c r="G165" s="17">
        <f>'Rozpočet - vybrané sloupce'!J129</f>
        <v>11</v>
      </c>
      <c r="H165" s="17">
        <f>'Rozpočet - vybrané sloupce'!K129</f>
        <v>0</v>
      </c>
      <c r="I165" s="74">
        <v>12</v>
      </c>
      <c r="J165" s="17">
        <f t="shared" si="210"/>
        <v>0</v>
      </c>
      <c r="K165" s="17">
        <f t="shared" si="211"/>
        <v>0</v>
      </c>
      <c r="L165" s="17">
        <f t="shared" si="212"/>
        <v>0</v>
      </c>
      <c r="M165" s="17">
        <f t="shared" si="213"/>
        <v>0</v>
      </c>
      <c r="N165" s="17">
        <v>0</v>
      </c>
      <c r="O165" s="17">
        <f t="shared" si="214"/>
        <v>0</v>
      </c>
      <c r="P165" s="75" t="s">
        <v>576</v>
      </c>
      <c r="Z165" s="17">
        <f t="shared" si="215"/>
        <v>0</v>
      </c>
      <c r="AB165" s="17">
        <f t="shared" si="216"/>
        <v>0</v>
      </c>
      <c r="AC165" s="17">
        <f t="shared" si="217"/>
        <v>0</v>
      </c>
      <c r="AD165" s="17">
        <f t="shared" si="218"/>
        <v>0</v>
      </c>
      <c r="AE165" s="17">
        <f t="shared" si="219"/>
        <v>0</v>
      </c>
      <c r="AF165" s="17">
        <f t="shared" si="220"/>
        <v>0</v>
      </c>
      <c r="AG165" s="17">
        <f t="shared" si="221"/>
        <v>0</v>
      </c>
      <c r="AH165" s="17">
        <f t="shared" si="222"/>
        <v>0</v>
      </c>
      <c r="AI165" s="14" t="s">
        <v>196</v>
      </c>
      <c r="AJ165" s="17">
        <f t="shared" si="223"/>
        <v>0</v>
      </c>
      <c r="AK165" s="17">
        <f t="shared" si="224"/>
        <v>0</v>
      </c>
      <c r="AL165" s="17">
        <f t="shared" si="225"/>
        <v>0</v>
      </c>
      <c r="AN165" s="17">
        <v>12</v>
      </c>
      <c r="AO165" s="17">
        <f t="shared" si="226"/>
        <v>0</v>
      </c>
      <c r="AP165" s="17">
        <f t="shared" si="227"/>
        <v>0</v>
      </c>
      <c r="AQ165" s="76" t="s">
        <v>577</v>
      </c>
      <c r="AV165" s="17">
        <f t="shared" si="228"/>
        <v>0</v>
      </c>
      <c r="AW165" s="17">
        <f t="shared" si="229"/>
        <v>0</v>
      </c>
      <c r="AX165" s="17">
        <f t="shared" si="230"/>
        <v>0</v>
      </c>
      <c r="AY165" s="76" t="s">
        <v>603</v>
      </c>
      <c r="AZ165" s="76" t="s">
        <v>720</v>
      </c>
      <c r="BA165" s="14" t="s">
        <v>721</v>
      </c>
      <c r="BC165" s="17">
        <f t="shared" si="231"/>
        <v>0</v>
      </c>
      <c r="BD165" s="17">
        <f t="shared" si="232"/>
        <v>0</v>
      </c>
      <c r="BE165" s="17">
        <v>0</v>
      </c>
      <c r="BF165" s="17">
        <f t="shared" si="233"/>
        <v>0</v>
      </c>
      <c r="BH165" s="17">
        <f t="shared" si="234"/>
        <v>0</v>
      </c>
      <c r="BI165" s="17">
        <f t="shared" si="235"/>
        <v>0</v>
      </c>
      <c r="BJ165" s="17">
        <f t="shared" si="236"/>
        <v>0</v>
      </c>
      <c r="BK165" s="17"/>
      <c r="BL165" s="17">
        <v>713</v>
      </c>
      <c r="BW165" s="17">
        <f t="shared" si="237"/>
        <v>12</v>
      </c>
      <c r="BX165" s="4" t="s">
        <v>106</v>
      </c>
    </row>
    <row r="166" spans="1:76" x14ac:dyDescent="0.25">
      <c r="A166" s="1" t="s">
        <v>724</v>
      </c>
      <c r="B166" s="2" t="s">
        <v>196</v>
      </c>
      <c r="C166" s="2" t="s">
        <v>107</v>
      </c>
      <c r="D166" s="83" t="s">
        <v>108</v>
      </c>
      <c r="E166" s="84"/>
      <c r="F166" s="2" t="s">
        <v>35</v>
      </c>
      <c r="G166" s="17">
        <f>'Rozpočet - vybrané sloupce'!J130</f>
        <v>2</v>
      </c>
      <c r="H166" s="17">
        <f>'Rozpočet - vybrané sloupce'!K130</f>
        <v>0</v>
      </c>
      <c r="I166" s="74">
        <v>12</v>
      </c>
      <c r="J166" s="17">
        <f t="shared" si="210"/>
        <v>0</v>
      </c>
      <c r="K166" s="17">
        <f t="shared" si="211"/>
        <v>0</v>
      </c>
      <c r="L166" s="17">
        <f t="shared" si="212"/>
        <v>0</v>
      </c>
      <c r="M166" s="17">
        <f t="shared" si="213"/>
        <v>0</v>
      </c>
      <c r="N166" s="17">
        <v>0</v>
      </c>
      <c r="O166" s="17">
        <f t="shared" si="214"/>
        <v>0</v>
      </c>
      <c r="P166" s="75" t="s">
        <v>576</v>
      </c>
      <c r="Z166" s="17">
        <f t="shared" si="215"/>
        <v>0</v>
      </c>
      <c r="AB166" s="17">
        <f t="shared" si="216"/>
        <v>0</v>
      </c>
      <c r="AC166" s="17">
        <f t="shared" si="217"/>
        <v>0</v>
      </c>
      <c r="AD166" s="17">
        <f t="shared" si="218"/>
        <v>0</v>
      </c>
      <c r="AE166" s="17">
        <f t="shared" si="219"/>
        <v>0</v>
      </c>
      <c r="AF166" s="17">
        <f t="shared" si="220"/>
        <v>0</v>
      </c>
      <c r="AG166" s="17">
        <f t="shared" si="221"/>
        <v>0</v>
      </c>
      <c r="AH166" s="17">
        <f t="shared" si="222"/>
        <v>0</v>
      </c>
      <c r="AI166" s="14" t="s">
        <v>196</v>
      </c>
      <c r="AJ166" s="17">
        <f t="shared" si="223"/>
        <v>0</v>
      </c>
      <c r="AK166" s="17">
        <f t="shared" si="224"/>
        <v>0</v>
      </c>
      <c r="AL166" s="17">
        <f t="shared" si="225"/>
        <v>0</v>
      </c>
      <c r="AN166" s="17">
        <v>12</v>
      </c>
      <c r="AO166" s="17">
        <f t="shared" si="226"/>
        <v>0</v>
      </c>
      <c r="AP166" s="17">
        <f t="shared" si="227"/>
        <v>0</v>
      </c>
      <c r="AQ166" s="76" t="s">
        <v>577</v>
      </c>
      <c r="AV166" s="17">
        <f t="shared" si="228"/>
        <v>0</v>
      </c>
      <c r="AW166" s="17">
        <f t="shared" si="229"/>
        <v>0</v>
      </c>
      <c r="AX166" s="17">
        <f t="shared" si="230"/>
        <v>0</v>
      </c>
      <c r="AY166" s="76" t="s">
        <v>603</v>
      </c>
      <c r="AZ166" s="76" t="s">
        <v>720</v>
      </c>
      <c r="BA166" s="14" t="s">
        <v>721</v>
      </c>
      <c r="BC166" s="17">
        <f t="shared" si="231"/>
        <v>0</v>
      </c>
      <c r="BD166" s="17">
        <f t="shared" si="232"/>
        <v>0</v>
      </c>
      <c r="BE166" s="17">
        <v>0</v>
      </c>
      <c r="BF166" s="17">
        <f t="shared" si="233"/>
        <v>0</v>
      </c>
      <c r="BH166" s="17">
        <f t="shared" si="234"/>
        <v>0</v>
      </c>
      <c r="BI166" s="17">
        <f t="shared" si="235"/>
        <v>0</v>
      </c>
      <c r="BJ166" s="17">
        <f t="shared" si="236"/>
        <v>0</v>
      </c>
      <c r="BK166" s="17"/>
      <c r="BL166" s="17">
        <v>713</v>
      </c>
      <c r="BW166" s="17">
        <f t="shared" si="237"/>
        <v>12</v>
      </c>
      <c r="BX166" s="4" t="s">
        <v>108</v>
      </c>
    </row>
    <row r="167" spans="1:76" x14ac:dyDescent="0.25">
      <c r="A167" s="1" t="s">
        <v>725</v>
      </c>
      <c r="B167" s="2" t="s">
        <v>196</v>
      </c>
      <c r="C167" s="2" t="s">
        <v>198</v>
      </c>
      <c r="D167" s="83" t="s">
        <v>199</v>
      </c>
      <c r="E167" s="84"/>
      <c r="F167" s="2" t="s">
        <v>35</v>
      </c>
      <c r="G167" s="17">
        <f>'Rozpočet - vybrané sloupce'!J131</f>
        <v>3</v>
      </c>
      <c r="H167" s="17">
        <f>'Rozpočet - vybrané sloupce'!K131</f>
        <v>0</v>
      </c>
      <c r="I167" s="74">
        <v>12</v>
      </c>
      <c r="J167" s="17">
        <f t="shared" si="210"/>
        <v>0</v>
      </c>
      <c r="K167" s="17">
        <f t="shared" si="211"/>
        <v>0</v>
      </c>
      <c r="L167" s="17">
        <f t="shared" si="212"/>
        <v>0</v>
      </c>
      <c r="M167" s="17">
        <f t="shared" si="213"/>
        <v>0</v>
      </c>
      <c r="N167" s="17">
        <v>0</v>
      </c>
      <c r="O167" s="17">
        <f t="shared" si="214"/>
        <v>0</v>
      </c>
      <c r="P167" s="75" t="s">
        <v>576</v>
      </c>
      <c r="Z167" s="17">
        <f t="shared" si="215"/>
        <v>0</v>
      </c>
      <c r="AB167" s="17">
        <f t="shared" si="216"/>
        <v>0</v>
      </c>
      <c r="AC167" s="17">
        <f t="shared" si="217"/>
        <v>0</v>
      </c>
      <c r="AD167" s="17">
        <f t="shared" si="218"/>
        <v>0</v>
      </c>
      <c r="AE167" s="17">
        <f t="shared" si="219"/>
        <v>0</v>
      </c>
      <c r="AF167" s="17">
        <f t="shared" si="220"/>
        <v>0</v>
      </c>
      <c r="AG167" s="17">
        <f t="shared" si="221"/>
        <v>0</v>
      </c>
      <c r="AH167" s="17">
        <f t="shared" si="222"/>
        <v>0</v>
      </c>
      <c r="AI167" s="14" t="s">
        <v>196</v>
      </c>
      <c r="AJ167" s="17">
        <f t="shared" si="223"/>
        <v>0</v>
      </c>
      <c r="AK167" s="17">
        <f t="shared" si="224"/>
        <v>0</v>
      </c>
      <c r="AL167" s="17">
        <f t="shared" si="225"/>
        <v>0</v>
      </c>
      <c r="AN167" s="17">
        <v>12</v>
      </c>
      <c r="AO167" s="17">
        <f t="shared" si="226"/>
        <v>0</v>
      </c>
      <c r="AP167" s="17">
        <f t="shared" si="227"/>
        <v>0</v>
      </c>
      <c r="AQ167" s="76" t="s">
        <v>577</v>
      </c>
      <c r="AV167" s="17">
        <f t="shared" si="228"/>
        <v>0</v>
      </c>
      <c r="AW167" s="17">
        <f t="shared" si="229"/>
        <v>0</v>
      </c>
      <c r="AX167" s="17">
        <f t="shared" si="230"/>
        <v>0</v>
      </c>
      <c r="AY167" s="76" t="s">
        <v>603</v>
      </c>
      <c r="AZ167" s="76" t="s">
        <v>720</v>
      </c>
      <c r="BA167" s="14" t="s">
        <v>721</v>
      </c>
      <c r="BC167" s="17">
        <f t="shared" si="231"/>
        <v>0</v>
      </c>
      <c r="BD167" s="17">
        <f t="shared" si="232"/>
        <v>0</v>
      </c>
      <c r="BE167" s="17">
        <v>0</v>
      </c>
      <c r="BF167" s="17">
        <f t="shared" si="233"/>
        <v>0</v>
      </c>
      <c r="BH167" s="17">
        <f t="shared" si="234"/>
        <v>0</v>
      </c>
      <c r="BI167" s="17">
        <f t="shared" si="235"/>
        <v>0</v>
      </c>
      <c r="BJ167" s="17">
        <f t="shared" si="236"/>
        <v>0</v>
      </c>
      <c r="BK167" s="17"/>
      <c r="BL167" s="17">
        <v>713</v>
      </c>
      <c r="BW167" s="17">
        <f t="shared" si="237"/>
        <v>12</v>
      </c>
      <c r="BX167" s="4" t="s">
        <v>199</v>
      </c>
    </row>
    <row r="168" spans="1:76" x14ac:dyDescent="0.25">
      <c r="A168" s="1" t="s">
        <v>726</v>
      </c>
      <c r="B168" s="2" t="s">
        <v>196</v>
      </c>
      <c r="C168" s="2" t="s">
        <v>109</v>
      </c>
      <c r="D168" s="83" t="s">
        <v>110</v>
      </c>
      <c r="E168" s="84"/>
      <c r="F168" s="2" t="s">
        <v>35</v>
      </c>
      <c r="G168" s="17">
        <f>'Rozpočet - vybrané sloupce'!J132</f>
        <v>5</v>
      </c>
      <c r="H168" s="17">
        <f>'Rozpočet - vybrané sloupce'!K132</f>
        <v>0</v>
      </c>
      <c r="I168" s="74">
        <v>12</v>
      </c>
      <c r="J168" s="17">
        <f t="shared" si="210"/>
        <v>0</v>
      </c>
      <c r="K168" s="17">
        <f t="shared" si="211"/>
        <v>0</v>
      </c>
      <c r="L168" s="17">
        <f t="shared" si="212"/>
        <v>0</v>
      </c>
      <c r="M168" s="17">
        <f t="shared" si="213"/>
        <v>0</v>
      </c>
      <c r="N168" s="17">
        <v>0</v>
      </c>
      <c r="O168" s="17">
        <f t="shared" si="214"/>
        <v>0</v>
      </c>
      <c r="P168" s="75" t="s">
        <v>576</v>
      </c>
      <c r="Z168" s="17">
        <f t="shared" si="215"/>
        <v>0</v>
      </c>
      <c r="AB168" s="17">
        <f t="shared" si="216"/>
        <v>0</v>
      </c>
      <c r="AC168" s="17">
        <f t="shared" si="217"/>
        <v>0</v>
      </c>
      <c r="AD168" s="17">
        <f t="shared" si="218"/>
        <v>0</v>
      </c>
      <c r="AE168" s="17">
        <f t="shared" si="219"/>
        <v>0</v>
      </c>
      <c r="AF168" s="17">
        <f t="shared" si="220"/>
        <v>0</v>
      </c>
      <c r="AG168" s="17">
        <f t="shared" si="221"/>
        <v>0</v>
      </c>
      <c r="AH168" s="17">
        <f t="shared" si="222"/>
        <v>0</v>
      </c>
      <c r="AI168" s="14" t="s">
        <v>196</v>
      </c>
      <c r="AJ168" s="17">
        <f t="shared" si="223"/>
        <v>0</v>
      </c>
      <c r="AK168" s="17">
        <f t="shared" si="224"/>
        <v>0</v>
      </c>
      <c r="AL168" s="17">
        <f t="shared" si="225"/>
        <v>0</v>
      </c>
      <c r="AN168" s="17">
        <v>12</v>
      </c>
      <c r="AO168" s="17">
        <f t="shared" si="226"/>
        <v>0</v>
      </c>
      <c r="AP168" s="17">
        <f t="shared" si="227"/>
        <v>0</v>
      </c>
      <c r="AQ168" s="76" t="s">
        <v>577</v>
      </c>
      <c r="AV168" s="17">
        <f t="shared" si="228"/>
        <v>0</v>
      </c>
      <c r="AW168" s="17">
        <f t="shared" si="229"/>
        <v>0</v>
      </c>
      <c r="AX168" s="17">
        <f t="shared" si="230"/>
        <v>0</v>
      </c>
      <c r="AY168" s="76" t="s">
        <v>603</v>
      </c>
      <c r="AZ168" s="76" t="s">
        <v>720</v>
      </c>
      <c r="BA168" s="14" t="s">
        <v>721</v>
      </c>
      <c r="BC168" s="17">
        <f t="shared" si="231"/>
        <v>0</v>
      </c>
      <c r="BD168" s="17">
        <f t="shared" si="232"/>
        <v>0</v>
      </c>
      <c r="BE168" s="17">
        <v>0</v>
      </c>
      <c r="BF168" s="17">
        <f t="shared" si="233"/>
        <v>0</v>
      </c>
      <c r="BH168" s="17">
        <f t="shared" si="234"/>
        <v>0</v>
      </c>
      <c r="BI168" s="17">
        <f t="shared" si="235"/>
        <v>0</v>
      </c>
      <c r="BJ168" s="17">
        <f t="shared" si="236"/>
        <v>0</v>
      </c>
      <c r="BK168" s="17"/>
      <c r="BL168" s="17">
        <v>713</v>
      </c>
      <c r="BW168" s="17">
        <f t="shared" si="237"/>
        <v>12</v>
      </c>
      <c r="BX168" s="4" t="s">
        <v>110</v>
      </c>
    </row>
    <row r="169" spans="1:76" x14ac:dyDescent="0.25">
      <c r="A169" s="1" t="s">
        <v>727</v>
      </c>
      <c r="B169" s="2" t="s">
        <v>196</v>
      </c>
      <c r="C169" s="2" t="s">
        <v>56</v>
      </c>
      <c r="D169" s="83" t="s">
        <v>57</v>
      </c>
      <c r="E169" s="84"/>
      <c r="F169" s="2" t="s">
        <v>45</v>
      </c>
      <c r="G169" s="17">
        <f>'Rozpočet - vybrané sloupce'!J133</f>
        <v>0</v>
      </c>
      <c r="H169" s="17">
        <f>'Rozpočet - vybrané sloupce'!K133</f>
        <v>0</v>
      </c>
      <c r="I169" s="74">
        <v>12</v>
      </c>
      <c r="J169" s="17">
        <f t="shared" si="210"/>
        <v>0</v>
      </c>
      <c r="K169" s="17">
        <f t="shared" si="211"/>
        <v>0</v>
      </c>
      <c r="L169" s="17">
        <f t="shared" si="212"/>
        <v>0</v>
      </c>
      <c r="M169" s="17">
        <f t="shared" si="213"/>
        <v>0</v>
      </c>
      <c r="N169" s="17">
        <v>0</v>
      </c>
      <c r="O169" s="17">
        <f t="shared" si="214"/>
        <v>0</v>
      </c>
      <c r="P169" s="75" t="s">
        <v>576</v>
      </c>
      <c r="Z169" s="17">
        <f t="shared" si="215"/>
        <v>0</v>
      </c>
      <c r="AB169" s="17">
        <f t="shared" si="216"/>
        <v>0</v>
      </c>
      <c r="AC169" s="17">
        <f t="shared" si="217"/>
        <v>0</v>
      </c>
      <c r="AD169" s="17">
        <f t="shared" si="218"/>
        <v>0</v>
      </c>
      <c r="AE169" s="17">
        <f t="shared" si="219"/>
        <v>0</v>
      </c>
      <c r="AF169" s="17">
        <f t="shared" si="220"/>
        <v>0</v>
      </c>
      <c r="AG169" s="17">
        <f t="shared" si="221"/>
        <v>0</v>
      </c>
      <c r="AH169" s="17">
        <f t="shared" si="222"/>
        <v>0</v>
      </c>
      <c r="AI169" s="14" t="s">
        <v>196</v>
      </c>
      <c r="AJ169" s="17">
        <f t="shared" si="223"/>
        <v>0</v>
      </c>
      <c r="AK169" s="17">
        <f t="shared" si="224"/>
        <v>0</v>
      </c>
      <c r="AL169" s="17">
        <f t="shared" si="225"/>
        <v>0</v>
      </c>
      <c r="AN169" s="17">
        <v>12</v>
      </c>
      <c r="AO169" s="17">
        <f>H169*0</f>
        <v>0</v>
      </c>
      <c r="AP169" s="17">
        <f>H169*(1-0)</f>
        <v>0</v>
      </c>
      <c r="AQ169" s="76" t="s">
        <v>585</v>
      </c>
      <c r="AV169" s="17">
        <f t="shared" si="228"/>
        <v>0</v>
      </c>
      <c r="AW169" s="17">
        <f t="shared" si="229"/>
        <v>0</v>
      </c>
      <c r="AX169" s="17">
        <f t="shared" si="230"/>
        <v>0</v>
      </c>
      <c r="AY169" s="76" t="s">
        <v>603</v>
      </c>
      <c r="AZ169" s="76" t="s">
        <v>720</v>
      </c>
      <c r="BA169" s="14" t="s">
        <v>721</v>
      </c>
      <c r="BC169" s="17">
        <f t="shared" si="231"/>
        <v>0</v>
      </c>
      <c r="BD169" s="17">
        <f t="shared" si="232"/>
        <v>0</v>
      </c>
      <c r="BE169" s="17">
        <v>0</v>
      </c>
      <c r="BF169" s="17">
        <f t="shared" si="233"/>
        <v>0</v>
      </c>
      <c r="BH169" s="17">
        <f t="shared" si="234"/>
        <v>0</v>
      </c>
      <c r="BI169" s="17">
        <f t="shared" si="235"/>
        <v>0</v>
      </c>
      <c r="BJ169" s="17">
        <f t="shared" si="236"/>
        <v>0</v>
      </c>
      <c r="BK169" s="17"/>
      <c r="BL169" s="17">
        <v>713</v>
      </c>
      <c r="BW169" s="17">
        <f t="shared" si="237"/>
        <v>12</v>
      </c>
      <c r="BX169" s="4" t="s">
        <v>57</v>
      </c>
    </row>
    <row r="170" spans="1:76" x14ac:dyDescent="0.25">
      <c r="A170" s="71" t="s">
        <v>25</v>
      </c>
      <c r="B170" s="13" t="s">
        <v>196</v>
      </c>
      <c r="C170" s="13" t="s">
        <v>111</v>
      </c>
      <c r="D170" s="135" t="s">
        <v>112</v>
      </c>
      <c r="E170" s="136"/>
      <c r="F170" s="72" t="s">
        <v>23</v>
      </c>
      <c r="G170" s="72" t="s">
        <v>23</v>
      </c>
      <c r="H170" s="72" t="s">
        <v>23</v>
      </c>
      <c r="I170" s="72" t="s">
        <v>23</v>
      </c>
      <c r="J170" s="47" t="e">
        <f>SUM(J171:J211)</f>
        <v>#REF!</v>
      </c>
      <c r="K170" s="47" t="e">
        <f>SUM(K171:K211)</f>
        <v>#REF!</v>
      </c>
      <c r="L170" s="47" t="e">
        <f>SUM(L171:L211)</f>
        <v>#REF!</v>
      </c>
      <c r="M170" s="47" t="e">
        <f>SUM(M171:M211)</f>
        <v>#REF!</v>
      </c>
      <c r="N170" s="14" t="s">
        <v>25</v>
      </c>
      <c r="O170" s="47" t="e">
        <f>SUM(O171:O211)</f>
        <v>#REF!</v>
      </c>
      <c r="P170" s="73" t="s">
        <v>25</v>
      </c>
      <c r="AI170" s="14" t="s">
        <v>196</v>
      </c>
      <c r="AS170" s="47">
        <f>SUM(AJ171:AJ211)</f>
        <v>0</v>
      </c>
      <c r="AT170" s="47" t="e">
        <f>SUM(AK171:AK211)</f>
        <v>#REF!</v>
      </c>
      <c r="AU170" s="47">
        <f>SUM(AL171:AL211)</f>
        <v>0</v>
      </c>
    </row>
    <row r="171" spans="1:76" x14ac:dyDescent="0.25">
      <c r="A171" s="1" t="s">
        <v>728</v>
      </c>
      <c r="B171" s="2" t="s">
        <v>196</v>
      </c>
      <c r="C171" s="2" t="s">
        <v>113</v>
      </c>
      <c r="D171" s="83" t="s">
        <v>114</v>
      </c>
      <c r="E171" s="84"/>
      <c r="F171" s="2" t="s">
        <v>31</v>
      </c>
      <c r="G171" s="17">
        <f>'Rozpočet - vybrané sloupce'!J135</f>
        <v>52</v>
      </c>
      <c r="H171" s="17">
        <f>'Rozpočet - vybrané sloupce'!K135</f>
        <v>0</v>
      </c>
      <c r="I171" s="74">
        <v>12</v>
      </c>
      <c r="J171" s="17">
        <f t="shared" ref="J171:J186" si="238">ROUND(G171*AO171,2)</f>
        <v>0</v>
      </c>
      <c r="K171" s="17">
        <f t="shared" ref="K171:K186" si="239">ROUND(G171*AP171,2)</f>
        <v>0</v>
      </c>
      <c r="L171" s="17">
        <f t="shared" ref="L171:L186" si="240">ROUND(G171*H171,2)</f>
        <v>0</v>
      </c>
      <c r="M171" s="17">
        <f t="shared" ref="M171:M186" si="241">L171*(1+BW171/100)</f>
        <v>0</v>
      </c>
      <c r="N171" s="17">
        <v>2.7999999999999998E-4</v>
      </c>
      <c r="O171" s="17">
        <f t="shared" ref="O171:O186" si="242">G171*N171</f>
        <v>1.4559999999999998E-2</v>
      </c>
      <c r="P171" s="75" t="s">
        <v>576</v>
      </c>
      <c r="Z171" s="17">
        <f t="shared" ref="Z171:Z186" si="243">ROUND(IF(AQ171="5",BJ171,0),2)</f>
        <v>0</v>
      </c>
      <c r="AB171" s="17">
        <f t="shared" ref="AB171:AB186" si="244">ROUND(IF(AQ171="1",BH171,0),2)</f>
        <v>0</v>
      </c>
      <c r="AC171" s="17">
        <f t="shared" ref="AC171:AC186" si="245">ROUND(IF(AQ171="1",BI171,0),2)</f>
        <v>0</v>
      </c>
      <c r="AD171" s="17">
        <f t="shared" ref="AD171:AD186" si="246">ROUND(IF(AQ171="7",BH171,0),2)</f>
        <v>0</v>
      </c>
      <c r="AE171" s="17">
        <f t="shared" ref="AE171:AE186" si="247">ROUND(IF(AQ171="7",BI171,0),2)</f>
        <v>0</v>
      </c>
      <c r="AF171" s="17">
        <f t="shared" ref="AF171:AF186" si="248">ROUND(IF(AQ171="2",BH171,0),2)</f>
        <v>0</v>
      </c>
      <c r="AG171" s="17">
        <f t="shared" ref="AG171:AG186" si="249">ROUND(IF(AQ171="2",BI171,0),2)</f>
        <v>0</v>
      </c>
      <c r="AH171" s="17">
        <f t="shared" ref="AH171:AH186" si="250">ROUND(IF(AQ171="0",BJ171,0),2)</f>
        <v>0</v>
      </c>
      <c r="AI171" s="14" t="s">
        <v>196</v>
      </c>
      <c r="AJ171" s="17">
        <f t="shared" ref="AJ171:AJ186" si="251">IF(AN171=0,L171,0)</f>
        <v>0</v>
      </c>
      <c r="AK171" s="17">
        <f t="shared" ref="AK171:AK186" si="252">IF(AN171=12,L171,0)</f>
        <v>0</v>
      </c>
      <c r="AL171" s="17">
        <f t="shared" ref="AL171:AL186" si="253">IF(AN171=21,L171,0)</f>
        <v>0</v>
      </c>
      <c r="AN171" s="17">
        <v>12</v>
      </c>
      <c r="AO171" s="17">
        <f>H171*0</f>
        <v>0</v>
      </c>
      <c r="AP171" s="17">
        <f>H171*(1-0)</f>
        <v>0</v>
      </c>
      <c r="AQ171" s="76" t="s">
        <v>577</v>
      </c>
      <c r="AV171" s="17">
        <f t="shared" ref="AV171:AV186" si="254">ROUND(AW171+AX171,2)</f>
        <v>0</v>
      </c>
      <c r="AW171" s="17">
        <f t="shared" ref="AW171:AW186" si="255">ROUND(G171*AO171,2)</f>
        <v>0</v>
      </c>
      <c r="AX171" s="17">
        <f t="shared" ref="AX171:AX186" si="256">ROUND(G171*AP171,2)</f>
        <v>0</v>
      </c>
      <c r="AY171" s="76" t="s">
        <v>677</v>
      </c>
      <c r="AZ171" s="76" t="s">
        <v>729</v>
      </c>
      <c r="BA171" s="14" t="s">
        <v>721</v>
      </c>
      <c r="BC171" s="17">
        <f t="shared" ref="BC171:BC186" si="257">AW171+AX171</f>
        <v>0</v>
      </c>
      <c r="BD171" s="17">
        <f t="shared" ref="BD171:BD186" si="258">H171/(100-BE171)*100</f>
        <v>0</v>
      </c>
      <c r="BE171" s="17">
        <v>0</v>
      </c>
      <c r="BF171" s="17">
        <f t="shared" ref="BF171:BF186" si="259">O171</f>
        <v>1.4559999999999998E-2</v>
      </c>
      <c r="BH171" s="17">
        <f t="shared" ref="BH171:BH186" si="260">G171*AO171</f>
        <v>0</v>
      </c>
      <c r="BI171" s="17">
        <f t="shared" ref="BI171:BI186" si="261">G171*AP171</f>
        <v>0</v>
      </c>
      <c r="BJ171" s="17">
        <f t="shared" ref="BJ171:BJ186" si="262">G171*H171</f>
        <v>0</v>
      </c>
      <c r="BK171" s="17"/>
      <c r="BL171" s="17">
        <v>722</v>
      </c>
      <c r="BW171" s="17">
        <f t="shared" ref="BW171:BW186" si="263">I171</f>
        <v>12</v>
      </c>
      <c r="BX171" s="4" t="s">
        <v>114</v>
      </c>
    </row>
    <row r="172" spans="1:76" x14ac:dyDescent="0.25">
      <c r="A172" s="1" t="s">
        <v>730</v>
      </c>
      <c r="B172" s="2" t="s">
        <v>196</v>
      </c>
      <c r="C172" s="2" t="s">
        <v>115</v>
      </c>
      <c r="D172" s="83" t="s">
        <v>116</v>
      </c>
      <c r="E172" s="84"/>
      <c r="F172" s="2" t="s">
        <v>31</v>
      </c>
      <c r="G172" s="17">
        <f>'Rozpočet - vybrané sloupce'!J136</f>
        <v>51</v>
      </c>
      <c r="H172" s="17">
        <f>'Rozpočet - vybrané sloupce'!K136</f>
        <v>0</v>
      </c>
      <c r="I172" s="74">
        <v>12</v>
      </c>
      <c r="J172" s="17">
        <f t="shared" si="238"/>
        <v>0</v>
      </c>
      <c r="K172" s="17">
        <f t="shared" si="239"/>
        <v>0</v>
      </c>
      <c r="L172" s="17">
        <f t="shared" si="240"/>
        <v>0</v>
      </c>
      <c r="M172" s="17">
        <f t="shared" si="241"/>
        <v>0</v>
      </c>
      <c r="N172" s="17">
        <v>2.9E-4</v>
      </c>
      <c r="O172" s="17">
        <f t="shared" si="242"/>
        <v>1.4789999999999999E-2</v>
      </c>
      <c r="P172" s="75" t="s">
        <v>576</v>
      </c>
      <c r="Z172" s="17">
        <f t="shared" si="243"/>
        <v>0</v>
      </c>
      <c r="AB172" s="17">
        <f t="shared" si="244"/>
        <v>0</v>
      </c>
      <c r="AC172" s="17">
        <f t="shared" si="245"/>
        <v>0</v>
      </c>
      <c r="AD172" s="17">
        <f t="shared" si="246"/>
        <v>0</v>
      </c>
      <c r="AE172" s="17">
        <f t="shared" si="247"/>
        <v>0</v>
      </c>
      <c r="AF172" s="17">
        <f t="shared" si="248"/>
        <v>0</v>
      </c>
      <c r="AG172" s="17">
        <f t="shared" si="249"/>
        <v>0</v>
      </c>
      <c r="AH172" s="17">
        <f t="shared" si="250"/>
        <v>0</v>
      </c>
      <c r="AI172" s="14" t="s">
        <v>196</v>
      </c>
      <c r="AJ172" s="17">
        <f t="shared" si="251"/>
        <v>0</v>
      </c>
      <c r="AK172" s="17">
        <f t="shared" si="252"/>
        <v>0</v>
      </c>
      <c r="AL172" s="17">
        <f t="shared" si="253"/>
        <v>0</v>
      </c>
      <c r="AN172" s="17">
        <v>12</v>
      </c>
      <c r="AO172" s="17">
        <f>H172*0</f>
        <v>0</v>
      </c>
      <c r="AP172" s="17">
        <f>H172*(1-0)</f>
        <v>0</v>
      </c>
      <c r="AQ172" s="76" t="s">
        <v>577</v>
      </c>
      <c r="AV172" s="17">
        <f t="shared" si="254"/>
        <v>0</v>
      </c>
      <c r="AW172" s="17">
        <f t="shared" si="255"/>
        <v>0</v>
      </c>
      <c r="AX172" s="17">
        <f t="shared" si="256"/>
        <v>0</v>
      </c>
      <c r="AY172" s="76" t="s">
        <v>677</v>
      </c>
      <c r="AZ172" s="76" t="s">
        <v>729</v>
      </c>
      <c r="BA172" s="14" t="s">
        <v>721</v>
      </c>
      <c r="BC172" s="17">
        <f t="shared" si="257"/>
        <v>0</v>
      </c>
      <c r="BD172" s="17">
        <f t="shared" si="258"/>
        <v>0</v>
      </c>
      <c r="BE172" s="17">
        <v>0</v>
      </c>
      <c r="BF172" s="17">
        <f t="shared" si="259"/>
        <v>1.4789999999999999E-2</v>
      </c>
      <c r="BH172" s="17">
        <f t="shared" si="260"/>
        <v>0</v>
      </c>
      <c r="BI172" s="17">
        <f t="shared" si="261"/>
        <v>0</v>
      </c>
      <c r="BJ172" s="17">
        <f t="shared" si="262"/>
        <v>0</v>
      </c>
      <c r="BK172" s="17"/>
      <c r="BL172" s="17">
        <v>722</v>
      </c>
      <c r="BW172" s="17">
        <f t="shared" si="263"/>
        <v>12</v>
      </c>
      <c r="BX172" s="4" t="s">
        <v>116</v>
      </c>
    </row>
    <row r="173" spans="1:76" x14ac:dyDescent="0.25">
      <c r="A173" s="1" t="s">
        <v>731</v>
      </c>
      <c r="B173" s="2" t="s">
        <v>196</v>
      </c>
      <c r="C173" s="2" t="s">
        <v>117</v>
      </c>
      <c r="D173" s="83" t="s">
        <v>118</v>
      </c>
      <c r="E173" s="84"/>
      <c r="F173" s="2" t="s">
        <v>31</v>
      </c>
      <c r="G173" s="17">
        <f>'Rozpočet - vybrané sloupce'!J137</f>
        <v>28</v>
      </c>
      <c r="H173" s="17">
        <f>'Rozpočet - vybrané sloupce'!K137</f>
        <v>0</v>
      </c>
      <c r="I173" s="74">
        <v>12</v>
      </c>
      <c r="J173" s="17">
        <f t="shared" si="238"/>
        <v>0</v>
      </c>
      <c r="K173" s="17">
        <f t="shared" si="239"/>
        <v>0</v>
      </c>
      <c r="L173" s="17">
        <f t="shared" si="240"/>
        <v>0</v>
      </c>
      <c r="M173" s="17">
        <f t="shared" si="241"/>
        <v>0</v>
      </c>
      <c r="N173" s="17">
        <v>4.2999999999999999E-4</v>
      </c>
      <c r="O173" s="17">
        <f t="shared" si="242"/>
        <v>1.204E-2</v>
      </c>
      <c r="P173" s="75" t="s">
        <v>576</v>
      </c>
      <c r="Z173" s="17">
        <f t="shared" si="243"/>
        <v>0</v>
      </c>
      <c r="AB173" s="17">
        <f t="shared" si="244"/>
        <v>0</v>
      </c>
      <c r="AC173" s="17">
        <f t="shared" si="245"/>
        <v>0</v>
      </c>
      <c r="AD173" s="17">
        <f t="shared" si="246"/>
        <v>0</v>
      </c>
      <c r="AE173" s="17">
        <f t="shared" si="247"/>
        <v>0</v>
      </c>
      <c r="AF173" s="17">
        <f t="shared" si="248"/>
        <v>0</v>
      </c>
      <c r="AG173" s="17">
        <f t="shared" si="249"/>
        <v>0</v>
      </c>
      <c r="AH173" s="17">
        <f t="shared" si="250"/>
        <v>0</v>
      </c>
      <c r="AI173" s="14" t="s">
        <v>196</v>
      </c>
      <c r="AJ173" s="17">
        <f t="shared" si="251"/>
        <v>0</v>
      </c>
      <c r="AK173" s="17">
        <f t="shared" si="252"/>
        <v>0</v>
      </c>
      <c r="AL173" s="17">
        <f t="shared" si="253"/>
        <v>0</v>
      </c>
      <c r="AN173" s="17">
        <v>12</v>
      </c>
      <c r="AO173" s="17">
        <f>H173*0.433809524</f>
        <v>0</v>
      </c>
      <c r="AP173" s="17">
        <f>H173*(1-0.433809524)</f>
        <v>0</v>
      </c>
      <c r="AQ173" s="76" t="s">
        <v>577</v>
      </c>
      <c r="AV173" s="17">
        <f t="shared" si="254"/>
        <v>0</v>
      </c>
      <c r="AW173" s="17">
        <f t="shared" si="255"/>
        <v>0</v>
      </c>
      <c r="AX173" s="17">
        <f t="shared" si="256"/>
        <v>0</v>
      </c>
      <c r="AY173" s="76" t="s">
        <v>677</v>
      </c>
      <c r="AZ173" s="76" t="s">
        <v>729</v>
      </c>
      <c r="BA173" s="14" t="s">
        <v>721</v>
      </c>
      <c r="BC173" s="17">
        <f t="shared" si="257"/>
        <v>0</v>
      </c>
      <c r="BD173" s="17">
        <f t="shared" si="258"/>
        <v>0</v>
      </c>
      <c r="BE173" s="17">
        <v>0</v>
      </c>
      <c r="BF173" s="17">
        <f t="shared" si="259"/>
        <v>1.204E-2</v>
      </c>
      <c r="BH173" s="17">
        <f t="shared" si="260"/>
        <v>0</v>
      </c>
      <c r="BI173" s="17">
        <f t="shared" si="261"/>
        <v>0</v>
      </c>
      <c r="BJ173" s="17">
        <f t="shared" si="262"/>
        <v>0</v>
      </c>
      <c r="BK173" s="17"/>
      <c r="BL173" s="17">
        <v>722</v>
      </c>
      <c r="BW173" s="17">
        <f t="shared" si="263"/>
        <v>12</v>
      </c>
      <c r="BX173" s="4" t="s">
        <v>118</v>
      </c>
    </row>
    <row r="174" spans="1:76" x14ac:dyDescent="0.25">
      <c r="A174" s="1" t="s">
        <v>732</v>
      </c>
      <c r="B174" s="2" t="s">
        <v>196</v>
      </c>
      <c r="C174" s="2" t="s">
        <v>119</v>
      </c>
      <c r="D174" s="83" t="s">
        <v>120</v>
      </c>
      <c r="E174" s="84"/>
      <c r="F174" s="2" t="s">
        <v>31</v>
      </c>
      <c r="G174" s="17">
        <f>'Rozpočet - vybrané sloupce'!J138</f>
        <v>13</v>
      </c>
      <c r="H174" s="17">
        <f>'Rozpočet - vybrané sloupce'!K138</f>
        <v>0</v>
      </c>
      <c r="I174" s="74">
        <v>12</v>
      </c>
      <c r="J174" s="17">
        <f t="shared" si="238"/>
        <v>0</v>
      </c>
      <c r="K174" s="17">
        <f t="shared" si="239"/>
        <v>0</v>
      </c>
      <c r="L174" s="17">
        <f t="shared" si="240"/>
        <v>0</v>
      </c>
      <c r="M174" s="17">
        <f t="shared" si="241"/>
        <v>0</v>
      </c>
      <c r="N174" s="17">
        <v>5.2999999999999998E-4</v>
      </c>
      <c r="O174" s="17">
        <f t="shared" si="242"/>
        <v>6.8899999999999994E-3</v>
      </c>
      <c r="P174" s="75" t="s">
        <v>576</v>
      </c>
      <c r="Z174" s="17">
        <f t="shared" si="243"/>
        <v>0</v>
      </c>
      <c r="AB174" s="17">
        <f t="shared" si="244"/>
        <v>0</v>
      </c>
      <c r="AC174" s="17">
        <f t="shared" si="245"/>
        <v>0</v>
      </c>
      <c r="AD174" s="17">
        <f t="shared" si="246"/>
        <v>0</v>
      </c>
      <c r="AE174" s="17">
        <f t="shared" si="247"/>
        <v>0</v>
      </c>
      <c r="AF174" s="17">
        <f t="shared" si="248"/>
        <v>0</v>
      </c>
      <c r="AG174" s="17">
        <f t="shared" si="249"/>
        <v>0</v>
      </c>
      <c r="AH174" s="17">
        <f t="shared" si="250"/>
        <v>0</v>
      </c>
      <c r="AI174" s="14" t="s">
        <v>196</v>
      </c>
      <c r="AJ174" s="17">
        <f t="shared" si="251"/>
        <v>0</v>
      </c>
      <c r="AK174" s="17">
        <f t="shared" si="252"/>
        <v>0</v>
      </c>
      <c r="AL174" s="17">
        <f t="shared" si="253"/>
        <v>0</v>
      </c>
      <c r="AN174" s="17">
        <v>12</v>
      </c>
      <c r="AO174" s="17">
        <f>H174*0.499111111</f>
        <v>0</v>
      </c>
      <c r="AP174" s="17">
        <f>H174*(1-0.499111111)</f>
        <v>0</v>
      </c>
      <c r="AQ174" s="76" t="s">
        <v>577</v>
      </c>
      <c r="AV174" s="17">
        <f t="shared" si="254"/>
        <v>0</v>
      </c>
      <c r="AW174" s="17">
        <f t="shared" si="255"/>
        <v>0</v>
      </c>
      <c r="AX174" s="17">
        <f t="shared" si="256"/>
        <v>0</v>
      </c>
      <c r="AY174" s="76" t="s">
        <v>677</v>
      </c>
      <c r="AZ174" s="76" t="s">
        <v>729</v>
      </c>
      <c r="BA174" s="14" t="s">
        <v>721</v>
      </c>
      <c r="BC174" s="17">
        <f t="shared" si="257"/>
        <v>0</v>
      </c>
      <c r="BD174" s="17">
        <f t="shared" si="258"/>
        <v>0</v>
      </c>
      <c r="BE174" s="17">
        <v>0</v>
      </c>
      <c r="BF174" s="17">
        <f t="shared" si="259"/>
        <v>6.8899999999999994E-3</v>
      </c>
      <c r="BH174" s="17">
        <f t="shared" si="260"/>
        <v>0</v>
      </c>
      <c r="BI174" s="17">
        <f t="shared" si="261"/>
        <v>0</v>
      </c>
      <c r="BJ174" s="17">
        <f t="shared" si="262"/>
        <v>0</v>
      </c>
      <c r="BK174" s="17"/>
      <c r="BL174" s="17">
        <v>722</v>
      </c>
      <c r="BW174" s="17">
        <f t="shared" si="263"/>
        <v>12</v>
      </c>
      <c r="BX174" s="4" t="s">
        <v>120</v>
      </c>
    </row>
    <row r="175" spans="1:76" x14ac:dyDescent="0.25">
      <c r="A175" s="1" t="s">
        <v>733</v>
      </c>
      <c r="B175" s="2" t="s">
        <v>196</v>
      </c>
      <c r="C175" s="2" t="s">
        <v>121</v>
      </c>
      <c r="D175" s="83" t="s">
        <v>122</v>
      </c>
      <c r="E175" s="84"/>
      <c r="F175" s="2" t="s">
        <v>31</v>
      </c>
      <c r="G175" s="17">
        <f>'Rozpočet - vybrané sloupce'!J139</f>
        <v>69</v>
      </c>
      <c r="H175" s="17">
        <f>'Rozpočet - vybrané sloupce'!K139</f>
        <v>0</v>
      </c>
      <c r="I175" s="74">
        <v>12</v>
      </c>
      <c r="J175" s="17">
        <f t="shared" si="238"/>
        <v>0</v>
      </c>
      <c r="K175" s="17">
        <f t="shared" si="239"/>
        <v>0</v>
      </c>
      <c r="L175" s="17">
        <f t="shared" si="240"/>
        <v>0</v>
      </c>
      <c r="M175" s="17">
        <f t="shared" si="241"/>
        <v>0</v>
      </c>
      <c r="N175" s="17">
        <v>7.2999999999999996E-4</v>
      </c>
      <c r="O175" s="17">
        <f t="shared" si="242"/>
        <v>5.0369999999999998E-2</v>
      </c>
      <c r="P175" s="75" t="s">
        <v>576</v>
      </c>
      <c r="Z175" s="17">
        <f t="shared" si="243"/>
        <v>0</v>
      </c>
      <c r="AB175" s="17">
        <f t="shared" si="244"/>
        <v>0</v>
      </c>
      <c r="AC175" s="17">
        <f t="shared" si="245"/>
        <v>0</v>
      </c>
      <c r="AD175" s="17">
        <f t="shared" si="246"/>
        <v>0</v>
      </c>
      <c r="AE175" s="17">
        <f t="shared" si="247"/>
        <v>0</v>
      </c>
      <c r="AF175" s="17">
        <f t="shared" si="248"/>
        <v>0</v>
      </c>
      <c r="AG175" s="17">
        <f t="shared" si="249"/>
        <v>0</v>
      </c>
      <c r="AH175" s="17">
        <f t="shared" si="250"/>
        <v>0</v>
      </c>
      <c r="AI175" s="14" t="s">
        <v>196</v>
      </c>
      <c r="AJ175" s="17">
        <f t="shared" si="251"/>
        <v>0</v>
      </c>
      <c r="AK175" s="17">
        <f t="shared" si="252"/>
        <v>0</v>
      </c>
      <c r="AL175" s="17">
        <f t="shared" si="253"/>
        <v>0</v>
      </c>
      <c r="AN175" s="17">
        <v>12</v>
      </c>
      <c r="AO175" s="17">
        <f>H175*0.578547486</f>
        <v>0</v>
      </c>
      <c r="AP175" s="17">
        <f>H175*(1-0.578547486)</f>
        <v>0</v>
      </c>
      <c r="AQ175" s="76" t="s">
        <v>577</v>
      </c>
      <c r="AV175" s="17">
        <f t="shared" si="254"/>
        <v>0</v>
      </c>
      <c r="AW175" s="17">
        <f t="shared" si="255"/>
        <v>0</v>
      </c>
      <c r="AX175" s="17">
        <f t="shared" si="256"/>
        <v>0</v>
      </c>
      <c r="AY175" s="76" t="s">
        <v>677</v>
      </c>
      <c r="AZ175" s="76" t="s">
        <v>729</v>
      </c>
      <c r="BA175" s="14" t="s">
        <v>721</v>
      </c>
      <c r="BC175" s="17">
        <f t="shared" si="257"/>
        <v>0</v>
      </c>
      <c r="BD175" s="17">
        <f t="shared" si="258"/>
        <v>0</v>
      </c>
      <c r="BE175" s="17">
        <v>0</v>
      </c>
      <c r="BF175" s="17">
        <f t="shared" si="259"/>
        <v>5.0369999999999998E-2</v>
      </c>
      <c r="BH175" s="17">
        <f t="shared" si="260"/>
        <v>0</v>
      </c>
      <c r="BI175" s="17">
        <f t="shared" si="261"/>
        <v>0</v>
      </c>
      <c r="BJ175" s="17">
        <f t="shared" si="262"/>
        <v>0</v>
      </c>
      <c r="BK175" s="17"/>
      <c r="BL175" s="17">
        <v>722</v>
      </c>
      <c r="BW175" s="17">
        <f t="shared" si="263"/>
        <v>12</v>
      </c>
      <c r="BX175" s="4" t="s">
        <v>122</v>
      </c>
    </row>
    <row r="176" spans="1:76" x14ac:dyDescent="0.25">
      <c r="A176" s="1" t="s">
        <v>734</v>
      </c>
      <c r="B176" s="2" t="s">
        <v>196</v>
      </c>
      <c r="C176" s="2" t="s">
        <v>123</v>
      </c>
      <c r="D176" s="83" t="s">
        <v>124</v>
      </c>
      <c r="E176" s="84"/>
      <c r="F176" s="2" t="s">
        <v>31</v>
      </c>
      <c r="G176" s="17">
        <f>'Rozpočet - vybrané sloupce'!J140</f>
        <v>13</v>
      </c>
      <c r="H176" s="17">
        <f>'Rozpočet - vybrané sloupce'!K140</f>
        <v>0</v>
      </c>
      <c r="I176" s="74">
        <v>12</v>
      </c>
      <c r="J176" s="17">
        <f t="shared" si="238"/>
        <v>0</v>
      </c>
      <c r="K176" s="17">
        <f t="shared" si="239"/>
        <v>0</v>
      </c>
      <c r="L176" s="17">
        <f t="shared" si="240"/>
        <v>0</v>
      </c>
      <c r="M176" s="17">
        <f t="shared" si="241"/>
        <v>0</v>
      </c>
      <c r="N176" s="17">
        <v>1.0200000000000001E-3</v>
      </c>
      <c r="O176" s="17">
        <f t="shared" si="242"/>
        <v>1.3260000000000001E-2</v>
      </c>
      <c r="P176" s="75" t="s">
        <v>576</v>
      </c>
      <c r="Z176" s="17">
        <f t="shared" si="243"/>
        <v>0</v>
      </c>
      <c r="AB176" s="17">
        <f t="shared" si="244"/>
        <v>0</v>
      </c>
      <c r="AC176" s="17">
        <f t="shared" si="245"/>
        <v>0</v>
      </c>
      <c r="AD176" s="17">
        <f t="shared" si="246"/>
        <v>0</v>
      </c>
      <c r="AE176" s="17">
        <f t="shared" si="247"/>
        <v>0</v>
      </c>
      <c r="AF176" s="17">
        <f t="shared" si="248"/>
        <v>0</v>
      </c>
      <c r="AG176" s="17">
        <f t="shared" si="249"/>
        <v>0</v>
      </c>
      <c r="AH176" s="17">
        <f t="shared" si="250"/>
        <v>0</v>
      </c>
      <c r="AI176" s="14" t="s">
        <v>196</v>
      </c>
      <c r="AJ176" s="17">
        <f t="shared" si="251"/>
        <v>0</v>
      </c>
      <c r="AK176" s="17">
        <f t="shared" si="252"/>
        <v>0</v>
      </c>
      <c r="AL176" s="17">
        <f t="shared" si="253"/>
        <v>0</v>
      </c>
      <c r="AN176" s="17">
        <v>12</v>
      </c>
      <c r="AO176" s="17">
        <f>H176*0.679694377</f>
        <v>0</v>
      </c>
      <c r="AP176" s="17">
        <f>H176*(1-0.679694377)</f>
        <v>0</v>
      </c>
      <c r="AQ176" s="76" t="s">
        <v>577</v>
      </c>
      <c r="AV176" s="17">
        <f t="shared" si="254"/>
        <v>0</v>
      </c>
      <c r="AW176" s="17">
        <f t="shared" si="255"/>
        <v>0</v>
      </c>
      <c r="AX176" s="17">
        <f t="shared" si="256"/>
        <v>0</v>
      </c>
      <c r="AY176" s="76" t="s">
        <v>677</v>
      </c>
      <c r="AZ176" s="76" t="s">
        <v>729</v>
      </c>
      <c r="BA176" s="14" t="s">
        <v>721</v>
      </c>
      <c r="BC176" s="17">
        <f t="shared" si="257"/>
        <v>0</v>
      </c>
      <c r="BD176" s="17">
        <f t="shared" si="258"/>
        <v>0</v>
      </c>
      <c r="BE176" s="17">
        <v>0</v>
      </c>
      <c r="BF176" s="17">
        <f t="shared" si="259"/>
        <v>1.3260000000000001E-2</v>
      </c>
      <c r="BH176" s="17">
        <f t="shared" si="260"/>
        <v>0</v>
      </c>
      <c r="BI176" s="17">
        <f t="shared" si="261"/>
        <v>0</v>
      </c>
      <c r="BJ176" s="17">
        <f t="shared" si="262"/>
        <v>0</v>
      </c>
      <c r="BK176" s="17"/>
      <c r="BL176" s="17">
        <v>722</v>
      </c>
      <c r="BW176" s="17">
        <f t="shared" si="263"/>
        <v>12</v>
      </c>
      <c r="BX176" s="4" t="s">
        <v>124</v>
      </c>
    </row>
    <row r="177" spans="1:76" x14ac:dyDescent="0.25">
      <c r="A177" s="1" t="s">
        <v>735</v>
      </c>
      <c r="B177" s="2" t="s">
        <v>196</v>
      </c>
      <c r="C177" s="2" t="s">
        <v>200</v>
      </c>
      <c r="D177" s="83" t="s">
        <v>201</v>
      </c>
      <c r="E177" s="84"/>
      <c r="F177" s="2" t="s">
        <v>31</v>
      </c>
      <c r="G177" s="17">
        <f>'Rozpočet - vybrané sloupce'!J141</f>
        <v>13</v>
      </c>
      <c r="H177" s="17">
        <f>'Rozpočet - vybrané sloupce'!K141</f>
        <v>0</v>
      </c>
      <c r="I177" s="74">
        <v>12</v>
      </c>
      <c r="J177" s="17">
        <f t="shared" si="238"/>
        <v>0</v>
      </c>
      <c r="K177" s="17">
        <f t="shared" si="239"/>
        <v>0</v>
      </c>
      <c r="L177" s="17">
        <f t="shared" si="240"/>
        <v>0</v>
      </c>
      <c r="M177" s="17">
        <f t="shared" si="241"/>
        <v>0</v>
      </c>
      <c r="N177" s="17">
        <v>1.3799999999999999E-3</v>
      </c>
      <c r="O177" s="17">
        <f t="shared" si="242"/>
        <v>1.7939999999999998E-2</v>
      </c>
      <c r="P177" s="75" t="s">
        <v>576</v>
      </c>
      <c r="Z177" s="17">
        <f t="shared" si="243"/>
        <v>0</v>
      </c>
      <c r="AB177" s="17">
        <f t="shared" si="244"/>
        <v>0</v>
      </c>
      <c r="AC177" s="17">
        <f t="shared" si="245"/>
        <v>0</v>
      </c>
      <c r="AD177" s="17">
        <f t="shared" si="246"/>
        <v>0</v>
      </c>
      <c r="AE177" s="17">
        <f t="shared" si="247"/>
        <v>0</v>
      </c>
      <c r="AF177" s="17">
        <f t="shared" si="248"/>
        <v>0</v>
      </c>
      <c r="AG177" s="17">
        <f t="shared" si="249"/>
        <v>0</v>
      </c>
      <c r="AH177" s="17">
        <f t="shared" si="250"/>
        <v>0</v>
      </c>
      <c r="AI177" s="14" t="s">
        <v>196</v>
      </c>
      <c r="AJ177" s="17">
        <f t="shared" si="251"/>
        <v>0</v>
      </c>
      <c r="AK177" s="17">
        <f t="shared" si="252"/>
        <v>0</v>
      </c>
      <c r="AL177" s="17">
        <f t="shared" si="253"/>
        <v>0</v>
      </c>
      <c r="AN177" s="17">
        <v>12</v>
      </c>
      <c r="AO177" s="17">
        <f>H177*0.677040715</f>
        <v>0</v>
      </c>
      <c r="AP177" s="17">
        <f>H177*(1-0.677040715)</f>
        <v>0</v>
      </c>
      <c r="AQ177" s="76" t="s">
        <v>577</v>
      </c>
      <c r="AV177" s="17">
        <f t="shared" si="254"/>
        <v>0</v>
      </c>
      <c r="AW177" s="17">
        <f t="shared" si="255"/>
        <v>0</v>
      </c>
      <c r="AX177" s="17">
        <f t="shared" si="256"/>
        <v>0</v>
      </c>
      <c r="AY177" s="76" t="s">
        <v>677</v>
      </c>
      <c r="AZ177" s="76" t="s">
        <v>729</v>
      </c>
      <c r="BA177" s="14" t="s">
        <v>721</v>
      </c>
      <c r="BC177" s="17">
        <f t="shared" si="257"/>
        <v>0</v>
      </c>
      <c r="BD177" s="17">
        <f t="shared" si="258"/>
        <v>0</v>
      </c>
      <c r="BE177" s="17">
        <v>0</v>
      </c>
      <c r="BF177" s="17">
        <f t="shared" si="259"/>
        <v>1.7939999999999998E-2</v>
      </c>
      <c r="BH177" s="17">
        <f t="shared" si="260"/>
        <v>0</v>
      </c>
      <c r="BI177" s="17">
        <f t="shared" si="261"/>
        <v>0</v>
      </c>
      <c r="BJ177" s="17">
        <f t="shared" si="262"/>
        <v>0</v>
      </c>
      <c r="BK177" s="17"/>
      <c r="BL177" s="17">
        <v>722</v>
      </c>
      <c r="BW177" s="17">
        <f t="shared" si="263"/>
        <v>12</v>
      </c>
      <c r="BX177" s="4" t="s">
        <v>201</v>
      </c>
    </row>
    <row r="178" spans="1:76" x14ac:dyDescent="0.25">
      <c r="A178" s="1" t="s">
        <v>736</v>
      </c>
      <c r="B178" s="2" t="s">
        <v>196</v>
      </c>
      <c r="C178" s="2" t="s">
        <v>125</v>
      </c>
      <c r="D178" s="83" t="s">
        <v>126</v>
      </c>
      <c r="E178" s="84"/>
      <c r="F178" s="2" t="s">
        <v>31</v>
      </c>
      <c r="G178" s="17">
        <f>'Rozpočet - vybrané sloupce'!J142</f>
        <v>25</v>
      </c>
      <c r="H178" s="17">
        <f>'Rozpočet - vybrané sloupce'!K142</f>
        <v>0</v>
      </c>
      <c r="I178" s="74">
        <v>12</v>
      </c>
      <c r="J178" s="17">
        <f t="shared" si="238"/>
        <v>0</v>
      </c>
      <c r="K178" s="17">
        <f t="shared" si="239"/>
        <v>0</v>
      </c>
      <c r="L178" s="17">
        <f t="shared" si="240"/>
        <v>0</v>
      </c>
      <c r="M178" s="17">
        <f t="shared" si="241"/>
        <v>0</v>
      </c>
      <c r="N178" s="17">
        <v>2.0999999999999999E-3</v>
      </c>
      <c r="O178" s="17">
        <f t="shared" si="242"/>
        <v>5.2499999999999998E-2</v>
      </c>
      <c r="P178" s="75" t="s">
        <v>576</v>
      </c>
      <c r="Z178" s="17">
        <f t="shared" si="243"/>
        <v>0</v>
      </c>
      <c r="AB178" s="17">
        <f t="shared" si="244"/>
        <v>0</v>
      </c>
      <c r="AC178" s="17">
        <f t="shared" si="245"/>
        <v>0</v>
      </c>
      <c r="AD178" s="17">
        <f t="shared" si="246"/>
        <v>0</v>
      </c>
      <c r="AE178" s="17">
        <f t="shared" si="247"/>
        <v>0</v>
      </c>
      <c r="AF178" s="17">
        <f t="shared" si="248"/>
        <v>0</v>
      </c>
      <c r="AG178" s="17">
        <f t="shared" si="249"/>
        <v>0</v>
      </c>
      <c r="AH178" s="17">
        <f t="shared" si="250"/>
        <v>0</v>
      </c>
      <c r="AI178" s="14" t="s">
        <v>196</v>
      </c>
      <c r="AJ178" s="17">
        <f t="shared" si="251"/>
        <v>0</v>
      </c>
      <c r="AK178" s="17">
        <f t="shared" si="252"/>
        <v>0</v>
      </c>
      <c r="AL178" s="17">
        <f t="shared" si="253"/>
        <v>0</v>
      </c>
      <c r="AN178" s="17">
        <v>12</v>
      </c>
      <c r="AO178" s="17">
        <f>H178*0.734723375</f>
        <v>0</v>
      </c>
      <c r="AP178" s="17">
        <f>H178*(1-0.734723375)</f>
        <v>0</v>
      </c>
      <c r="AQ178" s="76" t="s">
        <v>577</v>
      </c>
      <c r="AV178" s="17">
        <f t="shared" si="254"/>
        <v>0</v>
      </c>
      <c r="AW178" s="17">
        <f t="shared" si="255"/>
        <v>0</v>
      </c>
      <c r="AX178" s="17">
        <f t="shared" si="256"/>
        <v>0</v>
      </c>
      <c r="AY178" s="76" t="s">
        <v>677</v>
      </c>
      <c r="AZ178" s="76" t="s">
        <v>729</v>
      </c>
      <c r="BA178" s="14" t="s">
        <v>721</v>
      </c>
      <c r="BC178" s="17">
        <f t="shared" si="257"/>
        <v>0</v>
      </c>
      <c r="BD178" s="17">
        <f t="shared" si="258"/>
        <v>0</v>
      </c>
      <c r="BE178" s="17">
        <v>0</v>
      </c>
      <c r="BF178" s="17">
        <f t="shared" si="259"/>
        <v>5.2499999999999998E-2</v>
      </c>
      <c r="BH178" s="17">
        <f t="shared" si="260"/>
        <v>0</v>
      </c>
      <c r="BI178" s="17">
        <f t="shared" si="261"/>
        <v>0</v>
      </c>
      <c r="BJ178" s="17">
        <f t="shared" si="262"/>
        <v>0</v>
      </c>
      <c r="BK178" s="17"/>
      <c r="BL178" s="17">
        <v>722</v>
      </c>
      <c r="BW178" s="17">
        <f t="shared" si="263"/>
        <v>12</v>
      </c>
      <c r="BX178" s="4" t="s">
        <v>126</v>
      </c>
    </row>
    <row r="179" spans="1:76" x14ac:dyDescent="0.25">
      <c r="A179" s="1" t="s">
        <v>737</v>
      </c>
      <c r="B179" s="2" t="s">
        <v>196</v>
      </c>
      <c r="C179" s="2" t="s">
        <v>127</v>
      </c>
      <c r="D179" s="83" t="s">
        <v>128</v>
      </c>
      <c r="E179" s="84"/>
      <c r="F179" s="2" t="s">
        <v>31</v>
      </c>
      <c r="G179" s="17">
        <f>'Rozpočet - vybrané sloupce'!J143</f>
        <v>0</v>
      </c>
      <c r="H179" s="17">
        <f>'Rozpočet - vybrané sloupce'!K143</f>
        <v>0</v>
      </c>
      <c r="I179" s="74">
        <v>12</v>
      </c>
      <c r="J179" s="17">
        <f t="shared" si="238"/>
        <v>0</v>
      </c>
      <c r="K179" s="17">
        <f t="shared" si="239"/>
        <v>0</v>
      </c>
      <c r="L179" s="17">
        <f t="shared" si="240"/>
        <v>0</v>
      </c>
      <c r="M179" s="17">
        <f t="shared" si="241"/>
        <v>0</v>
      </c>
      <c r="N179" s="17">
        <v>6.9999999999999994E-5</v>
      </c>
      <c r="O179" s="17">
        <f t="shared" si="242"/>
        <v>0</v>
      </c>
      <c r="P179" s="75" t="s">
        <v>576</v>
      </c>
      <c r="Z179" s="17">
        <f t="shared" si="243"/>
        <v>0</v>
      </c>
      <c r="AB179" s="17">
        <f t="shared" si="244"/>
        <v>0</v>
      </c>
      <c r="AC179" s="17">
        <f t="shared" si="245"/>
        <v>0</v>
      </c>
      <c r="AD179" s="17">
        <f t="shared" si="246"/>
        <v>0</v>
      </c>
      <c r="AE179" s="17">
        <f t="shared" si="247"/>
        <v>0</v>
      </c>
      <c r="AF179" s="17">
        <f t="shared" si="248"/>
        <v>0</v>
      </c>
      <c r="AG179" s="17">
        <f t="shared" si="249"/>
        <v>0</v>
      </c>
      <c r="AH179" s="17">
        <f t="shared" si="250"/>
        <v>0</v>
      </c>
      <c r="AI179" s="14" t="s">
        <v>196</v>
      </c>
      <c r="AJ179" s="17">
        <f t="shared" si="251"/>
        <v>0</v>
      </c>
      <c r="AK179" s="17">
        <f t="shared" si="252"/>
        <v>0</v>
      </c>
      <c r="AL179" s="17">
        <f t="shared" si="253"/>
        <v>0</v>
      </c>
      <c r="AN179" s="17">
        <v>12</v>
      </c>
      <c r="AO179" s="17">
        <f>H179*0</f>
        <v>0</v>
      </c>
      <c r="AP179" s="17">
        <f>H179*(1-0)</f>
        <v>0</v>
      </c>
      <c r="AQ179" s="76" t="s">
        <v>577</v>
      </c>
      <c r="AV179" s="17">
        <f t="shared" si="254"/>
        <v>0</v>
      </c>
      <c r="AW179" s="17">
        <f t="shared" si="255"/>
        <v>0</v>
      </c>
      <c r="AX179" s="17">
        <f t="shared" si="256"/>
        <v>0</v>
      </c>
      <c r="AY179" s="76" t="s">
        <v>677</v>
      </c>
      <c r="AZ179" s="76" t="s">
        <v>729</v>
      </c>
      <c r="BA179" s="14" t="s">
        <v>721</v>
      </c>
      <c r="BC179" s="17">
        <f t="shared" si="257"/>
        <v>0</v>
      </c>
      <c r="BD179" s="17">
        <f t="shared" si="258"/>
        <v>0</v>
      </c>
      <c r="BE179" s="17">
        <v>0</v>
      </c>
      <c r="BF179" s="17">
        <f t="shared" si="259"/>
        <v>0</v>
      </c>
      <c r="BH179" s="17">
        <f t="shared" si="260"/>
        <v>0</v>
      </c>
      <c r="BI179" s="17">
        <f t="shared" si="261"/>
        <v>0</v>
      </c>
      <c r="BJ179" s="17">
        <f t="shared" si="262"/>
        <v>0</v>
      </c>
      <c r="BK179" s="17"/>
      <c r="BL179" s="17">
        <v>722</v>
      </c>
      <c r="BW179" s="17">
        <f t="shared" si="263"/>
        <v>12</v>
      </c>
      <c r="BX179" s="4" t="s">
        <v>128</v>
      </c>
    </row>
    <row r="180" spans="1:76" x14ac:dyDescent="0.25">
      <c r="A180" s="1" t="s">
        <v>738</v>
      </c>
      <c r="B180" s="2" t="s">
        <v>196</v>
      </c>
      <c r="C180" s="2" t="s">
        <v>129</v>
      </c>
      <c r="D180" s="83" t="s">
        <v>130</v>
      </c>
      <c r="E180" s="84"/>
      <c r="F180" s="2" t="s">
        <v>31</v>
      </c>
      <c r="G180" s="17">
        <f>'Rozpočet - vybrané sloupce'!J144</f>
        <v>31</v>
      </c>
      <c r="H180" s="17">
        <f>'Rozpočet - vybrané sloupce'!K144</f>
        <v>0</v>
      </c>
      <c r="I180" s="74">
        <v>12</v>
      </c>
      <c r="J180" s="17">
        <f t="shared" si="238"/>
        <v>0</v>
      </c>
      <c r="K180" s="17">
        <f t="shared" si="239"/>
        <v>0</v>
      </c>
      <c r="L180" s="17">
        <f t="shared" si="240"/>
        <v>0</v>
      </c>
      <c r="M180" s="17">
        <f t="shared" si="241"/>
        <v>0</v>
      </c>
      <c r="N180" s="17">
        <v>6.0000000000000002E-5</v>
      </c>
      <c r="O180" s="17">
        <f t="shared" si="242"/>
        <v>1.8600000000000001E-3</v>
      </c>
      <c r="P180" s="75" t="s">
        <v>576</v>
      </c>
      <c r="Z180" s="17">
        <f t="shared" si="243"/>
        <v>0</v>
      </c>
      <c r="AB180" s="17">
        <f t="shared" si="244"/>
        <v>0</v>
      </c>
      <c r="AC180" s="17">
        <f t="shared" si="245"/>
        <v>0</v>
      </c>
      <c r="AD180" s="17">
        <f t="shared" si="246"/>
        <v>0</v>
      </c>
      <c r="AE180" s="17">
        <f t="shared" si="247"/>
        <v>0</v>
      </c>
      <c r="AF180" s="17">
        <f t="shared" si="248"/>
        <v>0</v>
      </c>
      <c r="AG180" s="17">
        <f t="shared" si="249"/>
        <v>0</v>
      </c>
      <c r="AH180" s="17">
        <f t="shared" si="250"/>
        <v>0</v>
      </c>
      <c r="AI180" s="14" t="s">
        <v>196</v>
      </c>
      <c r="AJ180" s="17">
        <f t="shared" si="251"/>
        <v>0</v>
      </c>
      <c r="AK180" s="17">
        <f t="shared" si="252"/>
        <v>0</v>
      </c>
      <c r="AL180" s="17">
        <f t="shared" si="253"/>
        <v>0</v>
      </c>
      <c r="AN180" s="17">
        <v>12</v>
      </c>
      <c r="AO180" s="17">
        <f>H180*0.242338733</f>
        <v>0</v>
      </c>
      <c r="AP180" s="17">
        <f>H180*(1-0.242338733)</f>
        <v>0</v>
      </c>
      <c r="AQ180" s="76" t="s">
        <v>577</v>
      </c>
      <c r="AV180" s="17">
        <f t="shared" si="254"/>
        <v>0</v>
      </c>
      <c r="AW180" s="17">
        <f t="shared" si="255"/>
        <v>0</v>
      </c>
      <c r="AX180" s="17">
        <f t="shared" si="256"/>
        <v>0</v>
      </c>
      <c r="AY180" s="76" t="s">
        <v>677</v>
      </c>
      <c r="AZ180" s="76" t="s">
        <v>729</v>
      </c>
      <c r="BA180" s="14" t="s">
        <v>721</v>
      </c>
      <c r="BC180" s="17">
        <f t="shared" si="257"/>
        <v>0</v>
      </c>
      <c r="BD180" s="17">
        <f t="shared" si="258"/>
        <v>0</v>
      </c>
      <c r="BE180" s="17">
        <v>0</v>
      </c>
      <c r="BF180" s="17">
        <f t="shared" si="259"/>
        <v>1.8600000000000001E-3</v>
      </c>
      <c r="BH180" s="17">
        <f t="shared" si="260"/>
        <v>0</v>
      </c>
      <c r="BI180" s="17">
        <f t="shared" si="261"/>
        <v>0</v>
      </c>
      <c r="BJ180" s="17">
        <f t="shared" si="262"/>
        <v>0</v>
      </c>
      <c r="BK180" s="17"/>
      <c r="BL180" s="17">
        <v>722</v>
      </c>
      <c r="BW180" s="17">
        <f t="shared" si="263"/>
        <v>12</v>
      </c>
      <c r="BX180" s="4" t="s">
        <v>130</v>
      </c>
    </row>
    <row r="181" spans="1:76" x14ac:dyDescent="0.25">
      <c r="A181" s="1" t="s">
        <v>739</v>
      </c>
      <c r="B181" s="2" t="s">
        <v>196</v>
      </c>
      <c r="C181" s="2" t="s">
        <v>131</v>
      </c>
      <c r="D181" s="83" t="s">
        <v>132</v>
      </c>
      <c r="E181" s="84"/>
      <c r="F181" s="2" t="s">
        <v>31</v>
      </c>
      <c r="G181" s="17">
        <f>'Rozpočet - vybrané sloupce'!J145</f>
        <v>25</v>
      </c>
      <c r="H181" s="17">
        <f>'Rozpočet - vybrané sloupce'!K145</f>
        <v>0</v>
      </c>
      <c r="I181" s="74">
        <v>12</v>
      </c>
      <c r="J181" s="17">
        <f t="shared" si="238"/>
        <v>0</v>
      </c>
      <c r="K181" s="17">
        <f t="shared" si="239"/>
        <v>0</v>
      </c>
      <c r="L181" s="17">
        <f t="shared" si="240"/>
        <v>0</v>
      </c>
      <c r="M181" s="17">
        <f t="shared" si="241"/>
        <v>0</v>
      </c>
      <c r="N181" s="17">
        <v>1.9000000000000001E-4</v>
      </c>
      <c r="O181" s="17">
        <f t="shared" si="242"/>
        <v>4.7499999999999999E-3</v>
      </c>
      <c r="P181" s="75" t="s">
        <v>576</v>
      </c>
      <c r="Z181" s="17">
        <f t="shared" si="243"/>
        <v>0</v>
      </c>
      <c r="AB181" s="17">
        <f t="shared" si="244"/>
        <v>0</v>
      </c>
      <c r="AC181" s="17">
        <f t="shared" si="245"/>
        <v>0</v>
      </c>
      <c r="AD181" s="17">
        <f t="shared" si="246"/>
        <v>0</v>
      </c>
      <c r="AE181" s="17">
        <f t="shared" si="247"/>
        <v>0</v>
      </c>
      <c r="AF181" s="17">
        <f t="shared" si="248"/>
        <v>0</v>
      </c>
      <c r="AG181" s="17">
        <f t="shared" si="249"/>
        <v>0</v>
      </c>
      <c r="AH181" s="17">
        <f t="shared" si="250"/>
        <v>0</v>
      </c>
      <c r="AI181" s="14" t="s">
        <v>196</v>
      </c>
      <c r="AJ181" s="17">
        <f t="shared" si="251"/>
        <v>0</v>
      </c>
      <c r="AK181" s="17">
        <f t="shared" si="252"/>
        <v>0</v>
      </c>
      <c r="AL181" s="17">
        <f t="shared" si="253"/>
        <v>0</v>
      </c>
      <c r="AN181" s="17">
        <v>12</v>
      </c>
      <c r="AO181" s="17">
        <f>H181*0.336656791</f>
        <v>0</v>
      </c>
      <c r="AP181" s="17">
        <f>H181*(1-0.336656791)</f>
        <v>0</v>
      </c>
      <c r="AQ181" s="76" t="s">
        <v>577</v>
      </c>
      <c r="AV181" s="17">
        <f t="shared" si="254"/>
        <v>0</v>
      </c>
      <c r="AW181" s="17">
        <f t="shared" si="255"/>
        <v>0</v>
      </c>
      <c r="AX181" s="17">
        <f t="shared" si="256"/>
        <v>0</v>
      </c>
      <c r="AY181" s="76" t="s">
        <v>677</v>
      </c>
      <c r="AZ181" s="76" t="s">
        <v>729</v>
      </c>
      <c r="BA181" s="14" t="s">
        <v>721</v>
      </c>
      <c r="BC181" s="17">
        <f t="shared" si="257"/>
        <v>0</v>
      </c>
      <c r="BD181" s="17">
        <f t="shared" si="258"/>
        <v>0</v>
      </c>
      <c r="BE181" s="17">
        <v>0</v>
      </c>
      <c r="BF181" s="17">
        <f t="shared" si="259"/>
        <v>4.7499999999999999E-3</v>
      </c>
      <c r="BH181" s="17">
        <f t="shared" si="260"/>
        <v>0</v>
      </c>
      <c r="BI181" s="17">
        <f t="shared" si="261"/>
        <v>0</v>
      </c>
      <c r="BJ181" s="17">
        <f t="shared" si="262"/>
        <v>0</v>
      </c>
      <c r="BK181" s="17"/>
      <c r="BL181" s="17">
        <v>722</v>
      </c>
      <c r="BW181" s="17">
        <f t="shared" si="263"/>
        <v>12</v>
      </c>
      <c r="BX181" s="4" t="s">
        <v>132</v>
      </c>
    </row>
    <row r="182" spans="1:76" x14ac:dyDescent="0.25">
      <c r="A182" s="1" t="s">
        <v>740</v>
      </c>
      <c r="B182" s="2" t="s">
        <v>196</v>
      </c>
      <c r="C182" s="2" t="s">
        <v>133</v>
      </c>
      <c r="D182" s="83" t="s">
        <v>134</v>
      </c>
      <c r="E182" s="84"/>
      <c r="F182" s="2" t="s">
        <v>31</v>
      </c>
      <c r="G182" s="17">
        <f>'Rozpočet - vybrané sloupce'!J146</f>
        <v>28</v>
      </c>
      <c r="H182" s="17">
        <f>'Rozpočet - vybrané sloupce'!K146</f>
        <v>0</v>
      </c>
      <c r="I182" s="74">
        <v>12</v>
      </c>
      <c r="J182" s="17">
        <f t="shared" si="238"/>
        <v>0</v>
      </c>
      <c r="K182" s="17">
        <f t="shared" si="239"/>
        <v>0</v>
      </c>
      <c r="L182" s="17">
        <f t="shared" si="240"/>
        <v>0</v>
      </c>
      <c r="M182" s="17">
        <f t="shared" si="241"/>
        <v>0</v>
      </c>
      <c r="N182" s="17">
        <v>6.9999999999999994E-5</v>
      </c>
      <c r="O182" s="17">
        <f t="shared" si="242"/>
        <v>1.9599999999999999E-3</v>
      </c>
      <c r="P182" s="75" t="s">
        <v>576</v>
      </c>
      <c r="Z182" s="17">
        <f t="shared" si="243"/>
        <v>0</v>
      </c>
      <c r="AB182" s="17">
        <f t="shared" si="244"/>
        <v>0</v>
      </c>
      <c r="AC182" s="17">
        <f t="shared" si="245"/>
        <v>0</v>
      </c>
      <c r="AD182" s="17">
        <f t="shared" si="246"/>
        <v>0</v>
      </c>
      <c r="AE182" s="17">
        <f t="shared" si="247"/>
        <v>0</v>
      </c>
      <c r="AF182" s="17">
        <f t="shared" si="248"/>
        <v>0</v>
      </c>
      <c r="AG182" s="17">
        <f t="shared" si="249"/>
        <v>0</v>
      </c>
      <c r="AH182" s="17">
        <f t="shared" si="250"/>
        <v>0</v>
      </c>
      <c r="AI182" s="14" t="s">
        <v>196</v>
      </c>
      <c r="AJ182" s="17">
        <f t="shared" si="251"/>
        <v>0</v>
      </c>
      <c r="AK182" s="17">
        <f t="shared" si="252"/>
        <v>0</v>
      </c>
      <c r="AL182" s="17">
        <f t="shared" si="253"/>
        <v>0</v>
      </c>
      <c r="AN182" s="17">
        <v>12</v>
      </c>
      <c r="AO182" s="17">
        <f>H182*0.496107383</f>
        <v>0</v>
      </c>
      <c r="AP182" s="17">
        <f>H182*(1-0.496107383)</f>
        <v>0</v>
      </c>
      <c r="AQ182" s="76" t="s">
        <v>577</v>
      </c>
      <c r="AV182" s="17">
        <f t="shared" si="254"/>
        <v>0</v>
      </c>
      <c r="AW182" s="17">
        <f t="shared" si="255"/>
        <v>0</v>
      </c>
      <c r="AX182" s="17">
        <f t="shared" si="256"/>
        <v>0</v>
      </c>
      <c r="AY182" s="76" t="s">
        <v>677</v>
      </c>
      <c r="AZ182" s="76" t="s">
        <v>729</v>
      </c>
      <c r="BA182" s="14" t="s">
        <v>721</v>
      </c>
      <c r="BC182" s="17">
        <f t="shared" si="257"/>
        <v>0</v>
      </c>
      <c r="BD182" s="17">
        <f t="shared" si="258"/>
        <v>0</v>
      </c>
      <c r="BE182" s="17">
        <v>0</v>
      </c>
      <c r="BF182" s="17">
        <f t="shared" si="259"/>
        <v>1.9599999999999999E-3</v>
      </c>
      <c r="BH182" s="17">
        <f t="shared" si="260"/>
        <v>0</v>
      </c>
      <c r="BI182" s="17">
        <f t="shared" si="261"/>
        <v>0</v>
      </c>
      <c r="BJ182" s="17">
        <f t="shared" si="262"/>
        <v>0</v>
      </c>
      <c r="BK182" s="17"/>
      <c r="BL182" s="17">
        <v>722</v>
      </c>
      <c r="BW182" s="17">
        <f t="shared" si="263"/>
        <v>12</v>
      </c>
      <c r="BX182" s="4" t="s">
        <v>134</v>
      </c>
    </row>
    <row r="183" spans="1:76" x14ac:dyDescent="0.25">
      <c r="A183" s="1" t="s">
        <v>741</v>
      </c>
      <c r="B183" s="2" t="s">
        <v>196</v>
      </c>
      <c r="C183" s="2" t="s">
        <v>135</v>
      </c>
      <c r="D183" s="83" t="s">
        <v>136</v>
      </c>
      <c r="E183" s="84"/>
      <c r="F183" s="2" t="s">
        <v>31</v>
      </c>
      <c r="G183" s="17">
        <f>'Rozpočet - vybrané sloupce'!J147</f>
        <v>13</v>
      </c>
      <c r="H183" s="17">
        <f>'Rozpočet - vybrané sloupce'!K147</f>
        <v>0</v>
      </c>
      <c r="I183" s="74">
        <v>12</v>
      </c>
      <c r="J183" s="17">
        <f t="shared" si="238"/>
        <v>0</v>
      </c>
      <c r="K183" s="17">
        <f t="shared" si="239"/>
        <v>0</v>
      </c>
      <c r="L183" s="17">
        <f t="shared" si="240"/>
        <v>0</v>
      </c>
      <c r="M183" s="17">
        <f t="shared" si="241"/>
        <v>0</v>
      </c>
      <c r="N183" s="17">
        <v>6.9999999999999994E-5</v>
      </c>
      <c r="O183" s="17">
        <f t="shared" si="242"/>
        <v>9.0999999999999989E-4</v>
      </c>
      <c r="P183" s="75" t="s">
        <v>576</v>
      </c>
      <c r="Z183" s="17">
        <f t="shared" si="243"/>
        <v>0</v>
      </c>
      <c r="AB183" s="17">
        <f t="shared" si="244"/>
        <v>0</v>
      </c>
      <c r="AC183" s="17">
        <f t="shared" si="245"/>
        <v>0</v>
      </c>
      <c r="AD183" s="17">
        <f t="shared" si="246"/>
        <v>0</v>
      </c>
      <c r="AE183" s="17">
        <f t="shared" si="247"/>
        <v>0</v>
      </c>
      <c r="AF183" s="17">
        <f t="shared" si="248"/>
        <v>0</v>
      </c>
      <c r="AG183" s="17">
        <f t="shared" si="249"/>
        <v>0</v>
      </c>
      <c r="AH183" s="17">
        <f t="shared" si="250"/>
        <v>0</v>
      </c>
      <c r="AI183" s="14" t="s">
        <v>196</v>
      </c>
      <c r="AJ183" s="17">
        <f t="shared" si="251"/>
        <v>0</v>
      </c>
      <c r="AK183" s="17">
        <f t="shared" si="252"/>
        <v>0</v>
      </c>
      <c r="AL183" s="17">
        <f t="shared" si="253"/>
        <v>0</v>
      </c>
      <c r="AN183" s="17">
        <v>12</v>
      </c>
      <c r="AO183" s="17">
        <f>H183*0.523173828</f>
        <v>0</v>
      </c>
      <c r="AP183" s="17">
        <f>H183*(1-0.523173828)</f>
        <v>0</v>
      </c>
      <c r="AQ183" s="76" t="s">
        <v>577</v>
      </c>
      <c r="AV183" s="17">
        <f t="shared" si="254"/>
        <v>0</v>
      </c>
      <c r="AW183" s="17">
        <f t="shared" si="255"/>
        <v>0</v>
      </c>
      <c r="AX183" s="17">
        <f t="shared" si="256"/>
        <v>0</v>
      </c>
      <c r="AY183" s="76" t="s">
        <v>677</v>
      </c>
      <c r="AZ183" s="76" t="s">
        <v>729</v>
      </c>
      <c r="BA183" s="14" t="s">
        <v>721</v>
      </c>
      <c r="BC183" s="17">
        <f t="shared" si="257"/>
        <v>0</v>
      </c>
      <c r="BD183" s="17">
        <f t="shared" si="258"/>
        <v>0</v>
      </c>
      <c r="BE183" s="17">
        <v>0</v>
      </c>
      <c r="BF183" s="17">
        <f t="shared" si="259"/>
        <v>9.0999999999999989E-4</v>
      </c>
      <c r="BH183" s="17">
        <f t="shared" si="260"/>
        <v>0</v>
      </c>
      <c r="BI183" s="17">
        <f t="shared" si="261"/>
        <v>0</v>
      </c>
      <c r="BJ183" s="17">
        <f t="shared" si="262"/>
        <v>0</v>
      </c>
      <c r="BK183" s="17"/>
      <c r="BL183" s="17">
        <v>722</v>
      </c>
      <c r="BW183" s="17">
        <f t="shared" si="263"/>
        <v>12</v>
      </c>
      <c r="BX183" s="4" t="s">
        <v>136</v>
      </c>
    </row>
    <row r="184" spans="1:76" x14ac:dyDescent="0.25">
      <c r="A184" s="1" t="s">
        <v>742</v>
      </c>
      <c r="B184" s="2" t="s">
        <v>196</v>
      </c>
      <c r="C184" s="2" t="s">
        <v>137</v>
      </c>
      <c r="D184" s="83" t="s">
        <v>138</v>
      </c>
      <c r="E184" s="84"/>
      <c r="F184" s="2" t="s">
        <v>31</v>
      </c>
      <c r="G184" s="17">
        <f>'Rozpočet - vybrané sloupce'!J148</f>
        <v>38</v>
      </c>
      <c r="H184" s="17">
        <f>'Rozpočet - vybrané sloupce'!K148</f>
        <v>0</v>
      </c>
      <c r="I184" s="74">
        <v>12</v>
      </c>
      <c r="J184" s="17">
        <f t="shared" si="238"/>
        <v>0</v>
      </c>
      <c r="K184" s="17">
        <f t="shared" si="239"/>
        <v>0</v>
      </c>
      <c r="L184" s="17">
        <f t="shared" si="240"/>
        <v>0</v>
      </c>
      <c r="M184" s="17">
        <f t="shared" si="241"/>
        <v>0</v>
      </c>
      <c r="N184" s="17">
        <v>8.0000000000000007E-5</v>
      </c>
      <c r="O184" s="17">
        <f t="shared" si="242"/>
        <v>3.0400000000000002E-3</v>
      </c>
      <c r="P184" s="75" t="s">
        <v>576</v>
      </c>
      <c r="Z184" s="17">
        <f t="shared" si="243"/>
        <v>0</v>
      </c>
      <c r="AB184" s="17">
        <f t="shared" si="244"/>
        <v>0</v>
      </c>
      <c r="AC184" s="17">
        <f t="shared" si="245"/>
        <v>0</v>
      </c>
      <c r="AD184" s="17">
        <f t="shared" si="246"/>
        <v>0</v>
      </c>
      <c r="AE184" s="17">
        <f t="shared" si="247"/>
        <v>0</v>
      </c>
      <c r="AF184" s="17">
        <f t="shared" si="248"/>
        <v>0</v>
      </c>
      <c r="AG184" s="17">
        <f t="shared" si="249"/>
        <v>0</v>
      </c>
      <c r="AH184" s="17">
        <f t="shared" si="250"/>
        <v>0</v>
      </c>
      <c r="AI184" s="14" t="s">
        <v>196</v>
      </c>
      <c r="AJ184" s="17">
        <f t="shared" si="251"/>
        <v>0</v>
      </c>
      <c r="AK184" s="17">
        <f t="shared" si="252"/>
        <v>0</v>
      </c>
      <c r="AL184" s="17">
        <f t="shared" si="253"/>
        <v>0</v>
      </c>
      <c r="AN184" s="17">
        <v>12</v>
      </c>
      <c r="AO184" s="17">
        <f>H184*0.527714286</f>
        <v>0</v>
      </c>
      <c r="AP184" s="17">
        <f>H184*(1-0.527714286)</f>
        <v>0</v>
      </c>
      <c r="AQ184" s="76" t="s">
        <v>577</v>
      </c>
      <c r="AV184" s="17">
        <f t="shared" si="254"/>
        <v>0</v>
      </c>
      <c r="AW184" s="17">
        <f t="shared" si="255"/>
        <v>0</v>
      </c>
      <c r="AX184" s="17">
        <f t="shared" si="256"/>
        <v>0</v>
      </c>
      <c r="AY184" s="76" t="s">
        <v>677</v>
      </c>
      <c r="AZ184" s="76" t="s">
        <v>729</v>
      </c>
      <c r="BA184" s="14" t="s">
        <v>721</v>
      </c>
      <c r="BC184" s="17">
        <f t="shared" si="257"/>
        <v>0</v>
      </c>
      <c r="BD184" s="17">
        <f t="shared" si="258"/>
        <v>0</v>
      </c>
      <c r="BE184" s="17">
        <v>0</v>
      </c>
      <c r="BF184" s="17">
        <f t="shared" si="259"/>
        <v>3.0400000000000002E-3</v>
      </c>
      <c r="BH184" s="17">
        <f t="shared" si="260"/>
        <v>0</v>
      </c>
      <c r="BI184" s="17">
        <f t="shared" si="261"/>
        <v>0</v>
      </c>
      <c r="BJ184" s="17">
        <f t="shared" si="262"/>
        <v>0</v>
      </c>
      <c r="BK184" s="17"/>
      <c r="BL184" s="17">
        <v>722</v>
      </c>
      <c r="BW184" s="17">
        <f t="shared" si="263"/>
        <v>12</v>
      </c>
      <c r="BX184" s="4" t="s">
        <v>138</v>
      </c>
    </row>
    <row r="185" spans="1:76" x14ac:dyDescent="0.25">
      <c r="A185" s="1" t="s">
        <v>743</v>
      </c>
      <c r="B185" s="2" t="s">
        <v>196</v>
      </c>
      <c r="C185" s="2" t="s">
        <v>139</v>
      </c>
      <c r="D185" s="83" t="s">
        <v>140</v>
      </c>
      <c r="E185" s="84"/>
      <c r="F185" s="2" t="s">
        <v>31</v>
      </c>
      <c r="G185" s="17">
        <f>'Rozpočet - vybrané sloupce'!J149</f>
        <v>13</v>
      </c>
      <c r="H185" s="17">
        <f>'Rozpočet - vybrané sloupce'!K149</f>
        <v>0</v>
      </c>
      <c r="I185" s="74">
        <v>12</v>
      </c>
      <c r="J185" s="17">
        <f t="shared" si="238"/>
        <v>0</v>
      </c>
      <c r="K185" s="17">
        <f t="shared" si="239"/>
        <v>0</v>
      </c>
      <c r="L185" s="17">
        <f t="shared" si="240"/>
        <v>0</v>
      </c>
      <c r="M185" s="17">
        <f t="shared" si="241"/>
        <v>0</v>
      </c>
      <c r="N185" s="17">
        <v>1.2999999999999999E-4</v>
      </c>
      <c r="O185" s="17">
        <f t="shared" si="242"/>
        <v>1.6899999999999999E-3</v>
      </c>
      <c r="P185" s="75" t="s">
        <v>576</v>
      </c>
      <c r="Z185" s="17">
        <f t="shared" si="243"/>
        <v>0</v>
      </c>
      <c r="AB185" s="17">
        <f t="shared" si="244"/>
        <v>0</v>
      </c>
      <c r="AC185" s="17">
        <f t="shared" si="245"/>
        <v>0</v>
      </c>
      <c r="AD185" s="17">
        <f t="shared" si="246"/>
        <v>0</v>
      </c>
      <c r="AE185" s="17">
        <f t="shared" si="247"/>
        <v>0</v>
      </c>
      <c r="AF185" s="17">
        <f t="shared" si="248"/>
        <v>0</v>
      </c>
      <c r="AG185" s="17">
        <f t="shared" si="249"/>
        <v>0</v>
      </c>
      <c r="AH185" s="17">
        <f t="shared" si="250"/>
        <v>0</v>
      </c>
      <c r="AI185" s="14" t="s">
        <v>196</v>
      </c>
      <c r="AJ185" s="17">
        <f t="shared" si="251"/>
        <v>0</v>
      </c>
      <c r="AK185" s="17">
        <f t="shared" si="252"/>
        <v>0</v>
      </c>
      <c r="AL185" s="17">
        <f t="shared" si="253"/>
        <v>0</v>
      </c>
      <c r="AN185" s="17">
        <v>12</v>
      </c>
      <c r="AO185" s="17">
        <f>H185*0.526528497</f>
        <v>0</v>
      </c>
      <c r="AP185" s="17">
        <f>H185*(1-0.526528497)</f>
        <v>0</v>
      </c>
      <c r="AQ185" s="76" t="s">
        <v>577</v>
      </c>
      <c r="AV185" s="17">
        <f t="shared" si="254"/>
        <v>0</v>
      </c>
      <c r="AW185" s="17">
        <f t="shared" si="255"/>
        <v>0</v>
      </c>
      <c r="AX185" s="17">
        <f t="shared" si="256"/>
        <v>0</v>
      </c>
      <c r="AY185" s="76" t="s">
        <v>677</v>
      </c>
      <c r="AZ185" s="76" t="s">
        <v>729</v>
      </c>
      <c r="BA185" s="14" t="s">
        <v>721</v>
      </c>
      <c r="BC185" s="17">
        <f t="shared" si="257"/>
        <v>0</v>
      </c>
      <c r="BD185" s="17">
        <f t="shared" si="258"/>
        <v>0</v>
      </c>
      <c r="BE185" s="17">
        <v>0</v>
      </c>
      <c r="BF185" s="17">
        <f t="shared" si="259"/>
        <v>1.6899999999999999E-3</v>
      </c>
      <c r="BH185" s="17">
        <f t="shared" si="260"/>
        <v>0</v>
      </c>
      <c r="BI185" s="17">
        <f t="shared" si="261"/>
        <v>0</v>
      </c>
      <c r="BJ185" s="17">
        <f t="shared" si="262"/>
        <v>0</v>
      </c>
      <c r="BK185" s="17"/>
      <c r="BL185" s="17">
        <v>722</v>
      </c>
      <c r="BW185" s="17">
        <f t="shared" si="263"/>
        <v>12</v>
      </c>
      <c r="BX185" s="4" t="s">
        <v>140</v>
      </c>
    </row>
    <row r="186" spans="1:76" x14ac:dyDescent="0.25">
      <c r="A186" s="1" t="s">
        <v>744</v>
      </c>
      <c r="B186" s="2" t="s">
        <v>196</v>
      </c>
      <c r="C186" s="2" t="s">
        <v>202</v>
      </c>
      <c r="D186" s="83" t="s">
        <v>203</v>
      </c>
      <c r="E186" s="84"/>
      <c r="F186" s="2" t="s">
        <v>31</v>
      </c>
      <c r="G186" s="17">
        <f>'Rozpočet - vybrané sloupce'!J150</f>
        <v>12.6</v>
      </c>
      <c r="H186" s="17">
        <f>'Rozpočet - vybrané sloupce'!K150</f>
        <v>0</v>
      </c>
      <c r="I186" s="74">
        <v>12</v>
      </c>
      <c r="J186" s="17">
        <f t="shared" si="238"/>
        <v>0</v>
      </c>
      <c r="K186" s="17">
        <f t="shared" si="239"/>
        <v>0</v>
      </c>
      <c r="L186" s="17">
        <f t="shared" si="240"/>
        <v>0</v>
      </c>
      <c r="M186" s="17">
        <f t="shared" si="241"/>
        <v>0</v>
      </c>
      <c r="N186" s="17">
        <v>2.0000000000000001E-4</v>
      </c>
      <c r="O186" s="17">
        <f t="shared" si="242"/>
        <v>2.5200000000000001E-3</v>
      </c>
      <c r="P186" s="75" t="s">
        <v>576</v>
      </c>
      <c r="Z186" s="17">
        <f t="shared" si="243"/>
        <v>0</v>
      </c>
      <c r="AB186" s="17">
        <f t="shared" si="244"/>
        <v>0</v>
      </c>
      <c r="AC186" s="17">
        <f t="shared" si="245"/>
        <v>0</v>
      </c>
      <c r="AD186" s="17">
        <f t="shared" si="246"/>
        <v>0</v>
      </c>
      <c r="AE186" s="17">
        <f t="shared" si="247"/>
        <v>0</v>
      </c>
      <c r="AF186" s="17">
        <f t="shared" si="248"/>
        <v>0</v>
      </c>
      <c r="AG186" s="17">
        <f t="shared" si="249"/>
        <v>0</v>
      </c>
      <c r="AH186" s="17">
        <f t="shared" si="250"/>
        <v>0</v>
      </c>
      <c r="AI186" s="14" t="s">
        <v>196</v>
      </c>
      <c r="AJ186" s="17">
        <f t="shared" si="251"/>
        <v>0</v>
      </c>
      <c r="AK186" s="17">
        <f t="shared" si="252"/>
        <v>0</v>
      </c>
      <c r="AL186" s="17">
        <f t="shared" si="253"/>
        <v>0</v>
      </c>
      <c r="AN186" s="17">
        <v>12</v>
      </c>
      <c r="AO186" s="17">
        <f>H186*0.562089185</f>
        <v>0</v>
      </c>
      <c r="AP186" s="17">
        <f>H186*(1-0.562089185)</f>
        <v>0</v>
      </c>
      <c r="AQ186" s="76" t="s">
        <v>577</v>
      </c>
      <c r="AV186" s="17">
        <f t="shared" si="254"/>
        <v>0</v>
      </c>
      <c r="AW186" s="17">
        <f t="shared" si="255"/>
        <v>0</v>
      </c>
      <c r="AX186" s="17">
        <f t="shared" si="256"/>
        <v>0</v>
      </c>
      <c r="AY186" s="76" t="s">
        <v>677</v>
      </c>
      <c r="AZ186" s="76" t="s">
        <v>729</v>
      </c>
      <c r="BA186" s="14" t="s">
        <v>721</v>
      </c>
      <c r="BC186" s="17">
        <f t="shared" si="257"/>
        <v>0</v>
      </c>
      <c r="BD186" s="17">
        <f t="shared" si="258"/>
        <v>0</v>
      </c>
      <c r="BE186" s="17">
        <v>0</v>
      </c>
      <c r="BF186" s="17">
        <f t="shared" si="259"/>
        <v>2.5200000000000001E-3</v>
      </c>
      <c r="BH186" s="17">
        <f t="shared" si="260"/>
        <v>0</v>
      </c>
      <c r="BI186" s="17">
        <f t="shared" si="261"/>
        <v>0</v>
      </c>
      <c r="BJ186" s="17">
        <f t="shared" si="262"/>
        <v>0</v>
      </c>
      <c r="BK186" s="17"/>
      <c r="BL186" s="17">
        <v>722</v>
      </c>
      <c r="BW186" s="17">
        <f t="shared" si="263"/>
        <v>12</v>
      </c>
      <c r="BX186" s="4" t="s">
        <v>203</v>
      </c>
    </row>
    <row r="187" spans="1:76" x14ac:dyDescent="0.25">
      <c r="A187" s="77"/>
      <c r="C187" s="78" t="s">
        <v>610</v>
      </c>
      <c r="D187" s="161" t="s">
        <v>687</v>
      </c>
      <c r="E187" s="162"/>
      <c r="F187" s="162"/>
      <c r="G187" s="162"/>
      <c r="H187" s="162"/>
      <c r="I187" s="162"/>
      <c r="J187" s="162"/>
      <c r="K187" s="162"/>
      <c r="L187" s="162"/>
      <c r="M187" s="162"/>
      <c r="N187" s="162"/>
      <c r="O187" s="162"/>
      <c r="P187" s="163"/>
      <c r="BX187" s="79" t="s">
        <v>687</v>
      </c>
    </row>
    <row r="188" spans="1:76" x14ac:dyDescent="0.25">
      <c r="A188" s="1" t="s">
        <v>745</v>
      </c>
      <c r="B188" s="2" t="s">
        <v>196</v>
      </c>
      <c r="C188" s="2" t="s">
        <v>141</v>
      </c>
      <c r="D188" s="83" t="s">
        <v>142</v>
      </c>
      <c r="E188" s="84"/>
      <c r="F188" s="2" t="s">
        <v>31</v>
      </c>
      <c r="G188" s="17">
        <f>'Rozpočet - vybrané sloupce'!J151</f>
        <v>22</v>
      </c>
      <c r="H188" s="17">
        <f>'Rozpočet - vybrané sloupce'!K151</f>
        <v>0</v>
      </c>
      <c r="I188" s="74">
        <v>12</v>
      </c>
      <c r="J188" s="17">
        <f t="shared" ref="J188:J211" si="264">ROUND(G188*AO188,2)</f>
        <v>0</v>
      </c>
      <c r="K188" s="17">
        <f t="shared" ref="K188:K211" si="265">ROUND(G188*AP188,2)</f>
        <v>0</v>
      </c>
      <c r="L188" s="17">
        <f t="shared" ref="L188:L211" si="266">ROUND(G188*H188,2)</f>
        <v>0</v>
      </c>
      <c r="M188" s="17">
        <f t="shared" ref="M188:M211" si="267">L188*(1+BW188/100)</f>
        <v>0</v>
      </c>
      <c r="N188" s="17">
        <v>0</v>
      </c>
      <c r="O188" s="17">
        <f t="shared" ref="O188:O211" si="268">G188*N188</f>
        <v>0</v>
      </c>
      <c r="P188" s="75" t="s">
        <v>576</v>
      </c>
      <c r="Z188" s="17">
        <f t="shared" ref="Z188:Z211" si="269">ROUND(IF(AQ188="5",BJ188,0),2)</f>
        <v>0</v>
      </c>
      <c r="AB188" s="17">
        <f t="shared" ref="AB188:AB211" si="270">ROUND(IF(AQ188="1",BH188,0),2)</f>
        <v>0</v>
      </c>
      <c r="AC188" s="17">
        <f t="shared" ref="AC188:AC211" si="271">ROUND(IF(AQ188="1",BI188,0),2)</f>
        <v>0</v>
      </c>
      <c r="AD188" s="17">
        <f t="shared" ref="AD188:AD211" si="272">ROUND(IF(AQ188="7",BH188,0),2)</f>
        <v>0</v>
      </c>
      <c r="AE188" s="17">
        <f t="shared" ref="AE188:AE211" si="273">ROUND(IF(AQ188="7",BI188,0),2)</f>
        <v>0</v>
      </c>
      <c r="AF188" s="17">
        <f t="shared" ref="AF188:AF211" si="274">ROUND(IF(AQ188="2",BH188,0),2)</f>
        <v>0</v>
      </c>
      <c r="AG188" s="17">
        <f t="shared" ref="AG188:AG211" si="275">ROUND(IF(AQ188="2",BI188,0),2)</f>
        <v>0</v>
      </c>
      <c r="AH188" s="17">
        <f t="shared" ref="AH188:AH211" si="276">ROUND(IF(AQ188="0",BJ188,0),2)</f>
        <v>0</v>
      </c>
      <c r="AI188" s="14" t="s">
        <v>196</v>
      </c>
      <c r="AJ188" s="17">
        <f t="shared" ref="AJ188:AJ211" si="277">IF(AN188=0,L188,0)</f>
        <v>0</v>
      </c>
      <c r="AK188" s="17">
        <f t="shared" ref="AK188:AK211" si="278">IF(AN188=12,L188,0)</f>
        <v>0</v>
      </c>
      <c r="AL188" s="17">
        <f t="shared" ref="AL188:AL211" si="279">IF(AN188=21,L188,0)</f>
        <v>0</v>
      </c>
      <c r="AN188" s="17">
        <v>12</v>
      </c>
      <c r="AO188" s="17">
        <f t="shared" ref="AO188:AO193" si="280">H188*1</f>
        <v>0</v>
      </c>
      <c r="AP188" s="17">
        <f t="shared" ref="AP188:AP193" si="281">H188*(1-1)</f>
        <v>0</v>
      </c>
      <c r="AQ188" s="76" t="s">
        <v>577</v>
      </c>
      <c r="AV188" s="17">
        <f t="shared" ref="AV188:AV211" si="282">ROUND(AW188+AX188,2)</f>
        <v>0</v>
      </c>
      <c r="AW188" s="17">
        <f t="shared" ref="AW188:AW211" si="283">ROUND(G188*AO188,2)</f>
        <v>0</v>
      </c>
      <c r="AX188" s="17">
        <f t="shared" ref="AX188:AX211" si="284">ROUND(G188*AP188,2)</f>
        <v>0</v>
      </c>
      <c r="AY188" s="76" t="s">
        <v>677</v>
      </c>
      <c r="AZ188" s="76" t="s">
        <v>729</v>
      </c>
      <c r="BA188" s="14" t="s">
        <v>721</v>
      </c>
      <c r="BC188" s="17">
        <f t="shared" ref="BC188:BC211" si="285">AW188+AX188</f>
        <v>0</v>
      </c>
      <c r="BD188" s="17">
        <f t="shared" ref="BD188:BD211" si="286">H188/(100-BE188)*100</f>
        <v>0</v>
      </c>
      <c r="BE188" s="17">
        <v>0</v>
      </c>
      <c r="BF188" s="17">
        <f t="shared" ref="BF188:BF211" si="287">O188</f>
        <v>0</v>
      </c>
      <c r="BH188" s="17">
        <f t="shared" ref="BH188:BH211" si="288">G188*AO188</f>
        <v>0</v>
      </c>
      <c r="BI188" s="17">
        <f t="shared" ref="BI188:BI211" si="289">G188*AP188</f>
        <v>0</v>
      </c>
      <c r="BJ188" s="17">
        <f t="shared" ref="BJ188:BJ211" si="290">G188*H188</f>
        <v>0</v>
      </c>
      <c r="BK188" s="17"/>
      <c r="BL188" s="17">
        <v>722</v>
      </c>
      <c r="BW188" s="17">
        <f t="shared" ref="BW188:BW211" si="291">I188</f>
        <v>12</v>
      </c>
      <c r="BX188" s="4" t="s">
        <v>142</v>
      </c>
    </row>
    <row r="189" spans="1:76" x14ac:dyDescent="0.25">
      <c r="A189" s="1" t="s">
        <v>746</v>
      </c>
      <c r="B189" s="2" t="s">
        <v>196</v>
      </c>
      <c r="C189" s="2" t="s">
        <v>143</v>
      </c>
      <c r="D189" s="83" t="s">
        <v>144</v>
      </c>
      <c r="E189" s="84"/>
      <c r="F189" s="2" t="s">
        <v>31</v>
      </c>
      <c r="G189" s="17">
        <f>'Rozpočet - vybrané sloupce'!J152</f>
        <v>24</v>
      </c>
      <c r="H189" s="17">
        <f>'Rozpočet - vybrané sloupce'!K152</f>
        <v>0</v>
      </c>
      <c r="I189" s="74">
        <v>12</v>
      </c>
      <c r="J189" s="17">
        <f t="shared" si="264"/>
        <v>0</v>
      </c>
      <c r="K189" s="17">
        <f t="shared" si="265"/>
        <v>0</v>
      </c>
      <c r="L189" s="17">
        <f t="shared" si="266"/>
        <v>0</v>
      </c>
      <c r="M189" s="17">
        <f t="shared" si="267"/>
        <v>0</v>
      </c>
      <c r="N189" s="17">
        <v>0</v>
      </c>
      <c r="O189" s="17">
        <f t="shared" si="268"/>
        <v>0</v>
      </c>
      <c r="P189" s="75" t="s">
        <v>576</v>
      </c>
      <c r="Z189" s="17">
        <f t="shared" si="269"/>
        <v>0</v>
      </c>
      <c r="AB189" s="17">
        <f t="shared" si="270"/>
        <v>0</v>
      </c>
      <c r="AC189" s="17">
        <f t="shared" si="271"/>
        <v>0</v>
      </c>
      <c r="AD189" s="17">
        <f t="shared" si="272"/>
        <v>0</v>
      </c>
      <c r="AE189" s="17">
        <f t="shared" si="273"/>
        <v>0</v>
      </c>
      <c r="AF189" s="17">
        <f t="shared" si="274"/>
        <v>0</v>
      </c>
      <c r="AG189" s="17">
        <f t="shared" si="275"/>
        <v>0</v>
      </c>
      <c r="AH189" s="17">
        <f t="shared" si="276"/>
        <v>0</v>
      </c>
      <c r="AI189" s="14" t="s">
        <v>196</v>
      </c>
      <c r="AJ189" s="17">
        <f t="shared" si="277"/>
        <v>0</v>
      </c>
      <c r="AK189" s="17">
        <f t="shared" si="278"/>
        <v>0</v>
      </c>
      <c r="AL189" s="17">
        <f t="shared" si="279"/>
        <v>0</v>
      </c>
      <c r="AN189" s="17">
        <v>12</v>
      </c>
      <c r="AO189" s="17">
        <f t="shared" si="280"/>
        <v>0</v>
      </c>
      <c r="AP189" s="17">
        <f t="shared" si="281"/>
        <v>0</v>
      </c>
      <c r="AQ189" s="76" t="s">
        <v>577</v>
      </c>
      <c r="AV189" s="17">
        <f t="shared" si="282"/>
        <v>0</v>
      </c>
      <c r="AW189" s="17">
        <f t="shared" si="283"/>
        <v>0</v>
      </c>
      <c r="AX189" s="17">
        <f t="shared" si="284"/>
        <v>0</v>
      </c>
      <c r="AY189" s="76" t="s">
        <v>677</v>
      </c>
      <c r="AZ189" s="76" t="s">
        <v>729</v>
      </c>
      <c r="BA189" s="14" t="s">
        <v>721</v>
      </c>
      <c r="BC189" s="17">
        <f t="shared" si="285"/>
        <v>0</v>
      </c>
      <c r="BD189" s="17">
        <f t="shared" si="286"/>
        <v>0</v>
      </c>
      <c r="BE189" s="17">
        <v>0</v>
      </c>
      <c r="BF189" s="17">
        <f t="shared" si="287"/>
        <v>0</v>
      </c>
      <c r="BH189" s="17">
        <f t="shared" si="288"/>
        <v>0</v>
      </c>
      <c r="BI189" s="17">
        <f t="shared" si="289"/>
        <v>0</v>
      </c>
      <c r="BJ189" s="17">
        <f t="shared" si="290"/>
        <v>0</v>
      </c>
      <c r="BK189" s="17"/>
      <c r="BL189" s="17">
        <v>722</v>
      </c>
      <c r="BW189" s="17">
        <f t="shared" si="291"/>
        <v>12</v>
      </c>
      <c r="BX189" s="4" t="s">
        <v>144</v>
      </c>
    </row>
    <row r="190" spans="1:76" x14ac:dyDescent="0.25">
      <c r="A190" s="1" t="s">
        <v>747</v>
      </c>
      <c r="B190" s="2" t="s">
        <v>196</v>
      </c>
      <c r="C190" s="2" t="s">
        <v>145</v>
      </c>
      <c r="D190" s="83" t="s">
        <v>146</v>
      </c>
      <c r="E190" s="84"/>
      <c r="F190" s="2" t="s">
        <v>35</v>
      </c>
      <c r="G190" s="17">
        <f>'Rozpočet - vybrané sloupce'!J153</f>
        <v>30</v>
      </c>
      <c r="H190" s="17">
        <f>'Rozpočet - vybrané sloupce'!K153</f>
        <v>0</v>
      </c>
      <c r="I190" s="74">
        <v>12</v>
      </c>
      <c r="J190" s="17">
        <f t="shared" si="264"/>
        <v>0</v>
      </c>
      <c r="K190" s="17">
        <f t="shared" si="265"/>
        <v>0</v>
      </c>
      <c r="L190" s="17">
        <f t="shared" si="266"/>
        <v>0</v>
      </c>
      <c r="M190" s="17">
        <f t="shared" si="267"/>
        <v>0</v>
      </c>
      <c r="N190" s="17">
        <v>0</v>
      </c>
      <c r="O190" s="17">
        <f t="shared" si="268"/>
        <v>0</v>
      </c>
      <c r="P190" s="75" t="s">
        <v>576</v>
      </c>
      <c r="Z190" s="17">
        <f t="shared" si="269"/>
        <v>0</v>
      </c>
      <c r="AB190" s="17">
        <f t="shared" si="270"/>
        <v>0</v>
      </c>
      <c r="AC190" s="17">
        <f t="shared" si="271"/>
        <v>0</v>
      </c>
      <c r="AD190" s="17">
        <f t="shared" si="272"/>
        <v>0</v>
      </c>
      <c r="AE190" s="17">
        <f t="shared" si="273"/>
        <v>0</v>
      </c>
      <c r="AF190" s="17">
        <f t="shared" si="274"/>
        <v>0</v>
      </c>
      <c r="AG190" s="17">
        <f t="shared" si="275"/>
        <v>0</v>
      </c>
      <c r="AH190" s="17">
        <f t="shared" si="276"/>
        <v>0</v>
      </c>
      <c r="AI190" s="14" t="s">
        <v>196</v>
      </c>
      <c r="AJ190" s="17">
        <f t="shared" si="277"/>
        <v>0</v>
      </c>
      <c r="AK190" s="17">
        <f t="shared" si="278"/>
        <v>0</v>
      </c>
      <c r="AL190" s="17">
        <f t="shared" si="279"/>
        <v>0</v>
      </c>
      <c r="AN190" s="17">
        <v>12</v>
      </c>
      <c r="AO190" s="17">
        <f t="shared" si="280"/>
        <v>0</v>
      </c>
      <c r="AP190" s="17">
        <f t="shared" si="281"/>
        <v>0</v>
      </c>
      <c r="AQ190" s="76" t="s">
        <v>577</v>
      </c>
      <c r="AV190" s="17">
        <f t="shared" si="282"/>
        <v>0</v>
      </c>
      <c r="AW190" s="17">
        <f t="shared" si="283"/>
        <v>0</v>
      </c>
      <c r="AX190" s="17">
        <f t="shared" si="284"/>
        <v>0</v>
      </c>
      <c r="AY190" s="76" t="s">
        <v>677</v>
      </c>
      <c r="AZ190" s="76" t="s">
        <v>729</v>
      </c>
      <c r="BA190" s="14" t="s">
        <v>721</v>
      </c>
      <c r="BC190" s="17">
        <f t="shared" si="285"/>
        <v>0</v>
      </c>
      <c r="BD190" s="17">
        <f t="shared" si="286"/>
        <v>0</v>
      </c>
      <c r="BE190" s="17">
        <v>0</v>
      </c>
      <c r="BF190" s="17">
        <f t="shared" si="287"/>
        <v>0</v>
      </c>
      <c r="BH190" s="17">
        <f t="shared" si="288"/>
        <v>0</v>
      </c>
      <c r="BI190" s="17">
        <f t="shared" si="289"/>
        <v>0</v>
      </c>
      <c r="BJ190" s="17">
        <f t="shared" si="290"/>
        <v>0</v>
      </c>
      <c r="BK190" s="17"/>
      <c r="BL190" s="17">
        <v>722</v>
      </c>
      <c r="BW190" s="17">
        <f t="shared" si="291"/>
        <v>12</v>
      </c>
      <c r="BX190" s="4" t="s">
        <v>146</v>
      </c>
    </row>
    <row r="191" spans="1:76" x14ac:dyDescent="0.25">
      <c r="A191" s="1" t="s">
        <v>748</v>
      </c>
      <c r="B191" s="2" t="s">
        <v>196</v>
      </c>
      <c r="C191" s="2" t="s">
        <v>204</v>
      </c>
      <c r="D191" s="83" t="s">
        <v>205</v>
      </c>
      <c r="E191" s="84"/>
      <c r="F191" s="2" t="s">
        <v>35</v>
      </c>
      <c r="G191" s="17">
        <f>'Rozpočet - vybrané sloupce'!J154</f>
        <v>2</v>
      </c>
      <c r="H191" s="17">
        <f>'Rozpočet - vybrané sloupce'!K154</f>
        <v>0</v>
      </c>
      <c r="I191" s="74">
        <v>12</v>
      </c>
      <c r="J191" s="17">
        <f t="shared" si="264"/>
        <v>0</v>
      </c>
      <c r="K191" s="17">
        <f t="shared" si="265"/>
        <v>0</v>
      </c>
      <c r="L191" s="17">
        <f t="shared" si="266"/>
        <v>0</v>
      </c>
      <c r="M191" s="17">
        <f t="shared" si="267"/>
        <v>0</v>
      </c>
      <c r="N191" s="17">
        <v>0</v>
      </c>
      <c r="O191" s="17">
        <f t="shared" si="268"/>
        <v>0</v>
      </c>
      <c r="P191" s="75" t="s">
        <v>576</v>
      </c>
      <c r="Z191" s="17">
        <f t="shared" si="269"/>
        <v>0</v>
      </c>
      <c r="AB191" s="17">
        <f t="shared" si="270"/>
        <v>0</v>
      </c>
      <c r="AC191" s="17">
        <f t="shared" si="271"/>
        <v>0</v>
      </c>
      <c r="AD191" s="17">
        <f t="shared" si="272"/>
        <v>0</v>
      </c>
      <c r="AE191" s="17">
        <f t="shared" si="273"/>
        <v>0</v>
      </c>
      <c r="AF191" s="17">
        <f t="shared" si="274"/>
        <v>0</v>
      </c>
      <c r="AG191" s="17">
        <f t="shared" si="275"/>
        <v>0</v>
      </c>
      <c r="AH191" s="17">
        <f t="shared" si="276"/>
        <v>0</v>
      </c>
      <c r="AI191" s="14" t="s">
        <v>196</v>
      </c>
      <c r="AJ191" s="17">
        <f t="shared" si="277"/>
        <v>0</v>
      </c>
      <c r="AK191" s="17">
        <f t="shared" si="278"/>
        <v>0</v>
      </c>
      <c r="AL191" s="17">
        <f t="shared" si="279"/>
        <v>0</v>
      </c>
      <c r="AN191" s="17">
        <v>12</v>
      </c>
      <c r="AO191" s="17">
        <f t="shared" si="280"/>
        <v>0</v>
      </c>
      <c r="AP191" s="17">
        <f t="shared" si="281"/>
        <v>0</v>
      </c>
      <c r="AQ191" s="76" t="s">
        <v>577</v>
      </c>
      <c r="AV191" s="17">
        <f t="shared" si="282"/>
        <v>0</v>
      </c>
      <c r="AW191" s="17">
        <f t="shared" si="283"/>
        <v>0</v>
      </c>
      <c r="AX191" s="17">
        <f t="shared" si="284"/>
        <v>0</v>
      </c>
      <c r="AY191" s="76" t="s">
        <v>677</v>
      </c>
      <c r="AZ191" s="76" t="s">
        <v>729</v>
      </c>
      <c r="BA191" s="14" t="s">
        <v>721</v>
      </c>
      <c r="BC191" s="17">
        <f t="shared" si="285"/>
        <v>0</v>
      </c>
      <c r="BD191" s="17">
        <f t="shared" si="286"/>
        <v>0</v>
      </c>
      <c r="BE191" s="17">
        <v>0</v>
      </c>
      <c r="BF191" s="17">
        <f t="shared" si="287"/>
        <v>0</v>
      </c>
      <c r="BH191" s="17">
        <f t="shared" si="288"/>
        <v>0</v>
      </c>
      <c r="BI191" s="17">
        <f t="shared" si="289"/>
        <v>0</v>
      </c>
      <c r="BJ191" s="17">
        <f t="shared" si="290"/>
        <v>0</v>
      </c>
      <c r="BK191" s="17"/>
      <c r="BL191" s="17">
        <v>722</v>
      </c>
      <c r="BW191" s="17">
        <f t="shared" si="291"/>
        <v>12</v>
      </c>
      <c r="BX191" s="4" t="s">
        <v>205</v>
      </c>
    </row>
    <row r="192" spans="1:76" x14ac:dyDescent="0.25">
      <c r="A192" s="1" t="s">
        <v>749</v>
      </c>
      <c r="B192" s="2" t="s">
        <v>196</v>
      </c>
      <c r="C192" s="2" t="s">
        <v>149</v>
      </c>
      <c r="D192" s="83" t="s">
        <v>150</v>
      </c>
      <c r="E192" s="84"/>
      <c r="F192" s="2" t="s">
        <v>35</v>
      </c>
      <c r="G192" s="17">
        <f>'Rozpočet - vybrané sloupce'!J155</f>
        <v>25</v>
      </c>
      <c r="H192" s="17">
        <f>'Rozpočet - vybrané sloupce'!K155</f>
        <v>0</v>
      </c>
      <c r="I192" s="74">
        <v>12</v>
      </c>
      <c r="J192" s="17">
        <f t="shared" si="264"/>
        <v>0</v>
      </c>
      <c r="K192" s="17">
        <f t="shared" si="265"/>
        <v>0</v>
      </c>
      <c r="L192" s="17">
        <f t="shared" si="266"/>
        <v>0</v>
      </c>
      <c r="M192" s="17">
        <f t="shared" si="267"/>
        <v>0</v>
      </c>
      <c r="N192" s="17">
        <v>0</v>
      </c>
      <c r="O192" s="17">
        <f t="shared" si="268"/>
        <v>0</v>
      </c>
      <c r="P192" s="75" t="s">
        <v>576</v>
      </c>
      <c r="Z192" s="17">
        <f t="shared" si="269"/>
        <v>0</v>
      </c>
      <c r="AB192" s="17">
        <f t="shared" si="270"/>
        <v>0</v>
      </c>
      <c r="AC192" s="17">
        <f t="shared" si="271"/>
        <v>0</v>
      </c>
      <c r="AD192" s="17">
        <f t="shared" si="272"/>
        <v>0</v>
      </c>
      <c r="AE192" s="17">
        <f t="shared" si="273"/>
        <v>0</v>
      </c>
      <c r="AF192" s="17">
        <f t="shared" si="274"/>
        <v>0</v>
      </c>
      <c r="AG192" s="17">
        <f t="shared" si="275"/>
        <v>0</v>
      </c>
      <c r="AH192" s="17">
        <f t="shared" si="276"/>
        <v>0</v>
      </c>
      <c r="AI192" s="14" t="s">
        <v>196</v>
      </c>
      <c r="AJ192" s="17">
        <f t="shared" si="277"/>
        <v>0</v>
      </c>
      <c r="AK192" s="17">
        <f t="shared" si="278"/>
        <v>0</v>
      </c>
      <c r="AL192" s="17">
        <f t="shared" si="279"/>
        <v>0</v>
      </c>
      <c r="AN192" s="17">
        <v>12</v>
      </c>
      <c r="AO192" s="17">
        <f t="shared" si="280"/>
        <v>0</v>
      </c>
      <c r="AP192" s="17">
        <f t="shared" si="281"/>
        <v>0</v>
      </c>
      <c r="AQ192" s="76" t="s">
        <v>577</v>
      </c>
      <c r="AV192" s="17">
        <f t="shared" si="282"/>
        <v>0</v>
      </c>
      <c r="AW192" s="17">
        <f t="shared" si="283"/>
        <v>0</v>
      </c>
      <c r="AX192" s="17">
        <f t="shared" si="284"/>
        <v>0</v>
      </c>
      <c r="AY192" s="76" t="s">
        <v>677</v>
      </c>
      <c r="AZ192" s="76" t="s">
        <v>729</v>
      </c>
      <c r="BA192" s="14" t="s">
        <v>721</v>
      </c>
      <c r="BC192" s="17">
        <f t="shared" si="285"/>
        <v>0</v>
      </c>
      <c r="BD192" s="17">
        <f t="shared" si="286"/>
        <v>0</v>
      </c>
      <c r="BE192" s="17">
        <v>0</v>
      </c>
      <c r="BF192" s="17">
        <f t="shared" si="287"/>
        <v>0</v>
      </c>
      <c r="BH192" s="17">
        <f t="shared" si="288"/>
        <v>0</v>
      </c>
      <c r="BI192" s="17">
        <f t="shared" si="289"/>
        <v>0</v>
      </c>
      <c r="BJ192" s="17">
        <f t="shared" si="290"/>
        <v>0</v>
      </c>
      <c r="BK192" s="17"/>
      <c r="BL192" s="17">
        <v>722</v>
      </c>
      <c r="BW192" s="17">
        <f t="shared" si="291"/>
        <v>12</v>
      </c>
      <c r="BX192" s="4" t="s">
        <v>150</v>
      </c>
    </row>
    <row r="193" spans="1:76" x14ac:dyDescent="0.25">
      <c r="A193" s="1" t="s">
        <v>750</v>
      </c>
      <c r="B193" s="2" t="s">
        <v>196</v>
      </c>
      <c r="C193" s="2" t="s">
        <v>151</v>
      </c>
      <c r="D193" s="83" t="s">
        <v>152</v>
      </c>
      <c r="E193" s="84"/>
      <c r="F193" s="2" t="s">
        <v>35</v>
      </c>
      <c r="G193" s="17">
        <f>'Rozpočet - vybrané sloupce'!J156</f>
        <v>1</v>
      </c>
      <c r="H193" s="17">
        <f>'Rozpočet - vybrané sloupce'!K156</f>
        <v>0</v>
      </c>
      <c r="I193" s="74">
        <v>12</v>
      </c>
      <c r="J193" s="17">
        <f t="shared" si="264"/>
        <v>0</v>
      </c>
      <c r="K193" s="17">
        <f t="shared" si="265"/>
        <v>0</v>
      </c>
      <c r="L193" s="17">
        <f t="shared" si="266"/>
        <v>0</v>
      </c>
      <c r="M193" s="17">
        <f t="shared" si="267"/>
        <v>0</v>
      </c>
      <c r="N193" s="17">
        <v>0</v>
      </c>
      <c r="O193" s="17">
        <f t="shared" si="268"/>
        <v>0</v>
      </c>
      <c r="P193" s="75" t="s">
        <v>576</v>
      </c>
      <c r="Z193" s="17">
        <f t="shared" si="269"/>
        <v>0</v>
      </c>
      <c r="AB193" s="17">
        <f t="shared" si="270"/>
        <v>0</v>
      </c>
      <c r="AC193" s="17">
        <f t="shared" si="271"/>
        <v>0</v>
      </c>
      <c r="AD193" s="17">
        <f t="shared" si="272"/>
        <v>0</v>
      </c>
      <c r="AE193" s="17">
        <f t="shared" si="273"/>
        <v>0</v>
      </c>
      <c r="AF193" s="17">
        <f t="shared" si="274"/>
        <v>0</v>
      </c>
      <c r="AG193" s="17">
        <f t="shared" si="275"/>
        <v>0</v>
      </c>
      <c r="AH193" s="17">
        <f t="shared" si="276"/>
        <v>0</v>
      </c>
      <c r="AI193" s="14" t="s">
        <v>196</v>
      </c>
      <c r="AJ193" s="17">
        <f t="shared" si="277"/>
        <v>0</v>
      </c>
      <c r="AK193" s="17">
        <f t="shared" si="278"/>
        <v>0</v>
      </c>
      <c r="AL193" s="17">
        <f t="shared" si="279"/>
        <v>0</v>
      </c>
      <c r="AN193" s="17">
        <v>12</v>
      </c>
      <c r="AO193" s="17">
        <f t="shared" si="280"/>
        <v>0</v>
      </c>
      <c r="AP193" s="17">
        <f t="shared" si="281"/>
        <v>0</v>
      </c>
      <c r="AQ193" s="76" t="s">
        <v>577</v>
      </c>
      <c r="AV193" s="17">
        <f t="shared" si="282"/>
        <v>0</v>
      </c>
      <c r="AW193" s="17">
        <f t="shared" si="283"/>
        <v>0</v>
      </c>
      <c r="AX193" s="17">
        <f t="shared" si="284"/>
        <v>0</v>
      </c>
      <c r="AY193" s="76" t="s">
        <v>677</v>
      </c>
      <c r="AZ193" s="76" t="s">
        <v>729</v>
      </c>
      <c r="BA193" s="14" t="s">
        <v>721</v>
      </c>
      <c r="BC193" s="17">
        <f t="shared" si="285"/>
        <v>0</v>
      </c>
      <c r="BD193" s="17">
        <f t="shared" si="286"/>
        <v>0</v>
      </c>
      <c r="BE193" s="17">
        <v>0</v>
      </c>
      <c r="BF193" s="17">
        <f t="shared" si="287"/>
        <v>0</v>
      </c>
      <c r="BH193" s="17">
        <f t="shared" si="288"/>
        <v>0</v>
      </c>
      <c r="BI193" s="17">
        <f t="shared" si="289"/>
        <v>0</v>
      </c>
      <c r="BJ193" s="17">
        <f t="shared" si="290"/>
        <v>0</v>
      </c>
      <c r="BK193" s="17"/>
      <c r="BL193" s="17">
        <v>722</v>
      </c>
      <c r="BW193" s="17">
        <f t="shared" si="291"/>
        <v>12</v>
      </c>
      <c r="BX193" s="4" t="s">
        <v>152</v>
      </c>
    </row>
    <row r="194" spans="1:76" x14ac:dyDescent="0.25">
      <c r="A194" s="1" t="s">
        <v>751</v>
      </c>
      <c r="B194" s="2" t="s">
        <v>196</v>
      </c>
      <c r="C194" s="2" t="s">
        <v>153</v>
      </c>
      <c r="D194" s="83" t="s">
        <v>154</v>
      </c>
      <c r="E194" s="84"/>
      <c r="F194" s="2" t="s">
        <v>35</v>
      </c>
      <c r="G194" s="17">
        <f>'Rozpočet - vybrané sloupce'!J157</f>
        <v>6</v>
      </c>
      <c r="H194" s="17">
        <f>'Rozpočet - vybrané sloupce'!K157</f>
        <v>0</v>
      </c>
      <c r="I194" s="74">
        <v>12</v>
      </c>
      <c r="J194" s="17">
        <f t="shared" si="264"/>
        <v>0</v>
      </c>
      <c r="K194" s="17">
        <f t="shared" si="265"/>
        <v>0</v>
      </c>
      <c r="L194" s="17">
        <f t="shared" si="266"/>
        <v>0</v>
      </c>
      <c r="M194" s="17">
        <f t="shared" si="267"/>
        <v>0</v>
      </c>
      <c r="N194" s="17">
        <v>2.4000000000000001E-4</v>
      </c>
      <c r="O194" s="17">
        <f t="shared" si="268"/>
        <v>1.4400000000000001E-3</v>
      </c>
      <c r="P194" s="75" t="s">
        <v>576</v>
      </c>
      <c r="Z194" s="17">
        <f t="shared" si="269"/>
        <v>0</v>
      </c>
      <c r="AB194" s="17">
        <f t="shared" si="270"/>
        <v>0</v>
      </c>
      <c r="AC194" s="17">
        <f t="shared" si="271"/>
        <v>0</v>
      </c>
      <c r="AD194" s="17">
        <f t="shared" si="272"/>
        <v>0</v>
      </c>
      <c r="AE194" s="17">
        <f t="shared" si="273"/>
        <v>0</v>
      </c>
      <c r="AF194" s="17">
        <f t="shared" si="274"/>
        <v>0</v>
      </c>
      <c r="AG194" s="17">
        <f t="shared" si="275"/>
        <v>0</v>
      </c>
      <c r="AH194" s="17">
        <f t="shared" si="276"/>
        <v>0</v>
      </c>
      <c r="AI194" s="14" t="s">
        <v>196</v>
      </c>
      <c r="AJ194" s="17">
        <f t="shared" si="277"/>
        <v>0</v>
      </c>
      <c r="AK194" s="17">
        <f t="shared" si="278"/>
        <v>0</v>
      </c>
      <c r="AL194" s="17">
        <f t="shared" si="279"/>
        <v>0</v>
      </c>
      <c r="AN194" s="17">
        <v>12</v>
      </c>
      <c r="AO194" s="17">
        <f>H194*0.728238342</f>
        <v>0</v>
      </c>
      <c r="AP194" s="17">
        <f>H194*(1-0.728238342)</f>
        <v>0</v>
      </c>
      <c r="AQ194" s="76" t="s">
        <v>577</v>
      </c>
      <c r="AV194" s="17">
        <f t="shared" si="282"/>
        <v>0</v>
      </c>
      <c r="AW194" s="17">
        <f t="shared" si="283"/>
        <v>0</v>
      </c>
      <c r="AX194" s="17">
        <f t="shared" si="284"/>
        <v>0</v>
      </c>
      <c r="AY194" s="76" t="s">
        <v>677</v>
      </c>
      <c r="AZ194" s="76" t="s">
        <v>729</v>
      </c>
      <c r="BA194" s="14" t="s">
        <v>721</v>
      </c>
      <c r="BC194" s="17">
        <f t="shared" si="285"/>
        <v>0</v>
      </c>
      <c r="BD194" s="17">
        <f t="shared" si="286"/>
        <v>0</v>
      </c>
      <c r="BE194" s="17">
        <v>0</v>
      </c>
      <c r="BF194" s="17">
        <f t="shared" si="287"/>
        <v>1.4400000000000001E-3</v>
      </c>
      <c r="BH194" s="17">
        <f t="shared" si="288"/>
        <v>0</v>
      </c>
      <c r="BI194" s="17">
        <f t="shared" si="289"/>
        <v>0</v>
      </c>
      <c r="BJ194" s="17">
        <f t="shared" si="290"/>
        <v>0</v>
      </c>
      <c r="BK194" s="17"/>
      <c r="BL194" s="17">
        <v>722</v>
      </c>
      <c r="BW194" s="17">
        <f t="shared" si="291"/>
        <v>12</v>
      </c>
      <c r="BX194" s="4" t="s">
        <v>154</v>
      </c>
    </row>
    <row r="195" spans="1:76" x14ac:dyDescent="0.25">
      <c r="A195" s="1" t="s">
        <v>752</v>
      </c>
      <c r="B195" s="2" t="s">
        <v>196</v>
      </c>
      <c r="C195" s="2" t="s">
        <v>155</v>
      </c>
      <c r="D195" s="83" t="s">
        <v>156</v>
      </c>
      <c r="E195" s="84"/>
      <c r="F195" s="2" t="s">
        <v>35</v>
      </c>
      <c r="G195" s="17">
        <f>'Rozpočet - vybrané sloupce'!J158</f>
        <v>1</v>
      </c>
      <c r="H195" s="17">
        <f>'Rozpočet - vybrané sloupce'!K158</f>
        <v>0</v>
      </c>
      <c r="I195" s="74">
        <v>12</v>
      </c>
      <c r="J195" s="17">
        <f t="shared" si="264"/>
        <v>0</v>
      </c>
      <c r="K195" s="17">
        <f t="shared" si="265"/>
        <v>0</v>
      </c>
      <c r="L195" s="17">
        <f t="shared" si="266"/>
        <v>0</v>
      </c>
      <c r="M195" s="17">
        <f t="shared" si="267"/>
        <v>0</v>
      </c>
      <c r="N195" s="17">
        <v>3.8000000000000002E-4</v>
      </c>
      <c r="O195" s="17">
        <f t="shared" si="268"/>
        <v>3.8000000000000002E-4</v>
      </c>
      <c r="P195" s="75" t="s">
        <v>576</v>
      </c>
      <c r="Z195" s="17">
        <f t="shared" si="269"/>
        <v>0</v>
      </c>
      <c r="AB195" s="17">
        <f t="shared" si="270"/>
        <v>0</v>
      </c>
      <c r="AC195" s="17">
        <f t="shared" si="271"/>
        <v>0</v>
      </c>
      <c r="AD195" s="17">
        <f t="shared" si="272"/>
        <v>0</v>
      </c>
      <c r="AE195" s="17">
        <f t="shared" si="273"/>
        <v>0</v>
      </c>
      <c r="AF195" s="17">
        <f t="shared" si="274"/>
        <v>0</v>
      </c>
      <c r="AG195" s="17">
        <f t="shared" si="275"/>
        <v>0</v>
      </c>
      <c r="AH195" s="17">
        <f t="shared" si="276"/>
        <v>0</v>
      </c>
      <c r="AI195" s="14" t="s">
        <v>196</v>
      </c>
      <c r="AJ195" s="17">
        <f t="shared" si="277"/>
        <v>0</v>
      </c>
      <c r="AK195" s="17">
        <f t="shared" si="278"/>
        <v>0</v>
      </c>
      <c r="AL195" s="17">
        <f t="shared" si="279"/>
        <v>0</v>
      </c>
      <c r="AN195" s="17">
        <v>12</v>
      </c>
      <c r="AO195" s="17">
        <f>H195*0.758069853</f>
        <v>0</v>
      </c>
      <c r="AP195" s="17">
        <f>H195*(1-0.758069853)</f>
        <v>0</v>
      </c>
      <c r="AQ195" s="76" t="s">
        <v>577</v>
      </c>
      <c r="AV195" s="17">
        <f t="shared" si="282"/>
        <v>0</v>
      </c>
      <c r="AW195" s="17">
        <f t="shared" si="283"/>
        <v>0</v>
      </c>
      <c r="AX195" s="17">
        <f t="shared" si="284"/>
        <v>0</v>
      </c>
      <c r="AY195" s="76" t="s">
        <v>677</v>
      </c>
      <c r="AZ195" s="76" t="s">
        <v>729</v>
      </c>
      <c r="BA195" s="14" t="s">
        <v>721</v>
      </c>
      <c r="BC195" s="17">
        <f t="shared" si="285"/>
        <v>0</v>
      </c>
      <c r="BD195" s="17">
        <f t="shared" si="286"/>
        <v>0</v>
      </c>
      <c r="BE195" s="17">
        <v>0</v>
      </c>
      <c r="BF195" s="17">
        <f t="shared" si="287"/>
        <v>3.8000000000000002E-4</v>
      </c>
      <c r="BH195" s="17">
        <f t="shared" si="288"/>
        <v>0</v>
      </c>
      <c r="BI195" s="17">
        <f t="shared" si="289"/>
        <v>0</v>
      </c>
      <c r="BJ195" s="17">
        <f t="shared" si="290"/>
        <v>0</v>
      </c>
      <c r="BK195" s="17"/>
      <c r="BL195" s="17">
        <v>722</v>
      </c>
      <c r="BW195" s="17">
        <f t="shared" si="291"/>
        <v>12</v>
      </c>
      <c r="BX195" s="4" t="s">
        <v>156</v>
      </c>
    </row>
    <row r="196" spans="1:76" x14ac:dyDescent="0.25">
      <c r="A196" s="1" t="s">
        <v>753</v>
      </c>
      <c r="B196" s="2" t="s">
        <v>196</v>
      </c>
      <c r="C196" s="2" t="s">
        <v>157</v>
      </c>
      <c r="D196" s="83" t="s">
        <v>158</v>
      </c>
      <c r="E196" s="84"/>
      <c r="F196" s="2" t="s">
        <v>35</v>
      </c>
      <c r="G196" s="17">
        <f>'Rozpočet - vybrané sloupce'!J159</f>
        <v>13</v>
      </c>
      <c r="H196" s="17">
        <f>'Rozpočet - vybrané sloupce'!K159</f>
        <v>0</v>
      </c>
      <c r="I196" s="74">
        <v>12</v>
      </c>
      <c r="J196" s="17">
        <f t="shared" si="264"/>
        <v>0</v>
      </c>
      <c r="K196" s="17">
        <f t="shared" si="265"/>
        <v>0</v>
      </c>
      <c r="L196" s="17">
        <f t="shared" si="266"/>
        <v>0</v>
      </c>
      <c r="M196" s="17">
        <f t="shared" si="267"/>
        <v>0</v>
      </c>
      <c r="N196" s="17">
        <v>6.0999999999999997E-4</v>
      </c>
      <c r="O196" s="17">
        <f t="shared" si="268"/>
        <v>7.9299999999999995E-3</v>
      </c>
      <c r="P196" s="75" t="s">
        <v>576</v>
      </c>
      <c r="Z196" s="17">
        <f t="shared" si="269"/>
        <v>0</v>
      </c>
      <c r="AB196" s="17">
        <f t="shared" si="270"/>
        <v>0</v>
      </c>
      <c r="AC196" s="17">
        <f t="shared" si="271"/>
        <v>0</v>
      </c>
      <c r="AD196" s="17">
        <f t="shared" si="272"/>
        <v>0</v>
      </c>
      <c r="AE196" s="17">
        <f t="shared" si="273"/>
        <v>0</v>
      </c>
      <c r="AF196" s="17">
        <f t="shared" si="274"/>
        <v>0</v>
      </c>
      <c r="AG196" s="17">
        <f t="shared" si="275"/>
        <v>0</v>
      </c>
      <c r="AH196" s="17">
        <f t="shared" si="276"/>
        <v>0</v>
      </c>
      <c r="AI196" s="14" t="s">
        <v>196</v>
      </c>
      <c r="AJ196" s="17">
        <f t="shared" si="277"/>
        <v>0</v>
      </c>
      <c r="AK196" s="17">
        <f t="shared" si="278"/>
        <v>0</v>
      </c>
      <c r="AL196" s="17">
        <f t="shared" si="279"/>
        <v>0</v>
      </c>
      <c r="AN196" s="17">
        <v>12</v>
      </c>
      <c r="AO196" s="17">
        <f>H196*0.817316456</f>
        <v>0</v>
      </c>
      <c r="AP196" s="17">
        <f>H196*(1-0.817316456)</f>
        <v>0</v>
      </c>
      <c r="AQ196" s="76" t="s">
        <v>577</v>
      </c>
      <c r="AV196" s="17">
        <f t="shared" si="282"/>
        <v>0</v>
      </c>
      <c r="AW196" s="17">
        <f t="shared" si="283"/>
        <v>0</v>
      </c>
      <c r="AX196" s="17">
        <f t="shared" si="284"/>
        <v>0</v>
      </c>
      <c r="AY196" s="76" t="s">
        <v>677</v>
      </c>
      <c r="AZ196" s="76" t="s">
        <v>729</v>
      </c>
      <c r="BA196" s="14" t="s">
        <v>721</v>
      </c>
      <c r="BC196" s="17">
        <f t="shared" si="285"/>
        <v>0</v>
      </c>
      <c r="BD196" s="17">
        <f t="shared" si="286"/>
        <v>0</v>
      </c>
      <c r="BE196" s="17">
        <v>0</v>
      </c>
      <c r="BF196" s="17">
        <f t="shared" si="287"/>
        <v>7.9299999999999995E-3</v>
      </c>
      <c r="BH196" s="17">
        <f t="shared" si="288"/>
        <v>0</v>
      </c>
      <c r="BI196" s="17">
        <f t="shared" si="289"/>
        <v>0</v>
      </c>
      <c r="BJ196" s="17">
        <f t="shared" si="290"/>
        <v>0</v>
      </c>
      <c r="BK196" s="17"/>
      <c r="BL196" s="17">
        <v>722</v>
      </c>
      <c r="BW196" s="17">
        <f t="shared" si="291"/>
        <v>12</v>
      </c>
      <c r="BX196" s="4" t="s">
        <v>158</v>
      </c>
    </row>
    <row r="197" spans="1:76" x14ac:dyDescent="0.25">
      <c r="A197" s="1" t="s">
        <v>754</v>
      </c>
      <c r="B197" s="2" t="s">
        <v>196</v>
      </c>
      <c r="C197" s="2" t="s">
        <v>206</v>
      </c>
      <c r="D197" s="83" t="s">
        <v>207</v>
      </c>
      <c r="E197" s="84"/>
      <c r="F197" s="2" t="s">
        <v>35</v>
      </c>
      <c r="G197" s="17">
        <f>'Rozpočet - vybrané sloupce'!J160</f>
        <v>1</v>
      </c>
      <c r="H197" s="17">
        <f>'Rozpočet - vybrané sloupce'!K160</f>
        <v>0</v>
      </c>
      <c r="I197" s="74">
        <v>12</v>
      </c>
      <c r="J197" s="17">
        <f t="shared" si="264"/>
        <v>0</v>
      </c>
      <c r="K197" s="17">
        <f t="shared" si="265"/>
        <v>0</v>
      </c>
      <c r="L197" s="17">
        <f t="shared" si="266"/>
        <v>0</v>
      </c>
      <c r="M197" s="17">
        <f t="shared" si="267"/>
        <v>0</v>
      </c>
      <c r="N197" s="17">
        <v>8.8999999999999995E-4</v>
      </c>
      <c r="O197" s="17">
        <f t="shared" si="268"/>
        <v>8.8999999999999995E-4</v>
      </c>
      <c r="P197" s="75" t="s">
        <v>576</v>
      </c>
      <c r="Z197" s="17">
        <f t="shared" si="269"/>
        <v>0</v>
      </c>
      <c r="AB197" s="17">
        <f t="shared" si="270"/>
        <v>0</v>
      </c>
      <c r="AC197" s="17">
        <f t="shared" si="271"/>
        <v>0</v>
      </c>
      <c r="AD197" s="17">
        <f t="shared" si="272"/>
        <v>0</v>
      </c>
      <c r="AE197" s="17">
        <f t="shared" si="273"/>
        <v>0</v>
      </c>
      <c r="AF197" s="17">
        <f t="shared" si="274"/>
        <v>0</v>
      </c>
      <c r="AG197" s="17">
        <f t="shared" si="275"/>
        <v>0</v>
      </c>
      <c r="AH197" s="17">
        <f t="shared" si="276"/>
        <v>0</v>
      </c>
      <c r="AI197" s="14" t="s">
        <v>196</v>
      </c>
      <c r="AJ197" s="17">
        <f t="shared" si="277"/>
        <v>0</v>
      </c>
      <c r="AK197" s="17">
        <f t="shared" si="278"/>
        <v>0</v>
      </c>
      <c r="AL197" s="17">
        <f t="shared" si="279"/>
        <v>0</v>
      </c>
      <c r="AN197" s="17">
        <v>12</v>
      </c>
      <c r="AO197" s="17">
        <f>H197*0.843808219</f>
        <v>0</v>
      </c>
      <c r="AP197" s="17">
        <f>H197*(1-0.843808219)</f>
        <v>0</v>
      </c>
      <c r="AQ197" s="76" t="s">
        <v>577</v>
      </c>
      <c r="AV197" s="17">
        <f t="shared" si="282"/>
        <v>0</v>
      </c>
      <c r="AW197" s="17">
        <f t="shared" si="283"/>
        <v>0</v>
      </c>
      <c r="AX197" s="17">
        <f t="shared" si="284"/>
        <v>0</v>
      </c>
      <c r="AY197" s="76" t="s">
        <v>677</v>
      </c>
      <c r="AZ197" s="76" t="s">
        <v>729</v>
      </c>
      <c r="BA197" s="14" t="s">
        <v>721</v>
      </c>
      <c r="BC197" s="17">
        <f t="shared" si="285"/>
        <v>0</v>
      </c>
      <c r="BD197" s="17">
        <f t="shared" si="286"/>
        <v>0</v>
      </c>
      <c r="BE197" s="17">
        <v>0</v>
      </c>
      <c r="BF197" s="17">
        <f t="shared" si="287"/>
        <v>8.8999999999999995E-4</v>
      </c>
      <c r="BH197" s="17">
        <f t="shared" si="288"/>
        <v>0</v>
      </c>
      <c r="BI197" s="17">
        <f t="shared" si="289"/>
        <v>0</v>
      </c>
      <c r="BJ197" s="17">
        <f t="shared" si="290"/>
        <v>0</v>
      </c>
      <c r="BK197" s="17"/>
      <c r="BL197" s="17">
        <v>722</v>
      </c>
      <c r="BW197" s="17">
        <f t="shared" si="291"/>
        <v>12</v>
      </c>
      <c r="BX197" s="4" t="s">
        <v>207</v>
      </c>
    </row>
    <row r="198" spans="1:76" x14ac:dyDescent="0.25">
      <c r="A198" s="1" t="s">
        <v>755</v>
      </c>
      <c r="B198" s="2" t="s">
        <v>196</v>
      </c>
      <c r="C198" s="2" t="s">
        <v>159</v>
      </c>
      <c r="D198" s="83" t="s">
        <v>160</v>
      </c>
      <c r="E198" s="84"/>
      <c r="F198" s="2" t="s">
        <v>35</v>
      </c>
      <c r="G198" s="17">
        <f>'Rozpočet - vybrané sloupce'!J161</f>
        <v>1</v>
      </c>
      <c r="H198" s="17">
        <f>'Rozpočet - vybrané sloupce'!K161</f>
        <v>0</v>
      </c>
      <c r="I198" s="74">
        <v>12</v>
      </c>
      <c r="J198" s="17">
        <f t="shared" si="264"/>
        <v>0</v>
      </c>
      <c r="K198" s="17">
        <f t="shared" si="265"/>
        <v>0</v>
      </c>
      <c r="L198" s="17">
        <f t="shared" si="266"/>
        <v>0</v>
      </c>
      <c r="M198" s="17">
        <f t="shared" si="267"/>
        <v>0</v>
      </c>
      <c r="N198" s="17">
        <v>2.0799999999999998E-3</v>
      </c>
      <c r="O198" s="17">
        <f t="shared" si="268"/>
        <v>2.0799999999999998E-3</v>
      </c>
      <c r="P198" s="75" t="s">
        <v>576</v>
      </c>
      <c r="Z198" s="17">
        <f t="shared" si="269"/>
        <v>0</v>
      </c>
      <c r="AB198" s="17">
        <f t="shared" si="270"/>
        <v>0</v>
      </c>
      <c r="AC198" s="17">
        <f t="shared" si="271"/>
        <v>0</v>
      </c>
      <c r="AD198" s="17">
        <f t="shared" si="272"/>
        <v>0</v>
      </c>
      <c r="AE198" s="17">
        <f t="shared" si="273"/>
        <v>0</v>
      </c>
      <c r="AF198" s="17">
        <f t="shared" si="274"/>
        <v>0</v>
      </c>
      <c r="AG198" s="17">
        <f t="shared" si="275"/>
        <v>0</v>
      </c>
      <c r="AH198" s="17">
        <f t="shared" si="276"/>
        <v>0</v>
      </c>
      <c r="AI198" s="14" t="s">
        <v>196</v>
      </c>
      <c r="AJ198" s="17">
        <f t="shared" si="277"/>
        <v>0</v>
      </c>
      <c r="AK198" s="17">
        <f t="shared" si="278"/>
        <v>0</v>
      </c>
      <c r="AL198" s="17">
        <f t="shared" si="279"/>
        <v>0</v>
      </c>
      <c r="AN198" s="17">
        <v>12</v>
      </c>
      <c r="AO198" s="17">
        <f>H198*0.887209205</f>
        <v>0</v>
      </c>
      <c r="AP198" s="17">
        <f>H198*(1-0.887209205)</f>
        <v>0</v>
      </c>
      <c r="AQ198" s="76" t="s">
        <v>577</v>
      </c>
      <c r="AV198" s="17">
        <f t="shared" si="282"/>
        <v>0</v>
      </c>
      <c r="AW198" s="17">
        <f t="shared" si="283"/>
        <v>0</v>
      </c>
      <c r="AX198" s="17">
        <f t="shared" si="284"/>
        <v>0</v>
      </c>
      <c r="AY198" s="76" t="s">
        <v>677</v>
      </c>
      <c r="AZ198" s="76" t="s">
        <v>729</v>
      </c>
      <c r="BA198" s="14" t="s">
        <v>721</v>
      </c>
      <c r="BC198" s="17">
        <f t="shared" si="285"/>
        <v>0</v>
      </c>
      <c r="BD198" s="17">
        <f t="shared" si="286"/>
        <v>0</v>
      </c>
      <c r="BE198" s="17">
        <v>0</v>
      </c>
      <c r="BF198" s="17">
        <f t="shared" si="287"/>
        <v>2.0799999999999998E-3</v>
      </c>
      <c r="BH198" s="17">
        <f t="shared" si="288"/>
        <v>0</v>
      </c>
      <c r="BI198" s="17">
        <f t="shared" si="289"/>
        <v>0</v>
      </c>
      <c r="BJ198" s="17">
        <f t="shared" si="290"/>
        <v>0</v>
      </c>
      <c r="BK198" s="17"/>
      <c r="BL198" s="17">
        <v>722</v>
      </c>
      <c r="BW198" s="17">
        <f t="shared" si="291"/>
        <v>12</v>
      </c>
      <c r="BX198" s="4" t="s">
        <v>160</v>
      </c>
    </row>
    <row r="199" spans="1:76" x14ac:dyDescent="0.25">
      <c r="A199" s="1" t="s">
        <v>756</v>
      </c>
      <c r="B199" s="2" t="s">
        <v>196</v>
      </c>
      <c r="C199" s="2" t="s">
        <v>161</v>
      </c>
      <c r="D199" s="83" t="s">
        <v>162</v>
      </c>
      <c r="E199" s="84"/>
      <c r="F199" s="2" t="s">
        <v>35</v>
      </c>
      <c r="G199" s="17">
        <f>'Rozpočet - vybrané sloupce'!J162</f>
        <v>12</v>
      </c>
      <c r="H199" s="17">
        <f>'Rozpočet - vybrané sloupce'!K162</f>
        <v>0</v>
      </c>
      <c r="I199" s="74">
        <v>12</v>
      </c>
      <c r="J199" s="17">
        <f t="shared" si="264"/>
        <v>0</v>
      </c>
      <c r="K199" s="17">
        <f t="shared" si="265"/>
        <v>0</v>
      </c>
      <c r="L199" s="17">
        <f t="shared" si="266"/>
        <v>0</v>
      </c>
      <c r="M199" s="17">
        <f t="shared" si="267"/>
        <v>0</v>
      </c>
      <c r="N199" s="17">
        <v>4.0000000000000003E-5</v>
      </c>
      <c r="O199" s="17">
        <f t="shared" si="268"/>
        <v>4.8000000000000007E-4</v>
      </c>
      <c r="P199" s="75" t="s">
        <v>576</v>
      </c>
      <c r="Z199" s="17">
        <f t="shared" si="269"/>
        <v>0</v>
      </c>
      <c r="AB199" s="17">
        <f t="shared" si="270"/>
        <v>0</v>
      </c>
      <c r="AC199" s="17">
        <f t="shared" si="271"/>
        <v>0</v>
      </c>
      <c r="AD199" s="17">
        <f t="shared" si="272"/>
        <v>0</v>
      </c>
      <c r="AE199" s="17">
        <f t="shared" si="273"/>
        <v>0</v>
      </c>
      <c r="AF199" s="17">
        <f t="shared" si="274"/>
        <v>0</v>
      </c>
      <c r="AG199" s="17">
        <f t="shared" si="275"/>
        <v>0</v>
      </c>
      <c r="AH199" s="17">
        <f t="shared" si="276"/>
        <v>0</v>
      </c>
      <c r="AI199" s="14" t="s">
        <v>196</v>
      </c>
      <c r="AJ199" s="17">
        <f t="shared" si="277"/>
        <v>0</v>
      </c>
      <c r="AK199" s="17">
        <f t="shared" si="278"/>
        <v>0</v>
      </c>
      <c r="AL199" s="17">
        <f t="shared" si="279"/>
        <v>0</v>
      </c>
      <c r="AN199" s="17">
        <v>12</v>
      </c>
      <c r="AO199" s="17">
        <f>H199*0.339139785</f>
        <v>0</v>
      </c>
      <c r="AP199" s="17">
        <f>H199*(1-0.339139785)</f>
        <v>0</v>
      </c>
      <c r="AQ199" s="76" t="s">
        <v>577</v>
      </c>
      <c r="AV199" s="17">
        <f t="shared" si="282"/>
        <v>0</v>
      </c>
      <c r="AW199" s="17">
        <f t="shared" si="283"/>
        <v>0</v>
      </c>
      <c r="AX199" s="17">
        <f t="shared" si="284"/>
        <v>0</v>
      </c>
      <c r="AY199" s="76" t="s">
        <v>677</v>
      </c>
      <c r="AZ199" s="76" t="s">
        <v>729</v>
      </c>
      <c r="BA199" s="14" t="s">
        <v>721</v>
      </c>
      <c r="BC199" s="17">
        <f t="shared" si="285"/>
        <v>0</v>
      </c>
      <c r="BD199" s="17">
        <f t="shared" si="286"/>
        <v>0</v>
      </c>
      <c r="BE199" s="17">
        <v>0</v>
      </c>
      <c r="BF199" s="17">
        <f t="shared" si="287"/>
        <v>4.8000000000000007E-4</v>
      </c>
      <c r="BH199" s="17">
        <f t="shared" si="288"/>
        <v>0</v>
      </c>
      <c r="BI199" s="17">
        <f t="shared" si="289"/>
        <v>0</v>
      </c>
      <c r="BJ199" s="17">
        <f t="shared" si="290"/>
        <v>0</v>
      </c>
      <c r="BK199" s="17"/>
      <c r="BL199" s="17">
        <v>722</v>
      </c>
      <c r="BW199" s="17">
        <f t="shared" si="291"/>
        <v>12</v>
      </c>
      <c r="BX199" s="4" t="s">
        <v>162</v>
      </c>
    </row>
    <row r="200" spans="1:76" x14ac:dyDescent="0.25">
      <c r="A200" s="1" t="s">
        <v>757</v>
      </c>
      <c r="B200" s="2" t="s">
        <v>196</v>
      </c>
      <c r="C200" s="2" t="s">
        <v>163</v>
      </c>
      <c r="D200" s="83" t="s">
        <v>164</v>
      </c>
      <c r="E200" s="84"/>
      <c r="F200" s="2" t="s">
        <v>35</v>
      </c>
      <c r="G200" s="17">
        <f>'Rozpočet - vybrané sloupce'!J163</f>
        <v>12</v>
      </c>
      <c r="H200" s="17">
        <f>'Rozpočet - vybrané sloupce'!K163</f>
        <v>0</v>
      </c>
      <c r="I200" s="74">
        <v>12</v>
      </c>
      <c r="J200" s="17">
        <f t="shared" si="264"/>
        <v>0</v>
      </c>
      <c r="K200" s="17">
        <f t="shared" si="265"/>
        <v>0</v>
      </c>
      <c r="L200" s="17">
        <f t="shared" si="266"/>
        <v>0</v>
      </c>
      <c r="M200" s="17">
        <f t="shared" si="267"/>
        <v>0</v>
      </c>
      <c r="N200" s="17">
        <v>0</v>
      </c>
      <c r="O200" s="17">
        <f t="shared" si="268"/>
        <v>0</v>
      </c>
      <c r="P200" s="75" t="s">
        <v>576</v>
      </c>
      <c r="Z200" s="17">
        <f t="shared" si="269"/>
        <v>0</v>
      </c>
      <c r="AB200" s="17">
        <f t="shared" si="270"/>
        <v>0</v>
      </c>
      <c r="AC200" s="17">
        <f t="shared" si="271"/>
        <v>0</v>
      </c>
      <c r="AD200" s="17">
        <f t="shared" si="272"/>
        <v>0</v>
      </c>
      <c r="AE200" s="17">
        <f t="shared" si="273"/>
        <v>0</v>
      </c>
      <c r="AF200" s="17">
        <f t="shared" si="274"/>
        <v>0</v>
      </c>
      <c r="AG200" s="17">
        <f t="shared" si="275"/>
        <v>0</v>
      </c>
      <c r="AH200" s="17">
        <f t="shared" si="276"/>
        <v>0</v>
      </c>
      <c r="AI200" s="14" t="s">
        <v>196</v>
      </c>
      <c r="AJ200" s="17">
        <f t="shared" si="277"/>
        <v>0</v>
      </c>
      <c r="AK200" s="17">
        <f t="shared" si="278"/>
        <v>0</v>
      </c>
      <c r="AL200" s="17">
        <f t="shared" si="279"/>
        <v>0</v>
      </c>
      <c r="AN200" s="17">
        <v>12</v>
      </c>
      <c r="AO200" s="17">
        <f>H200*1</f>
        <v>0</v>
      </c>
      <c r="AP200" s="17">
        <f>H200*(1-1)</f>
        <v>0</v>
      </c>
      <c r="AQ200" s="76" t="s">
        <v>577</v>
      </c>
      <c r="AV200" s="17">
        <f t="shared" si="282"/>
        <v>0</v>
      </c>
      <c r="AW200" s="17">
        <f t="shared" si="283"/>
        <v>0</v>
      </c>
      <c r="AX200" s="17">
        <f t="shared" si="284"/>
        <v>0</v>
      </c>
      <c r="AY200" s="76" t="s">
        <v>677</v>
      </c>
      <c r="AZ200" s="76" t="s">
        <v>729</v>
      </c>
      <c r="BA200" s="14" t="s">
        <v>721</v>
      </c>
      <c r="BC200" s="17">
        <f t="shared" si="285"/>
        <v>0</v>
      </c>
      <c r="BD200" s="17">
        <f t="shared" si="286"/>
        <v>0</v>
      </c>
      <c r="BE200" s="17">
        <v>0</v>
      </c>
      <c r="BF200" s="17">
        <f t="shared" si="287"/>
        <v>0</v>
      </c>
      <c r="BH200" s="17">
        <f t="shared" si="288"/>
        <v>0</v>
      </c>
      <c r="BI200" s="17">
        <f t="shared" si="289"/>
        <v>0</v>
      </c>
      <c r="BJ200" s="17">
        <f t="shared" si="290"/>
        <v>0</v>
      </c>
      <c r="BK200" s="17"/>
      <c r="BL200" s="17">
        <v>722</v>
      </c>
      <c r="BW200" s="17">
        <f t="shared" si="291"/>
        <v>12</v>
      </c>
      <c r="BX200" s="4" t="s">
        <v>164</v>
      </c>
    </row>
    <row r="201" spans="1:76" x14ac:dyDescent="0.25">
      <c r="A201" s="1" t="s">
        <v>758</v>
      </c>
      <c r="B201" s="2" t="s">
        <v>196</v>
      </c>
      <c r="C201" s="2" t="s">
        <v>166</v>
      </c>
      <c r="D201" s="83" t="s">
        <v>167</v>
      </c>
      <c r="E201" s="84"/>
      <c r="F201" s="2" t="s">
        <v>35</v>
      </c>
      <c r="G201" s="17">
        <f>'Rozpočet - vybrané sloupce'!J164</f>
        <v>4</v>
      </c>
      <c r="H201" s="17">
        <f>'Rozpočet - vybrané sloupce'!K164</f>
        <v>0</v>
      </c>
      <c r="I201" s="74">
        <v>12</v>
      </c>
      <c r="J201" s="17">
        <f t="shared" si="264"/>
        <v>0</v>
      </c>
      <c r="K201" s="17">
        <f t="shared" si="265"/>
        <v>0</v>
      </c>
      <c r="L201" s="17">
        <f t="shared" si="266"/>
        <v>0</v>
      </c>
      <c r="M201" s="17">
        <f t="shared" si="267"/>
        <v>0</v>
      </c>
      <c r="N201" s="17">
        <v>0</v>
      </c>
      <c r="O201" s="17">
        <f t="shared" si="268"/>
        <v>0</v>
      </c>
      <c r="P201" s="75" t="s">
        <v>576</v>
      </c>
      <c r="Z201" s="17">
        <f t="shared" si="269"/>
        <v>0</v>
      </c>
      <c r="AB201" s="17">
        <f t="shared" si="270"/>
        <v>0</v>
      </c>
      <c r="AC201" s="17">
        <f t="shared" si="271"/>
        <v>0</v>
      </c>
      <c r="AD201" s="17">
        <f t="shared" si="272"/>
        <v>0</v>
      </c>
      <c r="AE201" s="17">
        <f t="shared" si="273"/>
        <v>0</v>
      </c>
      <c r="AF201" s="17">
        <f t="shared" si="274"/>
        <v>0</v>
      </c>
      <c r="AG201" s="17">
        <f t="shared" si="275"/>
        <v>0</v>
      </c>
      <c r="AH201" s="17">
        <f t="shared" si="276"/>
        <v>0</v>
      </c>
      <c r="AI201" s="14" t="s">
        <v>196</v>
      </c>
      <c r="AJ201" s="17">
        <f t="shared" si="277"/>
        <v>0</v>
      </c>
      <c r="AK201" s="17">
        <f t="shared" si="278"/>
        <v>0</v>
      </c>
      <c r="AL201" s="17">
        <f t="shared" si="279"/>
        <v>0</v>
      </c>
      <c r="AN201" s="17">
        <v>12</v>
      </c>
      <c r="AO201" s="17">
        <f>H201*0.039269406</f>
        <v>0</v>
      </c>
      <c r="AP201" s="17">
        <f>H201*(1-0.039269406)</f>
        <v>0</v>
      </c>
      <c r="AQ201" s="76" t="s">
        <v>577</v>
      </c>
      <c r="AV201" s="17">
        <f t="shared" si="282"/>
        <v>0</v>
      </c>
      <c r="AW201" s="17">
        <f t="shared" si="283"/>
        <v>0</v>
      </c>
      <c r="AX201" s="17">
        <f t="shared" si="284"/>
        <v>0</v>
      </c>
      <c r="AY201" s="76" t="s">
        <v>677</v>
      </c>
      <c r="AZ201" s="76" t="s">
        <v>729</v>
      </c>
      <c r="BA201" s="14" t="s">
        <v>721</v>
      </c>
      <c r="BC201" s="17">
        <f t="shared" si="285"/>
        <v>0</v>
      </c>
      <c r="BD201" s="17">
        <f t="shared" si="286"/>
        <v>0</v>
      </c>
      <c r="BE201" s="17">
        <v>0</v>
      </c>
      <c r="BF201" s="17">
        <f t="shared" si="287"/>
        <v>0</v>
      </c>
      <c r="BH201" s="17">
        <f t="shared" si="288"/>
        <v>0</v>
      </c>
      <c r="BI201" s="17">
        <f t="shared" si="289"/>
        <v>0</v>
      </c>
      <c r="BJ201" s="17">
        <f t="shared" si="290"/>
        <v>0</v>
      </c>
      <c r="BK201" s="17"/>
      <c r="BL201" s="17">
        <v>722</v>
      </c>
      <c r="BW201" s="17">
        <f t="shared" si="291"/>
        <v>12</v>
      </c>
      <c r="BX201" s="4" t="s">
        <v>167</v>
      </c>
    </row>
    <row r="202" spans="1:76" x14ac:dyDescent="0.25">
      <c r="A202" s="1" t="s">
        <v>759</v>
      </c>
      <c r="B202" s="2" t="s">
        <v>196</v>
      </c>
      <c r="C202" s="2" t="s">
        <v>168</v>
      </c>
      <c r="D202" s="83" t="s">
        <v>169</v>
      </c>
      <c r="E202" s="84"/>
      <c r="F202" s="2" t="s">
        <v>35</v>
      </c>
      <c r="G202" s="17">
        <f>'Rozpočet - vybrané sloupce'!J165</f>
        <v>4</v>
      </c>
      <c r="H202" s="17">
        <f>'Rozpočet - vybrané sloupce'!K165</f>
        <v>0</v>
      </c>
      <c r="I202" s="74">
        <v>12</v>
      </c>
      <c r="J202" s="17">
        <f t="shared" si="264"/>
        <v>0</v>
      </c>
      <c r="K202" s="17">
        <f t="shared" si="265"/>
        <v>0</v>
      </c>
      <c r="L202" s="17">
        <f t="shared" si="266"/>
        <v>0</v>
      </c>
      <c r="M202" s="17">
        <f t="shared" si="267"/>
        <v>0</v>
      </c>
      <c r="N202" s="17">
        <v>0</v>
      </c>
      <c r="O202" s="17">
        <f t="shared" si="268"/>
        <v>0</v>
      </c>
      <c r="P202" s="75" t="s">
        <v>576</v>
      </c>
      <c r="Z202" s="17">
        <f t="shared" si="269"/>
        <v>0</v>
      </c>
      <c r="AB202" s="17">
        <f t="shared" si="270"/>
        <v>0</v>
      </c>
      <c r="AC202" s="17">
        <f t="shared" si="271"/>
        <v>0</v>
      </c>
      <c r="AD202" s="17">
        <f t="shared" si="272"/>
        <v>0</v>
      </c>
      <c r="AE202" s="17">
        <f t="shared" si="273"/>
        <v>0</v>
      </c>
      <c r="AF202" s="17">
        <f t="shared" si="274"/>
        <v>0</v>
      </c>
      <c r="AG202" s="17">
        <f t="shared" si="275"/>
        <v>0</v>
      </c>
      <c r="AH202" s="17">
        <f t="shared" si="276"/>
        <v>0</v>
      </c>
      <c r="AI202" s="14" t="s">
        <v>196</v>
      </c>
      <c r="AJ202" s="17">
        <f t="shared" si="277"/>
        <v>0</v>
      </c>
      <c r="AK202" s="17">
        <f t="shared" si="278"/>
        <v>0</v>
      </c>
      <c r="AL202" s="17">
        <f t="shared" si="279"/>
        <v>0</v>
      </c>
      <c r="AN202" s="17">
        <v>12</v>
      </c>
      <c r="AO202" s="17">
        <f>H202*1</f>
        <v>0</v>
      </c>
      <c r="AP202" s="17">
        <f>H202*(1-1)</f>
        <v>0</v>
      </c>
      <c r="AQ202" s="76" t="s">
        <v>577</v>
      </c>
      <c r="AV202" s="17">
        <f t="shared" si="282"/>
        <v>0</v>
      </c>
      <c r="AW202" s="17">
        <f t="shared" si="283"/>
        <v>0</v>
      </c>
      <c r="AX202" s="17">
        <f t="shared" si="284"/>
        <v>0</v>
      </c>
      <c r="AY202" s="76" t="s">
        <v>677</v>
      </c>
      <c r="AZ202" s="76" t="s">
        <v>729</v>
      </c>
      <c r="BA202" s="14" t="s">
        <v>721</v>
      </c>
      <c r="BC202" s="17">
        <f t="shared" si="285"/>
        <v>0</v>
      </c>
      <c r="BD202" s="17">
        <f t="shared" si="286"/>
        <v>0</v>
      </c>
      <c r="BE202" s="17">
        <v>0</v>
      </c>
      <c r="BF202" s="17">
        <f t="shared" si="287"/>
        <v>0</v>
      </c>
      <c r="BH202" s="17">
        <f t="shared" si="288"/>
        <v>0</v>
      </c>
      <c r="BI202" s="17">
        <f t="shared" si="289"/>
        <v>0</v>
      </c>
      <c r="BJ202" s="17">
        <f t="shared" si="290"/>
        <v>0</v>
      </c>
      <c r="BK202" s="17"/>
      <c r="BL202" s="17">
        <v>722</v>
      </c>
      <c r="BW202" s="17">
        <f t="shared" si="291"/>
        <v>12</v>
      </c>
      <c r="BX202" s="4" t="s">
        <v>169</v>
      </c>
    </row>
    <row r="203" spans="1:76" x14ac:dyDescent="0.25">
      <c r="A203" s="1" t="s">
        <v>760</v>
      </c>
      <c r="B203" s="2" t="s">
        <v>196</v>
      </c>
      <c r="C203" s="2" t="s">
        <v>172</v>
      </c>
      <c r="D203" s="83" t="s">
        <v>173</v>
      </c>
      <c r="E203" s="84"/>
      <c r="F203" s="2" t="s">
        <v>35</v>
      </c>
      <c r="G203" s="17">
        <f>'Rozpočet - vybrané sloupce'!J166</f>
        <v>1</v>
      </c>
      <c r="H203" s="17">
        <f>'Rozpočet - vybrané sloupce'!K166</f>
        <v>0</v>
      </c>
      <c r="I203" s="74">
        <v>12</v>
      </c>
      <c r="J203" s="17">
        <f t="shared" si="264"/>
        <v>0</v>
      </c>
      <c r="K203" s="17">
        <f t="shared" si="265"/>
        <v>0</v>
      </c>
      <c r="L203" s="17">
        <f t="shared" si="266"/>
        <v>0</v>
      </c>
      <c r="M203" s="17">
        <f t="shared" si="267"/>
        <v>0</v>
      </c>
      <c r="N203" s="17">
        <v>0</v>
      </c>
      <c r="O203" s="17">
        <f t="shared" si="268"/>
        <v>0</v>
      </c>
      <c r="P203" s="75" t="s">
        <v>576</v>
      </c>
      <c r="Z203" s="17">
        <f t="shared" si="269"/>
        <v>0</v>
      </c>
      <c r="AB203" s="17">
        <f t="shared" si="270"/>
        <v>0</v>
      </c>
      <c r="AC203" s="17">
        <f t="shared" si="271"/>
        <v>0</v>
      </c>
      <c r="AD203" s="17">
        <f t="shared" si="272"/>
        <v>0</v>
      </c>
      <c r="AE203" s="17">
        <f t="shared" si="273"/>
        <v>0</v>
      </c>
      <c r="AF203" s="17">
        <f t="shared" si="274"/>
        <v>0</v>
      </c>
      <c r="AG203" s="17">
        <f t="shared" si="275"/>
        <v>0</v>
      </c>
      <c r="AH203" s="17">
        <f t="shared" si="276"/>
        <v>0</v>
      </c>
      <c r="AI203" s="14" t="s">
        <v>196</v>
      </c>
      <c r="AJ203" s="17">
        <f t="shared" si="277"/>
        <v>0</v>
      </c>
      <c r="AK203" s="17">
        <f t="shared" si="278"/>
        <v>0</v>
      </c>
      <c r="AL203" s="17">
        <f t="shared" si="279"/>
        <v>0</v>
      </c>
      <c r="AN203" s="17">
        <v>12</v>
      </c>
      <c r="AO203" s="17">
        <f>H203*0.05627451</f>
        <v>0</v>
      </c>
      <c r="AP203" s="17">
        <f>H203*(1-0.05627451)</f>
        <v>0</v>
      </c>
      <c r="AQ203" s="76" t="s">
        <v>577</v>
      </c>
      <c r="AV203" s="17">
        <f t="shared" si="282"/>
        <v>0</v>
      </c>
      <c r="AW203" s="17">
        <f t="shared" si="283"/>
        <v>0</v>
      </c>
      <c r="AX203" s="17">
        <f t="shared" si="284"/>
        <v>0</v>
      </c>
      <c r="AY203" s="76" t="s">
        <v>677</v>
      </c>
      <c r="AZ203" s="76" t="s">
        <v>729</v>
      </c>
      <c r="BA203" s="14" t="s">
        <v>721</v>
      </c>
      <c r="BC203" s="17">
        <f t="shared" si="285"/>
        <v>0</v>
      </c>
      <c r="BD203" s="17">
        <f t="shared" si="286"/>
        <v>0</v>
      </c>
      <c r="BE203" s="17">
        <v>0</v>
      </c>
      <c r="BF203" s="17">
        <f t="shared" si="287"/>
        <v>0</v>
      </c>
      <c r="BH203" s="17">
        <f t="shared" si="288"/>
        <v>0</v>
      </c>
      <c r="BI203" s="17">
        <f t="shared" si="289"/>
        <v>0</v>
      </c>
      <c r="BJ203" s="17">
        <f t="shared" si="290"/>
        <v>0</v>
      </c>
      <c r="BK203" s="17"/>
      <c r="BL203" s="17">
        <v>722</v>
      </c>
      <c r="BW203" s="17">
        <f t="shared" si="291"/>
        <v>12</v>
      </c>
      <c r="BX203" s="4" t="s">
        <v>173</v>
      </c>
    </row>
    <row r="204" spans="1:76" x14ac:dyDescent="0.25">
      <c r="A204" s="1" t="s">
        <v>761</v>
      </c>
      <c r="B204" s="2" t="s">
        <v>196</v>
      </c>
      <c r="C204" s="2" t="s">
        <v>174</v>
      </c>
      <c r="D204" s="83" t="s">
        <v>175</v>
      </c>
      <c r="E204" s="84"/>
      <c r="F204" s="2" t="s">
        <v>35</v>
      </c>
      <c r="G204" s="17">
        <f>'Rozpočet - vybrané sloupce'!J167</f>
        <v>1</v>
      </c>
      <c r="H204" s="17">
        <f>'Rozpočet - vybrané sloupce'!K167</f>
        <v>0</v>
      </c>
      <c r="I204" s="74">
        <v>12</v>
      </c>
      <c r="J204" s="17">
        <f t="shared" si="264"/>
        <v>0</v>
      </c>
      <c r="K204" s="17">
        <f t="shared" si="265"/>
        <v>0</v>
      </c>
      <c r="L204" s="17">
        <f t="shared" si="266"/>
        <v>0</v>
      </c>
      <c r="M204" s="17">
        <f t="shared" si="267"/>
        <v>0</v>
      </c>
      <c r="N204" s="17">
        <v>0</v>
      </c>
      <c r="O204" s="17">
        <f t="shared" si="268"/>
        <v>0</v>
      </c>
      <c r="P204" s="75" t="s">
        <v>576</v>
      </c>
      <c r="Z204" s="17">
        <f t="shared" si="269"/>
        <v>0</v>
      </c>
      <c r="AB204" s="17">
        <f t="shared" si="270"/>
        <v>0</v>
      </c>
      <c r="AC204" s="17">
        <f t="shared" si="271"/>
        <v>0</v>
      </c>
      <c r="AD204" s="17">
        <f t="shared" si="272"/>
        <v>0</v>
      </c>
      <c r="AE204" s="17">
        <f t="shared" si="273"/>
        <v>0</v>
      </c>
      <c r="AF204" s="17">
        <f t="shared" si="274"/>
        <v>0</v>
      </c>
      <c r="AG204" s="17">
        <f t="shared" si="275"/>
        <v>0</v>
      </c>
      <c r="AH204" s="17">
        <f t="shared" si="276"/>
        <v>0</v>
      </c>
      <c r="AI204" s="14" t="s">
        <v>196</v>
      </c>
      <c r="AJ204" s="17">
        <f t="shared" si="277"/>
        <v>0</v>
      </c>
      <c r="AK204" s="17">
        <f t="shared" si="278"/>
        <v>0</v>
      </c>
      <c r="AL204" s="17">
        <f t="shared" si="279"/>
        <v>0</v>
      </c>
      <c r="AN204" s="17">
        <v>12</v>
      </c>
      <c r="AO204" s="17">
        <f>H204*1</f>
        <v>0</v>
      </c>
      <c r="AP204" s="17">
        <f>H204*(1-1)</f>
        <v>0</v>
      </c>
      <c r="AQ204" s="76" t="s">
        <v>577</v>
      </c>
      <c r="AV204" s="17">
        <f t="shared" si="282"/>
        <v>0</v>
      </c>
      <c r="AW204" s="17">
        <f t="shared" si="283"/>
        <v>0</v>
      </c>
      <c r="AX204" s="17">
        <f t="shared" si="284"/>
        <v>0</v>
      </c>
      <c r="AY204" s="76" t="s">
        <v>677</v>
      </c>
      <c r="AZ204" s="76" t="s">
        <v>729</v>
      </c>
      <c r="BA204" s="14" t="s">
        <v>721</v>
      </c>
      <c r="BC204" s="17">
        <f t="shared" si="285"/>
        <v>0</v>
      </c>
      <c r="BD204" s="17">
        <f t="shared" si="286"/>
        <v>0</v>
      </c>
      <c r="BE204" s="17">
        <v>0</v>
      </c>
      <c r="BF204" s="17">
        <f t="shared" si="287"/>
        <v>0</v>
      </c>
      <c r="BH204" s="17">
        <f t="shared" si="288"/>
        <v>0</v>
      </c>
      <c r="BI204" s="17">
        <f t="shared" si="289"/>
        <v>0</v>
      </c>
      <c r="BJ204" s="17">
        <f t="shared" si="290"/>
        <v>0</v>
      </c>
      <c r="BK204" s="17"/>
      <c r="BL204" s="17">
        <v>722</v>
      </c>
      <c r="BW204" s="17">
        <f t="shared" si="291"/>
        <v>12</v>
      </c>
      <c r="BX204" s="4" t="s">
        <v>175</v>
      </c>
    </row>
    <row r="205" spans="1:76" x14ac:dyDescent="0.25">
      <c r="A205" s="1" t="s">
        <v>762</v>
      </c>
      <c r="B205" s="2" t="s">
        <v>196</v>
      </c>
      <c r="C205" s="2" t="s">
        <v>184</v>
      </c>
      <c r="D205" s="83" t="s">
        <v>185</v>
      </c>
      <c r="E205" s="84"/>
      <c r="F205" s="2" t="s">
        <v>40</v>
      </c>
      <c r="G205" s="17">
        <f>'Rozpočet - vybrané sloupce'!J168</f>
        <v>2</v>
      </c>
      <c r="H205" s="17">
        <f>'Rozpočet - vybrané sloupce'!K168</f>
        <v>0</v>
      </c>
      <c r="I205" s="74">
        <v>12</v>
      </c>
      <c r="J205" s="17">
        <f t="shared" si="264"/>
        <v>0</v>
      </c>
      <c r="K205" s="17">
        <f t="shared" si="265"/>
        <v>0</v>
      </c>
      <c r="L205" s="17">
        <f t="shared" si="266"/>
        <v>0</v>
      </c>
      <c r="M205" s="17">
        <f t="shared" si="267"/>
        <v>0</v>
      </c>
      <c r="N205" s="17">
        <v>3.8999999999999999E-4</v>
      </c>
      <c r="O205" s="17">
        <f t="shared" si="268"/>
        <v>7.7999999999999999E-4</v>
      </c>
      <c r="P205" s="75" t="s">
        <v>576</v>
      </c>
      <c r="Z205" s="17">
        <f t="shared" si="269"/>
        <v>0</v>
      </c>
      <c r="AB205" s="17">
        <f t="shared" si="270"/>
        <v>0</v>
      </c>
      <c r="AC205" s="17">
        <f t="shared" si="271"/>
        <v>0</v>
      </c>
      <c r="AD205" s="17">
        <f t="shared" si="272"/>
        <v>0</v>
      </c>
      <c r="AE205" s="17">
        <f t="shared" si="273"/>
        <v>0</v>
      </c>
      <c r="AF205" s="17">
        <f t="shared" si="274"/>
        <v>0</v>
      </c>
      <c r="AG205" s="17">
        <f t="shared" si="275"/>
        <v>0</v>
      </c>
      <c r="AH205" s="17">
        <f t="shared" si="276"/>
        <v>0</v>
      </c>
      <c r="AI205" s="14" t="s">
        <v>196</v>
      </c>
      <c r="AJ205" s="17">
        <f t="shared" si="277"/>
        <v>0</v>
      </c>
      <c r="AK205" s="17">
        <f t="shared" si="278"/>
        <v>0</v>
      </c>
      <c r="AL205" s="17">
        <f t="shared" si="279"/>
        <v>0</v>
      </c>
      <c r="AN205" s="17">
        <v>12</v>
      </c>
      <c r="AO205" s="17">
        <f>H205*0.615489891</f>
        <v>0</v>
      </c>
      <c r="AP205" s="17">
        <f>H205*(1-0.615489891)</f>
        <v>0</v>
      </c>
      <c r="AQ205" s="76" t="s">
        <v>577</v>
      </c>
      <c r="AV205" s="17">
        <f t="shared" si="282"/>
        <v>0</v>
      </c>
      <c r="AW205" s="17">
        <f t="shared" si="283"/>
        <v>0</v>
      </c>
      <c r="AX205" s="17">
        <f t="shared" si="284"/>
        <v>0</v>
      </c>
      <c r="AY205" s="76" t="s">
        <v>677</v>
      </c>
      <c r="AZ205" s="76" t="s">
        <v>729</v>
      </c>
      <c r="BA205" s="14" t="s">
        <v>721</v>
      </c>
      <c r="BC205" s="17">
        <f t="shared" si="285"/>
        <v>0</v>
      </c>
      <c r="BD205" s="17">
        <f t="shared" si="286"/>
        <v>0</v>
      </c>
      <c r="BE205" s="17">
        <v>0</v>
      </c>
      <c r="BF205" s="17">
        <f t="shared" si="287"/>
        <v>7.7999999999999999E-4</v>
      </c>
      <c r="BH205" s="17">
        <f t="shared" si="288"/>
        <v>0</v>
      </c>
      <c r="BI205" s="17">
        <f t="shared" si="289"/>
        <v>0</v>
      </c>
      <c r="BJ205" s="17">
        <f t="shared" si="290"/>
        <v>0</v>
      </c>
      <c r="BK205" s="17"/>
      <c r="BL205" s="17">
        <v>722</v>
      </c>
      <c r="BW205" s="17">
        <f t="shared" si="291"/>
        <v>12</v>
      </c>
      <c r="BX205" s="4" t="s">
        <v>185</v>
      </c>
    </row>
    <row r="206" spans="1:76" x14ac:dyDescent="0.25">
      <c r="A206" s="1" t="s">
        <v>763</v>
      </c>
      <c r="B206" s="2" t="s">
        <v>196</v>
      </c>
      <c r="C206" s="2" t="s">
        <v>186</v>
      </c>
      <c r="D206" s="83" t="s">
        <v>187</v>
      </c>
      <c r="E206" s="84"/>
      <c r="F206" s="2" t="s">
        <v>31</v>
      </c>
      <c r="G206" s="17">
        <f>'Rozpočet - vybrané sloupce'!J169</f>
        <v>1</v>
      </c>
      <c r="H206" s="17">
        <f>'Rozpočet - vybrané sloupce'!K169</f>
        <v>0</v>
      </c>
      <c r="I206" s="74">
        <v>12</v>
      </c>
      <c r="J206" s="17">
        <f t="shared" si="264"/>
        <v>0</v>
      </c>
      <c r="K206" s="17">
        <f t="shared" si="265"/>
        <v>0</v>
      </c>
      <c r="L206" s="17">
        <f t="shared" si="266"/>
        <v>0</v>
      </c>
      <c r="M206" s="17">
        <f t="shared" si="267"/>
        <v>0</v>
      </c>
      <c r="N206" s="17">
        <v>0</v>
      </c>
      <c r="O206" s="17">
        <f t="shared" si="268"/>
        <v>0</v>
      </c>
      <c r="P206" s="75" t="s">
        <v>576</v>
      </c>
      <c r="Z206" s="17">
        <f t="shared" si="269"/>
        <v>0</v>
      </c>
      <c r="AB206" s="17">
        <f t="shared" si="270"/>
        <v>0</v>
      </c>
      <c r="AC206" s="17">
        <f t="shared" si="271"/>
        <v>0</v>
      </c>
      <c r="AD206" s="17">
        <f t="shared" si="272"/>
        <v>0</v>
      </c>
      <c r="AE206" s="17">
        <f t="shared" si="273"/>
        <v>0</v>
      </c>
      <c r="AF206" s="17">
        <f t="shared" si="274"/>
        <v>0</v>
      </c>
      <c r="AG206" s="17">
        <f t="shared" si="275"/>
        <v>0</v>
      </c>
      <c r="AH206" s="17">
        <f t="shared" si="276"/>
        <v>0</v>
      </c>
      <c r="AI206" s="14" t="s">
        <v>196</v>
      </c>
      <c r="AJ206" s="17">
        <f t="shared" si="277"/>
        <v>0</v>
      </c>
      <c r="AK206" s="17">
        <f t="shared" si="278"/>
        <v>0</v>
      </c>
      <c r="AL206" s="17">
        <f t="shared" si="279"/>
        <v>0</v>
      </c>
      <c r="AN206" s="17">
        <v>12</v>
      </c>
      <c r="AO206" s="17">
        <f>H206*0.014893617</f>
        <v>0</v>
      </c>
      <c r="AP206" s="17">
        <f>H206*(1-0.014893617)</f>
        <v>0</v>
      </c>
      <c r="AQ206" s="76" t="s">
        <v>577</v>
      </c>
      <c r="AV206" s="17">
        <f t="shared" si="282"/>
        <v>0</v>
      </c>
      <c r="AW206" s="17">
        <f t="shared" si="283"/>
        <v>0</v>
      </c>
      <c r="AX206" s="17">
        <f t="shared" si="284"/>
        <v>0</v>
      </c>
      <c r="AY206" s="76" t="s">
        <v>677</v>
      </c>
      <c r="AZ206" s="76" t="s">
        <v>729</v>
      </c>
      <c r="BA206" s="14" t="s">
        <v>721</v>
      </c>
      <c r="BC206" s="17">
        <f t="shared" si="285"/>
        <v>0</v>
      </c>
      <c r="BD206" s="17">
        <f t="shared" si="286"/>
        <v>0</v>
      </c>
      <c r="BE206" s="17">
        <v>0</v>
      </c>
      <c r="BF206" s="17">
        <f t="shared" si="287"/>
        <v>0</v>
      </c>
      <c r="BH206" s="17">
        <f t="shared" si="288"/>
        <v>0</v>
      </c>
      <c r="BI206" s="17">
        <f t="shared" si="289"/>
        <v>0</v>
      </c>
      <c r="BJ206" s="17">
        <f t="shared" si="290"/>
        <v>0</v>
      </c>
      <c r="BK206" s="17"/>
      <c r="BL206" s="17">
        <v>722</v>
      </c>
      <c r="BW206" s="17">
        <f t="shared" si="291"/>
        <v>12</v>
      </c>
      <c r="BX206" s="4" t="s">
        <v>187</v>
      </c>
    </row>
    <row r="207" spans="1:76" x14ac:dyDescent="0.25">
      <c r="A207" s="1" t="s">
        <v>764</v>
      </c>
      <c r="B207" s="2" t="s">
        <v>196</v>
      </c>
      <c r="C207" s="2" t="s">
        <v>188</v>
      </c>
      <c r="D207" s="83" t="s">
        <v>189</v>
      </c>
      <c r="E207" s="84"/>
      <c r="F207" s="2" t="s">
        <v>31</v>
      </c>
      <c r="G207" s="17" t="e">
        <f>'Rozpočet - vybrané sloupce'!#REF!</f>
        <v>#REF!</v>
      </c>
      <c r="H207" s="17" t="e">
        <f>'Rozpočet - vybrané sloupce'!#REF!</f>
        <v>#REF!</v>
      </c>
      <c r="I207" s="74">
        <v>12</v>
      </c>
      <c r="J207" s="17" t="e">
        <f t="shared" si="264"/>
        <v>#REF!</v>
      </c>
      <c r="K207" s="17" t="e">
        <f t="shared" si="265"/>
        <v>#REF!</v>
      </c>
      <c r="L207" s="17" t="e">
        <f t="shared" si="266"/>
        <v>#REF!</v>
      </c>
      <c r="M207" s="17" t="e">
        <f t="shared" si="267"/>
        <v>#REF!</v>
      </c>
      <c r="N207" s="17">
        <v>0</v>
      </c>
      <c r="O207" s="17" t="e">
        <f t="shared" si="268"/>
        <v>#REF!</v>
      </c>
      <c r="P207" s="75" t="s">
        <v>576</v>
      </c>
      <c r="Z207" s="17">
        <f t="shared" si="269"/>
        <v>0</v>
      </c>
      <c r="AB207" s="17">
        <f t="shared" si="270"/>
        <v>0</v>
      </c>
      <c r="AC207" s="17">
        <f t="shared" si="271"/>
        <v>0</v>
      </c>
      <c r="AD207" s="17" t="e">
        <f t="shared" si="272"/>
        <v>#REF!</v>
      </c>
      <c r="AE207" s="17" t="e">
        <f t="shared" si="273"/>
        <v>#REF!</v>
      </c>
      <c r="AF207" s="17">
        <f t="shared" si="274"/>
        <v>0</v>
      </c>
      <c r="AG207" s="17">
        <f t="shared" si="275"/>
        <v>0</v>
      </c>
      <c r="AH207" s="17">
        <f t="shared" si="276"/>
        <v>0</v>
      </c>
      <c r="AI207" s="14" t="s">
        <v>196</v>
      </c>
      <c r="AJ207" s="17">
        <f t="shared" si="277"/>
        <v>0</v>
      </c>
      <c r="AK207" s="17" t="e">
        <f t="shared" si="278"/>
        <v>#REF!</v>
      </c>
      <c r="AL207" s="17">
        <f t="shared" si="279"/>
        <v>0</v>
      </c>
      <c r="AN207" s="17">
        <v>12</v>
      </c>
      <c r="AO207" s="17" t="e">
        <f>H207*0.016934866</f>
        <v>#REF!</v>
      </c>
      <c r="AP207" s="17" t="e">
        <f>H207*(1-0.016934866)</f>
        <v>#REF!</v>
      </c>
      <c r="AQ207" s="76" t="s">
        <v>577</v>
      </c>
      <c r="AV207" s="17" t="e">
        <f t="shared" si="282"/>
        <v>#REF!</v>
      </c>
      <c r="AW207" s="17" t="e">
        <f t="shared" si="283"/>
        <v>#REF!</v>
      </c>
      <c r="AX207" s="17" t="e">
        <f t="shared" si="284"/>
        <v>#REF!</v>
      </c>
      <c r="AY207" s="76" t="s">
        <v>677</v>
      </c>
      <c r="AZ207" s="76" t="s">
        <v>729</v>
      </c>
      <c r="BA207" s="14" t="s">
        <v>721</v>
      </c>
      <c r="BC207" s="17" t="e">
        <f t="shared" si="285"/>
        <v>#REF!</v>
      </c>
      <c r="BD207" s="17" t="e">
        <f t="shared" si="286"/>
        <v>#REF!</v>
      </c>
      <c r="BE207" s="17">
        <v>0</v>
      </c>
      <c r="BF207" s="17" t="e">
        <f t="shared" si="287"/>
        <v>#REF!</v>
      </c>
      <c r="BH207" s="17" t="e">
        <f t="shared" si="288"/>
        <v>#REF!</v>
      </c>
      <c r="BI207" s="17" t="e">
        <f t="shared" si="289"/>
        <v>#REF!</v>
      </c>
      <c r="BJ207" s="17" t="e">
        <f t="shared" si="290"/>
        <v>#REF!</v>
      </c>
      <c r="BK207" s="17"/>
      <c r="BL207" s="17">
        <v>722</v>
      </c>
      <c r="BW207" s="17">
        <f t="shared" si="291"/>
        <v>12</v>
      </c>
      <c r="BX207" s="4" t="s">
        <v>189</v>
      </c>
    </row>
    <row r="208" spans="1:76" x14ac:dyDescent="0.25">
      <c r="A208" s="1" t="s">
        <v>765</v>
      </c>
      <c r="B208" s="2" t="s">
        <v>196</v>
      </c>
      <c r="C208" s="2" t="s">
        <v>208</v>
      </c>
      <c r="D208" s="83" t="s">
        <v>209</v>
      </c>
      <c r="E208" s="84"/>
      <c r="F208" s="2" t="s">
        <v>31</v>
      </c>
      <c r="G208" s="17" t="e">
        <f>'Rozpočet - vybrané sloupce'!#REF!</f>
        <v>#REF!</v>
      </c>
      <c r="H208" s="17" t="e">
        <f>'Rozpočet - vybrané sloupce'!#REF!</f>
        <v>#REF!</v>
      </c>
      <c r="I208" s="74">
        <v>12</v>
      </c>
      <c r="J208" s="17" t="e">
        <f t="shared" si="264"/>
        <v>#REF!</v>
      </c>
      <c r="K208" s="17" t="e">
        <f t="shared" si="265"/>
        <v>#REF!</v>
      </c>
      <c r="L208" s="17" t="e">
        <f t="shared" si="266"/>
        <v>#REF!</v>
      </c>
      <c r="M208" s="17" t="e">
        <f t="shared" si="267"/>
        <v>#REF!</v>
      </c>
      <c r="N208" s="17">
        <v>0</v>
      </c>
      <c r="O208" s="17" t="e">
        <f t="shared" si="268"/>
        <v>#REF!</v>
      </c>
      <c r="P208" s="75" t="s">
        <v>576</v>
      </c>
      <c r="Z208" s="17">
        <f t="shared" si="269"/>
        <v>0</v>
      </c>
      <c r="AB208" s="17">
        <f t="shared" si="270"/>
        <v>0</v>
      </c>
      <c r="AC208" s="17">
        <f t="shared" si="271"/>
        <v>0</v>
      </c>
      <c r="AD208" s="17" t="e">
        <f t="shared" si="272"/>
        <v>#REF!</v>
      </c>
      <c r="AE208" s="17" t="e">
        <f t="shared" si="273"/>
        <v>#REF!</v>
      </c>
      <c r="AF208" s="17">
        <f t="shared" si="274"/>
        <v>0</v>
      </c>
      <c r="AG208" s="17">
        <f t="shared" si="275"/>
        <v>0</v>
      </c>
      <c r="AH208" s="17">
        <f t="shared" si="276"/>
        <v>0</v>
      </c>
      <c r="AI208" s="14" t="s">
        <v>196</v>
      </c>
      <c r="AJ208" s="17">
        <f t="shared" si="277"/>
        <v>0</v>
      </c>
      <c r="AK208" s="17" t="e">
        <f t="shared" si="278"/>
        <v>#REF!</v>
      </c>
      <c r="AL208" s="17">
        <f t="shared" si="279"/>
        <v>0</v>
      </c>
      <c r="AN208" s="17">
        <v>12</v>
      </c>
      <c r="AO208" s="17" t="e">
        <f>H208*0.019774648</f>
        <v>#REF!</v>
      </c>
      <c r="AP208" s="17" t="e">
        <f>H208*(1-0.019774648)</f>
        <v>#REF!</v>
      </c>
      <c r="AQ208" s="76" t="s">
        <v>577</v>
      </c>
      <c r="AV208" s="17" t="e">
        <f t="shared" si="282"/>
        <v>#REF!</v>
      </c>
      <c r="AW208" s="17" t="e">
        <f t="shared" si="283"/>
        <v>#REF!</v>
      </c>
      <c r="AX208" s="17" t="e">
        <f t="shared" si="284"/>
        <v>#REF!</v>
      </c>
      <c r="AY208" s="76" t="s">
        <v>677</v>
      </c>
      <c r="AZ208" s="76" t="s">
        <v>729</v>
      </c>
      <c r="BA208" s="14" t="s">
        <v>721</v>
      </c>
      <c r="BC208" s="17" t="e">
        <f t="shared" si="285"/>
        <v>#REF!</v>
      </c>
      <c r="BD208" s="17" t="e">
        <f t="shared" si="286"/>
        <v>#REF!</v>
      </c>
      <c r="BE208" s="17">
        <v>0</v>
      </c>
      <c r="BF208" s="17" t="e">
        <f t="shared" si="287"/>
        <v>#REF!</v>
      </c>
      <c r="BH208" s="17" t="e">
        <f t="shared" si="288"/>
        <v>#REF!</v>
      </c>
      <c r="BI208" s="17" t="e">
        <f t="shared" si="289"/>
        <v>#REF!</v>
      </c>
      <c r="BJ208" s="17" t="e">
        <f t="shared" si="290"/>
        <v>#REF!</v>
      </c>
      <c r="BK208" s="17"/>
      <c r="BL208" s="17">
        <v>722</v>
      </c>
      <c r="BW208" s="17">
        <f t="shared" si="291"/>
        <v>12</v>
      </c>
      <c r="BX208" s="4" t="s">
        <v>209</v>
      </c>
    </row>
    <row r="209" spans="1:76" x14ac:dyDescent="0.25">
      <c r="A209" s="1" t="s">
        <v>766</v>
      </c>
      <c r="B209" s="2" t="s">
        <v>196</v>
      </c>
      <c r="C209" s="2" t="s">
        <v>190</v>
      </c>
      <c r="D209" s="83" t="s">
        <v>191</v>
      </c>
      <c r="E209" s="84"/>
      <c r="F209" s="2" t="s">
        <v>31</v>
      </c>
      <c r="G209" s="17" t="e">
        <f>'Rozpočet - vybrané sloupce'!#REF!</f>
        <v>#REF!</v>
      </c>
      <c r="H209" s="17" t="e">
        <f>'Rozpočet - vybrané sloupce'!#REF!</f>
        <v>#REF!</v>
      </c>
      <c r="I209" s="74">
        <v>12</v>
      </c>
      <c r="J209" s="17" t="e">
        <f t="shared" si="264"/>
        <v>#REF!</v>
      </c>
      <c r="K209" s="17" t="e">
        <f t="shared" si="265"/>
        <v>#REF!</v>
      </c>
      <c r="L209" s="17" t="e">
        <f t="shared" si="266"/>
        <v>#REF!</v>
      </c>
      <c r="M209" s="17" t="e">
        <f t="shared" si="267"/>
        <v>#REF!</v>
      </c>
      <c r="N209" s="17">
        <v>0</v>
      </c>
      <c r="O209" s="17" t="e">
        <f t="shared" si="268"/>
        <v>#REF!</v>
      </c>
      <c r="P209" s="75" t="s">
        <v>576</v>
      </c>
      <c r="Z209" s="17">
        <f t="shared" si="269"/>
        <v>0</v>
      </c>
      <c r="AB209" s="17">
        <f t="shared" si="270"/>
        <v>0</v>
      </c>
      <c r="AC209" s="17">
        <f t="shared" si="271"/>
        <v>0</v>
      </c>
      <c r="AD209" s="17" t="e">
        <f t="shared" si="272"/>
        <v>#REF!</v>
      </c>
      <c r="AE209" s="17" t="e">
        <f t="shared" si="273"/>
        <v>#REF!</v>
      </c>
      <c r="AF209" s="17">
        <f t="shared" si="274"/>
        <v>0</v>
      </c>
      <c r="AG209" s="17">
        <f t="shared" si="275"/>
        <v>0</v>
      </c>
      <c r="AH209" s="17">
        <f t="shared" si="276"/>
        <v>0</v>
      </c>
      <c r="AI209" s="14" t="s">
        <v>196</v>
      </c>
      <c r="AJ209" s="17">
        <f t="shared" si="277"/>
        <v>0</v>
      </c>
      <c r="AK209" s="17" t="e">
        <f t="shared" si="278"/>
        <v>#REF!</v>
      </c>
      <c r="AL209" s="17">
        <f t="shared" si="279"/>
        <v>0</v>
      </c>
      <c r="AN209" s="17">
        <v>12</v>
      </c>
      <c r="AO209" s="17" t="e">
        <f>H209*0.018285714</f>
        <v>#REF!</v>
      </c>
      <c r="AP209" s="17" t="e">
        <f>H209*(1-0.018285714)</f>
        <v>#REF!</v>
      </c>
      <c r="AQ209" s="76" t="s">
        <v>577</v>
      </c>
      <c r="AV209" s="17" t="e">
        <f t="shared" si="282"/>
        <v>#REF!</v>
      </c>
      <c r="AW209" s="17" t="e">
        <f t="shared" si="283"/>
        <v>#REF!</v>
      </c>
      <c r="AX209" s="17" t="e">
        <f t="shared" si="284"/>
        <v>#REF!</v>
      </c>
      <c r="AY209" s="76" t="s">
        <v>677</v>
      </c>
      <c r="AZ209" s="76" t="s">
        <v>729</v>
      </c>
      <c r="BA209" s="14" t="s">
        <v>721</v>
      </c>
      <c r="BC209" s="17" t="e">
        <f t="shared" si="285"/>
        <v>#REF!</v>
      </c>
      <c r="BD209" s="17" t="e">
        <f t="shared" si="286"/>
        <v>#REF!</v>
      </c>
      <c r="BE209" s="17">
        <v>0</v>
      </c>
      <c r="BF209" s="17" t="e">
        <f t="shared" si="287"/>
        <v>#REF!</v>
      </c>
      <c r="BH209" s="17" t="e">
        <f t="shared" si="288"/>
        <v>#REF!</v>
      </c>
      <c r="BI209" s="17" t="e">
        <f t="shared" si="289"/>
        <v>#REF!</v>
      </c>
      <c r="BJ209" s="17" t="e">
        <f t="shared" si="290"/>
        <v>#REF!</v>
      </c>
      <c r="BK209" s="17"/>
      <c r="BL209" s="17">
        <v>722</v>
      </c>
      <c r="BW209" s="17">
        <f t="shared" si="291"/>
        <v>12</v>
      </c>
      <c r="BX209" s="4" t="s">
        <v>191</v>
      </c>
    </row>
    <row r="210" spans="1:76" x14ac:dyDescent="0.25">
      <c r="A210" s="1" t="s">
        <v>767</v>
      </c>
      <c r="B210" s="2" t="s">
        <v>196</v>
      </c>
      <c r="C210" s="2" t="s">
        <v>192</v>
      </c>
      <c r="D210" s="83" t="s">
        <v>193</v>
      </c>
      <c r="E210" s="84"/>
      <c r="F210" s="2" t="s">
        <v>88</v>
      </c>
      <c r="G210" s="17">
        <f>'Rozpočet - vybrané sloupce'!J170</f>
        <v>0.1</v>
      </c>
      <c r="H210" s="17">
        <f>'Rozpočet - vybrané sloupce'!K170</f>
        <v>0</v>
      </c>
      <c r="I210" s="74">
        <v>12</v>
      </c>
      <c r="J210" s="17">
        <f t="shared" si="264"/>
        <v>0</v>
      </c>
      <c r="K210" s="17">
        <f t="shared" si="265"/>
        <v>0</v>
      </c>
      <c r="L210" s="17">
        <f t="shared" si="266"/>
        <v>0</v>
      </c>
      <c r="M210" s="17">
        <f t="shared" si="267"/>
        <v>0</v>
      </c>
      <c r="N210" s="17">
        <v>0</v>
      </c>
      <c r="O210" s="17">
        <f t="shared" si="268"/>
        <v>0</v>
      </c>
      <c r="P210" s="75" t="s">
        <v>576</v>
      </c>
      <c r="Z210" s="17">
        <f t="shared" si="269"/>
        <v>0</v>
      </c>
      <c r="AB210" s="17">
        <f t="shared" si="270"/>
        <v>0</v>
      </c>
      <c r="AC210" s="17">
        <f t="shared" si="271"/>
        <v>0</v>
      </c>
      <c r="AD210" s="17">
        <f t="shared" si="272"/>
        <v>0</v>
      </c>
      <c r="AE210" s="17">
        <f t="shared" si="273"/>
        <v>0</v>
      </c>
      <c r="AF210" s="17">
        <f t="shared" si="274"/>
        <v>0</v>
      </c>
      <c r="AG210" s="17">
        <f t="shared" si="275"/>
        <v>0</v>
      </c>
      <c r="AH210" s="17">
        <f t="shared" si="276"/>
        <v>0</v>
      </c>
      <c r="AI210" s="14" t="s">
        <v>196</v>
      </c>
      <c r="AJ210" s="17">
        <f t="shared" si="277"/>
        <v>0</v>
      </c>
      <c r="AK210" s="17">
        <f t="shared" si="278"/>
        <v>0</v>
      </c>
      <c r="AL210" s="17">
        <f t="shared" si="279"/>
        <v>0</v>
      </c>
      <c r="AN210" s="17">
        <v>12</v>
      </c>
      <c r="AO210" s="17">
        <f>H210*0</f>
        <v>0</v>
      </c>
      <c r="AP210" s="17">
        <f>H210*(1-0)</f>
        <v>0</v>
      </c>
      <c r="AQ210" s="76" t="s">
        <v>577</v>
      </c>
      <c r="AV210" s="17">
        <f t="shared" si="282"/>
        <v>0</v>
      </c>
      <c r="AW210" s="17">
        <f t="shared" si="283"/>
        <v>0</v>
      </c>
      <c r="AX210" s="17">
        <f t="shared" si="284"/>
        <v>0</v>
      </c>
      <c r="AY210" s="76" t="s">
        <v>677</v>
      </c>
      <c r="AZ210" s="76" t="s">
        <v>729</v>
      </c>
      <c r="BA210" s="14" t="s">
        <v>721</v>
      </c>
      <c r="BC210" s="17">
        <f t="shared" si="285"/>
        <v>0</v>
      </c>
      <c r="BD210" s="17">
        <f t="shared" si="286"/>
        <v>0</v>
      </c>
      <c r="BE210" s="17">
        <v>0</v>
      </c>
      <c r="BF210" s="17">
        <f t="shared" si="287"/>
        <v>0</v>
      </c>
      <c r="BH210" s="17">
        <f t="shared" si="288"/>
        <v>0</v>
      </c>
      <c r="BI210" s="17">
        <f t="shared" si="289"/>
        <v>0</v>
      </c>
      <c r="BJ210" s="17">
        <f t="shared" si="290"/>
        <v>0</v>
      </c>
      <c r="BK210" s="17"/>
      <c r="BL210" s="17">
        <v>722</v>
      </c>
      <c r="BW210" s="17">
        <f t="shared" si="291"/>
        <v>12</v>
      </c>
      <c r="BX210" s="4" t="s">
        <v>193</v>
      </c>
    </row>
    <row r="211" spans="1:76" x14ac:dyDescent="0.25">
      <c r="A211" s="1" t="s">
        <v>768</v>
      </c>
      <c r="B211" s="2" t="s">
        <v>196</v>
      </c>
      <c r="C211" s="2" t="s">
        <v>194</v>
      </c>
      <c r="D211" s="83" t="s">
        <v>195</v>
      </c>
      <c r="E211" s="84"/>
      <c r="F211" s="2" t="s">
        <v>45</v>
      </c>
      <c r="G211" s="17">
        <f>'Rozpočet - vybrané sloupce'!J171</f>
        <v>0</v>
      </c>
      <c r="H211" s="17">
        <f>'Rozpočet - vybrané sloupce'!K171</f>
        <v>0</v>
      </c>
      <c r="I211" s="74">
        <v>12</v>
      </c>
      <c r="J211" s="17">
        <f t="shared" si="264"/>
        <v>0</v>
      </c>
      <c r="K211" s="17">
        <f t="shared" si="265"/>
        <v>0</v>
      </c>
      <c r="L211" s="17">
        <f t="shared" si="266"/>
        <v>0</v>
      </c>
      <c r="M211" s="17">
        <f t="shared" si="267"/>
        <v>0</v>
      </c>
      <c r="N211" s="17">
        <v>0</v>
      </c>
      <c r="O211" s="17">
        <f t="shared" si="268"/>
        <v>0</v>
      </c>
      <c r="P211" s="75" t="s">
        <v>576</v>
      </c>
      <c r="Z211" s="17">
        <f t="shared" si="269"/>
        <v>0</v>
      </c>
      <c r="AB211" s="17">
        <f t="shared" si="270"/>
        <v>0</v>
      </c>
      <c r="AC211" s="17">
        <f t="shared" si="271"/>
        <v>0</v>
      </c>
      <c r="AD211" s="17">
        <f t="shared" si="272"/>
        <v>0</v>
      </c>
      <c r="AE211" s="17">
        <f t="shared" si="273"/>
        <v>0</v>
      </c>
      <c r="AF211" s="17">
        <f t="shared" si="274"/>
        <v>0</v>
      </c>
      <c r="AG211" s="17">
        <f t="shared" si="275"/>
        <v>0</v>
      </c>
      <c r="AH211" s="17">
        <f t="shared" si="276"/>
        <v>0</v>
      </c>
      <c r="AI211" s="14" t="s">
        <v>196</v>
      </c>
      <c r="AJ211" s="17">
        <f t="shared" si="277"/>
        <v>0</v>
      </c>
      <c r="AK211" s="17">
        <f t="shared" si="278"/>
        <v>0</v>
      </c>
      <c r="AL211" s="17">
        <f t="shared" si="279"/>
        <v>0</v>
      </c>
      <c r="AN211" s="17">
        <v>12</v>
      </c>
      <c r="AO211" s="17">
        <f>H211*0</f>
        <v>0</v>
      </c>
      <c r="AP211" s="17">
        <f>H211*(1-0)</f>
        <v>0</v>
      </c>
      <c r="AQ211" s="76" t="s">
        <v>585</v>
      </c>
      <c r="AV211" s="17">
        <f t="shared" si="282"/>
        <v>0</v>
      </c>
      <c r="AW211" s="17">
        <f t="shared" si="283"/>
        <v>0</v>
      </c>
      <c r="AX211" s="17">
        <f t="shared" si="284"/>
        <v>0</v>
      </c>
      <c r="AY211" s="76" t="s">
        <v>677</v>
      </c>
      <c r="AZ211" s="76" t="s">
        <v>729</v>
      </c>
      <c r="BA211" s="14" t="s">
        <v>721</v>
      </c>
      <c r="BC211" s="17">
        <f t="shared" si="285"/>
        <v>0</v>
      </c>
      <c r="BD211" s="17">
        <f t="shared" si="286"/>
        <v>0</v>
      </c>
      <c r="BE211" s="17">
        <v>0</v>
      </c>
      <c r="BF211" s="17">
        <f t="shared" si="287"/>
        <v>0</v>
      </c>
      <c r="BH211" s="17">
        <f t="shared" si="288"/>
        <v>0</v>
      </c>
      <c r="BI211" s="17">
        <f t="shared" si="289"/>
        <v>0</v>
      </c>
      <c r="BJ211" s="17">
        <f t="shared" si="290"/>
        <v>0</v>
      </c>
      <c r="BK211" s="17"/>
      <c r="BL211" s="17">
        <v>722</v>
      </c>
      <c r="BW211" s="17">
        <f t="shared" si="291"/>
        <v>12</v>
      </c>
      <c r="BX211" s="4" t="s">
        <v>195</v>
      </c>
    </row>
    <row r="212" spans="1:76" x14ac:dyDescent="0.25">
      <c r="A212" s="71" t="s">
        <v>25</v>
      </c>
      <c r="B212" s="13" t="s">
        <v>210</v>
      </c>
      <c r="C212" s="13" t="s">
        <v>25</v>
      </c>
      <c r="D212" s="135" t="s">
        <v>211</v>
      </c>
      <c r="E212" s="136"/>
      <c r="F212" s="72" t="s">
        <v>23</v>
      </c>
      <c r="G212" s="72" t="s">
        <v>23</v>
      </c>
      <c r="H212" s="72" t="s">
        <v>23</v>
      </c>
      <c r="I212" s="72" t="s">
        <v>23</v>
      </c>
      <c r="J212" s="47" t="e">
        <f>J213+J220</f>
        <v>#REF!</v>
      </c>
      <c r="K212" s="47" t="e">
        <f>K213+K220</f>
        <v>#REF!</v>
      </c>
      <c r="L212" s="47" t="e">
        <f>L213+L220</f>
        <v>#REF!</v>
      </c>
      <c r="M212" s="47" t="e">
        <f>M213+M220</f>
        <v>#REF!</v>
      </c>
      <c r="N212" s="14" t="s">
        <v>25</v>
      </c>
      <c r="O212" s="47" t="e">
        <f>O213+O220</f>
        <v>#REF!</v>
      </c>
      <c r="P212" s="73" t="s">
        <v>25</v>
      </c>
    </row>
    <row r="213" spans="1:76" x14ac:dyDescent="0.25">
      <c r="A213" s="71" t="s">
        <v>25</v>
      </c>
      <c r="B213" s="13" t="s">
        <v>210</v>
      </c>
      <c r="C213" s="13" t="s">
        <v>52</v>
      </c>
      <c r="D213" s="135" t="s">
        <v>53</v>
      </c>
      <c r="E213" s="136"/>
      <c r="F213" s="72" t="s">
        <v>23</v>
      </c>
      <c r="G213" s="72" t="s">
        <v>23</v>
      </c>
      <c r="H213" s="72" t="s">
        <v>23</v>
      </c>
      <c r="I213" s="72" t="s">
        <v>23</v>
      </c>
      <c r="J213" s="47">
        <f>SUM(J214:J219)</f>
        <v>0</v>
      </c>
      <c r="K213" s="47">
        <f>SUM(K214:K219)</f>
        <v>0</v>
      </c>
      <c r="L213" s="47">
        <f>SUM(L214:L219)</f>
        <v>0</v>
      </c>
      <c r="M213" s="47">
        <f>SUM(M214:M219)</f>
        <v>0</v>
      </c>
      <c r="N213" s="14" t="s">
        <v>25</v>
      </c>
      <c r="O213" s="47">
        <f>SUM(O214:O219)</f>
        <v>0</v>
      </c>
      <c r="P213" s="73" t="s">
        <v>25</v>
      </c>
      <c r="AI213" s="14" t="s">
        <v>210</v>
      </c>
      <c r="AS213" s="47">
        <f>SUM(AJ214:AJ219)</f>
        <v>0</v>
      </c>
      <c r="AT213" s="47">
        <f>SUM(AK214:AK219)</f>
        <v>0</v>
      </c>
      <c r="AU213" s="47">
        <f>SUM(AL214:AL219)</f>
        <v>0</v>
      </c>
    </row>
    <row r="214" spans="1:76" x14ac:dyDescent="0.25">
      <c r="A214" s="1" t="s">
        <v>769</v>
      </c>
      <c r="B214" s="2" t="s">
        <v>210</v>
      </c>
      <c r="C214" s="2" t="s">
        <v>101</v>
      </c>
      <c r="D214" s="83" t="s">
        <v>102</v>
      </c>
      <c r="E214" s="84"/>
      <c r="F214" s="2" t="s">
        <v>35</v>
      </c>
      <c r="G214" s="17">
        <f>'Rozpočet - vybrané sloupce'!J174</f>
        <v>4</v>
      </c>
      <c r="H214" s="17">
        <f>'Rozpočet - vybrané sloupce'!K174</f>
        <v>0</v>
      </c>
      <c r="I214" s="74">
        <v>12</v>
      </c>
      <c r="J214" s="17">
        <f t="shared" ref="J214:J219" si="292">ROUND(G214*AO214,2)</f>
        <v>0</v>
      </c>
      <c r="K214" s="17">
        <f t="shared" ref="K214:K219" si="293">ROUND(G214*AP214,2)</f>
        <v>0</v>
      </c>
      <c r="L214" s="17">
        <f t="shared" ref="L214:L219" si="294">ROUND(G214*H214,2)</f>
        <v>0</v>
      </c>
      <c r="M214" s="17">
        <f t="shared" ref="M214:M219" si="295">L214*(1+BW214/100)</f>
        <v>0</v>
      </c>
      <c r="N214" s="17">
        <v>0</v>
      </c>
      <c r="O214" s="17">
        <f t="shared" ref="O214:O219" si="296">G214*N214</f>
        <v>0</v>
      </c>
      <c r="P214" s="75" t="s">
        <v>576</v>
      </c>
      <c r="Z214" s="17">
        <f t="shared" ref="Z214:Z219" si="297">ROUND(IF(AQ214="5",BJ214,0),2)</f>
        <v>0</v>
      </c>
      <c r="AB214" s="17">
        <f t="shared" ref="AB214:AB219" si="298">ROUND(IF(AQ214="1",BH214,0),2)</f>
        <v>0</v>
      </c>
      <c r="AC214" s="17">
        <f t="shared" ref="AC214:AC219" si="299">ROUND(IF(AQ214="1",BI214,0),2)</f>
        <v>0</v>
      </c>
      <c r="AD214" s="17">
        <f t="shared" ref="AD214:AD219" si="300">ROUND(IF(AQ214="7",BH214,0),2)</f>
        <v>0</v>
      </c>
      <c r="AE214" s="17">
        <f t="shared" ref="AE214:AE219" si="301">ROUND(IF(AQ214="7",BI214,0),2)</f>
        <v>0</v>
      </c>
      <c r="AF214" s="17">
        <f t="shared" ref="AF214:AF219" si="302">ROUND(IF(AQ214="2",BH214,0),2)</f>
        <v>0</v>
      </c>
      <c r="AG214" s="17">
        <f t="shared" ref="AG214:AG219" si="303">ROUND(IF(AQ214="2",BI214,0),2)</f>
        <v>0</v>
      </c>
      <c r="AH214" s="17">
        <f t="shared" ref="AH214:AH219" si="304">ROUND(IF(AQ214="0",BJ214,0),2)</f>
        <v>0</v>
      </c>
      <c r="AI214" s="14" t="s">
        <v>210</v>
      </c>
      <c r="AJ214" s="17">
        <f t="shared" ref="AJ214:AJ219" si="305">IF(AN214=0,L214,0)</f>
        <v>0</v>
      </c>
      <c r="AK214" s="17">
        <f t="shared" ref="AK214:AK219" si="306">IF(AN214=12,L214,0)</f>
        <v>0</v>
      </c>
      <c r="AL214" s="17">
        <f t="shared" ref="AL214:AL219" si="307">IF(AN214=21,L214,0)</f>
        <v>0</v>
      </c>
      <c r="AN214" s="17">
        <v>12</v>
      </c>
      <c r="AO214" s="17">
        <f>H214*1</f>
        <v>0</v>
      </c>
      <c r="AP214" s="17">
        <f>H214*(1-1)</f>
        <v>0</v>
      </c>
      <c r="AQ214" s="76" t="s">
        <v>577</v>
      </c>
      <c r="AV214" s="17">
        <f t="shared" ref="AV214:AV219" si="308">ROUND(AW214+AX214,2)</f>
        <v>0</v>
      </c>
      <c r="AW214" s="17">
        <f t="shared" ref="AW214:AW219" si="309">ROUND(G214*AO214,2)</f>
        <v>0</v>
      </c>
      <c r="AX214" s="17">
        <f t="shared" ref="AX214:AX219" si="310">ROUND(G214*AP214,2)</f>
        <v>0</v>
      </c>
      <c r="AY214" s="76" t="s">
        <v>603</v>
      </c>
      <c r="AZ214" s="76" t="s">
        <v>770</v>
      </c>
      <c r="BA214" s="14" t="s">
        <v>771</v>
      </c>
      <c r="BC214" s="17">
        <f t="shared" ref="BC214:BC219" si="311">AW214+AX214</f>
        <v>0</v>
      </c>
      <c r="BD214" s="17">
        <f t="shared" ref="BD214:BD219" si="312">H214/(100-BE214)*100</f>
        <v>0</v>
      </c>
      <c r="BE214" s="17">
        <v>0</v>
      </c>
      <c r="BF214" s="17">
        <f t="shared" ref="BF214:BF219" si="313">O214</f>
        <v>0</v>
      </c>
      <c r="BH214" s="17">
        <f t="shared" ref="BH214:BH219" si="314">G214*AO214</f>
        <v>0</v>
      </c>
      <c r="BI214" s="17">
        <f t="shared" ref="BI214:BI219" si="315">G214*AP214</f>
        <v>0</v>
      </c>
      <c r="BJ214" s="17">
        <f t="shared" ref="BJ214:BJ219" si="316">G214*H214</f>
        <v>0</v>
      </c>
      <c r="BK214" s="17"/>
      <c r="BL214" s="17">
        <v>713</v>
      </c>
      <c r="BW214" s="17">
        <f t="shared" ref="BW214:BW219" si="317">I214</f>
        <v>12</v>
      </c>
      <c r="BX214" s="4" t="s">
        <v>102</v>
      </c>
    </row>
    <row r="215" spans="1:76" x14ac:dyDescent="0.25">
      <c r="A215" s="1" t="s">
        <v>772</v>
      </c>
      <c r="B215" s="2" t="s">
        <v>210</v>
      </c>
      <c r="C215" s="2" t="s">
        <v>103</v>
      </c>
      <c r="D215" s="83" t="s">
        <v>104</v>
      </c>
      <c r="E215" s="84"/>
      <c r="F215" s="2" t="s">
        <v>35</v>
      </c>
      <c r="G215" s="17">
        <f>'Rozpočet - vybrané sloupce'!J175</f>
        <v>2</v>
      </c>
      <c r="H215" s="17">
        <f>'Rozpočet - vybrané sloupce'!K175</f>
        <v>0</v>
      </c>
      <c r="I215" s="74">
        <v>12</v>
      </c>
      <c r="J215" s="17">
        <f t="shared" si="292"/>
        <v>0</v>
      </c>
      <c r="K215" s="17">
        <f t="shared" si="293"/>
        <v>0</v>
      </c>
      <c r="L215" s="17">
        <f t="shared" si="294"/>
        <v>0</v>
      </c>
      <c r="M215" s="17">
        <f t="shared" si="295"/>
        <v>0</v>
      </c>
      <c r="N215" s="17">
        <v>0</v>
      </c>
      <c r="O215" s="17">
        <f t="shared" si="296"/>
        <v>0</v>
      </c>
      <c r="P215" s="75" t="s">
        <v>576</v>
      </c>
      <c r="Z215" s="17">
        <f t="shared" si="297"/>
        <v>0</v>
      </c>
      <c r="AB215" s="17">
        <f t="shared" si="298"/>
        <v>0</v>
      </c>
      <c r="AC215" s="17">
        <f t="shared" si="299"/>
        <v>0</v>
      </c>
      <c r="AD215" s="17">
        <f t="shared" si="300"/>
        <v>0</v>
      </c>
      <c r="AE215" s="17">
        <f t="shared" si="301"/>
        <v>0</v>
      </c>
      <c r="AF215" s="17">
        <f t="shared" si="302"/>
        <v>0</v>
      </c>
      <c r="AG215" s="17">
        <f t="shared" si="303"/>
        <v>0</v>
      </c>
      <c r="AH215" s="17">
        <f t="shared" si="304"/>
        <v>0</v>
      </c>
      <c r="AI215" s="14" t="s">
        <v>210</v>
      </c>
      <c r="AJ215" s="17">
        <f t="shared" si="305"/>
        <v>0</v>
      </c>
      <c r="AK215" s="17">
        <f t="shared" si="306"/>
        <v>0</v>
      </c>
      <c r="AL215" s="17">
        <f t="shared" si="307"/>
        <v>0</v>
      </c>
      <c r="AN215" s="17">
        <v>12</v>
      </c>
      <c r="AO215" s="17">
        <f>H215*1</f>
        <v>0</v>
      </c>
      <c r="AP215" s="17">
        <f>H215*(1-1)</f>
        <v>0</v>
      </c>
      <c r="AQ215" s="76" t="s">
        <v>577</v>
      </c>
      <c r="AV215" s="17">
        <f t="shared" si="308"/>
        <v>0</v>
      </c>
      <c r="AW215" s="17">
        <f t="shared" si="309"/>
        <v>0</v>
      </c>
      <c r="AX215" s="17">
        <f t="shared" si="310"/>
        <v>0</v>
      </c>
      <c r="AY215" s="76" t="s">
        <v>603</v>
      </c>
      <c r="AZ215" s="76" t="s">
        <v>770</v>
      </c>
      <c r="BA215" s="14" t="s">
        <v>771</v>
      </c>
      <c r="BC215" s="17">
        <f t="shared" si="311"/>
        <v>0</v>
      </c>
      <c r="BD215" s="17">
        <f t="shared" si="312"/>
        <v>0</v>
      </c>
      <c r="BE215" s="17">
        <v>0</v>
      </c>
      <c r="BF215" s="17">
        <f t="shared" si="313"/>
        <v>0</v>
      </c>
      <c r="BH215" s="17">
        <f t="shared" si="314"/>
        <v>0</v>
      </c>
      <c r="BI215" s="17">
        <f t="shared" si="315"/>
        <v>0</v>
      </c>
      <c r="BJ215" s="17">
        <f t="shared" si="316"/>
        <v>0</v>
      </c>
      <c r="BK215" s="17"/>
      <c r="BL215" s="17">
        <v>713</v>
      </c>
      <c r="BW215" s="17">
        <f t="shared" si="317"/>
        <v>12</v>
      </c>
      <c r="BX215" s="4" t="s">
        <v>104</v>
      </c>
    </row>
    <row r="216" spans="1:76" x14ac:dyDescent="0.25">
      <c r="A216" s="1" t="s">
        <v>773</v>
      </c>
      <c r="B216" s="2" t="s">
        <v>210</v>
      </c>
      <c r="C216" s="2" t="s">
        <v>105</v>
      </c>
      <c r="D216" s="83" t="s">
        <v>106</v>
      </c>
      <c r="E216" s="84"/>
      <c r="F216" s="2" t="s">
        <v>35</v>
      </c>
      <c r="G216" s="17">
        <f>'Rozpočet - vybrané sloupce'!J176</f>
        <v>2</v>
      </c>
      <c r="H216" s="17">
        <f>'Rozpočet - vybrané sloupce'!K176</f>
        <v>0</v>
      </c>
      <c r="I216" s="74">
        <v>12</v>
      </c>
      <c r="J216" s="17">
        <f t="shared" si="292"/>
        <v>0</v>
      </c>
      <c r="K216" s="17">
        <f t="shared" si="293"/>
        <v>0</v>
      </c>
      <c r="L216" s="17">
        <f t="shared" si="294"/>
        <v>0</v>
      </c>
      <c r="M216" s="17">
        <f t="shared" si="295"/>
        <v>0</v>
      </c>
      <c r="N216" s="17">
        <v>0</v>
      </c>
      <c r="O216" s="17">
        <f t="shared" si="296"/>
        <v>0</v>
      </c>
      <c r="P216" s="75" t="s">
        <v>576</v>
      </c>
      <c r="Z216" s="17">
        <f t="shared" si="297"/>
        <v>0</v>
      </c>
      <c r="AB216" s="17">
        <f t="shared" si="298"/>
        <v>0</v>
      </c>
      <c r="AC216" s="17">
        <f t="shared" si="299"/>
        <v>0</v>
      </c>
      <c r="AD216" s="17">
        <f t="shared" si="300"/>
        <v>0</v>
      </c>
      <c r="AE216" s="17">
        <f t="shared" si="301"/>
        <v>0</v>
      </c>
      <c r="AF216" s="17">
        <f t="shared" si="302"/>
        <v>0</v>
      </c>
      <c r="AG216" s="17">
        <f t="shared" si="303"/>
        <v>0</v>
      </c>
      <c r="AH216" s="17">
        <f t="shared" si="304"/>
        <v>0</v>
      </c>
      <c r="AI216" s="14" t="s">
        <v>210</v>
      </c>
      <c r="AJ216" s="17">
        <f t="shared" si="305"/>
        <v>0</v>
      </c>
      <c r="AK216" s="17">
        <f t="shared" si="306"/>
        <v>0</v>
      </c>
      <c r="AL216" s="17">
        <f t="shared" si="307"/>
        <v>0</v>
      </c>
      <c r="AN216" s="17">
        <v>12</v>
      </c>
      <c r="AO216" s="17">
        <f>H216*1</f>
        <v>0</v>
      </c>
      <c r="AP216" s="17">
        <f>H216*(1-1)</f>
        <v>0</v>
      </c>
      <c r="AQ216" s="76" t="s">
        <v>577</v>
      </c>
      <c r="AV216" s="17">
        <f t="shared" si="308"/>
        <v>0</v>
      </c>
      <c r="AW216" s="17">
        <f t="shared" si="309"/>
        <v>0</v>
      </c>
      <c r="AX216" s="17">
        <f t="shared" si="310"/>
        <v>0</v>
      </c>
      <c r="AY216" s="76" t="s">
        <v>603</v>
      </c>
      <c r="AZ216" s="76" t="s">
        <v>770</v>
      </c>
      <c r="BA216" s="14" t="s">
        <v>771</v>
      </c>
      <c r="BC216" s="17">
        <f t="shared" si="311"/>
        <v>0</v>
      </c>
      <c r="BD216" s="17">
        <f t="shared" si="312"/>
        <v>0</v>
      </c>
      <c r="BE216" s="17">
        <v>0</v>
      </c>
      <c r="BF216" s="17">
        <f t="shared" si="313"/>
        <v>0</v>
      </c>
      <c r="BH216" s="17">
        <f t="shared" si="314"/>
        <v>0</v>
      </c>
      <c r="BI216" s="17">
        <f t="shared" si="315"/>
        <v>0</v>
      </c>
      <c r="BJ216" s="17">
        <f t="shared" si="316"/>
        <v>0</v>
      </c>
      <c r="BK216" s="17"/>
      <c r="BL216" s="17">
        <v>713</v>
      </c>
      <c r="BW216" s="17">
        <f t="shared" si="317"/>
        <v>12</v>
      </c>
      <c r="BX216" s="4" t="s">
        <v>106</v>
      </c>
    </row>
    <row r="217" spans="1:76" x14ac:dyDescent="0.25">
      <c r="A217" s="1" t="s">
        <v>774</v>
      </c>
      <c r="B217" s="2" t="s">
        <v>210</v>
      </c>
      <c r="C217" s="2" t="s">
        <v>198</v>
      </c>
      <c r="D217" s="83" t="s">
        <v>199</v>
      </c>
      <c r="E217" s="84"/>
      <c r="F217" s="2" t="s">
        <v>35</v>
      </c>
      <c r="G217" s="17">
        <f>'Rozpočet - vybrané sloupce'!J177</f>
        <v>2</v>
      </c>
      <c r="H217" s="17">
        <f>'Rozpočet - vybrané sloupce'!K177</f>
        <v>0</v>
      </c>
      <c r="I217" s="74">
        <v>12</v>
      </c>
      <c r="J217" s="17">
        <f t="shared" si="292"/>
        <v>0</v>
      </c>
      <c r="K217" s="17">
        <f t="shared" si="293"/>
        <v>0</v>
      </c>
      <c r="L217" s="17">
        <f t="shared" si="294"/>
        <v>0</v>
      </c>
      <c r="M217" s="17">
        <f t="shared" si="295"/>
        <v>0</v>
      </c>
      <c r="N217" s="17">
        <v>0</v>
      </c>
      <c r="O217" s="17">
        <f t="shared" si="296"/>
        <v>0</v>
      </c>
      <c r="P217" s="75" t="s">
        <v>576</v>
      </c>
      <c r="Z217" s="17">
        <f t="shared" si="297"/>
        <v>0</v>
      </c>
      <c r="AB217" s="17">
        <f t="shared" si="298"/>
        <v>0</v>
      </c>
      <c r="AC217" s="17">
        <f t="shared" si="299"/>
        <v>0</v>
      </c>
      <c r="AD217" s="17">
        <f t="shared" si="300"/>
        <v>0</v>
      </c>
      <c r="AE217" s="17">
        <f t="shared" si="301"/>
        <v>0</v>
      </c>
      <c r="AF217" s="17">
        <f t="shared" si="302"/>
        <v>0</v>
      </c>
      <c r="AG217" s="17">
        <f t="shared" si="303"/>
        <v>0</v>
      </c>
      <c r="AH217" s="17">
        <f t="shared" si="304"/>
        <v>0</v>
      </c>
      <c r="AI217" s="14" t="s">
        <v>210</v>
      </c>
      <c r="AJ217" s="17">
        <f t="shared" si="305"/>
        <v>0</v>
      </c>
      <c r="AK217" s="17">
        <f t="shared" si="306"/>
        <v>0</v>
      </c>
      <c r="AL217" s="17">
        <f t="shared" si="307"/>
        <v>0</v>
      </c>
      <c r="AN217" s="17">
        <v>12</v>
      </c>
      <c r="AO217" s="17">
        <f>H217*1</f>
        <v>0</v>
      </c>
      <c r="AP217" s="17">
        <f>H217*(1-1)</f>
        <v>0</v>
      </c>
      <c r="AQ217" s="76" t="s">
        <v>577</v>
      </c>
      <c r="AV217" s="17">
        <f t="shared" si="308"/>
        <v>0</v>
      </c>
      <c r="AW217" s="17">
        <f t="shared" si="309"/>
        <v>0</v>
      </c>
      <c r="AX217" s="17">
        <f t="shared" si="310"/>
        <v>0</v>
      </c>
      <c r="AY217" s="76" t="s">
        <v>603</v>
      </c>
      <c r="AZ217" s="76" t="s">
        <v>770</v>
      </c>
      <c r="BA217" s="14" t="s">
        <v>771</v>
      </c>
      <c r="BC217" s="17">
        <f t="shared" si="311"/>
        <v>0</v>
      </c>
      <c r="BD217" s="17">
        <f t="shared" si="312"/>
        <v>0</v>
      </c>
      <c r="BE217" s="17">
        <v>0</v>
      </c>
      <c r="BF217" s="17">
        <f t="shared" si="313"/>
        <v>0</v>
      </c>
      <c r="BH217" s="17">
        <f t="shared" si="314"/>
        <v>0</v>
      </c>
      <c r="BI217" s="17">
        <f t="shared" si="315"/>
        <v>0</v>
      </c>
      <c r="BJ217" s="17">
        <f t="shared" si="316"/>
        <v>0</v>
      </c>
      <c r="BK217" s="17"/>
      <c r="BL217" s="17">
        <v>713</v>
      </c>
      <c r="BW217" s="17">
        <f t="shared" si="317"/>
        <v>12</v>
      </c>
      <c r="BX217" s="4" t="s">
        <v>199</v>
      </c>
    </row>
    <row r="218" spans="1:76" x14ac:dyDescent="0.25">
      <c r="A218" s="1" t="s">
        <v>775</v>
      </c>
      <c r="B218" s="2" t="s">
        <v>210</v>
      </c>
      <c r="C218" s="2" t="s">
        <v>109</v>
      </c>
      <c r="D218" s="83" t="s">
        <v>110</v>
      </c>
      <c r="E218" s="84"/>
      <c r="F218" s="2" t="s">
        <v>35</v>
      </c>
      <c r="G218" s="17">
        <f>'Rozpočet - vybrané sloupce'!J178</f>
        <v>2</v>
      </c>
      <c r="H218" s="17">
        <f>'Rozpočet - vybrané sloupce'!K178</f>
        <v>0</v>
      </c>
      <c r="I218" s="74">
        <v>12</v>
      </c>
      <c r="J218" s="17">
        <f t="shared" si="292"/>
        <v>0</v>
      </c>
      <c r="K218" s="17">
        <f t="shared" si="293"/>
        <v>0</v>
      </c>
      <c r="L218" s="17">
        <f t="shared" si="294"/>
        <v>0</v>
      </c>
      <c r="M218" s="17">
        <f t="shared" si="295"/>
        <v>0</v>
      </c>
      <c r="N218" s="17">
        <v>0</v>
      </c>
      <c r="O218" s="17">
        <f t="shared" si="296"/>
        <v>0</v>
      </c>
      <c r="P218" s="75" t="s">
        <v>576</v>
      </c>
      <c r="Z218" s="17">
        <f t="shared" si="297"/>
        <v>0</v>
      </c>
      <c r="AB218" s="17">
        <f t="shared" si="298"/>
        <v>0</v>
      </c>
      <c r="AC218" s="17">
        <f t="shared" si="299"/>
        <v>0</v>
      </c>
      <c r="AD218" s="17">
        <f t="shared" si="300"/>
        <v>0</v>
      </c>
      <c r="AE218" s="17">
        <f t="shared" si="301"/>
        <v>0</v>
      </c>
      <c r="AF218" s="17">
        <f t="shared" si="302"/>
        <v>0</v>
      </c>
      <c r="AG218" s="17">
        <f t="shared" si="303"/>
        <v>0</v>
      </c>
      <c r="AH218" s="17">
        <f t="shared" si="304"/>
        <v>0</v>
      </c>
      <c r="AI218" s="14" t="s">
        <v>210</v>
      </c>
      <c r="AJ218" s="17">
        <f t="shared" si="305"/>
        <v>0</v>
      </c>
      <c r="AK218" s="17">
        <f t="shared" si="306"/>
        <v>0</v>
      </c>
      <c r="AL218" s="17">
        <f t="shared" si="307"/>
        <v>0</v>
      </c>
      <c r="AN218" s="17">
        <v>12</v>
      </c>
      <c r="AO218" s="17">
        <f>H218*1</f>
        <v>0</v>
      </c>
      <c r="AP218" s="17">
        <f>H218*(1-1)</f>
        <v>0</v>
      </c>
      <c r="AQ218" s="76" t="s">
        <v>577</v>
      </c>
      <c r="AV218" s="17">
        <f t="shared" si="308"/>
        <v>0</v>
      </c>
      <c r="AW218" s="17">
        <f t="shared" si="309"/>
        <v>0</v>
      </c>
      <c r="AX218" s="17">
        <f t="shared" si="310"/>
        <v>0</v>
      </c>
      <c r="AY218" s="76" t="s">
        <v>603</v>
      </c>
      <c r="AZ218" s="76" t="s">
        <v>770</v>
      </c>
      <c r="BA218" s="14" t="s">
        <v>771</v>
      </c>
      <c r="BC218" s="17">
        <f t="shared" si="311"/>
        <v>0</v>
      </c>
      <c r="BD218" s="17">
        <f t="shared" si="312"/>
        <v>0</v>
      </c>
      <c r="BE218" s="17">
        <v>0</v>
      </c>
      <c r="BF218" s="17">
        <f t="shared" si="313"/>
        <v>0</v>
      </c>
      <c r="BH218" s="17">
        <f t="shared" si="314"/>
        <v>0</v>
      </c>
      <c r="BI218" s="17">
        <f t="shared" si="315"/>
        <v>0</v>
      </c>
      <c r="BJ218" s="17">
        <f t="shared" si="316"/>
        <v>0</v>
      </c>
      <c r="BK218" s="17"/>
      <c r="BL218" s="17">
        <v>713</v>
      </c>
      <c r="BW218" s="17">
        <f t="shared" si="317"/>
        <v>12</v>
      </c>
      <c r="BX218" s="4" t="s">
        <v>110</v>
      </c>
    </row>
    <row r="219" spans="1:76" x14ac:dyDescent="0.25">
      <c r="A219" s="1" t="s">
        <v>776</v>
      </c>
      <c r="B219" s="2" t="s">
        <v>210</v>
      </c>
      <c r="C219" s="2" t="s">
        <v>56</v>
      </c>
      <c r="D219" s="83" t="s">
        <v>57</v>
      </c>
      <c r="E219" s="84"/>
      <c r="F219" s="2" t="s">
        <v>45</v>
      </c>
      <c r="G219" s="17">
        <f>'Rozpočet - vybrané sloupce'!J179</f>
        <v>0</v>
      </c>
      <c r="H219" s="17">
        <f>'Rozpočet - vybrané sloupce'!K179</f>
        <v>0</v>
      </c>
      <c r="I219" s="74">
        <v>12</v>
      </c>
      <c r="J219" s="17">
        <f t="shared" si="292"/>
        <v>0</v>
      </c>
      <c r="K219" s="17">
        <f t="shared" si="293"/>
        <v>0</v>
      </c>
      <c r="L219" s="17">
        <f t="shared" si="294"/>
        <v>0</v>
      </c>
      <c r="M219" s="17">
        <f t="shared" si="295"/>
        <v>0</v>
      </c>
      <c r="N219" s="17">
        <v>0</v>
      </c>
      <c r="O219" s="17">
        <f t="shared" si="296"/>
        <v>0</v>
      </c>
      <c r="P219" s="75" t="s">
        <v>576</v>
      </c>
      <c r="Z219" s="17">
        <f t="shared" si="297"/>
        <v>0</v>
      </c>
      <c r="AB219" s="17">
        <f t="shared" si="298"/>
        <v>0</v>
      </c>
      <c r="AC219" s="17">
        <f t="shared" si="299"/>
        <v>0</v>
      </c>
      <c r="AD219" s="17">
        <f t="shared" si="300"/>
        <v>0</v>
      </c>
      <c r="AE219" s="17">
        <f t="shared" si="301"/>
        <v>0</v>
      </c>
      <c r="AF219" s="17">
        <f t="shared" si="302"/>
        <v>0</v>
      </c>
      <c r="AG219" s="17">
        <f t="shared" si="303"/>
        <v>0</v>
      </c>
      <c r="AH219" s="17">
        <f t="shared" si="304"/>
        <v>0</v>
      </c>
      <c r="AI219" s="14" t="s">
        <v>210</v>
      </c>
      <c r="AJ219" s="17">
        <f t="shared" si="305"/>
        <v>0</v>
      </c>
      <c r="AK219" s="17">
        <f t="shared" si="306"/>
        <v>0</v>
      </c>
      <c r="AL219" s="17">
        <f t="shared" si="307"/>
        <v>0</v>
      </c>
      <c r="AN219" s="17">
        <v>12</v>
      </c>
      <c r="AO219" s="17">
        <f>H219*0</f>
        <v>0</v>
      </c>
      <c r="AP219" s="17">
        <f>H219*(1-0)</f>
        <v>0</v>
      </c>
      <c r="AQ219" s="76" t="s">
        <v>585</v>
      </c>
      <c r="AV219" s="17">
        <f t="shared" si="308"/>
        <v>0</v>
      </c>
      <c r="AW219" s="17">
        <f t="shared" si="309"/>
        <v>0</v>
      </c>
      <c r="AX219" s="17">
        <f t="shared" si="310"/>
        <v>0</v>
      </c>
      <c r="AY219" s="76" t="s">
        <v>603</v>
      </c>
      <c r="AZ219" s="76" t="s">
        <v>770</v>
      </c>
      <c r="BA219" s="14" t="s">
        <v>771</v>
      </c>
      <c r="BC219" s="17">
        <f t="shared" si="311"/>
        <v>0</v>
      </c>
      <c r="BD219" s="17">
        <f t="shared" si="312"/>
        <v>0</v>
      </c>
      <c r="BE219" s="17">
        <v>0</v>
      </c>
      <c r="BF219" s="17">
        <f t="shared" si="313"/>
        <v>0</v>
      </c>
      <c r="BH219" s="17">
        <f t="shared" si="314"/>
        <v>0</v>
      </c>
      <c r="BI219" s="17">
        <f t="shared" si="315"/>
        <v>0</v>
      </c>
      <c r="BJ219" s="17">
        <f t="shared" si="316"/>
        <v>0</v>
      </c>
      <c r="BK219" s="17"/>
      <c r="BL219" s="17">
        <v>713</v>
      </c>
      <c r="BW219" s="17">
        <f t="shared" si="317"/>
        <v>12</v>
      </c>
      <c r="BX219" s="4" t="s">
        <v>57</v>
      </c>
    </row>
    <row r="220" spans="1:76" x14ac:dyDescent="0.25">
      <c r="A220" s="71" t="s">
        <v>25</v>
      </c>
      <c r="B220" s="13" t="s">
        <v>210</v>
      </c>
      <c r="C220" s="13" t="s">
        <v>111</v>
      </c>
      <c r="D220" s="135" t="s">
        <v>112</v>
      </c>
      <c r="E220" s="136"/>
      <c r="F220" s="72" t="s">
        <v>23</v>
      </c>
      <c r="G220" s="72" t="s">
        <v>23</v>
      </c>
      <c r="H220" s="72" t="s">
        <v>23</v>
      </c>
      <c r="I220" s="72" t="s">
        <v>23</v>
      </c>
      <c r="J220" s="47" t="e">
        <f>SUM(J221:J260)</f>
        <v>#REF!</v>
      </c>
      <c r="K220" s="47" t="e">
        <f>SUM(K221:K260)</f>
        <v>#REF!</v>
      </c>
      <c r="L220" s="47" t="e">
        <f>SUM(L221:L260)</f>
        <v>#REF!</v>
      </c>
      <c r="M220" s="47" t="e">
        <f>SUM(M221:M260)</f>
        <v>#REF!</v>
      </c>
      <c r="N220" s="14" t="s">
        <v>25</v>
      </c>
      <c r="O220" s="47" t="e">
        <f>SUM(O221:O260)</f>
        <v>#REF!</v>
      </c>
      <c r="P220" s="73" t="s">
        <v>25</v>
      </c>
      <c r="AI220" s="14" t="s">
        <v>210</v>
      </c>
      <c r="AS220" s="47">
        <f>SUM(AJ221:AJ260)</f>
        <v>0</v>
      </c>
      <c r="AT220" s="47" t="e">
        <f>SUM(AK221:AK260)</f>
        <v>#REF!</v>
      </c>
      <c r="AU220" s="47">
        <f>SUM(AL221:AL260)</f>
        <v>0</v>
      </c>
    </row>
    <row r="221" spans="1:76" x14ac:dyDescent="0.25">
      <c r="A221" s="1" t="s">
        <v>777</v>
      </c>
      <c r="B221" s="2" t="s">
        <v>210</v>
      </c>
      <c r="C221" s="2" t="s">
        <v>113</v>
      </c>
      <c r="D221" s="83" t="s">
        <v>114</v>
      </c>
      <c r="E221" s="84"/>
      <c r="F221" s="2" t="s">
        <v>31</v>
      </c>
      <c r="G221" s="17">
        <f>'Rozpočet - vybrané sloupce'!J181</f>
        <v>83</v>
      </c>
      <c r="H221" s="17">
        <f>'Rozpočet - vybrané sloupce'!K181</f>
        <v>0</v>
      </c>
      <c r="I221" s="74">
        <v>12</v>
      </c>
      <c r="J221" s="17">
        <f t="shared" ref="J221:J228" si="318">ROUND(G221*AO221,2)</f>
        <v>0</v>
      </c>
      <c r="K221" s="17">
        <f t="shared" ref="K221:K228" si="319">ROUND(G221*AP221,2)</f>
        <v>0</v>
      </c>
      <c r="L221" s="17">
        <f t="shared" ref="L221:L228" si="320">ROUND(G221*H221,2)</f>
        <v>0</v>
      </c>
      <c r="M221" s="17">
        <f t="shared" ref="M221:M228" si="321">L221*(1+BW221/100)</f>
        <v>0</v>
      </c>
      <c r="N221" s="17">
        <v>2.7999999999999998E-4</v>
      </c>
      <c r="O221" s="17">
        <f t="shared" ref="O221:O228" si="322">G221*N221</f>
        <v>2.3239999999999997E-2</v>
      </c>
      <c r="P221" s="75" t="s">
        <v>576</v>
      </c>
      <c r="Z221" s="17">
        <f t="shared" ref="Z221:Z228" si="323">ROUND(IF(AQ221="5",BJ221,0),2)</f>
        <v>0</v>
      </c>
      <c r="AB221" s="17">
        <f t="shared" ref="AB221:AB228" si="324">ROUND(IF(AQ221="1",BH221,0),2)</f>
        <v>0</v>
      </c>
      <c r="AC221" s="17">
        <f t="shared" ref="AC221:AC228" si="325">ROUND(IF(AQ221="1",BI221,0),2)</f>
        <v>0</v>
      </c>
      <c r="AD221" s="17">
        <f t="shared" ref="AD221:AD228" si="326">ROUND(IF(AQ221="7",BH221,0),2)</f>
        <v>0</v>
      </c>
      <c r="AE221" s="17">
        <f t="shared" ref="AE221:AE228" si="327">ROUND(IF(AQ221="7",BI221,0),2)</f>
        <v>0</v>
      </c>
      <c r="AF221" s="17">
        <f t="shared" ref="AF221:AF228" si="328">ROUND(IF(AQ221="2",BH221,0),2)</f>
        <v>0</v>
      </c>
      <c r="AG221" s="17">
        <f t="shared" ref="AG221:AG228" si="329">ROUND(IF(AQ221="2",BI221,0),2)</f>
        <v>0</v>
      </c>
      <c r="AH221" s="17">
        <f t="shared" ref="AH221:AH228" si="330">ROUND(IF(AQ221="0",BJ221,0),2)</f>
        <v>0</v>
      </c>
      <c r="AI221" s="14" t="s">
        <v>210</v>
      </c>
      <c r="AJ221" s="17">
        <f t="shared" ref="AJ221:AJ228" si="331">IF(AN221=0,L221,0)</f>
        <v>0</v>
      </c>
      <c r="AK221" s="17">
        <f t="shared" ref="AK221:AK228" si="332">IF(AN221=12,L221,0)</f>
        <v>0</v>
      </c>
      <c r="AL221" s="17">
        <f t="shared" ref="AL221:AL228" si="333">IF(AN221=21,L221,0)</f>
        <v>0</v>
      </c>
      <c r="AN221" s="17">
        <v>12</v>
      </c>
      <c r="AO221" s="17">
        <f>H221*0</f>
        <v>0</v>
      </c>
      <c r="AP221" s="17">
        <f>H221*(1-0)</f>
        <v>0</v>
      </c>
      <c r="AQ221" s="76" t="s">
        <v>577</v>
      </c>
      <c r="AV221" s="17">
        <f t="shared" ref="AV221:AV228" si="334">ROUND(AW221+AX221,2)</f>
        <v>0</v>
      </c>
      <c r="AW221" s="17">
        <f t="shared" ref="AW221:AW228" si="335">ROUND(G221*AO221,2)</f>
        <v>0</v>
      </c>
      <c r="AX221" s="17">
        <f t="shared" ref="AX221:AX228" si="336">ROUND(G221*AP221,2)</f>
        <v>0</v>
      </c>
      <c r="AY221" s="76" t="s">
        <v>677</v>
      </c>
      <c r="AZ221" s="76" t="s">
        <v>778</v>
      </c>
      <c r="BA221" s="14" t="s">
        <v>771</v>
      </c>
      <c r="BC221" s="17">
        <f t="shared" ref="BC221:BC228" si="337">AW221+AX221</f>
        <v>0</v>
      </c>
      <c r="BD221" s="17">
        <f t="shared" ref="BD221:BD228" si="338">H221/(100-BE221)*100</f>
        <v>0</v>
      </c>
      <c r="BE221" s="17">
        <v>0</v>
      </c>
      <c r="BF221" s="17">
        <f t="shared" ref="BF221:BF228" si="339">O221</f>
        <v>2.3239999999999997E-2</v>
      </c>
      <c r="BH221" s="17">
        <f t="shared" ref="BH221:BH228" si="340">G221*AO221</f>
        <v>0</v>
      </c>
      <c r="BI221" s="17">
        <f t="shared" ref="BI221:BI228" si="341">G221*AP221</f>
        <v>0</v>
      </c>
      <c r="BJ221" s="17">
        <f t="shared" ref="BJ221:BJ228" si="342">G221*H221</f>
        <v>0</v>
      </c>
      <c r="BK221" s="17"/>
      <c r="BL221" s="17">
        <v>722</v>
      </c>
      <c r="BW221" s="17">
        <f t="shared" ref="BW221:BW228" si="343">I221</f>
        <v>12</v>
      </c>
      <c r="BX221" s="4" t="s">
        <v>114</v>
      </c>
    </row>
    <row r="222" spans="1:76" x14ac:dyDescent="0.25">
      <c r="A222" s="1" t="s">
        <v>779</v>
      </c>
      <c r="B222" s="2" t="s">
        <v>210</v>
      </c>
      <c r="C222" s="2" t="s">
        <v>115</v>
      </c>
      <c r="D222" s="83" t="s">
        <v>116</v>
      </c>
      <c r="E222" s="84"/>
      <c r="F222" s="2" t="s">
        <v>31</v>
      </c>
      <c r="G222" s="17">
        <f>'Rozpočet - vybrané sloupce'!J182</f>
        <v>45</v>
      </c>
      <c r="H222" s="17">
        <f>'Rozpočet - vybrané sloupce'!K182</f>
        <v>0</v>
      </c>
      <c r="I222" s="74">
        <v>12</v>
      </c>
      <c r="J222" s="17">
        <f t="shared" si="318"/>
        <v>0</v>
      </c>
      <c r="K222" s="17">
        <f t="shared" si="319"/>
        <v>0</v>
      </c>
      <c r="L222" s="17">
        <f t="shared" si="320"/>
        <v>0</v>
      </c>
      <c r="M222" s="17">
        <f t="shared" si="321"/>
        <v>0</v>
      </c>
      <c r="N222" s="17">
        <v>2.9E-4</v>
      </c>
      <c r="O222" s="17">
        <f t="shared" si="322"/>
        <v>1.3050000000000001E-2</v>
      </c>
      <c r="P222" s="75" t="s">
        <v>576</v>
      </c>
      <c r="Z222" s="17">
        <f t="shared" si="323"/>
        <v>0</v>
      </c>
      <c r="AB222" s="17">
        <f t="shared" si="324"/>
        <v>0</v>
      </c>
      <c r="AC222" s="17">
        <f t="shared" si="325"/>
        <v>0</v>
      </c>
      <c r="AD222" s="17">
        <f t="shared" si="326"/>
        <v>0</v>
      </c>
      <c r="AE222" s="17">
        <f t="shared" si="327"/>
        <v>0</v>
      </c>
      <c r="AF222" s="17">
        <f t="shared" si="328"/>
        <v>0</v>
      </c>
      <c r="AG222" s="17">
        <f t="shared" si="329"/>
        <v>0</v>
      </c>
      <c r="AH222" s="17">
        <f t="shared" si="330"/>
        <v>0</v>
      </c>
      <c r="AI222" s="14" t="s">
        <v>210</v>
      </c>
      <c r="AJ222" s="17">
        <f t="shared" si="331"/>
        <v>0</v>
      </c>
      <c r="AK222" s="17">
        <f t="shared" si="332"/>
        <v>0</v>
      </c>
      <c r="AL222" s="17">
        <f t="shared" si="333"/>
        <v>0</v>
      </c>
      <c r="AN222" s="17">
        <v>12</v>
      </c>
      <c r="AO222" s="17">
        <f>H222*0</f>
        <v>0</v>
      </c>
      <c r="AP222" s="17">
        <f>H222*(1-0)</f>
        <v>0</v>
      </c>
      <c r="AQ222" s="76" t="s">
        <v>577</v>
      </c>
      <c r="AV222" s="17">
        <f t="shared" si="334"/>
        <v>0</v>
      </c>
      <c r="AW222" s="17">
        <f t="shared" si="335"/>
        <v>0</v>
      </c>
      <c r="AX222" s="17">
        <f t="shared" si="336"/>
        <v>0</v>
      </c>
      <c r="AY222" s="76" t="s">
        <v>677</v>
      </c>
      <c r="AZ222" s="76" t="s">
        <v>778</v>
      </c>
      <c r="BA222" s="14" t="s">
        <v>771</v>
      </c>
      <c r="BC222" s="17">
        <f t="shared" si="337"/>
        <v>0</v>
      </c>
      <c r="BD222" s="17">
        <f t="shared" si="338"/>
        <v>0</v>
      </c>
      <c r="BE222" s="17">
        <v>0</v>
      </c>
      <c r="BF222" s="17">
        <f t="shared" si="339"/>
        <v>1.3050000000000001E-2</v>
      </c>
      <c r="BH222" s="17">
        <f t="shared" si="340"/>
        <v>0</v>
      </c>
      <c r="BI222" s="17">
        <f t="shared" si="341"/>
        <v>0</v>
      </c>
      <c r="BJ222" s="17">
        <f t="shared" si="342"/>
        <v>0</v>
      </c>
      <c r="BK222" s="17"/>
      <c r="BL222" s="17">
        <v>722</v>
      </c>
      <c r="BW222" s="17">
        <f t="shared" si="343"/>
        <v>12</v>
      </c>
      <c r="BX222" s="4" t="s">
        <v>116</v>
      </c>
    </row>
    <row r="223" spans="1:76" x14ac:dyDescent="0.25">
      <c r="A223" s="1" t="s">
        <v>780</v>
      </c>
      <c r="B223" s="2" t="s">
        <v>210</v>
      </c>
      <c r="C223" s="2" t="s">
        <v>117</v>
      </c>
      <c r="D223" s="83" t="s">
        <v>118</v>
      </c>
      <c r="E223" s="84"/>
      <c r="F223" s="2" t="s">
        <v>31</v>
      </c>
      <c r="G223" s="17">
        <f>'Rozpočet - vybrané sloupce'!J183</f>
        <v>32</v>
      </c>
      <c r="H223" s="17">
        <f>'Rozpočet - vybrané sloupce'!K183</f>
        <v>0</v>
      </c>
      <c r="I223" s="74">
        <v>12</v>
      </c>
      <c r="J223" s="17">
        <f t="shared" si="318"/>
        <v>0</v>
      </c>
      <c r="K223" s="17">
        <f t="shared" si="319"/>
        <v>0</v>
      </c>
      <c r="L223" s="17">
        <f t="shared" si="320"/>
        <v>0</v>
      </c>
      <c r="M223" s="17">
        <f t="shared" si="321"/>
        <v>0</v>
      </c>
      <c r="N223" s="17">
        <v>4.2999999999999999E-4</v>
      </c>
      <c r="O223" s="17">
        <f t="shared" si="322"/>
        <v>1.376E-2</v>
      </c>
      <c r="P223" s="75" t="s">
        <v>576</v>
      </c>
      <c r="Z223" s="17">
        <f t="shared" si="323"/>
        <v>0</v>
      </c>
      <c r="AB223" s="17">
        <f t="shared" si="324"/>
        <v>0</v>
      </c>
      <c r="AC223" s="17">
        <f t="shared" si="325"/>
        <v>0</v>
      </c>
      <c r="AD223" s="17">
        <f t="shared" si="326"/>
        <v>0</v>
      </c>
      <c r="AE223" s="17">
        <f t="shared" si="327"/>
        <v>0</v>
      </c>
      <c r="AF223" s="17">
        <f t="shared" si="328"/>
        <v>0</v>
      </c>
      <c r="AG223" s="17">
        <f t="shared" si="329"/>
        <v>0</v>
      </c>
      <c r="AH223" s="17">
        <f t="shared" si="330"/>
        <v>0</v>
      </c>
      <c r="AI223" s="14" t="s">
        <v>210</v>
      </c>
      <c r="AJ223" s="17">
        <f t="shared" si="331"/>
        <v>0</v>
      </c>
      <c r="AK223" s="17">
        <f t="shared" si="332"/>
        <v>0</v>
      </c>
      <c r="AL223" s="17">
        <f t="shared" si="333"/>
        <v>0</v>
      </c>
      <c r="AN223" s="17">
        <v>12</v>
      </c>
      <c r="AO223" s="17">
        <f>H223*0.433809524</f>
        <v>0</v>
      </c>
      <c r="AP223" s="17">
        <f>H223*(1-0.433809524)</f>
        <v>0</v>
      </c>
      <c r="AQ223" s="76" t="s">
        <v>577</v>
      </c>
      <c r="AV223" s="17">
        <f t="shared" si="334"/>
        <v>0</v>
      </c>
      <c r="AW223" s="17">
        <f t="shared" si="335"/>
        <v>0</v>
      </c>
      <c r="AX223" s="17">
        <f t="shared" si="336"/>
        <v>0</v>
      </c>
      <c r="AY223" s="76" t="s">
        <v>677</v>
      </c>
      <c r="AZ223" s="76" t="s">
        <v>778</v>
      </c>
      <c r="BA223" s="14" t="s">
        <v>771</v>
      </c>
      <c r="BC223" s="17">
        <f t="shared" si="337"/>
        <v>0</v>
      </c>
      <c r="BD223" s="17">
        <f t="shared" si="338"/>
        <v>0</v>
      </c>
      <c r="BE223" s="17">
        <v>0</v>
      </c>
      <c r="BF223" s="17">
        <f t="shared" si="339"/>
        <v>1.376E-2</v>
      </c>
      <c r="BH223" s="17">
        <f t="shared" si="340"/>
        <v>0</v>
      </c>
      <c r="BI223" s="17">
        <f t="shared" si="341"/>
        <v>0</v>
      </c>
      <c r="BJ223" s="17">
        <f t="shared" si="342"/>
        <v>0</v>
      </c>
      <c r="BK223" s="17"/>
      <c r="BL223" s="17">
        <v>722</v>
      </c>
      <c r="BW223" s="17">
        <f t="shared" si="343"/>
        <v>12</v>
      </c>
      <c r="BX223" s="4" t="s">
        <v>118</v>
      </c>
    </row>
    <row r="224" spans="1:76" x14ac:dyDescent="0.25">
      <c r="A224" s="1" t="s">
        <v>781</v>
      </c>
      <c r="B224" s="2" t="s">
        <v>210</v>
      </c>
      <c r="C224" s="2" t="s">
        <v>119</v>
      </c>
      <c r="D224" s="83" t="s">
        <v>120</v>
      </c>
      <c r="E224" s="84"/>
      <c r="F224" s="2" t="s">
        <v>31</v>
      </c>
      <c r="G224" s="17">
        <f>'Rozpočet - vybrané sloupce'!J184</f>
        <v>18</v>
      </c>
      <c r="H224" s="17">
        <f>'Rozpočet - vybrané sloupce'!K184</f>
        <v>0</v>
      </c>
      <c r="I224" s="74">
        <v>12</v>
      </c>
      <c r="J224" s="17">
        <f t="shared" si="318"/>
        <v>0</v>
      </c>
      <c r="K224" s="17">
        <f t="shared" si="319"/>
        <v>0</v>
      </c>
      <c r="L224" s="17">
        <f t="shared" si="320"/>
        <v>0</v>
      </c>
      <c r="M224" s="17">
        <f t="shared" si="321"/>
        <v>0</v>
      </c>
      <c r="N224" s="17">
        <v>5.2999999999999998E-4</v>
      </c>
      <c r="O224" s="17">
        <f t="shared" si="322"/>
        <v>9.5399999999999999E-3</v>
      </c>
      <c r="P224" s="75" t="s">
        <v>576</v>
      </c>
      <c r="Z224" s="17">
        <f t="shared" si="323"/>
        <v>0</v>
      </c>
      <c r="AB224" s="17">
        <f t="shared" si="324"/>
        <v>0</v>
      </c>
      <c r="AC224" s="17">
        <f t="shared" si="325"/>
        <v>0</v>
      </c>
      <c r="AD224" s="17">
        <f t="shared" si="326"/>
        <v>0</v>
      </c>
      <c r="AE224" s="17">
        <f t="shared" si="327"/>
        <v>0</v>
      </c>
      <c r="AF224" s="17">
        <f t="shared" si="328"/>
        <v>0</v>
      </c>
      <c r="AG224" s="17">
        <f t="shared" si="329"/>
        <v>0</v>
      </c>
      <c r="AH224" s="17">
        <f t="shared" si="330"/>
        <v>0</v>
      </c>
      <c r="AI224" s="14" t="s">
        <v>210</v>
      </c>
      <c r="AJ224" s="17">
        <f t="shared" si="331"/>
        <v>0</v>
      </c>
      <c r="AK224" s="17">
        <f t="shared" si="332"/>
        <v>0</v>
      </c>
      <c r="AL224" s="17">
        <f t="shared" si="333"/>
        <v>0</v>
      </c>
      <c r="AN224" s="17">
        <v>12</v>
      </c>
      <c r="AO224" s="17">
        <f>H224*0.499111111</f>
        <v>0</v>
      </c>
      <c r="AP224" s="17">
        <f>H224*(1-0.499111111)</f>
        <v>0</v>
      </c>
      <c r="AQ224" s="76" t="s">
        <v>577</v>
      </c>
      <c r="AV224" s="17">
        <f t="shared" si="334"/>
        <v>0</v>
      </c>
      <c r="AW224" s="17">
        <f t="shared" si="335"/>
        <v>0</v>
      </c>
      <c r="AX224" s="17">
        <f t="shared" si="336"/>
        <v>0</v>
      </c>
      <c r="AY224" s="76" t="s">
        <v>677</v>
      </c>
      <c r="AZ224" s="76" t="s">
        <v>778</v>
      </c>
      <c r="BA224" s="14" t="s">
        <v>771</v>
      </c>
      <c r="BC224" s="17">
        <f t="shared" si="337"/>
        <v>0</v>
      </c>
      <c r="BD224" s="17">
        <f t="shared" si="338"/>
        <v>0</v>
      </c>
      <c r="BE224" s="17">
        <v>0</v>
      </c>
      <c r="BF224" s="17">
        <f t="shared" si="339"/>
        <v>9.5399999999999999E-3</v>
      </c>
      <c r="BH224" s="17">
        <f t="shared" si="340"/>
        <v>0</v>
      </c>
      <c r="BI224" s="17">
        <f t="shared" si="341"/>
        <v>0</v>
      </c>
      <c r="BJ224" s="17">
        <f t="shared" si="342"/>
        <v>0</v>
      </c>
      <c r="BK224" s="17"/>
      <c r="BL224" s="17">
        <v>722</v>
      </c>
      <c r="BW224" s="17">
        <f t="shared" si="343"/>
        <v>12</v>
      </c>
      <c r="BX224" s="4" t="s">
        <v>120</v>
      </c>
    </row>
    <row r="225" spans="1:76" x14ac:dyDescent="0.25">
      <c r="A225" s="1" t="s">
        <v>782</v>
      </c>
      <c r="B225" s="2" t="s">
        <v>210</v>
      </c>
      <c r="C225" s="2" t="s">
        <v>121</v>
      </c>
      <c r="D225" s="83" t="s">
        <v>122</v>
      </c>
      <c r="E225" s="84"/>
      <c r="F225" s="2" t="s">
        <v>31</v>
      </c>
      <c r="G225" s="17">
        <f>'Rozpočet - vybrané sloupce'!J185</f>
        <v>64</v>
      </c>
      <c r="H225" s="17">
        <f>'Rozpočet - vybrané sloupce'!K185</f>
        <v>0</v>
      </c>
      <c r="I225" s="74">
        <v>12</v>
      </c>
      <c r="J225" s="17">
        <f t="shared" si="318"/>
        <v>0</v>
      </c>
      <c r="K225" s="17">
        <f t="shared" si="319"/>
        <v>0</v>
      </c>
      <c r="L225" s="17">
        <f t="shared" si="320"/>
        <v>0</v>
      </c>
      <c r="M225" s="17">
        <f t="shared" si="321"/>
        <v>0</v>
      </c>
      <c r="N225" s="17">
        <v>7.2999999999999996E-4</v>
      </c>
      <c r="O225" s="17">
        <f t="shared" si="322"/>
        <v>4.6719999999999998E-2</v>
      </c>
      <c r="P225" s="75" t="s">
        <v>576</v>
      </c>
      <c r="Z225" s="17">
        <f t="shared" si="323"/>
        <v>0</v>
      </c>
      <c r="AB225" s="17">
        <f t="shared" si="324"/>
        <v>0</v>
      </c>
      <c r="AC225" s="17">
        <f t="shared" si="325"/>
        <v>0</v>
      </c>
      <c r="AD225" s="17">
        <f t="shared" si="326"/>
        <v>0</v>
      </c>
      <c r="AE225" s="17">
        <f t="shared" si="327"/>
        <v>0</v>
      </c>
      <c r="AF225" s="17">
        <f t="shared" si="328"/>
        <v>0</v>
      </c>
      <c r="AG225" s="17">
        <f t="shared" si="329"/>
        <v>0</v>
      </c>
      <c r="AH225" s="17">
        <f t="shared" si="330"/>
        <v>0</v>
      </c>
      <c r="AI225" s="14" t="s">
        <v>210</v>
      </c>
      <c r="AJ225" s="17">
        <f t="shared" si="331"/>
        <v>0</v>
      </c>
      <c r="AK225" s="17">
        <f t="shared" si="332"/>
        <v>0</v>
      </c>
      <c r="AL225" s="17">
        <f t="shared" si="333"/>
        <v>0</v>
      </c>
      <c r="AN225" s="17">
        <v>12</v>
      </c>
      <c r="AO225" s="17">
        <f>H225*0.578547486</f>
        <v>0</v>
      </c>
      <c r="AP225" s="17">
        <f>H225*(1-0.578547486)</f>
        <v>0</v>
      </c>
      <c r="AQ225" s="76" t="s">
        <v>577</v>
      </c>
      <c r="AV225" s="17">
        <f t="shared" si="334"/>
        <v>0</v>
      </c>
      <c r="AW225" s="17">
        <f t="shared" si="335"/>
        <v>0</v>
      </c>
      <c r="AX225" s="17">
        <f t="shared" si="336"/>
        <v>0</v>
      </c>
      <c r="AY225" s="76" t="s">
        <v>677</v>
      </c>
      <c r="AZ225" s="76" t="s">
        <v>778</v>
      </c>
      <c r="BA225" s="14" t="s">
        <v>771</v>
      </c>
      <c r="BC225" s="17">
        <f t="shared" si="337"/>
        <v>0</v>
      </c>
      <c r="BD225" s="17">
        <f t="shared" si="338"/>
        <v>0</v>
      </c>
      <c r="BE225" s="17">
        <v>0</v>
      </c>
      <c r="BF225" s="17">
        <f t="shared" si="339"/>
        <v>4.6719999999999998E-2</v>
      </c>
      <c r="BH225" s="17">
        <f t="shared" si="340"/>
        <v>0</v>
      </c>
      <c r="BI225" s="17">
        <f t="shared" si="341"/>
        <v>0</v>
      </c>
      <c r="BJ225" s="17">
        <f t="shared" si="342"/>
        <v>0</v>
      </c>
      <c r="BK225" s="17"/>
      <c r="BL225" s="17">
        <v>722</v>
      </c>
      <c r="BW225" s="17">
        <f t="shared" si="343"/>
        <v>12</v>
      </c>
      <c r="BX225" s="4" t="s">
        <v>122</v>
      </c>
    </row>
    <row r="226" spans="1:76" x14ac:dyDescent="0.25">
      <c r="A226" s="1" t="s">
        <v>783</v>
      </c>
      <c r="B226" s="2" t="s">
        <v>210</v>
      </c>
      <c r="C226" s="2" t="s">
        <v>200</v>
      </c>
      <c r="D226" s="83" t="s">
        <v>201</v>
      </c>
      <c r="E226" s="84"/>
      <c r="F226" s="2" t="s">
        <v>31</v>
      </c>
      <c r="G226" s="17">
        <f>'Rozpočet - vybrané sloupce'!J186</f>
        <v>31</v>
      </c>
      <c r="H226" s="17">
        <f>'Rozpočet - vybrané sloupce'!K186</f>
        <v>0</v>
      </c>
      <c r="I226" s="74">
        <v>12</v>
      </c>
      <c r="J226" s="17">
        <f t="shared" si="318"/>
        <v>0</v>
      </c>
      <c r="K226" s="17">
        <f t="shared" si="319"/>
        <v>0</v>
      </c>
      <c r="L226" s="17">
        <f t="shared" si="320"/>
        <v>0</v>
      </c>
      <c r="M226" s="17">
        <f t="shared" si="321"/>
        <v>0</v>
      </c>
      <c r="N226" s="17">
        <v>1.3799999999999999E-3</v>
      </c>
      <c r="O226" s="17">
        <f t="shared" si="322"/>
        <v>4.2779999999999999E-2</v>
      </c>
      <c r="P226" s="75" t="s">
        <v>576</v>
      </c>
      <c r="Z226" s="17">
        <f t="shared" si="323"/>
        <v>0</v>
      </c>
      <c r="AB226" s="17">
        <f t="shared" si="324"/>
        <v>0</v>
      </c>
      <c r="AC226" s="17">
        <f t="shared" si="325"/>
        <v>0</v>
      </c>
      <c r="AD226" s="17">
        <f t="shared" si="326"/>
        <v>0</v>
      </c>
      <c r="AE226" s="17">
        <f t="shared" si="327"/>
        <v>0</v>
      </c>
      <c r="AF226" s="17">
        <f t="shared" si="328"/>
        <v>0</v>
      </c>
      <c r="AG226" s="17">
        <f t="shared" si="329"/>
        <v>0</v>
      </c>
      <c r="AH226" s="17">
        <f t="shared" si="330"/>
        <v>0</v>
      </c>
      <c r="AI226" s="14" t="s">
        <v>210</v>
      </c>
      <c r="AJ226" s="17">
        <f t="shared" si="331"/>
        <v>0</v>
      </c>
      <c r="AK226" s="17">
        <f t="shared" si="332"/>
        <v>0</v>
      </c>
      <c r="AL226" s="17">
        <f t="shared" si="333"/>
        <v>0</v>
      </c>
      <c r="AN226" s="17">
        <v>12</v>
      </c>
      <c r="AO226" s="17">
        <f>H226*0.677040715</f>
        <v>0</v>
      </c>
      <c r="AP226" s="17">
        <f>H226*(1-0.677040715)</f>
        <v>0</v>
      </c>
      <c r="AQ226" s="76" t="s">
        <v>577</v>
      </c>
      <c r="AV226" s="17">
        <f t="shared" si="334"/>
        <v>0</v>
      </c>
      <c r="AW226" s="17">
        <f t="shared" si="335"/>
        <v>0</v>
      </c>
      <c r="AX226" s="17">
        <f t="shared" si="336"/>
        <v>0</v>
      </c>
      <c r="AY226" s="76" t="s">
        <v>677</v>
      </c>
      <c r="AZ226" s="76" t="s">
        <v>778</v>
      </c>
      <c r="BA226" s="14" t="s">
        <v>771</v>
      </c>
      <c r="BC226" s="17">
        <f t="shared" si="337"/>
        <v>0</v>
      </c>
      <c r="BD226" s="17">
        <f t="shared" si="338"/>
        <v>0</v>
      </c>
      <c r="BE226" s="17">
        <v>0</v>
      </c>
      <c r="BF226" s="17">
        <f t="shared" si="339"/>
        <v>4.2779999999999999E-2</v>
      </c>
      <c r="BH226" s="17">
        <f t="shared" si="340"/>
        <v>0</v>
      </c>
      <c r="BI226" s="17">
        <f t="shared" si="341"/>
        <v>0</v>
      </c>
      <c r="BJ226" s="17">
        <f t="shared" si="342"/>
        <v>0</v>
      </c>
      <c r="BK226" s="17"/>
      <c r="BL226" s="17">
        <v>722</v>
      </c>
      <c r="BW226" s="17">
        <f t="shared" si="343"/>
        <v>12</v>
      </c>
      <c r="BX226" s="4" t="s">
        <v>201</v>
      </c>
    </row>
    <row r="227" spans="1:76" x14ac:dyDescent="0.25">
      <c r="A227" s="1" t="s">
        <v>784</v>
      </c>
      <c r="B227" s="2" t="s">
        <v>210</v>
      </c>
      <c r="C227" s="2" t="s">
        <v>125</v>
      </c>
      <c r="D227" s="83" t="s">
        <v>126</v>
      </c>
      <c r="E227" s="84"/>
      <c r="F227" s="2" t="s">
        <v>31</v>
      </c>
      <c r="G227" s="17">
        <f>'Rozpočet - vybrané sloupce'!J187</f>
        <v>14</v>
      </c>
      <c r="H227" s="17">
        <f>'Rozpočet - vybrané sloupce'!K187</f>
        <v>0</v>
      </c>
      <c r="I227" s="74">
        <v>12</v>
      </c>
      <c r="J227" s="17">
        <f t="shared" si="318"/>
        <v>0</v>
      </c>
      <c r="K227" s="17">
        <f t="shared" si="319"/>
        <v>0</v>
      </c>
      <c r="L227" s="17">
        <f t="shared" si="320"/>
        <v>0</v>
      </c>
      <c r="M227" s="17">
        <f t="shared" si="321"/>
        <v>0</v>
      </c>
      <c r="N227" s="17">
        <v>2.0999999999999999E-3</v>
      </c>
      <c r="O227" s="17">
        <f t="shared" si="322"/>
        <v>2.9399999999999999E-2</v>
      </c>
      <c r="P227" s="75" t="s">
        <v>576</v>
      </c>
      <c r="Z227" s="17">
        <f t="shared" si="323"/>
        <v>0</v>
      </c>
      <c r="AB227" s="17">
        <f t="shared" si="324"/>
        <v>0</v>
      </c>
      <c r="AC227" s="17">
        <f t="shared" si="325"/>
        <v>0</v>
      </c>
      <c r="AD227" s="17">
        <f t="shared" si="326"/>
        <v>0</v>
      </c>
      <c r="AE227" s="17">
        <f t="shared" si="327"/>
        <v>0</v>
      </c>
      <c r="AF227" s="17">
        <f t="shared" si="328"/>
        <v>0</v>
      </c>
      <c r="AG227" s="17">
        <f t="shared" si="329"/>
        <v>0</v>
      </c>
      <c r="AH227" s="17">
        <f t="shared" si="330"/>
        <v>0</v>
      </c>
      <c r="AI227" s="14" t="s">
        <v>210</v>
      </c>
      <c r="AJ227" s="17">
        <f t="shared" si="331"/>
        <v>0</v>
      </c>
      <c r="AK227" s="17">
        <f t="shared" si="332"/>
        <v>0</v>
      </c>
      <c r="AL227" s="17">
        <f t="shared" si="333"/>
        <v>0</v>
      </c>
      <c r="AN227" s="17">
        <v>12</v>
      </c>
      <c r="AO227" s="17">
        <f>H227*0.734723375</f>
        <v>0</v>
      </c>
      <c r="AP227" s="17">
        <f>H227*(1-0.734723375)</f>
        <v>0</v>
      </c>
      <c r="AQ227" s="76" t="s">
        <v>577</v>
      </c>
      <c r="AV227" s="17">
        <f t="shared" si="334"/>
        <v>0</v>
      </c>
      <c r="AW227" s="17">
        <f t="shared" si="335"/>
        <v>0</v>
      </c>
      <c r="AX227" s="17">
        <f t="shared" si="336"/>
        <v>0</v>
      </c>
      <c r="AY227" s="76" t="s">
        <v>677</v>
      </c>
      <c r="AZ227" s="76" t="s">
        <v>778</v>
      </c>
      <c r="BA227" s="14" t="s">
        <v>771</v>
      </c>
      <c r="BC227" s="17">
        <f t="shared" si="337"/>
        <v>0</v>
      </c>
      <c r="BD227" s="17">
        <f t="shared" si="338"/>
        <v>0</v>
      </c>
      <c r="BE227" s="17">
        <v>0</v>
      </c>
      <c r="BF227" s="17">
        <f t="shared" si="339"/>
        <v>2.9399999999999999E-2</v>
      </c>
      <c r="BH227" s="17">
        <f t="shared" si="340"/>
        <v>0</v>
      </c>
      <c r="BI227" s="17">
        <f t="shared" si="341"/>
        <v>0</v>
      </c>
      <c r="BJ227" s="17">
        <f t="shared" si="342"/>
        <v>0</v>
      </c>
      <c r="BK227" s="17"/>
      <c r="BL227" s="17">
        <v>722</v>
      </c>
      <c r="BW227" s="17">
        <f t="shared" si="343"/>
        <v>12</v>
      </c>
      <c r="BX227" s="4" t="s">
        <v>126</v>
      </c>
    </row>
    <row r="228" spans="1:76" x14ac:dyDescent="0.25">
      <c r="A228" s="1" t="s">
        <v>785</v>
      </c>
      <c r="B228" s="2" t="s">
        <v>210</v>
      </c>
      <c r="C228" s="2" t="s">
        <v>212</v>
      </c>
      <c r="D228" s="83" t="s">
        <v>213</v>
      </c>
      <c r="E228" s="84"/>
      <c r="F228" s="2" t="s">
        <v>31</v>
      </c>
      <c r="G228" s="17">
        <f>'Rozpočet - vybrané sloupce'!J188</f>
        <v>2</v>
      </c>
      <c r="H228" s="17">
        <f>'Rozpočet - vybrané sloupce'!K188</f>
        <v>0</v>
      </c>
      <c r="I228" s="74">
        <v>12</v>
      </c>
      <c r="J228" s="17">
        <f t="shared" si="318"/>
        <v>0</v>
      </c>
      <c r="K228" s="17">
        <f t="shared" si="319"/>
        <v>0</v>
      </c>
      <c r="L228" s="17">
        <f t="shared" si="320"/>
        <v>0</v>
      </c>
      <c r="M228" s="17">
        <f t="shared" si="321"/>
        <v>0</v>
      </c>
      <c r="N228" s="17">
        <v>4.0000000000000003E-5</v>
      </c>
      <c r="O228" s="17">
        <f t="shared" si="322"/>
        <v>8.0000000000000007E-5</v>
      </c>
      <c r="P228" s="75" t="s">
        <v>576</v>
      </c>
      <c r="Z228" s="17">
        <f t="shared" si="323"/>
        <v>0</v>
      </c>
      <c r="AB228" s="17">
        <f t="shared" si="324"/>
        <v>0</v>
      </c>
      <c r="AC228" s="17">
        <f t="shared" si="325"/>
        <v>0</v>
      </c>
      <c r="AD228" s="17">
        <f t="shared" si="326"/>
        <v>0</v>
      </c>
      <c r="AE228" s="17">
        <f t="shared" si="327"/>
        <v>0</v>
      </c>
      <c r="AF228" s="17">
        <f t="shared" si="328"/>
        <v>0</v>
      </c>
      <c r="AG228" s="17">
        <f t="shared" si="329"/>
        <v>0</v>
      </c>
      <c r="AH228" s="17">
        <f t="shared" si="330"/>
        <v>0</v>
      </c>
      <c r="AI228" s="14" t="s">
        <v>210</v>
      </c>
      <c r="AJ228" s="17">
        <f t="shared" si="331"/>
        <v>0</v>
      </c>
      <c r="AK228" s="17">
        <f t="shared" si="332"/>
        <v>0</v>
      </c>
      <c r="AL228" s="17">
        <f t="shared" si="333"/>
        <v>0</v>
      </c>
      <c r="AN228" s="17">
        <v>12</v>
      </c>
      <c r="AO228" s="17">
        <f>H228*0.231179487</f>
        <v>0</v>
      </c>
      <c r="AP228" s="17">
        <f>H228*(1-0.231179487)</f>
        <v>0</v>
      </c>
      <c r="AQ228" s="76" t="s">
        <v>577</v>
      </c>
      <c r="AV228" s="17">
        <f t="shared" si="334"/>
        <v>0</v>
      </c>
      <c r="AW228" s="17">
        <f t="shared" si="335"/>
        <v>0</v>
      </c>
      <c r="AX228" s="17">
        <f t="shared" si="336"/>
        <v>0</v>
      </c>
      <c r="AY228" s="76" t="s">
        <v>677</v>
      </c>
      <c r="AZ228" s="76" t="s">
        <v>778</v>
      </c>
      <c r="BA228" s="14" t="s">
        <v>771</v>
      </c>
      <c r="BC228" s="17">
        <f t="shared" si="337"/>
        <v>0</v>
      </c>
      <c r="BD228" s="17">
        <f t="shared" si="338"/>
        <v>0</v>
      </c>
      <c r="BE228" s="17">
        <v>0</v>
      </c>
      <c r="BF228" s="17">
        <f t="shared" si="339"/>
        <v>8.0000000000000007E-5</v>
      </c>
      <c r="BH228" s="17">
        <f t="shared" si="340"/>
        <v>0</v>
      </c>
      <c r="BI228" s="17">
        <f t="shared" si="341"/>
        <v>0</v>
      </c>
      <c r="BJ228" s="17">
        <f t="shared" si="342"/>
        <v>0</v>
      </c>
      <c r="BK228" s="17"/>
      <c r="BL228" s="17">
        <v>722</v>
      </c>
      <c r="BW228" s="17">
        <f t="shared" si="343"/>
        <v>12</v>
      </c>
      <c r="BX228" s="4" t="s">
        <v>213</v>
      </c>
    </row>
    <row r="229" spans="1:76" x14ac:dyDescent="0.25">
      <c r="A229" s="77"/>
      <c r="C229" s="78" t="s">
        <v>610</v>
      </c>
      <c r="D229" s="161" t="s">
        <v>687</v>
      </c>
      <c r="E229" s="162"/>
      <c r="F229" s="162"/>
      <c r="G229" s="162"/>
      <c r="H229" s="162"/>
      <c r="I229" s="162"/>
      <c r="J229" s="162"/>
      <c r="K229" s="162"/>
      <c r="L229" s="162"/>
      <c r="M229" s="162"/>
      <c r="N229" s="162"/>
      <c r="O229" s="162"/>
      <c r="P229" s="163"/>
      <c r="BX229" s="79" t="s">
        <v>687</v>
      </c>
    </row>
    <row r="230" spans="1:76" x14ac:dyDescent="0.25">
      <c r="A230" s="1" t="s">
        <v>786</v>
      </c>
      <c r="B230" s="2" t="s">
        <v>210</v>
      </c>
      <c r="C230" s="2" t="s">
        <v>127</v>
      </c>
      <c r="D230" s="83" t="s">
        <v>128</v>
      </c>
      <c r="E230" s="84"/>
      <c r="F230" s="2" t="s">
        <v>31</v>
      </c>
      <c r="G230" s="17">
        <f>'Rozpočet - vybrané sloupce'!J189</f>
        <v>9</v>
      </c>
      <c r="H230" s="17">
        <f>'Rozpočet - vybrané sloupce'!K189</f>
        <v>0</v>
      </c>
      <c r="I230" s="74">
        <v>12</v>
      </c>
      <c r="J230" s="17">
        <f>ROUND(G230*AO230,2)</f>
        <v>0</v>
      </c>
      <c r="K230" s="17">
        <f>ROUND(G230*AP230,2)</f>
        <v>0</v>
      </c>
      <c r="L230" s="17">
        <f>ROUND(G230*H230,2)</f>
        <v>0</v>
      </c>
      <c r="M230" s="17">
        <f>L230*(1+BW230/100)</f>
        <v>0</v>
      </c>
      <c r="N230" s="17">
        <v>6.9999999999999994E-5</v>
      </c>
      <c r="O230" s="17">
        <f>G230*N230</f>
        <v>6.2999999999999992E-4</v>
      </c>
      <c r="P230" s="75" t="s">
        <v>576</v>
      </c>
      <c r="Z230" s="17">
        <f>ROUND(IF(AQ230="5",BJ230,0),2)</f>
        <v>0</v>
      </c>
      <c r="AB230" s="17">
        <f>ROUND(IF(AQ230="1",BH230,0),2)</f>
        <v>0</v>
      </c>
      <c r="AC230" s="17">
        <f>ROUND(IF(AQ230="1",BI230,0),2)</f>
        <v>0</v>
      </c>
      <c r="AD230" s="17">
        <f>ROUND(IF(AQ230="7",BH230,0),2)</f>
        <v>0</v>
      </c>
      <c r="AE230" s="17">
        <f>ROUND(IF(AQ230="7",BI230,0),2)</f>
        <v>0</v>
      </c>
      <c r="AF230" s="17">
        <f>ROUND(IF(AQ230="2",BH230,0),2)</f>
        <v>0</v>
      </c>
      <c r="AG230" s="17">
        <f>ROUND(IF(AQ230="2",BI230,0),2)</f>
        <v>0</v>
      </c>
      <c r="AH230" s="17">
        <f>ROUND(IF(AQ230="0",BJ230,0),2)</f>
        <v>0</v>
      </c>
      <c r="AI230" s="14" t="s">
        <v>210</v>
      </c>
      <c r="AJ230" s="17">
        <f>IF(AN230=0,L230,0)</f>
        <v>0</v>
      </c>
      <c r="AK230" s="17">
        <f>IF(AN230=12,L230,0)</f>
        <v>0</v>
      </c>
      <c r="AL230" s="17">
        <f>IF(AN230=21,L230,0)</f>
        <v>0</v>
      </c>
      <c r="AN230" s="17">
        <v>12</v>
      </c>
      <c r="AO230" s="17">
        <f>H230*0.243955307</f>
        <v>0</v>
      </c>
      <c r="AP230" s="17">
        <f>H230*(1-0.243955307)</f>
        <v>0</v>
      </c>
      <c r="AQ230" s="76" t="s">
        <v>577</v>
      </c>
      <c r="AV230" s="17">
        <f>ROUND(AW230+AX230,2)</f>
        <v>0</v>
      </c>
      <c r="AW230" s="17">
        <f>ROUND(G230*AO230,2)</f>
        <v>0</v>
      </c>
      <c r="AX230" s="17">
        <f>ROUND(G230*AP230,2)</f>
        <v>0</v>
      </c>
      <c r="AY230" s="76" t="s">
        <v>677</v>
      </c>
      <c r="AZ230" s="76" t="s">
        <v>778</v>
      </c>
      <c r="BA230" s="14" t="s">
        <v>771</v>
      </c>
      <c r="BC230" s="17">
        <f>AW230+AX230</f>
        <v>0</v>
      </c>
      <c r="BD230" s="17">
        <f>H230/(100-BE230)*100</f>
        <v>0</v>
      </c>
      <c r="BE230" s="17">
        <v>0</v>
      </c>
      <c r="BF230" s="17">
        <f>O230</f>
        <v>6.2999999999999992E-4</v>
      </c>
      <c r="BH230" s="17">
        <f>G230*AO230</f>
        <v>0</v>
      </c>
      <c r="BI230" s="17">
        <f>G230*AP230</f>
        <v>0</v>
      </c>
      <c r="BJ230" s="17">
        <f>G230*H230</f>
        <v>0</v>
      </c>
      <c r="BK230" s="17"/>
      <c r="BL230" s="17">
        <v>722</v>
      </c>
      <c r="BW230" s="17">
        <f>I230</f>
        <v>12</v>
      </c>
      <c r="BX230" s="4" t="s">
        <v>128</v>
      </c>
    </row>
    <row r="231" spans="1:76" x14ac:dyDescent="0.25">
      <c r="A231" s="1" t="s">
        <v>787</v>
      </c>
      <c r="B231" s="2" t="s">
        <v>210</v>
      </c>
      <c r="C231" s="2" t="s">
        <v>129</v>
      </c>
      <c r="D231" s="83" t="s">
        <v>130</v>
      </c>
      <c r="E231" s="84"/>
      <c r="F231" s="2" t="s">
        <v>31</v>
      </c>
      <c r="G231" s="17">
        <f>'Rozpočet - vybrané sloupce'!J190</f>
        <v>23</v>
      </c>
      <c r="H231" s="17">
        <f>'Rozpočet - vybrané sloupce'!K190</f>
        <v>0</v>
      </c>
      <c r="I231" s="74">
        <v>12</v>
      </c>
      <c r="J231" s="17">
        <f>ROUND(G231*AO231,2)</f>
        <v>0</v>
      </c>
      <c r="K231" s="17">
        <f>ROUND(G231*AP231,2)</f>
        <v>0</v>
      </c>
      <c r="L231" s="17">
        <f>ROUND(G231*H231,2)</f>
        <v>0</v>
      </c>
      <c r="M231" s="17">
        <f>L231*(1+BW231/100)</f>
        <v>0</v>
      </c>
      <c r="N231" s="17">
        <v>6.0000000000000002E-5</v>
      </c>
      <c r="O231" s="17">
        <f>G231*N231</f>
        <v>1.3799999999999999E-3</v>
      </c>
      <c r="P231" s="75" t="s">
        <v>576</v>
      </c>
      <c r="Z231" s="17">
        <f>ROUND(IF(AQ231="5",BJ231,0),2)</f>
        <v>0</v>
      </c>
      <c r="AB231" s="17">
        <f>ROUND(IF(AQ231="1",BH231,0),2)</f>
        <v>0</v>
      </c>
      <c r="AC231" s="17">
        <f>ROUND(IF(AQ231="1",BI231,0),2)</f>
        <v>0</v>
      </c>
      <c r="AD231" s="17">
        <f>ROUND(IF(AQ231="7",BH231,0),2)</f>
        <v>0</v>
      </c>
      <c r="AE231" s="17">
        <f>ROUND(IF(AQ231="7",BI231,0),2)</f>
        <v>0</v>
      </c>
      <c r="AF231" s="17">
        <f>ROUND(IF(AQ231="2",BH231,0),2)</f>
        <v>0</v>
      </c>
      <c r="AG231" s="17">
        <f>ROUND(IF(AQ231="2",BI231,0),2)</f>
        <v>0</v>
      </c>
      <c r="AH231" s="17">
        <f>ROUND(IF(AQ231="0",BJ231,0),2)</f>
        <v>0</v>
      </c>
      <c r="AI231" s="14" t="s">
        <v>210</v>
      </c>
      <c r="AJ231" s="17">
        <f>IF(AN231=0,L231,0)</f>
        <v>0</v>
      </c>
      <c r="AK231" s="17">
        <f>IF(AN231=12,L231,0)</f>
        <v>0</v>
      </c>
      <c r="AL231" s="17">
        <f>IF(AN231=21,L231,0)</f>
        <v>0</v>
      </c>
      <c r="AN231" s="17">
        <v>12</v>
      </c>
      <c r="AO231" s="17">
        <f>H231*0.24232632</f>
        <v>0</v>
      </c>
      <c r="AP231" s="17">
        <f>H231*(1-0.24232632)</f>
        <v>0</v>
      </c>
      <c r="AQ231" s="76" t="s">
        <v>577</v>
      </c>
      <c r="AV231" s="17">
        <f>ROUND(AW231+AX231,2)</f>
        <v>0</v>
      </c>
      <c r="AW231" s="17">
        <f>ROUND(G231*AO231,2)</f>
        <v>0</v>
      </c>
      <c r="AX231" s="17">
        <f>ROUND(G231*AP231,2)</f>
        <v>0</v>
      </c>
      <c r="AY231" s="76" t="s">
        <v>677</v>
      </c>
      <c r="AZ231" s="76" t="s">
        <v>778</v>
      </c>
      <c r="BA231" s="14" t="s">
        <v>771</v>
      </c>
      <c r="BC231" s="17">
        <f>AW231+AX231</f>
        <v>0</v>
      </c>
      <c r="BD231" s="17">
        <f>H231/(100-BE231)*100</f>
        <v>0</v>
      </c>
      <c r="BE231" s="17">
        <v>0</v>
      </c>
      <c r="BF231" s="17">
        <f>O231</f>
        <v>1.3799999999999999E-3</v>
      </c>
      <c r="BH231" s="17">
        <f>G231*AO231</f>
        <v>0</v>
      </c>
      <c r="BI231" s="17">
        <f>G231*AP231</f>
        <v>0</v>
      </c>
      <c r="BJ231" s="17">
        <f>G231*H231</f>
        <v>0</v>
      </c>
      <c r="BK231" s="17"/>
      <c r="BL231" s="17">
        <v>722</v>
      </c>
      <c r="BW231" s="17">
        <f>I231</f>
        <v>12</v>
      </c>
      <c r="BX231" s="4" t="s">
        <v>130</v>
      </c>
    </row>
    <row r="232" spans="1:76" x14ac:dyDescent="0.25">
      <c r="A232" s="1" t="s">
        <v>788</v>
      </c>
      <c r="B232" s="2" t="s">
        <v>210</v>
      </c>
      <c r="C232" s="2" t="s">
        <v>214</v>
      </c>
      <c r="D232" s="83" t="s">
        <v>215</v>
      </c>
      <c r="E232" s="84"/>
      <c r="F232" s="2" t="s">
        <v>31</v>
      </c>
      <c r="G232" s="17">
        <f>'Rozpočet - vybrané sloupce'!J191</f>
        <v>9</v>
      </c>
      <c r="H232" s="17">
        <f>'Rozpočet - vybrané sloupce'!K191</f>
        <v>0</v>
      </c>
      <c r="I232" s="74">
        <v>12</v>
      </c>
      <c r="J232" s="17">
        <f>ROUND(G232*AO232,2)</f>
        <v>0</v>
      </c>
      <c r="K232" s="17">
        <f>ROUND(G232*AP232,2)</f>
        <v>0</v>
      </c>
      <c r="L232" s="17">
        <f>ROUND(G232*H232,2)</f>
        <v>0</v>
      </c>
      <c r="M232" s="17">
        <f>L232*(1+BW232/100)</f>
        <v>0</v>
      </c>
      <c r="N232" s="17">
        <v>1.2999999999999999E-4</v>
      </c>
      <c r="O232" s="17">
        <f>G232*N232</f>
        <v>1.1699999999999998E-3</v>
      </c>
      <c r="P232" s="75" t="s">
        <v>576</v>
      </c>
      <c r="Z232" s="17">
        <f>ROUND(IF(AQ232="5",BJ232,0),2)</f>
        <v>0</v>
      </c>
      <c r="AB232" s="17">
        <f>ROUND(IF(AQ232="1",BH232,0),2)</f>
        <v>0</v>
      </c>
      <c r="AC232" s="17">
        <f>ROUND(IF(AQ232="1",BI232,0),2)</f>
        <v>0</v>
      </c>
      <c r="AD232" s="17">
        <f>ROUND(IF(AQ232="7",BH232,0),2)</f>
        <v>0</v>
      </c>
      <c r="AE232" s="17">
        <f>ROUND(IF(AQ232="7",BI232,0),2)</f>
        <v>0</v>
      </c>
      <c r="AF232" s="17">
        <f>ROUND(IF(AQ232="2",BH232,0),2)</f>
        <v>0</v>
      </c>
      <c r="AG232" s="17">
        <f>ROUND(IF(AQ232="2",BI232,0),2)</f>
        <v>0</v>
      </c>
      <c r="AH232" s="17">
        <f>ROUND(IF(AQ232="0",BJ232,0),2)</f>
        <v>0</v>
      </c>
      <c r="AI232" s="14" t="s">
        <v>210</v>
      </c>
      <c r="AJ232" s="17">
        <f>IF(AN232=0,L232,0)</f>
        <v>0</v>
      </c>
      <c r="AK232" s="17">
        <f>IF(AN232=12,L232,0)</f>
        <v>0</v>
      </c>
      <c r="AL232" s="17">
        <f>IF(AN232=21,L232,0)</f>
        <v>0</v>
      </c>
      <c r="AN232" s="17">
        <v>12</v>
      </c>
      <c r="AO232" s="17">
        <f>H232*0.270073529</f>
        <v>0</v>
      </c>
      <c r="AP232" s="17">
        <f>H232*(1-0.270073529)</f>
        <v>0</v>
      </c>
      <c r="AQ232" s="76" t="s">
        <v>577</v>
      </c>
      <c r="AV232" s="17">
        <f>ROUND(AW232+AX232,2)</f>
        <v>0</v>
      </c>
      <c r="AW232" s="17">
        <f>ROUND(G232*AO232,2)</f>
        <v>0</v>
      </c>
      <c r="AX232" s="17">
        <f>ROUND(G232*AP232,2)</f>
        <v>0</v>
      </c>
      <c r="AY232" s="76" t="s">
        <v>677</v>
      </c>
      <c r="AZ232" s="76" t="s">
        <v>778</v>
      </c>
      <c r="BA232" s="14" t="s">
        <v>771</v>
      </c>
      <c r="BC232" s="17">
        <f>AW232+AX232</f>
        <v>0</v>
      </c>
      <c r="BD232" s="17">
        <f>H232/(100-BE232)*100</f>
        <v>0</v>
      </c>
      <c r="BE232" s="17">
        <v>0</v>
      </c>
      <c r="BF232" s="17">
        <f>O232</f>
        <v>1.1699999999999998E-3</v>
      </c>
      <c r="BH232" s="17">
        <f>G232*AO232</f>
        <v>0</v>
      </c>
      <c r="BI232" s="17">
        <f>G232*AP232</f>
        <v>0</v>
      </c>
      <c r="BJ232" s="17">
        <f>G232*H232</f>
        <v>0</v>
      </c>
      <c r="BK232" s="17"/>
      <c r="BL232" s="17">
        <v>722</v>
      </c>
      <c r="BW232" s="17">
        <f>I232</f>
        <v>12</v>
      </c>
      <c r="BX232" s="4" t="s">
        <v>215</v>
      </c>
    </row>
    <row r="233" spans="1:76" x14ac:dyDescent="0.25">
      <c r="A233" s="77"/>
      <c r="C233" s="78" t="s">
        <v>610</v>
      </c>
      <c r="D233" s="161" t="s">
        <v>687</v>
      </c>
      <c r="E233" s="162"/>
      <c r="F233" s="162"/>
      <c r="G233" s="162"/>
      <c r="H233" s="162"/>
      <c r="I233" s="162"/>
      <c r="J233" s="162"/>
      <c r="K233" s="162"/>
      <c r="L233" s="162"/>
      <c r="M233" s="162"/>
      <c r="N233" s="162"/>
      <c r="O233" s="162"/>
      <c r="P233" s="163"/>
      <c r="BX233" s="79" t="s">
        <v>687</v>
      </c>
    </row>
    <row r="234" spans="1:76" x14ac:dyDescent="0.25">
      <c r="A234" s="1" t="s">
        <v>789</v>
      </c>
      <c r="B234" s="2" t="s">
        <v>210</v>
      </c>
      <c r="C234" s="2" t="s">
        <v>131</v>
      </c>
      <c r="D234" s="83" t="s">
        <v>132</v>
      </c>
      <c r="E234" s="84"/>
      <c r="F234" s="2" t="s">
        <v>31</v>
      </c>
      <c r="G234" s="17">
        <f>'Rozpočet - vybrané sloupce'!J192</f>
        <v>14</v>
      </c>
      <c r="H234" s="17">
        <f>'Rozpočet - vybrané sloupce'!K192</f>
        <v>0</v>
      </c>
      <c r="I234" s="74">
        <v>12</v>
      </c>
      <c r="J234" s="17">
        <f t="shared" ref="J234:J260" si="344">ROUND(G234*AO234,2)</f>
        <v>0</v>
      </c>
      <c r="K234" s="17">
        <f t="shared" ref="K234:K260" si="345">ROUND(G234*AP234,2)</f>
        <v>0</v>
      </c>
      <c r="L234" s="17">
        <f t="shared" ref="L234:L260" si="346">ROUND(G234*H234,2)</f>
        <v>0</v>
      </c>
      <c r="M234" s="17">
        <f t="shared" ref="M234:M260" si="347">L234*(1+BW234/100)</f>
        <v>0</v>
      </c>
      <c r="N234" s="17">
        <v>1.9000000000000001E-4</v>
      </c>
      <c r="O234" s="17">
        <f t="shared" ref="O234:O260" si="348">G234*N234</f>
        <v>2.66E-3</v>
      </c>
      <c r="P234" s="75" t="s">
        <v>576</v>
      </c>
      <c r="Z234" s="17">
        <f t="shared" ref="Z234:Z260" si="349">ROUND(IF(AQ234="5",BJ234,0),2)</f>
        <v>0</v>
      </c>
      <c r="AB234" s="17">
        <f t="shared" ref="AB234:AB260" si="350">ROUND(IF(AQ234="1",BH234,0),2)</f>
        <v>0</v>
      </c>
      <c r="AC234" s="17">
        <f t="shared" ref="AC234:AC260" si="351">ROUND(IF(AQ234="1",BI234,0),2)</f>
        <v>0</v>
      </c>
      <c r="AD234" s="17">
        <f t="shared" ref="AD234:AD260" si="352">ROUND(IF(AQ234="7",BH234,0),2)</f>
        <v>0</v>
      </c>
      <c r="AE234" s="17">
        <f t="shared" ref="AE234:AE260" si="353">ROUND(IF(AQ234="7",BI234,0),2)</f>
        <v>0</v>
      </c>
      <c r="AF234" s="17">
        <f t="shared" ref="AF234:AF260" si="354">ROUND(IF(AQ234="2",BH234,0),2)</f>
        <v>0</v>
      </c>
      <c r="AG234" s="17">
        <f t="shared" ref="AG234:AG260" si="355">ROUND(IF(AQ234="2",BI234,0),2)</f>
        <v>0</v>
      </c>
      <c r="AH234" s="17">
        <f t="shared" ref="AH234:AH260" si="356">ROUND(IF(AQ234="0",BJ234,0),2)</f>
        <v>0</v>
      </c>
      <c r="AI234" s="14" t="s">
        <v>210</v>
      </c>
      <c r="AJ234" s="17">
        <f t="shared" ref="AJ234:AJ260" si="357">IF(AN234=0,L234,0)</f>
        <v>0</v>
      </c>
      <c r="AK234" s="17">
        <f t="shared" ref="AK234:AK260" si="358">IF(AN234=12,L234,0)</f>
        <v>0</v>
      </c>
      <c r="AL234" s="17">
        <f t="shared" ref="AL234:AL260" si="359">IF(AN234=21,L234,0)</f>
        <v>0</v>
      </c>
      <c r="AN234" s="17">
        <v>12</v>
      </c>
      <c r="AO234" s="17">
        <f>H234*0.336695157</f>
        <v>0</v>
      </c>
      <c r="AP234" s="17">
        <f>H234*(1-0.336695157)</f>
        <v>0</v>
      </c>
      <c r="AQ234" s="76" t="s">
        <v>577</v>
      </c>
      <c r="AV234" s="17">
        <f t="shared" ref="AV234:AV260" si="360">ROUND(AW234+AX234,2)</f>
        <v>0</v>
      </c>
      <c r="AW234" s="17">
        <f t="shared" ref="AW234:AW260" si="361">ROUND(G234*AO234,2)</f>
        <v>0</v>
      </c>
      <c r="AX234" s="17">
        <f t="shared" ref="AX234:AX260" si="362">ROUND(G234*AP234,2)</f>
        <v>0</v>
      </c>
      <c r="AY234" s="76" t="s">
        <v>677</v>
      </c>
      <c r="AZ234" s="76" t="s">
        <v>778</v>
      </c>
      <c r="BA234" s="14" t="s">
        <v>771</v>
      </c>
      <c r="BC234" s="17">
        <f t="shared" ref="BC234:BC260" si="363">AW234+AX234</f>
        <v>0</v>
      </c>
      <c r="BD234" s="17">
        <f t="shared" ref="BD234:BD260" si="364">H234/(100-BE234)*100</f>
        <v>0</v>
      </c>
      <c r="BE234" s="17">
        <v>0</v>
      </c>
      <c r="BF234" s="17">
        <f t="shared" ref="BF234:BF260" si="365">O234</f>
        <v>2.66E-3</v>
      </c>
      <c r="BH234" s="17">
        <f t="shared" ref="BH234:BH260" si="366">G234*AO234</f>
        <v>0</v>
      </c>
      <c r="BI234" s="17">
        <f t="shared" ref="BI234:BI260" si="367">G234*AP234</f>
        <v>0</v>
      </c>
      <c r="BJ234" s="17">
        <f t="shared" ref="BJ234:BJ260" si="368">G234*H234</f>
        <v>0</v>
      </c>
      <c r="BK234" s="17"/>
      <c r="BL234" s="17">
        <v>722</v>
      </c>
      <c r="BW234" s="17">
        <f t="shared" ref="BW234:BW260" si="369">I234</f>
        <v>12</v>
      </c>
      <c r="BX234" s="4" t="s">
        <v>132</v>
      </c>
    </row>
    <row r="235" spans="1:76" x14ac:dyDescent="0.25">
      <c r="A235" s="1" t="s">
        <v>790</v>
      </c>
      <c r="B235" s="2" t="s">
        <v>210</v>
      </c>
      <c r="C235" s="2" t="s">
        <v>133</v>
      </c>
      <c r="D235" s="83" t="s">
        <v>134</v>
      </c>
      <c r="E235" s="84"/>
      <c r="F235" s="2" t="s">
        <v>31</v>
      </c>
      <c r="G235" s="17">
        <f>'Rozpočet - vybrané sloupce'!J193</f>
        <v>30</v>
      </c>
      <c r="H235" s="17">
        <f>'Rozpočet - vybrané sloupce'!K193</f>
        <v>0</v>
      </c>
      <c r="I235" s="74">
        <v>12</v>
      </c>
      <c r="J235" s="17">
        <f t="shared" si="344"/>
        <v>0</v>
      </c>
      <c r="K235" s="17">
        <f t="shared" si="345"/>
        <v>0</v>
      </c>
      <c r="L235" s="17">
        <f t="shared" si="346"/>
        <v>0</v>
      </c>
      <c r="M235" s="17">
        <f t="shared" si="347"/>
        <v>0</v>
      </c>
      <c r="N235" s="17">
        <v>6.9999999999999994E-5</v>
      </c>
      <c r="O235" s="17">
        <f t="shared" si="348"/>
        <v>2.0999999999999999E-3</v>
      </c>
      <c r="P235" s="75" t="s">
        <v>576</v>
      </c>
      <c r="Z235" s="17">
        <f t="shared" si="349"/>
        <v>0</v>
      </c>
      <c r="AB235" s="17">
        <f t="shared" si="350"/>
        <v>0</v>
      </c>
      <c r="AC235" s="17">
        <f t="shared" si="351"/>
        <v>0</v>
      </c>
      <c r="AD235" s="17">
        <f t="shared" si="352"/>
        <v>0</v>
      </c>
      <c r="AE235" s="17">
        <f t="shared" si="353"/>
        <v>0</v>
      </c>
      <c r="AF235" s="17">
        <f t="shared" si="354"/>
        <v>0</v>
      </c>
      <c r="AG235" s="17">
        <f t="shared" si="355"/>
        <v>0</v>
      </c>
      <c r="AH235" s="17">
        <f t="shared" si="356"/>
        <v>0</v>
      </c>
      <c r="AI235" s="14" t="s">
        <v>210</v>
      </c>
      <c r="AJ235" s="17">
        <f t="shared" si="357"/>
        <v>0</v>
      </c>
      <c r="AK235" s="17">
        <f t="shared" si="358"/>
        <v>0</v>
      </c>
      <c r="AL235" s="17">
        <f t="shared" si="359"/>
        <v>0</v>
      </c>
      <c r="AN235" s="17">
        <v>12</v>
      </c>
      <c r="AO235" s="17">
        <f>H235*0.496107383</f>
        <v>0</v>
      </c>
      <c r="AP235" s="17">
        <f>H235*(1-0.496107383)</f>
        <v>0</v>
      </c>
      <c r="AQ235" s="76" t="s">
        <v>577</v>
      </c>
      <c r="AV235" s="17">
        <f t="shared" si="360"/>
        <v>0</v>
      </c>
      <c r="AW235" s="17">
        <f t="shared" si="361"/>
        <v>0</v>
      </c>
      <c r="AX235" s="17">
        <f t="shared" si="362"/>
        <v>0</v>
      </c>
      <c r="AY235" s="76" t="s">
        <v>677</v>
      </c>
      <c r="AZ235" s="76" t="s">
        <v>778</v>
      </c>
      <c r="BA235" s="14" t="s">
        <v>771</v>
      </c>
      <c r="BC235" s="17">
        <f t="shared" si="363"/>
        <v>0</v>
      </c>
      <c r="BD235" s="17">
        <f t="shared" si="364"/>
        <v>0</v>
      </c>
      <c r="BE235" s="17">
        <v>0</v>
      </c>
      <c r="BF235" s="17">
        <f t="shared" si="365"/>
        <v>2.0999999999999999E-3</v>
      </c>
      <c r="BH235" s="17">
        <f t="shared" si="366"/>
        <v>0</v>
      </c>
      <c r="BI235" s="17">
        <f t="shared" si="367"/>
        <v>0</v>
      </c>
      <c r="BJ235" s="17">
        <f t="shared" si="368"/>
        <v>0</v>
      </c>
      <c r="BK235" s="17"/>
      <c r="BL235" s="17">
        <v>722</v>
      </c>
      <c r="BW235" s="17">
        <f t="shared" si="369"/>
        <v>12</v>
      </c>
      <c r="BX235" s="4" t="s">
        <v>134</v>
      </c>
    </row>
    <row r="236" spans="1:76" x14ac:dyDescent="0.25">
      <c r="A236" s="1" t="s">
        <v>791</v>
      </c>
      <c r="B236" s="2" t="s">
        <v>210</v>
      </c>
      <c r="C236" s="2" t="s">
        <v>135</v>
      </c>
      <c r="D236" s="83" t="s">
        <v>136</v>
      </c>
      <c r="E236" s="84"/>
      <c r="F236" s="2" t="s">
        <v>31</v>
      </c>
      <c r="G236" s="17">
        <f>'Rozpočet - vybrané sloupce'!J194</f>
        <v>9</v>
      </c>
      <c r="H236" s="17">
        <f>'Rozpočet - vybrané sloupce'!K194</f>
        <v>0</v>
      </c>
      <c r="I236" s="74">
        <v>12</v>
      </c>
      <c r="J236" s="17">
        <f t="shared" si="344"/>
        <v>0</v>
      </c>
      <c r="K236" s="17">
        <f t="shared" si="345"/>
        <v>0</v>
      </c>
      <c r="L236" s="17">
        <f t="shared" si="346"/>
        <v>0</v>
      </c>
      <c r="M236" s="17">
        <f t="shared" si="347"/>
        <v>0</v>
      </c>
      <c r="N236" s="17">
        <v>6.9999999999999994E-5</v>
      </c>
      <c r="O236" s="17">
        <f t="shared" si="348"/>
        <v>6.2999999999999992E-4</v>
      </c>
      <c r="P236" s="75" t="s">
        <v>576</v>
      </c>
      <c r="Z236" s="17">
        <f t="shared" si="349"/>
        <v>0</v>
      </c>
      <c r="AB236" s="17">
        <f t="shared" si="350"/>
        <v>0</v>
      </c>
      <c r="AC236" s="17">
        <f t="shared" si="351"/>
        <v>0</v>
      </c>
      <c r="AD236" s="17">
        <f t="shared" si="352"/>
        <v>0</v>
      </c>
      <c r="AE236" s="17">
        <f t="shared" si="353"/>
        <v>0</v>
      </c>
      <c r="AF236" s="17">
        <f t="shared" si="354"/>
        <v>0</v>
      </c>
      <c r="AG236" s="17">
        <f t="shared" si="355"/>
        <v>0</v>
      </c>
      <c r="AH236" s="17">
        <f t="shared" si="356"/>
        <v>0</v>
      </c>
      <c r="AI236" s="14" t="s">
        <v>210</v>
      </c>
      <c r="AJ236" s="17">
        <f t="shared" si="357"/>
        <v>0</v>
      </c>
      <c r="AK236" s="17">
        <f t="shared" si="358"/>
        <v>0</v>
      </c>
      <c r="AL236" s="17">
        <f t="shared" si="359"/>
        <v>0</v>
      </c>
      <c r="AN236" s="17">
        <v>12</v>
      </c>
      <c r="AO236" s="17">
        <f>H236*0.523117066</f>
        <v>0</v>
      </c>
      <c r="AP236" s="17">
        <f>H236*(1-0.523117066)</f>
        <v>0</v>
      </c>
      <c r="AQ236" s="76" t="s">
        <v>577</v>
      </c>
      <c r="AV236" s="17">
        <f t="shared" si="360"/>
        <v>0</v>
      </c>
      <c r="AW236" s="17">
        <f t="shared" si="361"/>
        <v>0</v>
      </c>
      <c r="AX236" s="17">
        <f t="shared" si="362"/>
        <v>0</v>
      </c>
      <c r="AY236" s="76" t="s">
        <v>677</v>
      </c>
      <c r="AZ236" s="76" t="s">
        <v>778</v>
      </c>
      <c r="BA236" s="14" t="s">
        <v>771</v>
      </c>
      <c r="BC236" s="17">
        <f t="shared" si="363"/>
        <v>0</v>
      </c>
      <c r="BD236" s="17">
        <f t="shared" si="364"/>
        <v>0</v>
      </c>
      <c r="BE236" s="17">
        <v>0</v>
      </c>
      <c r="BF236" s="17">
        <f t="shared" si="365"/>
        <v>6.2999999999999992E-4</v>
      </c>
      <c r="BH236" s="17">
        <f t="shared" si="366"/>
        <v>0</v>
      </c>
      <c r="BI236" s="17">
        <f t="shared" si="367"/>
        <v>0</v>
      </c>
      <c r="BJ236" s="17">
        <f t="shared" si="368"/>
        <v>0</v>
      </c>
      <c r="BK236" s="17"/>
      <c r="BL236" s="17">
        <v>722</v>
      </c>
      <c r="BW236" s="17">
        <f t="shared" si="369"/>
        <v>12</v>
      </c>
      <c r="BX236" s="4" t="s">
        <v>136</v>
      </c>
    </row>
    <row r="237" spans="1:76" x14ac:dyDescent="0.25">
      <c r="A237" s="1" t="s">
        <v>792</v>
      </c>
      <c r="B237" s="2" t="s">
        <v>210</v>
      </c>
      <c r="C237" s="2" t="s">
        <v>137</v>
      </c>
      <c r="D237" s="83" t="s">
        <v>138</v>
      </c>
      <c r="E237" s="84"/>
      <c r="F237" s="2" t="s">
        <v>31</v>
      </c>
      <c r="G237" s="17">
        <f>'Rozpočet - vybrané sloupce'!J195</f>
        <v>41</v>
      </c>
      <c r="H237" s="17">
        <f>'Rozpočet - vybrané sloupce'!K195</f>
        <v>0</v>
      </c>
      <c r="I237" s="74">
        <v>12</v>
      </c>
      <c r="J237" s="17">
        <f t="shared" si="344"/>
        <v>0</v>
      </c>
      <c r="K237" s="17">
        <f t="shared" si="345"/>
        <v>0</v>
      </c>
      <c r="L237" s="17">
        <f t="shared" si="346"/>
        <v>0</v>
      </c>
      <c r="M237" s="17">
        <f t="shared" si="347"/>
        <v>0</v>
      </c>
      <c r="N237" s="17">
        <v>8.0000000000000007E-5</v>
      </c>
      <c r="O237" s="17">
        <f t="shared" si="348"/>
        <v>3.2800000000000004E-3</v>
      </c>
      <c r="P237" s="75" t="s">
        <v>576</v>
      </c>
      <c r="Z237" s="17">
        <f t="shared" si="349"/>
        <v>0</v>
      </c>
      <c r="AB237" s="17">
        <f t="shared" si="350"/>
        <v>0</v>
      </c>
      <c r="AC237" s="17">
        <f t="shared" si="351"/>
        <v>0</v>
      </c>
      <c r="AD237" s="17">
        <f t="shared" si="352"/>
        <v>0</v>
      </c>
      <c r="AE237" s="17">
        <f t="shared" si="353"/>
        <v>0</v>
      </c>
      <c r="AF237" s="17">
        <f t="shared" si="354"/>
        <v>0</v>
      </c>
      <c r="AG237" s="17">
        <f t="shared" si="355"/>
        <v>0</v>
      </c>
      <c r="AH237" s="17">
        <f t="shared" si="356"/>
        <v>0</v>
      </c>
      <c r="AI237" s="14" t="s">
        <v>210</v>
      </c>
      <c r="AJ237" s="17">
        <f t="shared" si="357"/>
        <v>0</v>
      </c>
      <c r="AK237" s="17">
        <f t="shared" si="358"/>
        <v>0</v>
      </c>
      <c r="AL237" s="17">
        <f t="shared" si="359"/>
        <v>0</v>
      </c>
      <c r="AN237" s="17">
        <v>12</v>
      </c>
      <c r="AO237" s="17">
        <f>H237*0.527714286</f>
        <v>0</v>
      </c>
      <c r="AP237" s="17">
        <f>H237*(1-0.527714286)</f>
        <v>0</v>
      </c>
      <c r="AQ237" s="76" t="s">
        <v>577</v>
      </c>
      <c r="AV237" s="17">
        <f t="shared" si="360"/>
        <v>0</v>
      </c>
      <c r="AW237" s="17">
        <f t="shared" si="361"/>
        <v>0</v>
      </c>
      <c r="AX237" s="17">
        <f t="shared" si="362"/>
        <v>0</v>
      </c>
      <c r="AY237" s="76" t="s">
        <v>677</v>
      </c>
      <c r="AZ237" s="76" t="s">
        <v>778</v>
      </c>
      <c r="BA237" s="14" t="s">
        <v>771</v>
      </c>
      <c r="BC237" s="17">
        <f t="shared" si="363"/>
        <v>0</v>
      </c>
      <c r="BD237" s="17">
        <f t="shared" si="364"/>
        <v>0</v>
      </c>
      <c r="BE237" s="17">
        <v>0</v>
      </c>
      <c r="BF237" s="17">
        <f t="shared" si="365"/>
        <v>3.2800000000000004E-3</v>
      </c>
      <c r="BH237" s="17">
        <f t="shared" si="366"/>
        <v>0</v>
      </c>
      <c r="BI237" s="17">
        <f t="shared" si="367"/>
        <v>0</v>
      </c>
      <c r="BJ237" s="17">
        <f t="shared" si="368"/>
        <v>0</v>
      </c>
      <c r="BK237" s="17"/>
      <c r="BL237" s="17">
        <v>722</v>
      </c>
      <c r="BW237" s="17">
        <f t="shared" si="369"/>
        <v>12</v>
      </c>
      <c r="BX237" s="4" t="s">
        <v>138</v>
      </c>
    </row>
    <row r="238" spans="1:76" x14ac:dyDescent="0.25">
      <c r="A238" s="1" t="s">
        <v>793</v>
      </c>
      <c r="B238" s="2" t="s">
        <v>210</v>
      </c>
      <c r="C238" s="2" t="s">
        <v>202</v>
      </c>
      <c r="D238" s="83" t="s">
        <v>203</v>
      </c>
      <c r="E238" s="84"/>
      <c r="F238" s="2" t="s">
        <v>31</v>
      </c>
      <c r="G238" s="17">
        <f>'Rozpočet - vybrané sloupce'!J196</f>
        <v>23</v>
      </c>
      <c r="H238" s="17">
        <f>'Rozpočet - vybrané sloupce'!K196</f>
        <v>0</v>
      </c>
      <c r="I238" s="74">
        <v>12</v>
      </c>
      <c r="J238" s="17">
        <f t="shared" si="344"/>
        <v>0</v>
      </c>
      <c r="K238" s="17">
        <f t="shared" si="345"/>
        <v>0</v>
      </c>
      <c r="L238" s="17">
        <f t="shared" si="346"/>
        <v>0</v>
      </c>
      <c r="M238" s="17">
        <f t="shared" si="347"/>
        <v>0</v>
      </c>
      <c r="N238" s="17">
        <v>2.0000000000000001E-4</v>
      </c>
      <c r="O238" s="17">
        <f t="shared" si="348"/>
        <v>4.5999999999999999E-3</v>
      </c>
      <c r="P238" s="75" t="s">
        <v>576</v>
      </c>
      <c r="Z238" s="17">
        <f t="shared" si="349"/>
        <v>0</v>
      </c>
      <c r="AB238" s="17">
        <f t="shared" si="350"/>
        <v>0</v>
      </c>
      <c r="AC238" s="17">
        <f t="shared" si="351"/>
        <v>0</v>
      </c>
      <c r="AD238" s="17">
        <f t="shared" si="352"/>
        <v>0</v>
      </c>
      <c r="AE238" s="17">
        <f t="shared" si="353"/>
        <v>0</v>
      </c>
      <c r="AF238" s="17">
        <f t="shared" si="354"/>
        <v>0</v>
      </c>
      <c r="AG238" s="17">
        <f t="shared" si="355"/>
        <v>0</v>
      </c>
      <c r="AH238" s="17">
        <f t="shared" si="356"/>
        <v>0</v>
      </c>
      <c r="AI238" s="14" t="s">
        <v>210</v>
      </c>
      <c r="AJ238" s="17">
        <f t="shared" si="357"/>
        <v>0</v>
      </c>
      <c r="AK238" s="17">
        <f t="shared" si="358"/>
        <v>0</v>
      </c>
      <c r="AL238" s="17">
        <f t="shared" si="359"/>
        <v>0</v>
      </c>
      <c r="AN238" s="17">
        <v>12</v>
      </c>
      <c r="AO238" s="17">
        <f>H238*0.562168142</f>
        <v>0</v>
      </c>
      <c r="AP238" s="17">
        <f>H238*(1-0.562168142)</f>
        <v>0</v>
      </c>
      <c r="AQ238" s="76" t="s">
        <v>577</v>
      </c>
      <c r="AV238" s="17">
        <f t="shared" si="360"/>
        <v>0</v>
      </c>
      <c r="AW238" s="17">
        <f t="shared" si="361"/>
        <v>0</v>
      </c>
      <c r="AX238" s="17">
        <f t="shared" si="362"/>
        <v>0</v>
      </c>
      <c r="AY238" s="76" t="s">
        <v>677</v>
      </c>
      <c r="AZ238" s="76" t="s">
        <v>778</v>
      </c>
      <c r="BA238" s="14" t="s">
        <v>771</v>
      </c>
      <c r="BC238" s="17">
        <f t="shared" si="363"/>
        <v>0</v>
      </c>
      <c r="BD238" s="17">
        <f t="shared" si="364"/>
        <v>0</v>
      </c>
      <c r="BE238" s="17">
        <v>0</v>
      </c>
      <c r="BF238" s="17">
        <f t="shared" si="365"/>
        <v>4.5999999999999999E-3</v>
      </c>
      <c r="BH238" s="17">
        <f t="shared" si="366"/>
        <v>0</v>
      </c>
      <c r="BI238" s="17">
        <f t="shared" si="367"/>
        <v>0</v>
      </c>
      <c r="BJ238" s="17">
        <f t="shared" si="368"/>
        <v>0</v>
      </c>
      <c r="BK238" s="17"/>
      <c r="BL238" s="17">
        <v>722</v>
      </c>
      <c r="BW238" s="17">
        <f t="shared" si="369"/>
        <v>12</v>
      </c>
      <c r="BX238" s="4" t="s">
        <v>203</v>
      </c>
    </row>
    <row r="239" spans="1:76" x14ac:dyDescent="0.25">
      <c r="A239" s="1" t="s">
        <v>794</v>
      </c>
      <c r="B239" s="2" t="s">
        <v>210</v>
      </c>
      <c r="C239" s="2" t="s">
        <v>141</v>
      </c>
      <c r="D239" s="83" t="s">
        <v>142</v>
      </c>
      <c r="E239" s="84"/>
      <c r="F239" s="2" t="s">
        <v>31</v>
      </c>
      <c r="G239" s="17">
        <f>'Rozpočet - vybrané sloupce'!J197</f>
        <v>26</v>
      </c>
      <c r="H239" s="17">
        <f>'Rozpočet - vybrané sloupce'!K197</f>
        <v>0</v>
      </c>
      <c r="I239" s="74">
        <v>12</v>
      </c>
      <c r="J239" s="17">
        <f t="shared" si="344"/>
        <v>0</v>
      </c>
      <c r="K239" s="17">
        <f t="shared" si="345"/>
        <v>0</v>
      </c>
      <c r="L239" s="17">
        <f t="shared" si="346"/>
        <v>0</v>
      </c>
      <c r="M239" s="17">
        <f t="shared" si="347"/>
        <v>0</v>
      </c>
      <c r="N239" s="17">
        <v>0</v>
      </c>
      <c r="O239" s="17">
        <f t="shared" si="348"/>
        <v>0</v>
      </c>
      <c r="P239" s="75" t="s">
        <v>576</v>
      </c>
      <c r="Z239" s="17">
        <f t="shared" si="349"/>
        <v>0</v>
      </c>
      <c r="AB239" s="17">
        <f t="shared" si="350"/>
        <v>0</v>
      </c>
      <c r="AC239" s="17">
        <f t="shared" si="351"/>
        <v>0</v>
      </c>
      <c r="AD239" s="17">
        <f t="shared" si="352"/>
        <v>0</v>
      </c>
      <c r="AE239" s="17">
        <f t="shared" si="353"/>
        <v>0</v>
      </c>
      <c r="AF239" s="17">
        <f t="shared" si="354"/>
        <v>0</v>
      </c>
      <c r="AG239" s="17">
        <f t="shared" si="355"/>
        <v>0</v>
      </c>
      <c r="AH239" s="17">
        <f t="shared" si="356"/>
        <v>0</v>
      </c>
      <c r="AI239" s="14" t="s">
        <v>210</v>
      </c>
      <c r="AJ239" s="17">
        <f t="shared" si="357"/>
        <v>0</v>
      </c>
      <c r="AK239" s="17">
        <f t="shared" si="358"/>
        <v>0</v>
      </c>
      <c r="AL239" s="17">
        <f t="shared" si="359"/>
        <v>0</v>
      </c>
      <c r="AN239" s="17">
        <v>12</v>
      </c>
      <c r="AO239" s="17">
        <f t="shared" ref="AO239:AO244" si="370">H239*1</f>
        <v>0</v>
      </c>
      <c r="AP239" s="17">
        <f t="shared" ref="AP239:AP244" si="371">H239*(1-1)</f>
        <v>0</v>
      </c>
      <c r="AQ239" s="76" t="s">
        <v>577</v>
      </c>
      <c r="AV239" s="17">
        <f t="shared" si="360"/>
        <v>0</v>
      </c>
      <c r="AW239" s="17">
        <f t="shared" si="361"/>
        <v>0</v>
      </c>
      <c r="AX239" s="17">
        <f t="shared" si="362"/>
        <v>0</v>
      </c>
      <c r="AY239" s="76" t="s">
        <v>677</v>
      </c>
      <c r="AZ239" s="76" t="s">
        <v>778</v>
      </c>
      <c r="BA239" s="14" t="s">
        <v>771</v>
      </c>
      <c r="BC239" s="17">
        <f t="shared" si="363"/>
        <v>0</v>
      </c>
      <c r="BD239" s="17">
        <f t="shared" si="364"/>
        <v>0</v>
      </c>
      <c r="BE239" s="17">
        <v>0</v>
      </c>
      <c r="BF239" s="17">
        <f t="shared" si="365"/>
        <v>0</v>
      </c>
      <c r="BH239" s="17">
        <f t="shared" si="366"/>
        <v>0</v>
      </c>
      <c r="BI239" s="17">
        <f t="shared" si="367"/>
        <v>0</v>
      </c>
      <c r="BJ239" s="17">
        <f t="shared" si="368"/>
        <v>0</v>
      </c>
      <c r="BK239" s="17"/>
      <c r="BL239" s="17">
        <v>722</v>
      </c>
      <c r="BW239" s="17">
        <f t="shared" si="369"/>
        <v>12</v>
      </c>
      <c r="BX239" s="4" t="s">
        <v>142</v>
      </c>
    </row>
    <row r="240" spans="1:76" x14ac:dyDescent="0.25">
      <c r="A240" s="1" t="s">
        <v>795</v>
      </c>
      <c r="B240" s="2" t="s">
        <v>210</v>
      </c>
      <c r="C240" s="2" t="s">
        <v>143</v>
      </c>
      <c r="D240" s="83" t="s">
        <v>144</v>
      </c>
      <c r="E240" s="84"/>
      <c r="F240" s="2" t="s">
        <v>31</v>
      </c>
      <c r="G240" s="17">
        <f>'Rozpočet - vybrané sloupce'!J198</f>
        <v>19</v>
      </c>
      <c r="H240" s="17">
        <f>'Rozpočet - vybrané sloupce'!K198</f>
        <v>0</v>
      </c>
      <c r="I240" s="74">
        <v>12</v>
      </c>
      <c r="J240" s="17">
        <f t="shared" si="344"/>
        <v>0</v>
      </c>
      <c r="K240" s="17">
        <f t="shared" si="345"/>
        <v>0</v>
      </c>
      <c r="L240" s="17">
        <f t="shared" si="346"/>
        <v>0</v>
      </c>
      <c r="M240" s="17">
        <f t="shared" si="347"/>
        <v>0</v>
      </c>
      <c r="N240" s="17">
        <v>0</v>
      </c>
      <c r="O240" s="17">
        <f t="shared" si="348"/>
        <v>0</v>
      </c>
      <c r="P240" s="75" t="s">
        <v>576</v>
      </c>
      <c r="Z240" s="17">
        <f t="shared" si="349"/>
        <v>0</v>
      </c>
      <c r="AB240" s="17">
        <f t="shared" si="350"/>
        <v>0</v>
      </c>
      <c r="AC240" s="17">
        <f t="shared" si="351"/>
        <v>0</v>
      </c>
      <c r="AD240" s="17">
        <f t="shared" si="352"/>
        <v>0</v>
      </c>
      <c r="AE240" s="17">
        <f t="shared" si="353"/>
        <v>0</v>
      </c>
      <c r="AF240" s="17">
        <f t="shared" si="354"/>
        <v>0</v>
      </c>
      <c r="AG240" s="17">
        <f t="shared" si="355"/>
        <v>0</v>
      </c>
      <c r="AH240" s="17">
        <f t="shared" si="356"/>
        <v>0</v>
      </c>
      <c r="AI240" s="14" t="s">
        <v>210</v>
      </c>
      <c r="AJ240" s="17">
        <f t="shared" si="357"/>
        <v>0</v>
      </c>
      <c r="AK240" s="17">
        <f t="shared" si="358"/>
        <v>0</v>
      </c>
      <c r="AL240" s="17">
        <f t="shared" si="359"/>
        <v>0</v>
      </c>
      <c r="AN240" s="17">
        <v>12</v>
      </c>
      <c r="AO240" s="17">
        <f t="shared" si="370"/>
        <v>0</v>
      </c>
      <c r="AP240" s="17">
        <f t="shared" si="371"/>
        <v>0</v>
      </c>
      <c r="AQ240" s="76" t="s">
        <v>577</v>
      </c>
      <c r="AV240" s="17">
        <f t="shared" si="360"/>
        <v>0</v>
      </c>
      <c r="AW240" s="17">
        <f t="shared" si="361"/>
        <v>0</v>
      </c>
      <c r="AX240" s="17">
        <f t="shared" si="362"/>
        <v>0</v>
      </c>
      <c r="AY240" s="76" t="s">
        <v>677</v>
      </c>
      <c r="AZ240" s="76" t="s">
        <v>778</v>
      </c>
      <c r="BA240" s="14" t="s">
        <v>771</v>
      </c>
      <c r="BC240" s="17">
        <f t="shared" si="363"/>
        <v>0</v>
      </c>
      <c r="BD240" s="17">
        <f t="shared" si="364"/>
        <v>0</v>
      </c>
      <c r="BE240" s="17">
        <v>0</v>
      </c>
      <c r="BF240" s="17">
        <f t="shared" si="365"/>
        <v>0</v>
      </c>
      <c r="BH240" s="17">
        <f t="shared" si="366"/>
        <v>0</v>
      </c>
      <c r="BI240" s="17">
        <f t="shared" si="367"/>
        <v>0</v>
      </c>
      <c r="BJ240" s="17">
        <f t="shared" si="368"/>
        <v>0</v>
      </c>
      <c r="BK240" s="17"/>
      <c r="BL240" s="17">
        <v>722</v>
      </c>
      <c r="BW240" s="17">
        <f t="shared" si="369"/>
        <v>12</v>
      </c>
      <c r="BX240" s="4" t="s">
        <v>144</v>
      </c>
    </row>
    <row r="241" spans="1:76" x14ac:dyDescent="0.25">
      <c r="A241" s="1" t="s">
        <v>796</v>
      </c>
      <c r="B241" s="2" t="s">
        <v>210</v>
      </c>
      <c r="C241" s="2" t="s">
        <v>145</v>
      </c>
      <c r="D241" s="83" t="s">
        <v>146</v>
      </c>
      <c r="E241" s="84"/>
      <c r="F241" s="2" t="s">
        <v>35</v>
      </c>
      <c r="G241" s="17">
        <f>'Rozpočet - vybrané sloupce'!J199</f>
        <v>34</v>
      </c>
      <c r="H241" s="17">
        <f>'Rozpočet - vybrané sloupce'!K199</f>
        <v>0</v>
      </c>
      <c r="I241" s="74">
        <v>12</v>
      </c>
      <c r="J241" s="17">
        <f t="shared" si="344"/>
        <v>0</v>
      </c>
      <c r="K241" s="17">
        <f t="shared" si="345"/>
        <v>0</v>
      </c>
      <c r="L241" s="17">
        <f t="shared" si="346"/>
        <v>0</v>
      </c>
      <c r="M241" s="17">
        <f t="shared" si="347"/>
        <v>0</v>
      </c>
      <c r="N241" s="17">
        <v>0</v>
      </c>
      <c r="O241" s="17">
        <f t="shared" si="348"/>
        <v>0</v>
      </c>
      <c r="P241" s="75" t="s">
        <v>576</v>
      </c>
      <c r="Z241" s="17">
        <f t="shared" si="349"/>
        <v>0</v>
      </c>
      <c r="AB241" s="17">
        <f t="shared" si="350"/>
        <v>0</v>
      </c>
      <c r="AC241" s="17">
        <f t="shared" si="351"/>
        <v>0</v>
      </c>
      <c r="AD241" s="17">
        <f t="shared" si="352"/>
        <v>0</v>
      </c>
      <c r="AE241" s="17">
        <f t="shared" si="353"/>
        <v>0</v>
      </c>
      <c r="AF241" s="17">
        <f t="shared" si="354"/>
        <v>0</v>
      </c>
      <c r="AG241" s="17">
        <f t="shared" si="355"/>
        <v>0</v>
      </c>
      <c r="AH241" s="17">
        <f t="shared" si="356"/>
        <v>0</v>
      </c>
      <c r="AI241" s="14" t="s">
        <v>210</v>
      </c>
      <c r="AJ241" s="17">
        <f t="shared" si="357"/>
        <v>0</v>
      </c>
      <c r="AK241" s="17">
        <f t="shared" si="358"/>
        <v>0</v>
      </c>
      <c r="AL241" s="17">
        <f t="shared" si="359"/>
        <v>0</v>
      </c>
      <c r="AN241" s="17">
        <v>12</v>
      </c>
      <c r="AO241" s="17">
        <f t="shared" si="370"/>
        <v>0</v>
      </c>
      <c r="AP241" s="17">
        <f t="shared" si="371"/>
        <v>0</v>
      </c>
      <c r="AQ241" s="76" t="s">
        <v>577</v>
      </c>
      <c r="AV241" s="17">
        <f t="shared" si="360"/>
        <v>0</v>
      </c>
      <c r="AW241" s="17">
        <f t="shared" si="361"/>
        <v>0</v>
      </c>
      <c r="AX241" s="17">
        <f t="shared" si="362"/>
        <v>0</v>
      </c>
      <c r="AY241" s="76" t="s">
        <v>677</v>
      </c>
      <c r="AZ241" s="76" t="s">
        <v>778</v>
      </c>
      <c r="BA241" s="14" t="s">
        <v>771</v>
      </c>
      <c r="BC241" s="17">
        <f t="shared" si="363"/>
        <v>0</v>
      </c>
      <c r="BD241" s="17">
        <f t="shared" si="364"/>
        <v>0</v>
      </c>
      <c r="BE241" s="17">
        <v>0</v>
      </c>
      <c r="BF241" s="17">
        <f t="shared" si="365"/>
        <v>0</v>
      </c>
      <c r="BH241" s="17">
        <f t="shared" si="366"/>
        <v>0</v>
      </c>
      <c r="BI241" s="17">
        <f t="shared" si="367"/>
        <v>0</v>
      </c>
      <c r="BJ241" s="17">
        <f t="shared" si="368"/>
        <v>0</v>
      </c>
      <c r="BK241" s="17"/>
      <c r="BL241" s="17">
        <v>722</v>
      </c>
      <c r="BW241" s="17">
        <f t="shared" si="369"/>
        <v>12</v>
      </c>
      <c r="BX241" s="4" t="s">
        <v>146</v>
      </c>
    </row>
    <row r="242" spans="1:76" x14ac:dyDescent="0.25">
      <c r="A242" s="1" t="s">
        <v>797</v>
      </c>
      <c r="B242" s="2" t="s">
        <v>210</v>
      </c>
      <c r="C242" s="2" t="s">
        <v>204</v>
      </c>
      <c r="D242" s="83" t="s">
        <v>205</v>
      </c>
      <c r="E242" s="84"/>
      <c r="F242" s="2" t="s">
        <v>35</v>
      </c>
      <c r="G242" s="17">
        <f>'Rozpočet - vybrané sloupce'!J200</f>
        <v>4</v>
      </c>
      <c r="H242" s="17">
        <f>'Rozpočet - vybrané sloupce'!K200</f>
        <v>0</v>
      </c>
      <c r="I242" s="74">
        <v>12</v>
      </c>
      <c r="J242" s="17">
        <f t="shared" si="344"/>
        <v>0</v>
      </c>
      <c r="K242" s="17">
        <f t="shared" si="345"/>
        <v>0</v>
      </c>
      <c r="L242" s="17">
        <f t="shared" si="346"/>
        <v>0</v>
      </c>
      <c r="M242" s="17">
        <f t="shared" si="347"/>
        <v>0</v>
      </c>
      <c r="N242" s="17">
        <v>0</v>
      </c>
      <c r="O242" s="17">
        <f t="shared" si="348"/>
        <v>0</v>
      </c>
      <c r="P242" s="75" t="s">
        <v>576</v>
      </c>
      <c r="Z242" s="17">
        <f t="shared" si="349"/>
        <v>0</v>
      </c>
      <c r="AB242" s="17">
        <f t="shared" si="350"/>
        <v>0</v>
      </c>
      <c r="AC242" s="17">
        <f t="shared" si="351"/>
        <v>0</v>
      </c>
      <c r="AD242" s="17">
        <f t="shared" si="352"/>
        <v>0</v>
      </c>
      <c r="AE242" s="17">
        <f t="shared" si="353"/>
        <v>0</v>
      </c>
      <c r="AF242" s="17">
        <f t="shared" si="354"/>
        <v>0</v>
      </c>
      <c r="AG242" s="17">
        <f t="shared" si="355"/>
        <v>0</v>
      </c>
      <c r="AH242" s="17">
        <f t="shared" si="356"/>
        <v>0</v>
      </c>
      <c r="AI242" s="14" t="s">
        <v>210</v>
      </c>
      <c r="AJ242" s="17">
        <f t="shared" si="357"/>
        <v>0</v>
      </c>
      <c r="AK242" s="17">
        <f t="shared" si="358"/>
        <v>0</v>
      </c>
      <c r="AL242" s="17">
        <f t="shared" si="359"/>
        <v>0</v>
      </c>
      <c r="AN242" s="17">
        <v>12</v>
      </c>
      <c r="AO242" s="17">
        <f t="shared" si="370"/>
        <v>0</v>
      </c>
      <c r="AP242" s="17">
        <f t="shared" si="371"/>
        <v>0</v>
      </c>
      <c r="AQ242" s="76" t="s">
        <v>577</v>
      </c>
      <c r="AV242" s="17">
        <f t="shared" si="360"/>
        <v>0</v>
      </c>
      <c r="AW242" s="17">
        <f t="shared" si="361"/>
        <v>0</v>
      </c>
      <c r="AX242" s="17">
        <f t="shared" si="362"/>
        <v>0</v>
      </c>
      <c r="AY242" s="76" t="s">
        <v>677</v>
      </c>
      <c r="AZ242" s="76" t="s">
        <v>778</v>
      </c>
      <c r="BA242" s="14" t="s">
        <v>771</v>
      </c>
      <c r="BC242" s="17">
        <f t="shared" si="363"/>
        <v>0</v>
      </c>
      <c r="BD242" s="17">
        <f t="shared" si="364"/>
        <v>0</v>
      </c>
      <c r="BE242" s="17">
        <v>0</v>
      </c>
      <c r="BF242" s="17">
        <f t="shared" si="365"/>
        <v>0</v>
      </c>
      <c r="BH242" s="17">
        <f t="shared" si="366"/>
        <v>0</v>
      </c>
      <c r="BI242" s="17">
        <f t="shared" si="367"/>
        <v>0</v>
      </c>
      <c r="BJ242" s="17">
        <f t="shared" si="368"/>
        <v>0</v>
      </c>
      <c r="BK242" s="17"/>
      <c r="BL242" s="17">
        <v>722</v>
      </c>
      <c r="BW242" s="17">
        <f t="shared" si="369"/>
        <v>12</v>
      </c>
      <c r="BX242" s="4" t="s">
        <v>205</v>
      </c>
    </row>
    <row r="243" spans="1:76" x14ac:dyDescent="0.25">
      <c r="A243" s="1" t="s">
        <v>798</v>
      </c>
      <c r="B243" s="2" t="s">
        <v>210</v>
      </c>
      <c r="C243" s="2" t="s">
        <v>149</v>
      </c>
      <c r="D243" s="83" t="s">
        <v>150</v>
      </c>
      <c r="E243" s="84"/>
      <c r="F243" s="2" t="s">
        <v>35</v>
      </c>
      <c r="G243" s="17">
        <f>'Rozpočet - vybrané sloupce'!J201</f>
        <v>17</v>
      </c>
      <c r="H243" s="17">
        <f>'Rozpočet - vybrané sloupce'!K201</f>
        <v>0</v>
      </c>
      <c r="I243" s="74">
        <v>12</v>
      </c>
      <c r="J243" s="17">
        <f t="shared" si="344"/>
        <v>0</v>
      </c>
      <c r="K243" s="17">
        <f t="shared" si="345"/>
        <v>0</v>
      </c>
      <c r="L243" s="17">
        <f t="shared" si="346"/>
        <v>0</v>
      </c>
      <c r="M243" s="17">
        <f t="shared" si="347"/>
        <v>0</v>
      </c>
      <c r="N243" s="17">
        <v>0</v>
      </c>
      <c r="O243" s="17">
        <f t="shared" si="348"/>
        <v>0</v>
      </c>
      <c r="P243" s="75" t="s">
        <v>576</v>
      </c>
      <c r="Z243" s="17">
        <f t="shared" si="349"/>
        <v>0</v>
      </c>
      <c r="AB243" s="17">
        <f t="shared" si="350"/>
        <v>0</v>
      </c>
      <c r="AC243" s="17">
        <f t="shared" si="351"/>
        <v>0</v>
      </c>
      <c r="AD243" s="17">
        <f t="shared" si="352"/>
        <v>0</v>
      </c>
      <c r="AE243" s="17">
        <f t="shared" si="353"/>
        <v>0</v>
      </c>
      <c r="AF243" s="17">
        <f t="shared" si="354"/>
        <v>0</v>
      </c>
      <c r="AG243" s="17">
        <f t="shared" si="355"/>
        <v>0</v>
      </c>
      <c r="AH243" s="17">
        <f t="shared" si="356"/>
        <v>0</v>
      </c>
      <c r="AI243" s="14" t="s">
        <v>210</v>
      </c>
      <c r="AJ243" s="17">
        <f t="shared" si="357"/>
        <v>0</v>
      </c>
      <c r="AK243" s="17">
        <f t="shared" si="358"/>
        <v>0</v>
      </c>
      <c r="AL243" s="17">
        <f t="shared" si="359"/>
        <v>0</v>
      </c>
      <c r="AN243" s="17">
        <v>12</v>
      </c>
      <c r="AO243" s="17">
        <f t="shared" si="370"/>
        <v>0</v>
      </c>
      <c r="AP243" s="17">
        <f t="shared" si="371"/>
        <v>0</v>
      </c>
      <c r="AQ243" s="76" t="s">
        <v>577</v>
      </c>
      <c r="AV243" s="17">
        <f t="shared" si="360"/>
        <v>0</v>
      </c>
      <c r="AW243" s="17">
        <f t="shared" si="361"/>
        <v>0</v>
      </c>
      <c r="AX243" s="17">
        <f t="shared" si="362"/>
        <v>0</v>
      </c>
      <c r="AY243" s="76" t="s">
        <v>677</v>
      </c>
      <c r="AZ243" s="76" t="s">
        <v>778</v>
      </c>
      <c r="BA243" s="14" t="s">
        <v>771</v>
      </c>
      <c r="BC243" s="17">
        <f t="shared" si="363"/>
        <v>0</v>
      </c>
      <c r="BD243" s="17">
        <f t="shared" si="364"/>
        <v>0</v>
      </c>
      <c r="BE243" s="17">
        <v>0</v>
      </c>
      <c r="BF243" s="17">
        <f t="shared" si="365"/>
        <v>0</v>
      </c>
      <c r="BH243" s="17">
        <f t="shared" si="366"/>
        <v>0</v>
      </c>
      <c r="BI243" s="17">
        <f t="shared" si="367"/>
        <v>0</v>
      </c>
      <c r="BJ243" s="17">
        <f t="shared" si="368"/>
        <v>0</v>
      </c>
      <c r="BK243" s="17"/>
      <c r="BL243" s="17">
        <v>722</v>
      </c>
      <c r="BW243" s="17">
        <f t="shared" si="369"/>
        <v>12</v>
      </c>
      <c r="BX243" s="4" t="s">
        <v>150</v>
      </c>
    </row>
    <row r="244" spans="1:76" x14ac:dyDescent="0.25">
      <c r="A244" s="1" t="s">
        <v>799</v>
      </c>
      <c r="B244" s="2" t="s">
        <v>210</v>
      </c>
      <c r="C244" s="2" t="s">
        <v>216</v>
      </c>
      <c r="D244" s="83" t="s">
        <v>217</v>
      </c>
      <c r="E244" s="84"/>
      <c r="F244" s="2" t="s">
        <v>35</v>
      </c>
      <c r="G244" s="17">
        <f>'Rozpočet - vybrané sloupce'!J202</f>
        <v>2</v>
      </c>
      <c r="H244" s="17">
        <f>'Rozpočet - vybrané sloupce'!K202</f>
        <v>0</v>
      </c>
      <c r="I244" s="74">
        <v>12</v>
      </c>
      <c r="J244" s="17">
        <f t="shared" si="344"/>
        <v>0</v>
      </c>
      <c r="K244" s="17">
        <f t="shared" si="345"/>
        <v>0</v>
      </c>
      <c r="L244" s="17">
        <f t="shared" si="346"/>
        <v>0</v>
      </c>
      <c r="M244" s="17">
        <f t="shared" si="347"/>
        <v>0</v>
      </c>
      <c r="N244" s="17">
        <v>0</v>
      </c>
      <c r="O244" s="17">
        <f t="shared" si="348"/>
        <v>0</v>
      </c>
      <c r="P244" s="75" t="s">
        <v>576</v>
      </c>
      <c r="Z244" s="17">
        <f t="shared" si="349"/>
        <v>0</v>
      </c>
      <c r="AB244" s="17">
        <f t="shared" si="350"/>
        <v>0</v>
      </c>
      <c r="AC244" s="17">
        <f t="shared" si="351"/>
        <v>0</v>
      </c>
      <c r="AD244" s="17">
        <f t="shared" si="352"/>
        <v>0</v>
      </c>
      <c r="AE244" s="17">
        <f t="shared" si="353"/>
        <v>0</v>
      </c>
      <c r="AF244" s="17">
        <f t="shared" si="354"/>
        <v>0</v>
      </c>
      <c r="AG244" s="17">
        <f t="shared" si="355"/>
        <v>0</v>
      </c>
      <c r="AH244" s="17">
        <f t="shared" si="356"/>
        <v>0</v>
      </c>
      <c r="AI244" s="14" t="s">
        <v>210</v>
      </c>
      <c r="AJ244" s="17">
        <f t="shared" si="357"/>
        <v>0</v>
      </c>
      <c r="AK244" s="17">
        <f t="shared" si="358"/>
        <v>0</v>
      </c>
      <c r="AL244" s="17">
        <f t="shared" si="359"/>
        <v>0</v>
      </c>
      <c r="AN244" s="17">
        <v>12</v>
      </c>
      <c r="AO244" s="17">
        <f t="shared" si="370"/>
        <v>0</v>
      </c>
      <c r="AP244" s="17">
        <f t="shared" si="371"/>
        <v>0</v>
      </c>
      <c r="AQ244" s="76" t="s">
        <v>577</v>
      </c>
      <c r="AV244" s="17">
        <f t="shared" si="360"/>
        <v>0</v>
      </c>
      <c r="AW244" s="17">
        <f t="shared" si="361"/>
        <v>0</v>
      </c>
      <c r="AX244" s="17">
        <f t="shared" si="362"/>
        <v>0</v>
      </c>
      <c r="AY244" s="76" t="s">
        <v>677</v>
      </c>
      <c r="AZ244" s="76" t="s">
        <v>778</v>
      </c>
      <c r="BA244" s="14" t="s">
        <v>771</v>
      </c>
      <c r="BC244" s="17">
        <f t="shared" si="363"/>
        <v>0</v>
      </c>
      <c r="BD244" s="17">
        <f t="shared" si="364"/>
        <v>0</v>
      </c>
      <c r="BE244" s="17">
        <v>0</v>
      </c>
      <c r="BF244" s="17">
        <f t="shared" si="365"/>
        <v>0</v>
      </c>
      <c r="BH244" s="17">
        <f t="shared" si="366"/>
        <v>0</v>
      </c>
      <c r="BI244" s="17">
        <f t="shared" si="367"/>
        <v>0</v>
      </c>
      <c r="BJ244" s="17">
        <f t="shared" si="368"/>
        <v>0</v>
      </c>
      <c r="BK244" s="17"/>
      <c r="BL244" s="17">
        <v>722</v>
      </c>
      <c r="BW244" s="17">
        <f t="shared" si="369"/>
        <v>12</v>
      </c>
      <c r="BX244" s="4" t="s">
        <v>217</v>
      </c>
    </row>
    <row r="245" spans="1:76" x14ac:dyDescent="0.25">
      <c r="A245" s="1" t="s">
        <v>800</v>
      </c>
      <c r="B245" s="2" t="s">
        <v>210</v>
      </c>
      <c r="C245" s="2" t="s">
        <v>153</v>
      </c>
      <c r="D245" s="83" t="s">
        <v>154</v>
      </c>
      <c r="E245" s="84"/>
      <c r="F245" s="2" t="s">
        <v>35</v>
      </c>
      <c r="G245" s="17">
        <f>'Rozpočet - vybrané sloupce'!J203</f>
        <v>6</v>
      </c>
      <c r="H245" s="17">
        <f>'Rozpočet - vybrané sloupce'!K203</f>
        <v>0</v>
      </c>
      <c r="I245" s="74">
        <v>12</v>
      </c>
      <c r="J245" s="17">
        <f t="shared" si="344"/>
        <v>0</v>
      </c>
      <c r="K245" s="17">
        <f t="shared" si="345"/>
        <v>0</v>
      </c>
      <c r="L245" s="17">
        <f t="shared" si="346"/>
        <v>0</v>
      </c>
      <c r="M245" s="17">
        <f t="shared" si="347"/>
        <v>0</v>
      </c>
      <c r="N245" s="17">
        <v>2.4000000000000001E-4</v>
      </c>
      <c r="O245" s="17">
        <f t="shared" si="348"/>
        <v>1.4400000000000001E-3</v>
      </c>
      <c r="P245" s="75" t="s">
        <v>576</v>
      </c>
      <c r="Z245" s="17">
        <f t="shared" si="349"/>
        <v>0</v>
      </c>
      <c r="AB245" s="17">
        <f t="shared" si="350"/>
        <v>0</v>
      </c>
      <c r="AC245" s="17">
        <f t="shared" si="351"/>
        <v>0</v>
      </c>
      <c r="AD245" s="17">
        <f t="shared" si="352"/>
        <v>0</v>
      </c>
      <c r="AE245" s="17">
        <f t="shared" si="353"/>
        <v>0</v>
      </c>
      <c r="AF245" s="17">
        <f t="shared" si="354"/>
        <v>0</v>
      </c>
      <c r="AG245" s="17">
        <f t="shared" si="355"/>
        <v>0</v>
      </c>
      <c r="AH245" s="17">
        <f t="shared" si="356"/>
        <v>0</v>
      </c>
      <c r="AI245" s="14" t="s">
        <v>210</v>
      </c>
      <c r="AJ245" s="17">
        <f t="shared" si="357"/>
        <v>0</v>
      </c>
      <c r="AK245" s="17">
        <f t="shared" si="358"/>
        <v>0</v>
      </c>
      <c r="AL245" s="17">
        <f t="shared" si="359"/>
        <v>0</v>
      </c>
      <c r="AN245" s="17">
        <v>12</v>
      </c>
      <c r="AO245" s="17">
        <f>H245*0.728238342</f>
        <v>0</v>
      </c>
      <c r="AP245" s="17">
        <f>H245*(1-0.728238342)</f>
        <v>0</v>
      </c>
      <c r="AQ245" s="76" t="s">
        <v>577</v>
      </c>
      <c r="AV245" s="17">
        <f t="shared" si="360"/>
        <v>0</v>
      </c>
      <c r="AW245" s="17">
        <f t="shared" si="361"/>
        <v>0</v>
      </c>
      <c r="AX245" s="17">
        <f t="shared" si="362"/>
        <v>0</v>
      </c>
      <c r="AY245" s="76" t="s">
        <v>677</v>
      </c>
      <c r="AZ245" s="76" t="s">
        <v>778</v>
      </c>
      <c r="BA245" s="14" t="s">
        <v>771</v>
      </c>
      <c r="BC245" s="17">
        <f t="shared" si="363"/>
        <v>0</v>
      </c>
      <c r="BD245" s="17">
        <f t="shared" si="364"/>
        <v>0</v>
      </c>
      <c r="BE245" s="17">
        <v>0</v>
      </c>
      <c r="BF245" s="17">
        <f t="shared" si="365"/>
        <v>1.4400000000000001E-3</v>
      </c>
      <c r="BH245" s="17">
        <f t="shared" si="366"/>
        <v>0</v>
      </c>
      <c r="BI245" s="17">
        <f t="shared" si="367"/>
        <v>0</v>
      </c>
      <c r="BJ245" s="17">
        <f t="shared" si="368"/>
        <v>0</v>
      </c>
      <c r="BK245" s="17"/>
      <c r="BL245" s="17">
        <v>722</v>
      </c>
      <c r="BW245" s="17">
        <f t="shared" si="369"/>
        <v>12</v>
      </c>
      <c r="BX245" s="4" t="s">
        <v>154</v>
      </c>
    </row>
    <row r="246" spans="1:76" x14ac:dyDescent="0.25">
      <c r="A246" s="1" t="s">
        <v>801</v>
      </c>
      <c r="B246" s="2" t="s">
        <v>210</v>
      </c>
      <c r="C246" s="2" t="s">
        <v>155</v>
      </c>
      <c r="D246" s="83" t="s">
        <v>156</v>
      </c>
      <c r="E246" s="84"/>
      <c r="F246" s="2" t="s">
        <v>35</v>
      </c>
      <c r="G246" s="17">
        <f>'Rozpočet - vybrané sloupce'!J204</f>
        <v>2</v>
      </c>
      <c r="H246" s="17">
        <f>'Rozpočet - vybrané sloupce'!K204</f>
        <v>0</v>
      </c>
      <c r="I246" s="74">
        <v>12</v>
      </c>
      <c r="J246" s="17">
        <f t="shared" si="344"/>
        <v>0</v>
      </c>
      <c r="K246" s="17">
        <f t="shared" si="345"/>
        <v>0</v>
      </c>
      <c r="L246" s="17">
        <f t="shared" si="346"/>
        <v>0</v>
      </c>
      <c r="M246" s="17">
        <f t="shared" si="347"/>
        <v>0</v>
      </c>
      <c r="N246" s="17">
        <v>3.8000000000000002E-4</v>
      </c>
      <c r="O246" s="17">
        <f t="shared" si="348"/>
        <v>7.6000000000000004E-4</v>
      </c>
      <c r="P246" s="75" t="s">
        <v>576</v>
      </c>
      <c r="Z246" s="17">
        <f t="shared" si="349"/>
        <v>0</v>
      </c>
      <c r="AB246" s="17">
        <f t="shared" si="350"/>
        <v>0</v>
      </c>
      <c r="AC246" s="17">
        <f t="shared" si="351"/>
        <v>0</v>
      </c>
      <c r="AD246" s="17">
        <f t="shared" si="352"/>
        <v>0</v>
      </c>
      <c r="AE246" s="17">
        <f t="shared" si="353"/>
        <v>0</v>
      </c>
      <c r="AF246" s="17">
        <f t="shared" si="354"/>
        <v>0</v>
      </c>
      <c r="AG246" s="17">
        <f t="shared" si="355"/>
        <v>0</v>
      </c>
      <c r="AH246" s="17">
        <f t="shared" si="356"/>
        <v>0</v>
      </c>
      <c r="AI246" s="14" t="s">
        <v>210</v>
      </c>
      <c r="AJ246" s="17">
        <f t="shared" si="357"/>
        <v>0</v>
      </c>
      <c r="AK246" s="17">
        <f t="shared" si="358"/>
        <v>0</v>
      </c>
      <c r="AL246" s="17">
        <f t="shared" si="359"/>
        <v>0</v>
      </c>
      <c r="AN246" s="17">
        <v>12</v>
      </c>
      <c r="AO246" s="17">
        <f>H246*0.758069853</f>
        <v>0</v>
      </c>
      <c r="AP246" s="17">
        <f>H246*(1-0.758069853)</f>
        <v>0</v>
      </c>
      <c r="AQ246" s="76" t="s">
        <v>577</v>
      </c>
      <c r="AV246" s="17">
        <f t="shared" si="360"/>
        <v>0</v>
      </c>
      <c r="AW246" s="17">
        <f t="shared" si="361"/>
        <v>0</v>
      </c>
      <c r="AX246" s="17">
        <f t="shared" si="362"/>
        <v>0</v>
      </c>
      <c r="AY246" s="76" t="s">
        <v>677</v>
      </c>
      <c r="AZ246" s="76" t="s">
        <v>778</v>
      </c>
      <c r="BA246" s="14" t="s">
        <v>771</v>
      </c>
      <c r="BC246" s="17">
        <f t="shared" si="363"/>
        <v>0</v>
      </c>
      <c r="BD246" s="17">
        <f t="shared" si="364"/>
        <v>0</v>
      </c>
      <c r="BE246" s="17">
        <v>0</v>
      </c>
      <c r="BF246" s="17">
        <f t="shared" si="365"/>
        <v>7.6000000000000004E-4</v>
      </c>
      <c r="BH246" s="17">
        <f t="shared" si="366"/>
        <v>0</v>
      </c>
      <c r="BI246" s="17">
        <f t="shared" si="367"/>
        <v>0</v>
      </c>
      <c r="BJ246" s="17">
        <f t="shared" si="368"/>
        <v>0</v>
      </c>
      <c r="BK246" s="17"/>
      <c r="BL246" s="17">
        <v>722</v>
      </c>
      <c r="BW246" s="17">
        <f t="shared" si="369"/>
        <v>12</v>
      </c>
      <c r="BX246" s="4" t="s">
        <v>156</v>
      </c>
    </row>
    <row r="247" spans="1:76" x14ac:dyDescent="0.25">
      <c r="A247" s="1" t="s">
        <v>802</v>
      </c>
      <c r="B247" s="2" t="s">
        <v>210</v>
      </c>
      <c r="C247" s="2" t="s">
        <v>157</v>
      </c>
      <c r="D247" s="83" t="s">
        <v>158</v>
      </c>
      <c r="E247" s="84"/>
      <c r="F247" s="2" t="s">
        <v>35</v>
      </c>
      <c r="G247" s="17">
        <f>'Rozpočet - vybrané sloupce'!J205</f>
        <v>10</v>
      </c>
      <c r="H247" s="17">
        <f>'Rozpočet - vybrané sloupce'!K205</f>
        <v>0</v>
      </c>
      <c r="I247" s="74">
        <v>12</v>
      </c>
      <c r="J247" s="17">
        <f t="shared" si="344"/>
        <v>0</v>
      </c>
      <c r="K247" s="17">
        <f t="shared" si="345"/>
        <v>0</v>
      </c>
      <c r="L247" s="17">
        <f t="shared" si="346"/>
        <v>0</v>
      </c>
      <c r="M247" s="17">
        <f t="shared" si="347"/>
        <v>0</v>
      </c>
      <c r="N247" s="17">
        <v>6.0999999999999997E-4</v>
      </c>
      <c r="O247" s="17">
        <f t="shared" si="348"/>
        <v>6.0999999999999995E-3</v>
      </c>
      <c r="P247" s="75" t="s">
        <v>576</v>
      </c>
      <c r="Z247" s="17">
        <f t="shared" si="349"/>
        <v>0</v>
      </c>
      <c r="AB247" s="17">
        <f t="shared" si="350"/>
        <v>0</v>
      </c>
      <c r="AC247" s="17">
        <f t="shared" si="351"/>
        <v>0</v>
      </c>
      <c r="AD247" s="17">
        <f t="shared" si="352"/>
        <v>0</v>
      </c>
      <c r="AE247" s="17">
        <f t="shared" si="353"/>
        <v>0</v>
      </c>
      <c r="AF247" s="17">
        <f t="shared" si="354"/>
        <v>0</v>
      </c>
      <c r="AG247" s="17">
        <f t="shared" si="355"/>
        <v>0</v>
      </c>
      <c r="AH247" s="17">
        <f t="shared" si="356"/>
        <v>0</v>
      </c>
      <c r="AI247" s="14" t="s">
        <v>210</v>
      </c>
      <c r="AJ247" s="17">
        <f t="shared" si="357"/>
        <v>0</v>
      </c>
      <c r="AK247" s="17">
        <f t="shared" si="358"/>
        <v>0</v>
      </c>
      <c r="AL247" s="17">
        <f t="shared" si="359"/>
        <v>0</v>
      </c>
      <c r="AN247" s="17">
        <v>12</v>
      </c>
      <c r="AO247" s="17">
        <f>H247*0.817316456</f>
        <v>0</v>
      </c>
      <c r="AP247" s="17">
        <f>H247*(1-0.817316456)</f>
        <v>0</v>
      </c>
      <c r="AQ247" s="76" t="s">
        <v>577</v>
      </c>
      <c r="AV247" s="17">
        <f t="shared" si="360"/>
        <v>0</v>
      </c>
      <c r="AW247" s="17">
        <f t="shared" si="361"/>
        <v>0</v>
      </c>
      <c r="AX247" s="17">
        <f t="shared" si="362"/>
        <v>0</v>
      </c>
      <c r="AY247" s="76" t="s">
        <v>677</v>
      </c>
      <c r="AZ247" s="76" t="s">
        <v>778</v>
      </c>
      <c r="BA247" s="14" t="s">
        <v>771</v>
      </c>
      <c r="BC247" s="17">
        <f t="shared" si="363"/>
        <v>0</v>
      </c>
      <c r="BD247" s="17">
        <f t="shared" si="364"/>
        <v>0</v>
      </c>
      <c r="BE247" s="17">
        <v>0</v>
      </c>
      <c r="BF247" s="17">
        <f t="shared" si="365"/>
        <v>6.0999999999999995E-3</v>
      </c>
      <c r="BH247" s="17">
        <f t="shared" si="366"/>
        <v>0</v>
      </c>
      <c r="BI247" s="17">
        <f t="shared" si="367"/>
        <v>0</v>
      </c>
      <c r="BJ247" s="17">
        <f t="shared" si="368"/>
        <v>0</v>
      </c>
      <c r="BK247" s="17"/>
      <c r="BL247" s="17">
        <v>722</v>
      </c>
      <c r="BW247" s="17">
        <f t="shared" si="369"/>
        <v>12</v>
      </c>
      <c r="BX247" s="4" t="s">
        <v>158</v>
      </c>
    </row>
    <row r="248" spans="1:76" x14ac:dyDescent="0.25">
      <c r="A248" s="1" t="s">
        <v>803</v>
      </c>
      <c r="B248" s="2" t="s">
        <v>210</v>
      </c>
      <c r="C248" s="2" t="s">
        <v>218</v>
      </c>
      <c r="D248" s="83" t="s">
        <v>219</v>
      </c>
      <c r="E248" s="84"/>
      <c r="F248" s="2" t="s">
        <v>35</v>
      </c>
      <c r="G248" s="17">
        <f>'Rozpočet - vybrané sloupce'!J206</f>
        <v>2</v>
      </c>
      <c r="H248" s="17">
        <f>'Rozpočet - vybrané sloupce'!K206</f>
        <v>0</v>
      </c>
      <c r="I248" s="74">
        <v>12</v>
      </c>
      <c r="J248" s="17">
        <f t="shared" si="344"/>
        <v>0</v>
      </c>
      <c r="K248" s="17">
        <f t="shared" si="345"/>
        <v>0</v>
      </c>
      <c r="L248" s="17">
        <f t="shared" si="346"/>
        <v>0</v>
      </c>
      <c r="M248" s="17">
        <f t="shared" si="347"/>
        <v>0</v>
      </c>
      <c r="N248" s="17">
        <v>1.2999999999999999E-3</v>
      </c>
      <c r="O248" s="17">
        <f t="shared" si="348"/>
        <v>2.5999999999999999E-3</v>
      </c>
      <c r="P248" s="75" t="s">
        <v>576</v>
      </c>
      <c r="Z248" s="17">
        <f t="shared" si="349"/>
        <v>0</v>
      </c>
      <c r="AB248" s="17">
        <f t="shared" si="350"/>
        <v>0</v>
      </c>
      <c r="AC248" s="17">
        <f t="shared" si="351"/>
        <v>0</v>
      </c>
      <c r="AD248" s="17">
        <f t="shared" si="352"/>
        <v>0</v>
      </c>
      <c r="AE248" s="17">
        <f t="shared" si="353"/>
        <v>0</v>
      </c>
      <c r="AF248" s="17">
        <f t="shared" si="354"/>
        <v>0</v>
      </c>
      <c r="AG248" s="17">
        <f t="shared" si="355"/>
        <v>0</v>
      </c>
      <c r="AH248" s="17">
        <f t="shared" si="356"/>
        <v>0</v>
      </c>
      <c r="AI248" s="14" t="s">
        <v>210</v>
      </c>
      <c r="AJ248" s="17">
        <f t="shared" si="357"/>
        <v>0</v>
      </c>
      <c r="AK248" s="17">
        <f t="shared" si="358"/>
        <v>0</v>
      </c>
      <c r="AL248" s="17">
        <f t="shared" si="359"/>
        <v>0</v>
      </c>
      <c r="AN248" s="17">
        <v>12</v>
      </c>
      <c r="AO248" s="17">
        <f>H248*0.867099464</f>
        <v>0</v>
      </c>
      <c r="AP248" s="17">
        <f>H248*(1-0.867099464)</f>
        <v>0</v>
      </c>
      <c r="AQ248" s="76" t="s">
        <v>577</v>
      </c>
      <c r="AV248" s="17">
        <f t="shared" si="360"/>
        <v>0</v>
      </c>
      <c r="AW248" s="17">
        <f t="shared" si="361"/>
        <v>0</v>
      </c>
      <c r="AX248" s="17">
        <f t="shared" si="362"/>
        <v>0</v>
      </c>
      <c r="AY248" s="76" t="s">
        <v>677</v>
      </c>
      <c r="AZ248" s="76" t="s">
        <v>778</v>
      </c>
      <c r="BA248" s="14" t="s">
        <v>771</v>
      </c>
      <c r="BC248" s="17">
        <f t="shared" si="363"/>
        <v>0</v>
      </c>
      <c r="BD248" s="17">
        <f t="shared" si="364"/>
        <v>0</v>
      </c>
      <c r="BE248" s="17">
        <v>0</v>
      </c>
      <c r="BF248" s="17">
        <f t="shared" si="365"/>
        <v>2.5999999999999999E-3</v>
      </c>
      <c r="BH248" s="17">
        <f t="shared" si="366"/>
        <v>0</v>
      </c>
      <c r="BI248" s="17">
        <f t="shared" si="367"/>
        <v>0</v>
      </c>
      <c r="BJ248" s="17">
        <f t="shared" si="368"/>
        <v>0</v>
      </c>
      <c r="BK248" s="17"/>
      <c r="BL248" s="17">
        <v>722</v>
      </c>
      <c r="BW248" s="17">
        <f t="shared" si="369"/>
        <v>12</v>
      </c>
      <c r="BX248" s="4" t="s">
        <v>219</v>
      </c>
    </row>
    <row r="249" spans="1:76" x14ac:dyDescent="0.25">
      <c r="A249" s="1" t="s">
        <v>804</v>
      </c>
      <c r="B249" s="2" t="s">
        <v>210</v>
      </c>
      <c r="C249" s="2" t="s">
        <v>161</v>
      </c>
      <c r="D249" s="83" t="s">
        <v>162</v>
      </c>
      <c r="E249" s="84"/>
      <c r="F249" s="2" t="s">
        <v>35</v>
      </c>
      <c r="G249" s="17">
        <f>'Rozpočet - vybrané sloupce'!J207</f>
        <v>15</v>
      </c>
      <c r="H249" s="17">
        <f>'Rozpočet - vybrané sloupce'!K207</f>
        <v>0</v>
      </c>
      <c r="I249" s="74">
        <v>12</v>
      </c>
      <c r="J249" s="17">
        <f t="shared" si="344"/>
        <v>0</v>
      </c>
      <c r="K249" s="17">
        <f t="shared" si="345"/>
        <v>0</v>
      </c>
      <c r="L249" s="17">
        <f t="shared" si="346"/>
        <v>0</v>
      </c>
      <c r="M249" s="17">
        <f t="shared" si="347"/>
        <v>0</v>
      </c>
      <c r="N249" s="17">
        <v>4.0000000000000003E-5</v>
      </c>
      <c r="O249" s="17">
        <f t="shared" si="348"/>
        <v>6.0000000000000006E-4</v>
      </c>
      <c r="P249" s="75" t="s">
        <v>576</v>
      </c>
      <c r="Z249" s="17">
        <f t="shared" si="349"/>
        <v>0</v>
      </c>
      <c r="AB249" s="17">
        <f t="shared" si="350"/>
        <v>0</v>
      </c>
      <c r="AC249" s="17">
        <f t="shared" si="351"/>
        <v>0</v>
      </c>
      <c r="AD249" s="17">
        <f t="shared" si="352"/>
        <v>0</v>
      </c>
      <c r="AE249" s="17">
        <f t="shared" si="353"/>
        <v>0</v>
      </c>
      <c r="AF249" s="17">
        <f t="shared" si="354"/>
        <v>0</v>
      </c>
      <c r="AG249" s="17">
        <f t="shared" si="355"/>
        <v>0</v>
      </c>
      <c r="AH249" s="17">
        <f t="shared" si="356"/>
        <v>0</v>
      </c>
      <c r="AI249" s="14" t="s">
        <v>210</v>
      </c>
      <c r="AJ249" s="17">
        <f t="shared" si="357"/>
        <v>0</v>
      </c>
      <c r="AK249" s="17">
        <f t="shared" si="358"/>
        <v>0</v>
      </c>
      <c r="AL249" s="17">
        <f t="shared" si="359"/>
        <v>0</v>
      </c>
      <c r="AN249" s="17">
        <v>12</v>
      </c>
      <c r="AO249" s="17">
        <f>H249*0.339058767</f>
        <v>0</v>
      </c>
      <c r="AP249" s="17">
        <f>H249*(1-0.339058767)</f>
        <v>0</v>
      </c>
      <c r="AQ249" s="76" t="s">
        <v>577</v>
      </c>
      <c r="AV249" s="17">
        <f t="shared" si="360"/>
        <v>0</v>
      </c>
      <c r="AW249" s="17">
        <f t="shared" si="361"/>
        <v>0</v>
      </c>
      <c r="AX249" s="17">
        <f t="shared" si="362"/>
        <v>0</v>
      </c>
      <c r="AY249" s="76" t="s">
        <v>677</v>
      </c>
      <c r="AZ249" s="76" t="s">
        <v>778</v>
      </c>
      <c r="BA249" s="14" t="s">
        <v>771</v>
      </c>
      <c r="BC249" s="17">
        <f t="shared" si="363"/>
        <v>0</v>
      </c>
      <c r="BD249" s="17">
        <f t="shared" si="364"/>
        <v>0</v>
      </c>
      <c r="BE249" s="17">
        <v>0</v>
      </c>
      <c r="BF249" s="17">
        <f t="shared" si="365"/>
        <v>6.0000000000000006E-4</v>
      </c>
      <c r="BH249" s="17">
        <f t="shared" si="366"/>
        <v>0</v>
      </c>
      <c r="BI249" s="17">
        <f t="shared" si="367"/>
        <v>0</v>
      </c>
      <c r="BJ249" s="17">
        <f t="shared" si="368"/>
        <v>0</v>
      </c>
      <c r="BK249" s="17"/>
      <c r="BL249" s="17">
        <v>722</v>
      </c>
      <c r="BW249" s="17">
        <f t="shared" si="369"/>
        <v>12</v>
      </c>
      <c r="BX249" s="4" t="s">
        <v>162</v>
      </c>
    </row>
    <row r="250" spans="1:76" x14ac:dyDescent="0.25">
      <c r="A250" s="1" t="s">
        <v>805</v>
      </c>
      <c r="B250" s="2" t="s">
        <v>210</v>
      </c>
      <c r="C250" s="2" t="s">
        <v>163</v>
      </c>
      <c r="D250" s="83" t="s">
        <v>164</v>
      </c>
      <c r="E250" s="84"/>
      <c r="F250" s="2" t="s">
        <v>35</v>
      </c>
      <c r="G250" s="17">
        <f>'Rozpočet - vybrané sloupce'!J208</f>
        <v>15</v>
      </c>
      <c r="H250" s="17">
        <f>'Rozpočet - vybrané sloupce'!K208</f>
        <v>0</v>
      </c>
      <c r="I250" s="74">
        <v>12</v>
      </c>
      <c r="J250" s="17">
        <f t="shared" si="344"/>
        <v>0</v>
      </c>
      <c r="K250" s="17">
        <f t="shared" si="345"/>
        <v>0</v>
      </c>
      <c r="L250" s="17">
        <f t="shared" si="346"/>
        <v>0</v>
      </c>
      <c r="M250" s="17">
        <f t="shared" si="347"/>
        <v>0</v>
      </c>
      <c r="N250" s="17">
        <v>0</v>
      </c>
      <c r="O250" s="17">
        <f t="shared" si="348"/>
        <v>0</v>
      </c>
      <c r="P250" s="75" t="s">
        <v>576</v>
      </c>
      <c r="Z250" s="17">
        <f t="shared" si="349"/>
        <v>0</v>
      </c>
      <c r="AB250" s="17">
        <f t="shared" si="350"/>
        <v>0</v>
      </c>
      <c r="AC250" s="17">
        <f t="shared" si="351"/>
        <v>0</v>
      </c>
      <c r="AD250" s="17">
        <f t="shared" si="352"/>
        <v>0</v>
      </c>
      <c r="AE250" s="17">
        <f t="shared" si="353"/>
        <v>0</v>
      </c>
      <c r="AF250" s="17">
        <f t="shared" si="354"/>
        <v>0</v>
      </c>
      <c r="AG250" s="17">
        <f t="shared" si="355"/>
        <v>0</v>
      </c>
      <c r="AH250" s="17">
        <f t="shared" si="356"/>
        <v>0</v>
      </c>
      <c r="AI250" s="14" t="s">
        <v>210</v>
      </c>
      <c r="AJ250" s="17">
        <f t="shared" si="357"/>
        <v>0</v>
      </c>
      <c r="AK250" s="17">
        <f t="shared" si="358"/>
        <v>0</v>
      </c>
      <c r="AL250" s="17">
        <f t="shared" si="359"/>
        <v>0</v>
      </c>
      <c r="AN250" s="17">
        <v>12</v>
      </c>
      <c r="AO250" s="17">
        <f>H250*1</f>
        <v>0</v>
      </c>
      <c r="AP250" s="17">
        <f>H250*(1-1)</f>
        <v>0</v>
      </c>
      <c r="AQ250" s="76" t="s">
        <v>577</v>
      </c>
      <c r="AV250" s="17">
        <f t="shared" si="360"/>
        <v>0</v>
      </c>
      <c r="AW250" s="17">
        <f t="shared" si="361"/>
        <v>0</v>
      </c>
      <c r="AX250" s="17">
        <f t="shared" si="362"/>
        <v>0</v>
      </c>
      <c r="AY250" s="76" t="s">
        <v>677</v>
      </c>
      <c r="AZ250" s="76" t="s">
        <v>778</v>
      </c>
      <c r="BA250" s="14" t="s">
        <v>771</v>
      </c>
      <c r="BC250" s="17">
        <f t="shared" si="363"/>
        <v>0</v>
      </c>
      <c r="BD250" s="17">
        <f t="shared" si="364"/>
        <v>0</v>
      </c>
      <c r="BE250" s="17">
        <v>0</v>
      </c>
      <c r="BF250" s="17">
        <f t="shared" si="365"/>
        <v>0</v>
      </c>
      <c r="BH250" s="17">
        <f t="shared" si="366"/>
        <v>0</v>
      </c>
      <c r="BI250" s="17">
        <f t="shared" si="367"/>
        <v>0</v>
      </c>
      <c r="BJ250" s="17">
        <f t="shared" si="368"/>
        <v>0</v>
      </c>
      <c r="BK250" s="17"/>
      <c r="BL250" s="17">
        <v>722</v>
      </c>
      <c r="BW250" s="17">
        <f t="shared" si="369"/>
        <v>12</v>
      </c>
      <c r="BX250" s="4" t="s">
        <v>164</v>
      </c>
    </row>
    <row r="251" spans="1:76" x14ac:dyDescent="0.25">
      <c r="A251" s="1" t="s">
        <v>806</v>
      </c>
      <c r="B251" s="2" t="s">
        <v>210</v>
      </c>
      <c r="C251" s="2" t="s">
        <v>166</v>
      </c>
      <c r="D251" s="83" t="s">
        <v>167</v>
      </c>
      <c r="E251" s="84"/>
      <c r="F251" s="2" t="s">
        <v>35</v>
      </c>
      <c r="G251" s="17">
        <f>'Rozpočet - vybrané sloupce'!J209</f>
        <v>4</v>
      </c>
      <c r="H251" s="17">
        <f>'Rozpočet - vybrané sloupce'!K209</f>
        <v>0</v>
      </c>
      <c r="I251" s="74">
        <v>12</v>
      </c>
      <c r="J251" s="17">
        <f t="shared" si="344"/>
        <v>0</v>
      </c>
      <c r="K251" s="17">
        <f t="shared" si="345"/>
        <v>0</v>
      </c>
      <c r="L251" s="17">
        <f t="shared" si="346"/>
        <v>0</v>
      </c>
      <c r="M251" s="17">
        <f t="shared" si="347"/>
        <v>0</v>
      </c>
      <c r="N251" s="17">
        <v>0</v>
      </c>
      <c r="O251" s="17">
        <f t="shared" si="348"/>
        <v>0</v>
      </c>
      <c r="P251" s="75" t="s">
        <v>576</v>
      </c>
      <c r="Z251" s="17">
        <f t="shared" si="349"/>
        <v>0</v>
      </c>
      <c r="AB251" s="17">
        <f t="shared" si="350"/>
        <v>0</v>
      </c>
      <c r="AC251" s="17">
        <f t="shared" si="351"/>
        <v>0</v>
      </c>
      <c r="AD251" s="17">
        <f t="shared" si="352"/>
        <v>0</v>
      </c>
      <c r="AE251" s="17">
        <f t="shared" si="353"/>
        <v>0</v>
      </c>
      <c r="AF251" s="17">
        <f t="shared" si="354"/>
        <v>0</v>
      </c>
      <c r="AG251" s="17">
        <f t="shared" si="355"/>
        <v>0</v>
      </c>
      <c r="AH251" s="17">
        <f t="shared" si="356"/>
        <v>0</v>
      </c>
      <c r="AI251" s="14" t="s">
        <v>210</v>
      </c>
      <c r="AJ251" s="17">
        <f t="shared" si="357"/>
        <v>0</v>
      </c>
      <c r="AK251" s="17">
        <f t="shared" si="358"/>
        <v>0</v>
      </c>
      <c r="AL251" s="17">
        <f t="shared" si="359"/>
        <v>0</v>
      </c>
      <c r="AN251" s="17">
        <v>12</v>
      </c>
      <c r="AO251" s="17">
        <f>H251*0.039269406</f>
        <v>0</v>
      </c>
      <c r="AP251" s="17">
        <f>H251*(1-0.039269406)</f>
        <v>0</v>
      </c>
      <c r="AQ251" s="76" t="s">
        <v>577</v>
      </c>
      <c r="AV251" s="17">
        <f t="shared" si="360"/>
        <v>0</v>
      </c>
      <c r="AW251" s="17">
        <f t="shared" si="361"/>
        <v>0</v>
      </c>
      <c r="AX251" s="17">
        <f t="shared" si="362"/>
        <v>0</v>
      </c>
      <c r="AY251" s="76" t="s">
        <v>677</v>
      </c>
      <c r="AZ251" s="76" t="s">
        <v>778</v>
      </c>
      <c r="BA251" s="14" t="s">
        <v>771</v>
      </c>
      <c r="BC251" s="17">
        <f t="shared" si="363"/>
        <v>0</v>
      </c>
      <c r="BD251" s="17">
        <f t="shared" si="364"/>
        <v>0</v>
      </c>
      <c r="BE251" s="17">
        <v>0</v>
      </c>
      <c r="BF251" s="17">
        <f t="shared" si="365"/>
        <v>0</v>
      </c>
      <c r="BH251" s="17">
        <f t="shared" si="366"/>
        <v>0</v>
      </c>
      <c r="BI251" s="17">
        <f t="shared" si="367"/>
        <v>0</v>
      </c>
      <c r="BJ251" s="17">
        <f t="shared" si="368"/>
        <v>0</v>
      </c>
      <c r="BK251" s="17"/>
      <c r="BL251" s="17">
        <v>722</v>
      </c>
      <c r="BW251" s="17">
        <f t="shared" si="369"/>
        <v>12</v>
      </c>
      <c r="BX251" s="4" t="s">
        <v>167</v>
      </c>
    </row>
    <row r="252" spans="1:76" x14ac:dyDescent="0.25">
      <c r="A252" s="1" t="s">
        <v>807</v>
      </c>
      <c r="B252" s="2" t="s">
        <v>210</v>
      </c>
      <c r="C252" s="2" t="s">
        <v>168</v>
      </c>
      <c r="D252" s="83" t="s">
        <v>169</v>
      </c>
      <c r="E252" s="84"/>
      <c r="F252" s="2" t="s">
        <v>35</v>
      </c>
      <c r="G252" s="17">
        <f>'Rozpočet - vybrané sloupce'!J210</f>
        <v>4</v>
      </c>
      <c r="H252" s="17">
        <f>'Rozpočet - vybrané sloupce'!K210</f>
        <v>0</v>
      </c>
      <c r="I252" s="74">
        <v>12</v>
      </c>
      <c r="J252" s="17">
        <f t="shared" si="344"/>
        <v>0</v>
      </c>
      <c r="K252" s="17">
        <f t="shared" si="345"/>
        <v>0</v>
      </c>
      <c r="L252" s="17">
        <f t="shared" si="346"/>
        <v>0</v>
      </c>
      <c r="M252" s="17">
        <f t="shared" si="347"/>
        <v>0</v>
      </c>
      <c r="N252" s="17">
        <v>0</v>
      </c>
      <c r="O252" s="17">
        <f t="shared" si="348"/>
        <v>0</v>
      </c>
      <c r="P252" s="75" t="s">
        <v>576</v>
      </c>
      <c r="Z252" s="17">
        <f t="shared" si="349"/>
        <v>0</v>
      </c>
      <c r="AB252" s="17">
        <f t="shared" si="350"/>
        <v>0</v>
      </c>
      <c r="AC252" s="17">
        <f t="shared" si="351"/>
        <v>0</v>
      </c>
      <c r="AD252" s="17">
        <f t="shared" si="352"/>
        <v>0</v>
      </c>
      <c r="AE252" s="17">
        <f t="shared" si="353"/>
        <v>0</v>
      </c>
      <c r="AF252" s="17">
        <f t="shared" si="354"/>
        <v>0</v>
      </c>
      <c r="AG252" s="17">
        <f t="shared" si="355"/>
        <v>0</v>
      </c>
      <c r="AH252" s="17">
        <f t="shared" si="356"/>
        <v>0</v>
      </c>
      <c r="AI252" s="14" t="s">
        <v>210</v>
      </c>
      <c r="AJ252" s="17">
        <f t="shared" si="357"/>
        <v>0</v>
      </c>
      <c r="AK252" s="17">
        <f t="shared" si="358"/>
        <v>0</v>
      </c>
      <c r="AL252" s="17">
        <f t="shared" si="359"/>
        <v>0</v>
      </c>
      <c r="AN252" s="17">
        <v>12</v>
      </c>
      <c r="AO252" s="17">
        <f>H252*1</f>
        <v>0</v>
      </c>
      <c r="AP252" s="17">
        <f>H252*(1-1)</f>
        <v>0</v>
      </c>
      <c r="AQ252" s="76" t="s">
        <v>577</v>
      </c>
      <c r="AV252" s="17">
        <f t="shared" si="360"/>
        <v>0</v>
      </c>
      <c r="AW252" s="17">
        <f t="shared" si="361"/>
        <v>0</v>
      </c>
      <c r="AX252" s="17">
        <f t="shared" si="362"/>
        <v>0</v>
      </c>
      <c r="AY252" s="76" t="s">
        <v>677</v>
      </c>
      <c r="AZ252" s="76" t="s">
        <v>778</v>
      </c>
      <c r="BA252" s="14" t="s">
        <v>771</v>
      </c>
      <c r="BC252" s="17">
        <f t="shared" si="363"/>
        <v>0</v>
      </c>
      <c r="BD252" s="17">
        <f t="shared" si="364"/>
        <v>0</v>
      </c>
      <c r="BE252" s="17">
        <v>0</v>
      </c>
      <c r="BF252" s="17">
        <f t="shared" si="365"/>
        <v>0</v>
      </c>
      <c r="BH252" s="17">
        <f t="shared" si="366"/>
        <v>0</v>
      </c>
      <c r="BI252" s="17">
        <f t="shared" si="367"/>
        <v>0</v>
      </c>
      <c r="BJ252" s="17">
        <f t="shared" si="368"/>
        <v>0</v>
      </c>
      <c r="BK252" s="17"/>
      <c r="BL252" s="17">
        <v>722</v>
      </c>
      <c r="BW252" s="17">
        <f t="shared" si="369"/>
        <v>12</v>
      </c>
      <c r="BX252" s="4" t="s">
        <v>169</v>
      </c>
    </row>
    <row r="253" spans="1:76" x14ac:dyDescent="0.25">
      <c r="A253" s="1" t="s">
        <v>808</v>
      </c>
      <c r="B253" s="2" t="s">
        <v>210</v>
      </c>
      <c r="C253" s="2" t="s">
        <v>172</v>
      </c>
      <c r="D253" s="83" t="s">
        <v>173</v>
      </c>
      <c r="E253" s="84"/>
      <c r="F253" s="2" t="s">
        <v>35</v>
      </c>
      <c r="G253" s="17">
        <f>'Rozpočet - vybrané sloupce'!J211</f>
        <v>1</v>
      </c>
      <c r="H253" s="17">
        <f>'Rozpočet - vybrané sloupce'!K211</f>
        <v>0</v>
      </c>
      <c r="I253" s="74">
        <v>12</v>
      </c>
      <c r="J253" s="17">
        <f t="shared" si="344"/>
        <v>0</v>
      </c>
      <c r="K253" s="17">
        <f t="shared" si="345"/>
        <v>0</v>
      </c>
      <c r="L253" s="17">
        <f t="shared" si="346"/>
        <v>0</v>
      </c>
      <c r="M253" s="17">
        <f t="shared" si="347"/>
        <v>0</v>
      </c>
      <c r="N253" s="17">
        <v>0</v>
      </c>
      <c r="O253" s="17">
        <f t="shared" si="348"/>
        <v>0</v>
      </c>
      <c r="P253" s="75" t="s">
        <v>576</v>
      </c>
      <c r="Z253" s="17">
        <f t="shared" si="349"/>
        <v>0</v>
      </c>
      <c r="AB253" s="17">
        <f t="shared" si="350"/>
        <v>0</v>
      </c>
      <c r="AC253" s="17">
        <f t="shared" si="351"/>
        <v>0</v>
      </c>
      <c r="AD253" s="17">
        <f t="shared" si="352"/>
        <v>0</v>
      </c>
      <c r="AE253" s="17">
        <f t="shared" si="353"/>
        <v>0</v>
      </c>
      <c r="AF253" s="17">
        <f t="shared" si="354"/>
        <v>0</v>
      </c>
      <c r="AG253" s="17">
        <f t="shared" si="355"/>
        <v>0</v>
      </c>
      <c r="AH253" s="17">
        <f t="shared" si="356"/>
        <v>0</v>
      </c>
      <c r="AI253" s="14" t="s">
        <v>210</v>
      </c>
      <c r="AJ253" s="17">
        <f t="shared" si="357"/>
        <v>0</v>
      </c>
      <c r="AK253" s="17">
        <f t="shared" si="358"/>
        <v>0</v>
      </c>
      <c r="AL253" s="17">
        <f t="shared" si="359"/>
        <v>0</v>
      </c>
      <c r="AN253" s="17">
        <v>12</v>
      </c>
      <c r="AO253" s="17">
        <f>H253*0.05627451</f>
        <v>0</v>
      </c>
      <c r="AP253" s="17">
        <f>H253*(1-0.05627451)</f>
        <v>0</v>
      </c>
      <c r="AQ253" s="76" t="s">
        <v>577</v>
      </c>
      <c r="AV253" s="17">
        <f t="shared" si="360"/>
        <v>0</v>
      </c>
      <c r="AW253" s="17">
        <f t="shared" si="361"/>
        <v>0</v>
      </c>
      <c r="AX253" s="17">
        <f t="shared" si="362"/>
        <v>0</v>
      </c>
      <c r="AY253" s="76" t="s">
        <v>677</v>
      </c>
      <c r="AZ253" s="76" t="s">
        <v>778</v>
      </c>
      <c r="BA253" s="14" t="s">
        <v>771</v>
      </c>
      <c r="BC253" s="17">
        <f t="shared" si="363"/>
        <v>0</v>
      </c>
      <c r="BD253" s="17">
        <f t="shared" si="364"/>
        <v>0</v>
      </c>
      <c r="BE253" s="17">
        <v>0</v>
      </c>
      <c r="BF253" s="17">
        <f t="shared" si="365"/>
        <v>0</v>
      </c>
      <c r="BH253" s="17">
        <f t="shared" si="366"/>
        <v>0</v>
      </c>
      <c r="BI253" s="17">
        <f t="shared" si="367"/>
        <v>0</v>
      </c>
      <c r="BJ253" s="17">
        <f t="shared" si="368"/>
        <v>0</v>
      </c>
      <c r="BK253" s="17"/>
      <c r="BL253" s="17">
        <v>722</v>
      </c>
      <c r="BW253" s="17">
        <f t="shared" si="369"/>
        <v>12</v>
      </c>
      <c r="BX253" s="4" t="s">
        <v>173</v>
      </c>
    </row>
    <row r="254" spans="1:76" x14ac:dyDescent="0.25">
      <c r="A254" s="1" t="s">
        <v>809</v>
      </c>
      <c r="B254" s="2" t="s">
        <v>210</v>
      </c>
      <c r="C254" s="2" t="s">
        <v>174</v>
      </c>
      <c r="D254" s="83" t="s">
        <v>175</v>
      </c>
      <c r="E254" s="84"/>
      <c r="F254" s="2" t="s">
        <v>35</v>
      </c>
      <c r="G254" s="17">
        <f>'Rozpočet - vybrané sloupce'!J212</f>
        <v>1</v>
      </c>
      <c r="H254" s="17">
        <f>'Rozpočet - vybrané sloupce'!K212</f>
        <v>0</v>
      </c>
      <c r="I254" s="74">
        <v>12</v>
      </c>
      <c r="J254" s="17">
        <f t="shared" si="344"/>
        <v>0</v>
      </c>
      <c r="K254" s="17">
        <f t="shared" si="345"/>
        <v>0</v>
      </c>
      <c r="L254" s="17">
        <f t="shared" si="346"/>
        <v>0</v>
      </c>
      <c r="M254" s="17">
        <f t="shared" si="347"/>
        <v>0</v>
      </c>
      <c r="N254" s="17">
        <v>0</v>
      </c>
      <c r="O254" s="17">
        <f t="shared" si="348"/>
        <v>0</v>
      </c>
      <c r="P254" s="75" t="s">
        <v>576</v>
      </c>
      <c r="Z254" s="17">
        <f t="shared" si="349"/>
        <v>0</v>
      </c>
      <c r="AB254" s="17">
        <f t="shared" si="350"/>
        <v>0</v>
      </c>
      <c r="AC254" s="17">
        <f t="shared" si="351"/>
        <v>0</v>
      </c>
      <c r="AD254" s="17">
        <f t="shared" si="352"/>
        <v>0</v>
      </c>
      <c r="AE254" s="17">
        <f t="shared" si="353"/>
        <v>0</v>
      </c>
      <c r="AF254" s="17">
        <f t="shared" si="354"/>
        <v>0</v>
      </c>
      <c r="AG254" s="17">
        <f t="shared" si="355"/>
        <v>0</v>
      </c>
      <c r="AH254" s="17">
        <f t="shared" si="356"/>
        <v>0</v>
      </c>
      <c r="AI254" s="14" t="s">
        <v>210</v>
      </c>
      <c r="AJ254" s="17">
        <f t="shared" si="357"/>
        <v>0</v>
      </c>
      <c r="AK254" s="17">
        <f t="shared" si="358"/>
        <v>0</v>
      </c>
      <c r="AL254" s="17">
        <f t="shared" si="359"/>
        <v>0</v>
      </c>
      <c r="AN254" s="17">
        <v>12</v>
      </c>
      <c r="AO254" s="17">
        <f>H254*1</f>
        <v>0</v>
      </c>
      <c r="AP254" s="17">
        <f>H254*(1-1)</f>
        <v>0</v>
      </c>
      <c r="AQ254" s="76" t="s">
        <v>577</v>
      </c>
      <c r="AV254" s="17">
        <f t="shared" si="360"/>
        <v>0</v>
      </c>
      <c r="AW254" s="17">
        <f t="shared" si="361"/>
        <v>0</v>
      </c>
      <c r="AX254" s="17">
        <f t="shared" si="362"/>
        <v>0</v>
      </c>
      <c r="AY254" s="76" t="s">
        <v>677</v>
      </c>
      <c r="AZ254" s="76" t="s">
        <v>778</v>
      </c>
      <c r="BA254" s="14" t="s">
        <v>771</v>
      </c>
      <c r="BC254" s="17">
        <f t="shared" si="363"/>
        <v>0</v>
      </c>
      <c r="BD254" s="17">
        <f t="shared" si="364"/>
        <v>0</v>
      </c>
      <c r="BE254" s="17">
        <v>0</v>
      </c>
      <c r="BF254" s="17">
        <f t="shared" si="365"/>
        <v>0</v>
      </c>
      <c r="BH254" s="17">
        <f t="shared" si="366"/>
        <v>0</v>
      </c>
      <c r="BI254" s="17">
        <f t="shared" si="367"/>
        <v>0</v>
      </c>
      <c r="BJ254" s="17">
        <f t="shared" si="368"/>
        <v>0</v>
      </c>
      <c r="BK254" s="17"/>
      <c r="BL254" s="17">
        <v>722</v>
      </c>
      <c r="BW254" s="17">
        <f t="shared" si="369"/>
        <v>12</v>
      </c>
      <c r="BX254" s="4" t="s">
        <v>175</v>
      </c>
    </row>
    <row r="255" spans="1:76" x14ac:dyDescent="0.25">
      <c r="A255" s="1" t="s">
        <v>810</v>
      </c>
      <c r="B255" s="2" t="s">
        <v>210</v>
      </c>
      <c r="C255" s="2" t="s">
        <v>184</v>
      </c>
      <c r="D255" s="83" t="s">
        <v>185</v>
      </c>
      <c r="E255" s="84"/>
      <c r="F255" s="2" t="s">
        <v>40</v>
      </c>
      <c r="G255" s="17">
        <f>'Rozpočet - vybrané sloupce'!J213</f>
        <v>3</v>
      </c>
      <c r="H255" s="17">
        <f>'Rozpočet - vybrané sloupce'!K213</f>
        <v>0</v>
      </c>
      <c r="I255" s="74">
        <v>12</v>
      </c>
      <c r="J255" s="17">
        <f t="shared" si="344"/>
        <v>0</v>
      </c>
      <c r="K255" s="17">
        <f t="shared" si="345"/>
        <v>0</v>
      </c>
      <c r="L255" s="17">
        <f t="shared" si="346"/>
        <v>0</v>
      </c>
      <c r="M255" s="17">
        <f t="shared" si="347"/>
        <v>0</v>
      </c>
      <c r="N255" s="17">
        <v>3.8999999999999999E-4</v>
      </c>
      <c r="O255" s="17">
        <f t="shared" si="348"/>
        <v>1.17E-3</v>
      </c>
      <c r="P255" s="75" t="s">
        <v>576</v>
      </c>
      <c r="Z255" s="17">
        <f t="shared" si="349"/>
        <v>0</v>
      </c>
      <c r="AB255" s="17">
        <f t="shared" si="350"/>
        <v>0</v>
      </c>
      <c r="AC255" s="17">
        <f t="shared" si="351"/>
        <v>0</v>
      </c>
      <c r="AD255" s="17">
        <f t="shared" si="352"/>
        <v>0</v>
      </c>
      <c r="AE255" s="17">
        <f t="shared" si="353"/>
        <v>0</v>
      </c>
      <c r="AF255" s="17">
        <f t="shared" si="354"/>
        <v>0</v>
      </c>
      <c r="AG255" s="17">
        <f t="shared" si="355"/>
        <v>0</v>
      </c>
      <c r="AH255" s="17">
        <f t="shared" si="356"/>
        <v>0</v>
      </c>
      <c r="AI255" s="14" t="s">
        <v>210</v>
      </c>
      <c r="AJ255" s="17">
        <f t="shared" si="357"/>
        <v>0</v>
      </c>
      <c r="AK255" s="17">
        <f t="shared" si="358"/>
        <v>0</v>
      </c>
      <c r="AL255" s="17">
        <f t="shared" si="359"/>
        <v>0</v>
      </c>
      <c r="AN255" s="17">
        <v>12</v>
      </c>
      <c r="AO255" s="17">
        <f>H255*0.615809129</f>
        <v>0</v>
      </c>
      <c r="AP255" s="17">
        <f>H255*(1-0.615809129)</f>
        <v>0</v>
      </c>
      <c r="AQ255" s="76" t="s">
        <v>577</v>
      </c>
      <c r="AV255" s="17">
        <f t="shared" si="360"/>
        <v>0</v>
      </c>
      <c r="AW255" s="17">
        <f t="shared" si="361"/>
        <v>0</v>
      </c>
      <c r="AX255" s="17">
        <f t="shared" si="362"/>
        <v>0</v>
      </c>
      <c r="AY255" s="76" t="s">
        <v>677</v>
      </c>
      <c r="AZ255" s="76" t="s">
        <v>778</v>
      </c>
      <c r="BA255" s="14" t="s">
        <v>771</v>
      </c>
      <c r="BC255" s="17">
        <f t="shared" si="363"/>
        <v>0</v>
      </c>
      <c r="BD255" s="17">
        <f t="shared" si="364"/>
        <v>0</v>
      </c>
      <c r="BE255" s="17">
        <v>0</v>
      </c>
      <c r="BF255" s="17">
        <f t="shared" si="365"/>
        <v>1.17E-3</v>
      </c>
      <c r="BH255" s="17">
        <f t="shared" si="366"/>
        <v>0</v>
      </c>
      <c r="BI255" s="17">
        <f t="shared" si="367"/>
        <v>0</v>
      </c>
      <c r="BJ255" s="17">
        <f t="shared" si="368"/>
        <v>0</v>
      </c>
      <c r="BK255" s="17"/>
      <c r="BL255" s="17">
        <v>722</v>
      </c>
      <c r="BW255" s="17">
        <f t="shared" si="369"/>
        <v>12</v>
      </c>
      <c r="BX255" s="4" t="s">
        <v>185</v>
      </c>
    </row>
    <row r="256" spans="1:76" x14ac:dyDescent="0.25">
      <c r="A256" s="1" t="s">
        <v>811</v>
      </c>
      <c r="B256" s="2" t="s">
        <v>210</v>
      </c>
      <c r="C256" s="2" t="s">
        <v>186</v>
      </c>
      <c r="D256" s="83" t="s">
        <v>187</v>
      </c>
      <c r="E256" s="84"/>
      <c r="F256" s="2" t="s">
        <v>31</v>
      </c>
      <c r="G256" s="17">
        <f>'Rozpočet - vybrané sloupce'!J214</f>
        <v>1</v>
      </c>
      <c r="H256" s="17">
        <f>'Rozpočet - vybrané sloupce'!K214</f>
        <v>0</v>
      </c>
      <c r="I256" s="74">
        <v>12</v>
      </c>
      <c r="J256" s="17">
        <f t="shared" si="344"/>
        <v>0</v>
      </c>
      <c r="K256" s="17">
        <f t="shared" si="345"/>
        <v>0</v>
      </c>
      <c r="L256" s="17">
        <f t="shared" si="346"/>
        <v>0</v>
      </c>
      <c r="M256" s="17">
        <f t="shared" si="347"/>
        <v>0</v>
      </c>
      <c r="N256" s="17">
        <v>0</v>
      </c>
      <c r="O256" s="17">
        <f t="shared" si="348"/>
        <v>0</v>
      </c>
      <c r="P256" s="75" t="s">
        <v>576</v>
      </c>
      <c r="Z256" s="17">
        <f t="shared" si="349"/>
        <v>0</v>
      </c>
      <c r="AB256" s="17">
        <f t="shared" si="350"/>
        <v>0</v>
      </c>
      <c r="AC256" s="17">
        <f t="shared" si="351"/>
        <v>0</v>
      </c>
      <c r="AD256" s="17">
        <f t="shared" si="352"/>
        <v>0</v>
      </c>
      <c r="AE256" s="17">
        <f t="shared" si="353"/>
        <v>0</v>
      </c>
      <c r="AF256" s="17">
        <f t="shared" si="354"/>
        <v>0</v>
      </c>
      <c r="AG256" s="17">
        <f t="shared" si="355"/>
        <v>0</v>
      </c>
      <c r="AH256" s="17">
        <f t="shared" si="356"/>
        <v>0</v>
      </c>
      <c r="AI256" s="14" t="s">
        <v>210</v>
      </c>
      <c r="AJ256" s="17">
        <f t="shared" si="357"/>
        <v>0</v>
      </c>
      <c r="AK256" s="17">
        <f t="shared" si="358"/>
        <v>0</v>
      </c>
      <c r="AL256" s="17">
        <f t="shared" si="359"/>
        <v>0</v>
      </c>
      <c r="AN256" s="17">
        <v>12</v>
      </c>
      <c r="AO256" s="17">
        <f>H256*0.014895007</f>
        <v>0</v>
      </c>
      <c r="AP256" s="17">
        <f>H256*(1-0.014895007)</f>
        <v>0</v>
      </c>
      <c r="AQ256" s="76" t="s">
        <v>577</v>
      </c>
      <c r="AV256" s="17">
        <f t="shared" si="360"/>
        <v>0</v>
      </c>
      <c r="AW256" s="17">
        <f t="shared" si="361"/>
        <v>0</v>
      </c>
      <c r="AX256" s="17">
        <f t="shared" si="362"/>
        <v>0</v>
      </c>
      <c r="AY256" s="76" t="s">
        <v>677</v>
      </c>
      <c r="AZ256" s="76" t="s">
        <v>778</v>
      </c>
      <c r="BA256" s="14" t="s">
        <v>771</v>
      </c>
      <c r="BC256" s="17">
        <f t="shared" si="363"/>
        <v>0</v>
      </c>
      <c r="BD256" s="17">
        <f t="shared" si="364"/>
        <v>0</v>
      </c>
      <c r="BE256" s="17">
        <v>0</v>
      </c>
      <c r="BF256" s="17">
        <f t="shared" si="365"/>
        <v>0</v>
      </c>
      <c r="BH256" s="17">
        <f t="shared" si="366"/>
        <v>0</v>
      </c>
      <c r="BI256" s="17">
        <f t="shared" si="367"/>
        <v>0</v>
      </c>
      <c r="BJ256" s="17">
        <f t="shared" si="368"/>
        <v>0</v>
      </c>
      <c r="BK256" s="17"/>
      <c r="BL256" s="17">
        <v>722</v>
      </c>
      <c r="BW256" s="17">
        <f t="shared" si="369"/>
        <v>12</v>
      </c>
      <c r="BX256" s="4" t="s">
        <v>187</v>
      </c>
    </row>
    <row r="257" spans="1:76" x14ac:dyDescent="0.25">
      <c r="A257" s="1" t="s">
        <v>812</v>
      </c>
      <c r="B257" s="2" t="s">
        <v>210</v>
      </c>
      <c r="C257" s="2" t="s">
        <v>208</v>
      </c>
      <c r="D257" s="83" t="s">
        <v>209</v>
      </c>
      <c r="E257" s="84"/>
      <c r="F257" s="2" t="s">
        <v>31</v>
      </c>
      <c r="G257" s="17" t="e">
        <f>'Rozpočet - vybrané sloupce'!#REF!</f>
        <v>#REF!</v>
      </c>
      <c r="H257" s="17" t="e">
        <f>'Rozpočet - vybrané sloupce'!#REF!</f>
        <v>#REF!</v>
      </c>
      <c r="I257" s="74">
        <v>12</v>
      </c>
      <c r="J257" s="17" t="e">
        <f t="shared" si="344"/>
        <v>#REF!</v>
      </c>
      <c r="K257" s="17" t="e">
        <f t="shared" si="345"/>
        <v>#REF!</v>
      </c>
      <c r="L257" s="17" t="e">
        <f t="shared" si="346"/>
        <v>#REF!</v>
      </c>
      <c r="M257" s="17" t="e">
        <f t="shared" si="347"/>
        <v>#REF!</v>
      </c>
      <c r="N257" s="17">
        <v>0</v>
      </c>
      <c r="O257" s="17" t="e">
        <f t="shared" si="348"/>
        <v>#REF!</v>
      </c>
      <c r="P257" s="75" t="s">
        <v>576</v>
      </c>
      <c r="Z257" s="17">
        <f t="shared" si="349"/>
        <v>0</v>
      </c>
      <c r="AB257" s="17">
        <f t="shared" si="350"/>
        <v>0</v>
      </c>
      <c r="AC257" s="17">
        <f t="shared" si="351"/>
        <v>0</v>
      </c>
      <c r="AD257" s="17" t="e">
        <f t="shared" si="352"/>
        <v>#REF!</v>
      </c>
      <c r="AE257" s="17" t="e">
        <f t="shared" si="353"/>
        <v>#REF!</v>
      </c>
      <c r="AF257" s="17">
        <f t="shared" si="354"/>
        <v>0</v>
      </c>
      <c r="AG257" s="17">
        <f t="shared" si="355"/>
        <v>0</v>
      </c>
      <c r="AH257" s="17">
        <f t="shared" si="356"/>
        <v>0</v>
      </c>
      <c r="AI257" s="14" t="s">
        <v>210</v>
      </c>
      <c r="AJ257" s="17">
        <f t="shared" si="357"/>
        <v>0</v>
      </c>
      <c r="AK257" s="17" t="e">
        <f t="shared" si="358"/>
        <v>#REF!</v>
      </c>
      <c r="AL257" s="17">
        <f t="shared" si="359"/>
        <v>0</v>
      </c>
      <c r="AN257" s="17">
        <v>12</v>
      </c>
      <c r="AO257" s="17" t="e">
        <f>H257*0.019787234</f>
        <v>#REF!</v>
      </c>
      <c r="AP257" s="17" t="e">
        <f>H257*(1-0.019787234)</f>
        <v>#REF!</v>
      </c>
      <c r="AQ257" s="76" t="s">
        <v>577</v>
      </c>
      <c r="AV257" s="17" t="e">
        <f t="shared" si="360"/>
        <v>#REF!</v>
      </c>
      <c r="AW257" s="17" t="e">
        <f t="shared" si="361"/>
        <v>#REF!</v>
      </c>
      <c r="AX257" s="17" t="e">
        <f t="shared" si="362"/>
        <v>#REF!</v>
      </c>
      <c r="AY257" s="76" t="s">
        <v>677</v>
      </c>
      <c r="AZ257" s="76" t="s">
        <v>778</v>
      </c>
      <c r="BA257" s="14" t="s">
        <v>771</v>
      </c>
      <c r="BC257" s="17" t="e">
        <f t="shared" si="363"/>
        <v>#REF!</v>
      </c>
      <c r="BD257" s="17" t="e">
        <f t="shared" si="364"/>
        <v>#REF!</v>
      </c>
      <c r="BE257" s="17">
        <v>0</v>
      </c>
      <c r="BF257" s="17" t="e">
        <f t="shared" si="365"/>
        <v>#REF!</v>
      </c>
      <c r="BH257" s="17" t="e">
        <f t="shared" si="366"/>
        <v>#REF!</v>
      </c>
      <c r="BI257" s="17" t="e">
        <f t="shared" si="367"/>
        <v>#REF!</v>
      </c>
      <c r="BJ257" s="17" t="e">
        <f t="shared" si="368"/>
        <v>#REF!</v>
      </c>
      <c r="BK257" s="17"/>
      <c r="BL257" s="17">
        <v>722</v>
      </c>
      <c r="BW257" s="17">
        <f t="shared" si="369"/>
        <v>12</v>
      </c>
      <c r="BX257" s="4" t="s">
        <v>209</v>
      </c>
    </row>
    <row r="258" spans="1:76" x14ac:dyDescent="0.25">
      <c r="A258" s="1" t="s">
        <v>813</v>
      </c>
      <c r="B258" s="2" t="s">
        <v>210</v>
      </c>
      <c r="C258" s="2" t="s">
        <v>190</v>
      </c>
      <c r="D258" s="83" t="s">
        <v>191</v>
      </c>
      <c r="E258" s="84"/>
      <c r="F258" s="2" t="s">
        <v>31</v>
      </c>
      <c r="G258" s="17" t="e">
        <f>'Rozpočet - vybrané sloupce'!#REF!</f>
        <v>#REF!</v>
      </c>
      <c r="H258" s="17" t="e">
        <f>'Rozpočet - vybrané sloupce'!#REF!</f>
        <v>#REF!</v>
      </c>
      <c r="I258" s="74">
        <v>12</v>
      </c>
      <c r="J258" s="17" t="e">
        <f t="shared" si="344"/>
        <v>#REF!</v>
      </c>
      <c r="K258" s="17" t="e">
        <f t="shared" si="345"/>
        <v>#REF!</v>
      </c>
      <c r="L258" s="17" t="e">
        <f t="shared" si="346"/>
        <v>#REF!</v>
      </c>
      <c r="M258" s="17" t="e">
        <f t="shared" si="347"/>
        <v>#REF!</v>
      </c>
      <c r="N258" s="17">
        <v>0</v>
      </c>
      <c r="O258" s="17" t="e">
        <f t="shared" si="348"/>
        <v>#REF!</v>
      </c>
      <c r="P258" s="75" t="s">
        <v>576</v>
      </c>
      <c r="Z258" s="17">
        <f t="shared" si="349"/>
        <v>0</v>
      </c>
      <c r="AB258" s="17">
        <f t="shared" si="350"/>
        <v>0</v>
      </c>
      <c r="AC258" s="17">
        <f t="shared" si="351"/>
        <v>0</v>
      </c>
      <c r="AD258" s="17" t="e">
        <f t="shared" si="352"/>
        <v>#REF!</v>
      </c>
      <c r="AE258" s="17" t="e">
        <f t="shared" si="353"/>
        <v>#REF!</v>
      </c>
      <c r="AF258" s="17">
        <f t="shared" si="354"/>
        <v>0</v>
      </c>
      <c r="AG258" s="17">
        <f t="shared" si="355"/>
        <v>0</v>
      </c>
      <c r="AH258" s="17">
        <f t="shared" si="356"/>
        <v>0</v>
      </c>
      <c r="AI258" s="14" t="s">
        <v>210</v>
      </c>
      <c r="AJ258" s="17">
        <f t="shared" si="357"/>
        <v>0</v>
      </c>
      <c r="AK258" s="17" t="e">
        <f t="shared" si="358"/>
        <v>#REF!</v>
      </c>
      <c r="AL258" s="17">
        <f t="shared" si="359"/>
        <v>0</v>
      </c>
      <c r="AN258" s="17">
        <v>12</v>
      </c>
      <c r="AO258" s="17" t="e">
        <f>H258*0.018285714</f>
        <v>#REF!</v>
      </c>
      <c r="AP258" s="17" t="e">
        <f>H258*(1-0.018285714)</f>
        <v>#REF!</v>
      </c>
      <c r="AQ258" s="76" t="s">
        <v>577</v>
      </c>
      <c r="AV258" s="17" t="e">
        <f t="shared" si="360"/>
        <v>#REF!</v>
      </c>
      <c r="AW258" s="17" t="e">
        <f t="shared" si="361"/>
        <v>#REF!</v>
      </c>
      <c r="AX258" s="17" t="e">
        <f t="shared" si="362"/>
        <v>#REF!</v>
      </c>
      <c r="AY258" s="76" t="s">
        <v>677</v>
      </c>
      <c r="AZ258" s="76" t="s">
        <v>778</v>
      </c>
      <c r="BA258" s="14" t="s">
        <v>771</v>
      </c>
      <c r="BC258" s="17" t="e">
        <f t="shared" si="363"/>
        <v>#REF!</v>
      </c>
      <c r="BD258" s="17" t="e">
        <f t="shared" si="364"/>
        <v>#REF!</v>
      </c>
      <c r="BE258" s="17">
        <v>0</v>
      </c>
      <c r="BF258" s="17" t="e">
        <f t="shared" si="365"/>
        <v>#REF!</v>
      </c>
      <c r="BH258" s="17" t="e">
        <f t="shared" si="366"/>
        <v>#REF!</v>
      </c>
      <c r="BI258" s="17" t="e">
        <f t="shared" si="367"/>
        <v>#REF!</v>
      </c>
      <c r="BJ258" s="17" t="e">
        <f t="shared" si="368"/>
        <v>#REF!</v>
      </c>
      <c r="BK258" s="17"/>
      <c r="BL258" s="17">
        <v>722</v>
      </c>
      <c r="BW258" s="17">
        <f t="shared" si="369"/>
        <v>12</v>
      </c>
      <c r="BX258" s="4" t="s">
        <v>191</v>
      </c>
    </row>
    <row r="259" spans="1:76" x14ac:dyDescent="0.25">
      <c r="A259" s="1" t="s">
        <v>814</v>
      </c>
      <c r="B259" s="2" t="s">
        <v>210</v>
      </c>
      <c r="C259" s="2" t="s">
        <v>192</v>
      </c>
      <c r="D259" s="83" t="s">
        <v>193</v>
      </c>
      <c r="E259" s="84"/>
      <c r="F259" s="2" t="s">
        <v>88</v>
      </c>
      <c r="G259" s="17">
        <f>'Rozpočet - vybrané sloupce'!J215</f>
        <v>0.1</v>
      </c>
      <c r="H259" s="17">
        <f>'Rozpočet - vybrané sloupce'!K215</f>
        <v>0</v>
      </c>
      <c r="I259" s="74">
        <v>12</v>
      </c>
      <c r="J259" s="17">
        <f t="shared" si="344"/>
        <v>0</v>
      </c>
      <c r="K259" s="17">
        <f t="shared" si="345"/>
        <v>0</v>
      </c>
      <c r="L259" s="17">
        <f t="shared" si="346"/>
        <v>0</v>
      </c>
      <c r="M259" s="17">
        <f t="shared" si="347"/>
        <v>0</v>
      </c>
      <c r="N259" s="17">
        <v>0</v>
      </c>
      <c r="O259" s="17">
        <f t="shared" si="348"/>
        <v>0</v>
      </c>
      <c r="P259" s="75" t="s">
        <v>576</v>
      </c>
      <c r="Z259" s="17">
        <f t="shared" si="349"/>
        <v>0</v>
      </c>
      <c r="AB259" s="17">
        <f t="shared" si="350"/>
        <v>0</v>
      </c>
      <c r="AC259" s="17">
        <f t="shared" si="351"/>
        <v>0</v>
      </c>
      <c r="AD259" s="17">
        <f t="shared" si="352"/>
        <v>0</v>
      </c>
      <c r="AE259" s="17">
        <f t="shared" si="353"/>
        <v>0</v>
      </c>
      <c r="AF259" s="17">
        <f t="shared" si="354"/>
        <v>0</v>
      </c>
      <c r="AG259" s="17">
        <f t="shared" si="355"/>
        <v>0</v>
      </c>
      <c r="AH259" s="17">
        <f t="shared" si="356"/>
        <v>0</v>
      </c>
      <c r="AI259" s="14" t="s">
        <v>210</v>
      </c>
      <c r="AJ259" s="17">
        <f t="shared" si="357"/>
        <v>0</v>
      </c>
      <c r="AK259" s="17">
        <f t="shared" si="358"/>
        <v>0</v>
      </c>
      <c r="AL259" s="17">
        <f t="shared" si="359"/>
        <v>0</v>
      </c>
      <c r="AN259" s="17">
        <v>12</v>
      </c>
      <c r="AO259" s="17">
        <f>H259*0</f>
        <v>0</v>
      </c>
      <c r="AP259" s="17">
        <f>H259*(1-0)</f>
        <v>0</v>
      </c>
      <c r="AQ259" s="76" t="s">
        <v>577</v>
      </c>
      <c r="AV259" s="17">
        <f t="shared" si="360"/>
        <v>0</v>
      </c>
      <c r="AW259" s="17">
        <f t="shared" si="361"/>
        <v>0</v>
      </c>
      <c r="AX259" s="17">
        <f t="shared" si="362"/>
        <v>0</v>
      </c>
      <c r="AY259" s="76" t="s">
        <v>677</v>
      </c>
      <c r="AZ259" s="76" t="s">
        <v>778</v>
      </c>
      <c r="BA259" s="14" t="s">
        <v>771</v>
      </c>
      <c r="BC259" s="17">
        <f t="shared" si="363"/>
        <v>0</v>
      </c>
      <c r="BD259" s="17">
        <f t="shared" si="364"/>
        <v>0</v>
      </c>
      <c r="BE259" s="17">
        <v>0</v>
      </c>
      <c r="BF259" s="17">
        <f t="shared" si="365"/>
        <v>0</v>
      </c>
      <c r="BH259" s="17">
        <f t="shared" si="366"/>
        <v>0</v>
      </c>
      <c r="BI259" s="17">
        <f t="shared" si="367"/>
        <v>0</v>
      </c>
      <c r="BJ259" s="17">
        <f t="shared" si="368"/>
        <v>0</v>
      </c>
      <c r="BK259" s="17"/>
      <c r="BL259" s="17">
        <v>722</v>
      </c>
      <c r="BW259" s="17">
        <f t="shared" si="369"/>
        <v>12</v>
      </c>
      <c r="BX259" s="4" t="s">
        <v>193</v>
      </c>
    </row>
    <row r="260" spans="1:76" x14ac:dyDescent="0.25">
      <c r="A260" s="1" t="s">
        <v>815</v>
      </c>
      <c r="B260" s="2" t="s">
        <v>210</v>
      </c>
      <c r="C260" s="2" t="s">
        <v>194</v>
      </c>
      <c r="D260" s="83" t="s">
        <v>195</v>
      </c>
      <c r="E260" s="84"/>
      <c r="F260" s="2" t="s">
        <v>45</v>
      </c>
      <c r="G260" s="17">
        <f>'Rozpočet - vybrané sloupce'!J216</f>
        <v>0</v>
      </c>
      <c r="H260" s="17">
        <f>'Rozpočet - vybrané sloupce'!K216</f>
        <v>0</v>
      </c>
      <c r="I260" s="74">
        <v>12</v>
      </c>
      <c r="J260" s="17">
        <f t="shared" si="344"/>
        <v>0</v>
      </c>
      <c r="K260" s="17">
        <f t="shared" si="345"/>
        <v>0</v>
      </c>
      <c r="L260" s="17">
        <f t="shared" si="346"/>
        <v>0</v>
      </c>
      <c r="M260" s="17">
        <f t="shared" si="347"/>
        <v>0</v>
      </c>
      <c r="N260" s="17">
        <v>0</v>
      </c>
      <c r="O260" s="17">
        <f t="shared" si="348"/>
        <v>0</v>
      </c>
      <c r="P260" s="75" t="s">
        <v>576</v>
      </c>
      <c r="Z260" s="17">
        <f t="shared" si="349"/>
        <v>0</v>
      </c>
      <c r="AB260" s="17">
        <f t="shared" si="350"/>
        <v>0</v>
      </c>
      <c r="AC260" s="17">
        <f t="shared" si="351"/>
        <v>0</v>
      </c>
      <c r="AD260" s="17">
        <f t="shared" si="352"/>
        <v>0</v>
      </c>
      <c r="AE260" s="17">
        <f t="shared" si="353"/>
        <v>0</v>
      </c>
      <c r="AF260" s="17">
        <f t="shared" si="354"/>
        <v>0</v>
      </c>
      <c r="AG260" s="17">
        <f t="shared" si="355"/>
        <v>0</v>
      </c>
      <c r="AH260" s="17">
        <f t="shared" si="356"/>
        <v>0</v>
      </c>
      <c r="AI260" s="14" t="s">
        <v>210</v>
      </c>
      <c r="AJ260" s="17">
        <f t="shared" si="357"/>
        <v>0</v>
      </c>
      <c r="AK260" s="17">
        <f t="shared" si="358"/>
        <v>0</v>
      </c>
      <c r="AL260" s="17">
        <f t="shared" si="359"/>
        <v>0</v>
      </c>
      <c r="AN260" s="17">
        <v>12</v>
      </c>
      <c r="AO260" s="17">
        <f>H260*0</f>
        <v>0</v>
      </c>
      <c r="AP260" s="17">
        <f>H260*(1-0)</f>
        <v>0</v>
      </c>
      <c r="AQ260" s="76" t="s">
        <v>585</v>
      </c>
      <c r="AV260" s="17">
        <f t="shared" si="360"/>
        <v>0</v>
      </c>
      <c r="AW260" s="17">
        <f t="shared" si="361"/>
        <v>0</v>
      </c>
      <c r="AX260" s="17">
        <f t="shared" si="362"/>
        <v>0</v>
      </c>
      <c r="AY260" s="76" t="s">
        <v>677</v>
      </c>
      <c r="AZ260" s="76" t="s">
        <v>778</v>
      </c>
      <c r="BA260" s="14" t="s">
        <v>771</v>
      </c>
      <c r="BC260" s="17">
        <f t="shared" si="363"/>
        <v>0</v>
      </c>
      <c r="BD260" s="17">
        <f t="shared" si="364"/>
        <v>0</v>
      </c>
      <c r="BE260" s="17">
        <v>0</v>
      </c>
      <c r="BF260" s="17">
        <f t="shared" si="365"/>
        <v>0</v>
      </c>
      <c r="BH260" s="17">
        <f t="shared" si="366"/>
        <v>0</v>
      </c>
      <c r="BI260" s="17">
        <f t="shared" si="367"/>
        <v>0</v>
      </c>
      <c r="BJ260" s="17">
        <f t="shared" si="368"/>
        <v>0</v>
      </c>
      <c r="BK260" s="17"/>
      <c r="BL260" s="17">
        <v>722</v>
      </c>
      <c r="BW260" s="17">
        <f t="shared" si="369"/>
        <v>12</v>
      </c>
      <c r="BX260" s="4" t="s">
        <v>195</v>
      </c>
    </row>
    <row r="261" spans="1:76" x14ac:dyDescent="0.25">
      <c r="A261" s="71" t="s">
        <v>25</v>
      </c>
      <c r="B261" s="13" t="s">
        <v>220</v>
      </c>
      <c r="C261" s="13" t="s">
        <v>25</v>
      </c>
      <c r="D261" s="135" t="s">
        <v>221</v>
      </c>
      <c r="E261" s="136"/>
      <c r="F261" s="72" t="s">
        <v>23</v>
      </c>
      <c r="G261" s="72" t="s">
        <v>23</v>
      </c>
      <c r="H261" s="72" t="s">
        <v>23</v>
      </c>
      <c r="I261" s="72" t="s">
        <v>23</v>
      </c>
      <c r="J261" s="47" t="e">
        <f>J262+J267+J296</f>
        <v>#REF!</v>
      </c>
      <c r="K261" s="47" t="e">
        <f>K262+K267+K296</f>
        <v>#REF!</v>
      </c>
      <c r="L261" s="47" t="e">
        <f>L262+L267+L296</f>
        <v>#REF!</v>
      </c>
      <c r="M261" s="47" t="e">
        <f>M262+M267+M296</f>
        <v>#REF!</v>
      </c>
      <c r="N261" s="14" t="s">
        <v>25</v>
      </c>
      <c r="O261" s="47" t="e">
        <f>O262+O267+O296</f>
        <v>#REF!</v>
      </c>
      <c r="P261" s="73" t="s">
        <v>25</v>
      </c>
    </row>
    <row r="262" spans="1:76" x14ac:dyDescent="0.25">
      <c r="A262" s="71" t="s">
        <v>25</v>
      </c>
      <c r="B262" s="13" t="s">
        <v>220</v>
      </c>
      <c r="C262" s="13" t="s">
        <v>52</v>
      </c>
      <c r="D262" s="135" t="s">
        <v>53</v>
      </c>
      <c r="E262" s="136"/>
      <c r="F262" s="72" t="s">
        <v>23</v>
      </c>
      <c r="G262" s="72" t="s">
        <v>23</v>
      </c>
      <c r="H262" s="72" t="s">
        <v>23</v>
      </c>
      <c r="I262" s="72" t="s">
        <v>23</v>
      </c>
      <c r="J262" s="47">
        <f>SUM(J263:J266)</f>
        <v>0</v>
      </c>
      <c r="K262" s="47">
        <f>SUM(K263:K266)</f>
        <v>0</v>
      </c>
      <c r="L262" s="47">
        <f>SUM(L263:L266)</f>
        <v>0</v>
      </c>
      <c r="M262" s="47">
        <f>SUM(M263:M266)</f>
        <v>0</v>
      </c>
      <c r="N262" s="14" t="s">
        <v>25</v>
      </c>
      <c r="O262" s="47">
        <f>SUM(O263:O266)</f>
        <v>0</v>
      </c>
      <c r="P262" s="73" t="s">
        <v>25</v>
      </c>
      <c r="AI262" s="14" t="s">
        <v>220</v>
      </c>
      <c r="AS262" s="47">
        <f>SUM(AJ263:AJ266)</f>
        <v>0</v>
      </c>
      <c r="AT262" s="47">
        <f>SUM(AK263:AK266)</f>
        <v>0</v>
      </c>
      <c r="AU262" s="47">
        <f>SUM(AL263:AL266)</f>
        <v>0</v>
      </c>
    </row>
    <row r="263" spans="1:76" x14ac:dyDescent="0.25">
      <c r="A263" s="1" t="s">
        <v>816</v>
      </c>
      <c r="B263" s="2" t="s">
        <v>220</v>
      </c>
      <c r="C263" s="2" t="s">
        <v>222</v>
      </c>
      <c r="D263" s="83" t="s">
        <v>223</v>
      </c>
      <c r="E263" s="84"/>
      <c r="F263" s="2" t="s">
        <v>35</v>
      </c>
      <c r="G263" s="17">
        <f>'Rozpočet - vybrané sloupce'!J219</f>
        <v>9</v>
      </c>
      <c r="H263" s="17">
        <f>'Rozpočet - vybrané sloupce'!K219</f>
        <v>0</v>
      </c>
      <c r="I263" s="74">
        <v>12</v>
      </c>
      <c r="J263" s="17">
        <f>ROUND(G263*AO263,2)</f>
        <v>0</v>
      </c>
      <c r="K263" s="17">
        <f>ROUND(G263*AP263,2)</f>
        <v>0</v>
      </c>
      <c r="L263" s="17">
        <f>ROUND(G263*H263,2)</f>
        <v>0</v>
      </c>
      <c r="M263" s="17">
        <f>L263*(1+BW263/100)</f>
        <v>0</v>
      </c>
      <c r="N263" s="17">
        <v>0</v>
      </c>
      <c r="O263" s="17">
        <f>G263*N263</f>
        <v>0</v>
      </c>
      <c r="P263" s="75" t="s">
        <v>576</v>
      </c>
      <c r="Z263" s="17">
        <f>ROUND(IF(AQ263="5",BJ263,0),2)</f>
        <v>0</v>
      </c>
      <c r="AB263" s="17">
        <f>ROUND(IF(AQ263="1",BH263,0),2)</f>
        <v>0</v>
      </c>
      <c r="AC263" s="17">
        <f>ROUND(IF(AQ263="1",BI263,0),2)</f>
        <v>0</v>
      </c>
      <c r="AD263" s="17">
        <f>ROUND(IF(AQ263="7",BH263,0),2)</f>
        <v>0</v>
      </c>
      <c r="AE263" s="17">
        <f>ROUND(IF(AQ263="7",BI263,0),2)</f>
        <v>0</v>
      </c>
      <c r="AF263" s="17">
        <f>ROUND(IF(AQ263="2",BH263,0),2)</f>
        <v>0</v>
      </c>
      <c r="AG263" s="17">
        <f>ROUND(IF(AQ263="2",BI263,0),2)</f>
        <v>0</v>
      </c>
      <c r="AH263" s="17">
        <f>ROUND(IF(AQ263="0",BJ263,0),2)</f>
        <v>0</v>
      </c>
      <c r="AI263" s="14" t="s">
        <v>220</v>
      </c>
      <c r="AJ263" s="17">
        <f>IF(AN263=0,L263,0)</f>
        <v>0</v>
      </c>
      <c r="AK263" s="17">
        <f>IF(AN263=12,L263,0)</f>
        <v>0</v>
      </c>
      <c r="AL263" s="17">
        <f>IF(AN263=21,L263,0)</f>
        <v>0</v>
      </c>
      <c r="AN263" s="17">
        <v>12</v>
      </c>
      <c r="AO263" s="17">
        <f>H263*1</f>
        <v>0</v>
      </c>
      <c r="AP263" s="17">
        <f>H263*(1-1)</f>
        <v>0</v>
      </c>
      <c r="AQ263" s="76" t="s">
        <v>577</v>
      </c>
      <c r="AV263" s="17">
        <f>ROUND(AW263+AX263,2)</f>
        <v>0</v>
      </c>
      <c r="AW263" s="17">
        <f>ROUND(G263*AO263,2)</f>
        <v>0</v>
      </c>
      <c r="AX263" s="17">
        <f>ROUND(G263*AP263,2)</f>
        <v>0</v>
      </c>
      <c r="AY263" s="76" t="s">
        <v>603</v>
      </c>
      <c r="AZ263" s="76" t="s">
        <v>817</v>
      </c>
      <c r="BA263" s="14" t="s">
        <v>818</v>
      </c>
      <c r="BC263" s="17">
        <f>AW263+AX263</f>
        <v>0</v>
      </c>
      <c r="BD263" s="17">
        <f>H263/(100-BE263)*100</f>
        <v>0</v>
      </c>
      <c r="BE263" s="17">
        <v>0</v>
      </c>
      <c r="BF263" s="17">
        <f>O263</f>
        <v>0</v>
      </c>
      <c r="BH263" s="17">
        <f>G263*AO263</f>
        <v>0</v>
      </c>
      <c r="BI263" s="17">
        <f>G263*AP263</f>
        <v>0</v>
      </c>
      <c r="BJ263" s="17">
        <f>G263*H263</f>
        <v>0</v>
      </c>
      <c r="BK263" s="17"/>
      <c r="BL263" s="17">
        <v>713</v>
      </c>
      <c r="BW263" s="17">
        <f>I263</f>
        <v>12</v>
      </c>
      <c r="BX263" s="4" t="s">
        <v>223</v>
      </c>
    </row>
    <row r="264" spans="1:76" x14ac:dyDescent="0.25">
      <c r="A264" s="1" t="s">
        <v>819</v>
      </c>
      <c r="B264" s="2" t="s">
        <v>220</v>
      </c>
      <c r="C264" s="2" t="s">
        <v>224</v>
      </c>
      <c r="D264" s="83" t="s">
        <v>225</v>
      </c>
      <c r="E264" s="84"/>
      <c r="F264" s="2" t="s">
        <v>35</v>
      </c>
      <c r="G264" s="17">
        <f>'Rozpočet - vybrané sloupce'!J220</f>
        <v>6</v>
      </c>
      <c r="H264" s="17">
        <f>'Rozpočet - vybrané sloupce'!K220</f>
        <v>0</v>
      </c>
      <c r="I264" s="74">
        <v>12</v>
      </c>
      <c r="J264" s="17">
        <f>ROUND(G264*AO264,2)</f>
        <v>0</v>
      </c>
      <c r="K264" s="17">
        <f>ROUND(G264*AP264,2)</f>
        <v>0</v>
      </c>
      <c r="L264" s="17">
        <f>ROUND(G264*H264,2)</f>
        <v>0</v>
      </c>
      <c r="M264" s="17">
        <f>L264*(1+BW264/100)</f>
        <v>0</v>
      </c>
      <c r="N264" s="17">
        <v>0</v>
      </c>
      <c r="O264" s="17">
        <f>G264*N264</f>
        <v>0</v>
      </c>
      <c r="P264" s="75" t="s">
        <v>576</v>
      </c>
      <c r="Z264" s="17">
        <f>ROUND(IF(AQ264="5",BJ264,0),2)</f>
        <v>0</v>
      </c>
      <c r="AB264" s="17">
        <f>ROUND(IF(AQ264="1",BH264,0),2)</f>
        <v>0</v>
      </c>
      <c r="AC264" s="17">
        <f>ROUND(IF(AQ264="1",BI264,0),2)</f>
        <v>0</v>
      </c>
      <c r="AD264" s="17">
        <f>ROUND(IF(AQ264="7",BH264,0),2)</f>
        <v>0</v>
      </c>
      <c r="AE264" s="17">
        <f>ROUND(IF(AQ264="7",BI264,0),2)</f>
        <v>0</v>
      </c>
      <c r="AF264" s="17">
        <f>ROUND(IF(AQ264="2",BH264,0),2)</f>
        <v>0</v>
      </c>
      <c r="AG264" s="17">
        <f>ROUND(IF(AQ264="2",BI264,0),2)</f>
        <v>0</v>
      </c>
      <c r="AH264" s="17">
        <f>ROUND(IF(AQ264="0",BJ264,0),2)</f>
        <v>0</v>
      </c>
      <c r="AI264" s="14" t="s">
        <v>220</v>
      </c>
      <c r="AJ264" s="17">
        <f>IF(AN264=0,L264,0)</f>
        <v>0</v>
      </c>
      <c r="AK264" s="17">
        <f>IF(AN264=12,L264,0)</f>
        <v>0</v>
      </c>
      <c r="AL264" s="17">
        <f>IF(AN264=21,L264,0)</f>
        <v>0</v>
      </c>
      <c r="AN264" s="17">
        <v>12</v>
      </c>
      <c r="AO264" s="17">
        <f>H264*1</f>
        <v>0</v>
      </c>
      <c r="AP264" s="17">
        <f>H264*(1-1)</f>
        <v>0</v>
      </c>
      <c r="AQ264" s="76" t="s">
        <v>577</v>
      </c>
      <c r="AV264" s="17">
        <f>ROUND(AW264+AX264,2)</f>
        <v>0</v>
      </c>
      <c r="AW264" s="17">
        <f>ROUND(G264*AO264,2)</f>
        <v>0</v>
      </c>
      <c r="AX264" s="17">
        <f>ROUND(G264*AP264,2)</f>
        <v>0</v>
      </c>
      <c r="AY264" s="76" t="s">
        <v>603</v>
      </c>
      <c r="AZ264" s="76" t="s">
        <v>817</v>
      </c>
      <c r="BA264" s="14" t="s">
        <v>818</v>
      </c>
      <c r="BC264" s="17">
        <f>AW264+AX264</f>
        <v>0</v>
      </c>
      <c r="BD264" s="17">
        <f>H264/(100-BE264)*100</f>
        <v>0</v>
      </c>
      <c r="BE264" s="17">
        <v>0</v>
      </c>
      <c r="BF264" s="17">
        <f>O264</f>
        <v>0</v>
      </c>
      <c r="BH264" s="17">
        <f>G264*AO264</f>
        <v>0</v>
      </c>
      <c r="BI264" s="17">
        <f>G264*AP264</f>
        <v>0</v>
      </c>
      <c r="BJ264" s="17">
        <f>G264*H264</f>
        <v>0</v>
      </c>
      <c r="BK264" s="17"/>
      <c r="BL264" s="17">
        <v>713</v>
      </c>
      <c r="BW264" s="17">
        <f>I264</f>
        <v>12</v>
      </c>
      <c r="BX264" s="4" t="s">
        <v>225</v>
      </c>
    </row>
    <row r="265" spans="1:76" x14ac:dyDescent="0.25">
      <c r="A265" s="1" t="s">
        <v>820</v>
      </c>
      <c r="B265" s="2" t="s">
        <v>220</v>
      </c>
      <c r="C265" s="2" t="s">
        <v>226</v>
      </c>
      <c r="D265" s="83" t="s">
        <v>227</v>
      </c>
      <c r="E265" s="84"/>
      <c r="F265" s="2" t="s">
        <v>35</v>
      </c>
      <c r="G265" s="17">
        <f>'Rozpočet - vybrané sloupce'!J221</f>
        <v>12</v>
      </c>
      <c r="H265" s="17">
        <f>'Rozpočet - vybrané sloupce'!K221</f>
        <v>0</v>
      </c>
      <c r="I265" s="74">
        <v>12</v>
      </c>
      <c r="J265" s="17">
        <f>ROUND(G265*AO265,2)</f>
        <v>0</v>
      </c>
      <c r="K265" s="17">
        <f>ROUND(G265*AP265,2)</f>
        <v>0</v>
      </c>
      <c r="L265" s="17">
        <f>ROUND(G265*H265,2)</f>
        <v>0</v>
      </c>
      <c r="M265" s="17">
        <f>L265*(1+BW265/100)</f>
        <v>0</v>
      </c>
      <c r="N265" s="17">
        <v>0</v>
      </c>
      <c r="O265" s="17">
        <f>G265*N265</f>
        <v>0</v>
      </c>
      <c r="P265" s="75" t="s">
        <v>576</v>
      </c>
      <c r="Z265" s="17">
        <f>ROUND(IF(AQ265="5",BJ265,0),2)</f>
        <v>0</v>
      </c>
      <c r="AB265" s="17">
        <f>ROUND(IF(AQ265="1",BH265,0),2)</f>
        <v>0</v>
      </c>
      <c r="AC265" s="17">
        <f>ROUND(IF(AQ265="1",BI265,0),2)</f>
        <v>0</v>
      </c>
      <c r="AD265" s="17">
        <f>ROUND(IF(AQ265="7",BH265,0),2)</f>
        <v>0</v>
      </c>
      <c r="AE265" s="17">
        <f>ROUND(IF(AQ265="7",BI265,0),2)</f>
        <v>0</v>
      </c>
      <c r="AF265" s="17">
        <f>ROUND(IF(AQ265="2",BH265,0),2)</f>
        <v>0</v>
      </c>
      <c r="AG265" s="17">
        <f>ROUND(IF(AQ265="2",BI265,0),2)</f>
        <v>0</v>
      </c>
      <c r="AH265" s="17">
        <f>ROUND(IF(AQ265="0",BJ265,0),2)</f>
        <v>0</v>
      </c>
      <c r="AI265" s="14" t="s">
        <v>220</v>
      </c>
      <c r="AJ265" s="17">
        <f>IF(AN265=0,L265,0)</f>
        <v>0</v>
      </c>
      <c r="AK265" s="17">
        <f>IF(AN265=12,L265,0)</f>
        <v>0</v>
      </c>
      <c r="AL265" s="17">
        <f>IF(AN265=21,L265,0)</f>
        <v>0</v>
      </c>
      <c r="AN265" s="17">
        <v>12</v>
      </c>
      <c r="AO265" s="17">
        <f>H265*1</f>
        <v>0</v>
      </c>
      <c r="AP265" s="17">
        <f>H265*(1-1)</f>
        <v>0</v>
      </c>
      <c r="AQ265" s="76" t="s">
        <v>577</v>
      </c>
      <c r="AV265" s="17">
        <f>ROUND(AW265+AX265,2)</f>
        <v>0</v>
      </c>
      <c r="AW265" s="17">
        <f>ROUND(G265*AO265,2)</f>
        <v>0</v>
      </c>
      <c r="AX265" s="17">
        <f>ROUND(G265*AP265,2)</f>
        <v>0</v>
      </c>
      <c r="AY265" s="76" t="s">
        <v>603</v>
      </c>
      <c r="AZ265" s="76" t="s">
        <v>817</v>
      </c>
      <c r="BA265" s="14" t="s">
        <v>818</v>
      </c>
      <c r="BC265" s="17">
        <f>AW265+AX265</f>
        <v>0</v>
      </c>
      <c r="BD265" s="17">
        <f>H265/(100-BE265)*100</f>
        <v>0</v>
      </c>
      <c r="BE265" s="17">
        <v>0</v>
      </c>
      <c r="BF265" s="17">
        <f>O265</f>
        <v>0</v>
      </c>
      <c r="BH265" s="17">
        <f>G265*AO265</f>
        <v>0</v>
      </c>
      <c r="BI265" s="17">
        <f>G265*AP265</f>
        <v>0</v>
      </c>
      <c r="BJ265" s="17">
        <f>G265*H265</f>
        <v>0</v>
      </c>
      <c r="BK265" s="17"/>
      <c r="BL265" s="17">
        <v>713</v>
      </c>
      <c r="BW265" s="17">
        <f>I265</f>
        <v>12</v>
      </c>
      <c r="BX265" s="4" t="s">
        <v>227</v>
      </c>
    </row>
    <row r="266" spans="1:76" x14ac:dyDescent="0.25">
      <c r="A266" s="1" t="s">
        <v>821</v>
      </c>
      <c r="B266" s="2" t="s">
        <v>220</v>
      </c>
      <c r="C266" s="2" t="s">
        <v>56</v>
      </c>
      <c r="D266" s="83" t="s">
        <v>57</v>
      </c>
      <c r="E266" s="84"/>
      <c r="F266" s="2" t="s">
        <v>45</v>
      </c>
      <c r="G266" s="17">
        <f>'Rozpočet - vybrané sloupce'!J222</f>
        <v>0</v>
      </c>
      <c r="H266" s="17">
        <f>'Rozpočet - vybrané sloupce'!K222</f>
        <v>0</v>
      </c>
      <c r="I266" s="74">
        <v>12</v>
      </c>
      <c r="J266" s="17">
        <f>ROUND(G266*AO266,2)</f>
        <v>0</v>
      </c>
      <c r="K266" s="17">
        <f>ROUND(G266*AP266,2)</f>
        <v>0</v>
      </c>
      <c r="L266" s="17">
        <f>ROUND(G266*H266,2)</f>
        <v>0</v>
      </c>
      <c r="M266" s="17">
        <f>L266*(1+BW266/100)</f>
        <v>0</v>
      </c>
      <c r="N266" s="17">
        <v>0</v>
      </c>
      <c r="O266" s="17">
        <f>G266*N266</f>
        <v>0</v>
      </c>
      <c r="P266" s="75" t="s">
        <v>576</v>
      </c>
      <c r="Z266" s="17">
        <f>ROUND(IF(AQ266="5",BJ266,0),2)</f>
        <v>0</v>
      </c>
      <c r="AB266" s="17">
        <f>ROUND(IF(AQ266="1",BH266,0),2)</f>
        <v>0</v>
      </c>
      <c r="AC266" s="17">
        <f>ROUND(IF(AQ266="1",BI266,0),2)</f>
        <v>0</v>
      </c>
      <c r="AD266" s="17">
        <f>ROUND(IF(AQ266="7",BH266,0),2)</f>
        <v>0</v>
      </c>
      <c r="AE266" s="17">
        <f>ROUND(IF(AQ266="7",BI266,0),2)</f>
        <v>0</v>
      </c>
      <c r="AF266" s="17">
        <f>ROUND(IF(AQ266="2",BH266,0),2)</f>
        <v>0</v>
      </c>
      <c r="AG266" s="17">
        <f>ROUND(IF(AQ266="2",BI266,0),2)</f>
        <v>0</v>
      </c>
      <c r="AH266" s="17">
        <f>ROUND(IF(AQ266="0",BJ266,0),2)</f>
        <v>0</v>
      </c>
      <c r="AI266" s="14" t="s">
        <v>220</v>
      </c>
      <c r="AJ266" s="17">
        <f>IF(AN266=0,L266,0)</f>
        <v>0</v>
      </c>
      <c r="AK266" s="17">
        <f>IF(AN266=12,L266,0)</f>
        <v>0</v>
      </c>
      <c r="AL266" s="17">
        <f>IF(AN266=21,L266,0)</f>
        <v>0</v>
      </c>
      <c r="AN266" s="17">
        <v>12</v>
      </c>
      <c r="AO266" s="17">
        <f>H266*0</f>
        <v>0</v>
      </c>
      <c r="AP266" s="17">
        <f>H266*(1-0)</f>
        <v>0</v>
      </c>
      <c r="AQ266" s="76" t="s">
        <v>585</v>
      </c>
      <c r="AV266" s="17">
        <f>ROUND(AW266+AX266,2)</f>
        <v>0</v>
      </c>
      <c r="AW266" s="17">
        <f>ROUND(G266*AO266,2)</f>
        <v>0</v>
      </c>
      <c r="AX266" s="17">
        <f>ROUND(G266*AP266,2)</f>
        <v>0</v>
      </c>
      <c r="AY266" s="76" t="s">
        <v>603</v>
      </c>
      <c r="AZ266" s="76" t="s">
        <v>817</v>
      </c>
      <c r="BA266" s="14" t="s">
        <v>818</v>
      </c>
      <c r="BC266" s="17">
        <f>AW266+AX266</f>
        <v>0</v>
      </c>
      <c r="BD266" s="17">
        <f>H266/(100-BE266)*100</f>
        <v>0</v>
      </c>
      <c r="BE266" s="17">
        <v>0</v>
      </c>
      <c r="BF266" s="17">
        <f>O266</f>
        <v>0</v>
      </c>
      <c r="BH266" s="17">
        <f>G266*AO266</f>
        <v>0</v>
      </c>
      <c r="BI266" s="17">
        <f>G266*AP266</f>
        <v>0</v>
      </c>
      <c r="BJ266" s="17">
        <f>G266*H266</f>
        <v>0</v>
      </c>
      <c r="BK266" s="17"/>
      <c r="BL266" s="17">
        <v>713</v>
      </c>
      <c r="BW266" s="17">
        <f>I266</f>
        <v>12</v>
      </c>
      <c r="BX266" s="4" t="s">
        <v>57</v>
      </c>
    </row>
    <row r="267" spans="1:76" x14ac:dyDescent="0.25">
      <c r="A267" s="71" t="s">
        <v>25</v>
      </c>
      <c r="B267" s="13" t="s">
        <v>220</v>
      </c>
      <c r="C267" s="13" t="s">
        <v>111</v>
      </c>
      <c r="D267" s="135" t="s">
        <v>112</v>
      </c>
      <c r="E267" s="136"/>
      <c r="F267" s="72" t="s">
        <v>23</v>
      </c>
      <c r="G267" s="72" t="s">
        <v>23</v>
      </c>
      <c r="H267" s="72" t="s">
        <v>23</v>
      </c>
      <c r="I267" s="72" t="s">
        <v>23</v>
      </c>
      <c r="J267" s="47" t="e">
        <f>SUM(J268:J295)</f>
        <v>#REF!</v>
      </c>
      <c r="K267" s="47" t="e">
        <f>SUM(K268:K295)</f>
        <v>#REF!</v>
      </c>
      <c r="L267" s="47" t="e">
        <f>SUM(L268:L295)</f>
        <v>#REF!</v>
      </c>
      <c r="M267" s="47" t="e">
        <f>SUM(M268:M295)</f>
        <v>#REF!</v>
      </c>
      <c r="N267" s="14" t="s">
        <v>25</v>
      </c>
      <c r="O267" s="47" t="e">
        <f>SUM(O268:O295)</f>
        <v>#REF!</v>
      </c>
      <c r="P267" s="73" t="s">
        <v>25</v>
      </c>
      <c r="AI267" s="14" t="s">
        <v>220</v>
      </c>
      <c r="AS267" s="47">
        <f>SUM(AJ268:AJ295)</f>
        <v>0</v>
      </c>
      <c r="AT267" s="47" t="e">
        <f>SUM(AK268:AK295)</f>
        <v>#REF!</v>
      </c>
      <c r="AU267" s="47">
        <f>SUM(AL268:AL295)</f>
        <v>0</v>
      </c>
    </row>
    <row r="268" spans="1:76" x14ac:dyDescent="0.25">
      <c r="A268" s="1" t="s">
        <v>822</v>
      </c>
      <c r="B268" s="2" t="s">
        <v>220</v>
      </c>
      <c r="C268" s="2" t="s">
        <v>113</v>
      </c>
      <c r="D268" s="83" t="s">
        <v>114</v>
      </c>
      <c r="E268" s="84"/>
      <c r="F268" s="2" t="s">
        <v>31</v>
      </c>
      <c r="G268" s="17">
        <f>'Rozpočet - vybrané sloupce'!J224</f>
        <v>89</v>
      </c>
      <c r="H268" s="17">
        <f>'Rozpočet - vybrané sloupce'!K224</f>
        <v>0</v>
      </c>
      <c r="I268" s="74">
        <v>12</v>
      </c>
      <c r="J268" s="17">
        <f>ROUND(G268*AO268,2)</f>
        <v>0</v>
      </c>
      <c r="K268" s="17">
        <f>ROUND(G268*AP268,2)</f>
        <v>0</v>
      </c>
      <c r="L268" s="17">
        <f>ROUND(G268*H268,2)</f>
        <v>0</v>
      </c>
      <c r="M268" s="17">
        <f>L268*(1+BW268/100)</f>
        <v>0</v>
      </c>
      <c r="N268" s="17">
        <v>2.7999999999999998E-4</v>
      </c>
      <c r="O268" s="17">
        <f>G268*N268</f>
        <v>2.4919999999999998E-2</v>
      </c>
      <c r="P268" s="75" t="s">
        <v>576</v>
      </c>
      <c r="Z268" s="17">
        <f>ROUND(IF(AQ268="5",BJ268,0),2)</f>
        <v>0</v>
      </c>
      <c r="AB268" s="17">
        <f>ROUND(IF(AQ268="1",BH268,0),2)</f>
        <v>0</v>
      </c>
      <c r="AC268" s="17">
        <f>ROUND(IF(AQ268="1",BI268,0),2)</f>
        <v>0</v>
      </c>
      <c r="AD268" s="17">
        <f>ROUND(IF(AQ268="7",BH268,0),2)</f>
        <v>0</v>
      </c>
      <c r="AE268" s="17">
        <f>ROUND(IF(AQ268="7",BI268,0),2)</f>
        <v>0</v>
      </c>
      <c r="AF268" s="17">
        <f>ROUND(IF(AQ268="2",BH268,0),2)</f>
        <v>0</v>
      </c>
      <c r="AG268" s="17">
        <f>ROUND(IF(AQ268="2",BI268,0),2)</f>
        <v>0</v>
      </c>
      <c r="AH268" s="17">
        <f>ROUND(IF(AQ268="0",BJ268,0),2)</f>
        <v>0</v>
      </c>
      <c r="AI268" s="14" t="s">
        <v>220</v>
      </c>
      <c r="AJ268" s="17">
        <f>IF(AN268=0,L268,0)</f>
        <v>0</v>
      </c>
      <c r="AK268" s="17">
        <f>IF(AN268=12,L268,0)</f>
        <v>0</v>
      </c>
      <c r="AL268" s="17">
        <f>IF(AN268=21,L268,0)</f>
        <v>0</v>
      </c>
      <c r="AN268" s="17">
        <v>12</v>
      </c>
      <c r="AO268" s="17">
        <f>H268*0</f>
        <v>0</v>
      </c>
      <c r="AP268" s="17">
        <f>H268*(1-0)</f>
        <v>0</v>
      </c>
      <c r="AQ268" s="76" t="s">
        <v>577</v>
      </c>
      <c r="AV268" s="17">
        <f>ROUND(AW268+AX268,2)</f>
        <v>0</v>
      </c>
      <c r="AW268" s="17">
        <f>ROUND(G268*AO268,2)</f>
        <v>0</v>
      </c>
      <c r="AX268" s="17">
        <f>ROUND(G268*AP268,2)</f>
        <v>0</v>
      </c>
      <c r="AY268" s="76" t="s">
        <v>677</v>
      </c>
      <c r="AZ268" s="76" t="s">
        <v>823</v>
      </c>
      <c r="BA268" s="14" t="s">
        <v>818</v>
      </c>
      <c r="BC268" s="17">
        <f>AW268+AX268</f>
        <v>0</v>
      </c>
      <c r="BD268" s="17">
        <f>H268/(100-BE268)*100</f>
        <v>0</v>
      </c>
      <c r="BE268" s="17">
        <v>0</v>
      </c>
      <c r="BF268" s="17">
        <f>O268</f>
        <v>2.4919999999999998E-2</v>
      </c>
      <c r="BH268" s="17">
        <f>G268*AO268</f>
        <v>0</v>
      </c>
      <c r="BI268" s="17">
        <f>G268*AP268</f>
        <v>0</v>
      </c>
      <c r="BJ268" s="17">
        <f>G268*H268</f>
        <v>0</v>
      </c>
      <c r="BK268" s="17"/>
      <c r="BL268" s="17">
        <v>722</v>
      </c>
      <c r="BW268" s="17">
        <f>I268</f>
        <v>12</v>
      </c>
      <c r="BX268" s="4" t="s">
        <v>114</v>
      </c>
    </row>
    <row r="269" spans="1:76" x14ac:dyDescent="0.25">
      <c r="A269" s="1" t="s">
        <v>824</v>
      </c>
      <c r="B269" s="2" t="s">
        <v>220</v>
      </c>
      <c r="C269" s="2" t="s">
        <v>228</v>
      </c>
      <c r="D269" s="83" t="s">
        <v>229</v>
      </c>
      <c r="E269" s="84"/>
      <c r="F269" s="2" t="s">
        <v>35</v>
      </c>
      <c r="G269" s="17">
        <f>'Rozpočet - vybrané sloupce'!J225</f>
        <v>18</v>
      </c>
      <c r="H269" s="17">
        <f>'Rozpočet - vybrané sloupce'!K225</f>
        <v>0</v>
      </c>
      <c r="I269" s="74">
        <v>12</v>
      </c>
      <c r="J269" s="17">
        <f>ROUND(G269*AO269,2)</f>
        <v>0</v>
      </c>
      <c r="K269" s="17">
        <f>ROUND(G269*AP269,2)</f>
        <v>0</v>
      </c>
      <c r="L269" s="17">
        <f>ROUND(G269*H269,2)</f>
        <v>0</v>
      </c>
      <c r="M269" s="17">
        <f>L269*(1+BW269/100)</f>
        <v>0</v>
      </c>
      <c r="N269" s="17">
        <v>6.9999999999999999E-4</v>
      </c>
      <c r="O269" s="17">
        <f>G269*N269</f>
        <v>1.26E-2</v>
      </c>
      <c r="P269" s="75" t="s">
        <v>576</v>
      </c>
      <c r="Z269" s="17">
        <f>ROUND(IF(AQ269="5",BJ269,0),2)</f>
        <v>0</v>
      </c>
      <c r="AB269" s="17">
        <f>ROUND(IF(AQ269="1",BH269,0),2)</f>
        <v>0</v>
      </c>
      <c r="AC269" s="17">
        <f>ROUND(IF(AQ269="1",BI269,0),2)</f>
        <v>0</v>
      </c>
      <c r="AD269" s="17">
        <f>ROUND(IF(AQ269="7",BH269,0),2)</f>
        <v>0</v>
      </c>
      <c r="AE269" s="17">
        <f>ROUND(IF(AQ269="7",BI269,0),2)</f>
        <v>0</v>
      </c>
      <c r="AF269" s="17">
        <f>ROUND(IF(AQ269="2",BH269,0),2)</f>
        <v>0</v>
      </c>
      <c r="AG269" s="17">
        <f>ROUND(IF(AQ269="2",BI269,0),2)</f>
        <v>0</v>
      </c>
      <c r="AH269" s="17">
        <f>ROUND(IF(AQ269="0",BJ269,0),2)</f>
        <v>0</v>
      </c>
      <c r="AI269" s="14" t="s">
        <v>220</v>
      </c>
      <c r="AJ269" s="17">
        <f>IF(AN269=0,L269,0)</f>
        <v>0</v>
      </c>
      <c r="AK269" s="17">
        <f>IF(AN269=12,L269,0)</f>
        <v>0</v>
      </c>
      <c r="AL269" s="17">
        <f>IF(AN269=21,L269,0)</f>
        <v>0</v>
      </c>
      <c r="AN269" s="17">
        <v>12</v>
      </c>
      <c r="AO269" s="17">
        <f>H269*0.274019715</f>
        <v>0</v>
      </c>
      <c r="AP269" s="17">
        <f>H269*(1-0.274019715)</f>
        <v>0</v>
      </c>
      <c r="AQ269" s="76" t="s">
        <v>577</v>
      </c>
      <c r="AV269" s="17">
        <f>ROUND(AW269+AX269,2)</f>
        <v>0</v>
      </c>
      <c r="AW269" s="17">
        <f>ROUND(G269*AO269,2)</f>
        <v>0</v>
      </c>
      <c r="AX269" s="17">
        <f>ROUND(G269*AP269,2)</f>
        <v>0</v>
      </c>
      <c r="AY269" s="76" t="s">
        <v>677</v>
      </c>
      <c r="AZ269" s="76" t="s">
        <v>823</v>
      </c>
      <c r="BA269" s="14" t="s">
        <v>818</v>
      </c>
      <c r="BC269" s="17">
        <f>AW269+AX269</f>
        <v>0</v>
      </c>
      <c r="BD269" s="17">
        <f>H269/(100-BE269)*100</f>
        <v>0</v>
      </c>
      <c r="BE269" s="17">
        <v>0</v>
      </c>
      <c r="BF269" s="17">
        <f>O269</f>
        <v>1.26E-2</v>
      </c>
      <c r="BH269" s="17">
        <f>G269*AO269</f>
        <v>0</v>
      </c>
      <c r="BI269" s="17">
        <f>G269*AP269</f>
        <v>0</v>
      </c>
      <c r="BJ269" s="17">
        <f>G269*H269</f>
        <v>0</v>
      </c>
      <c r="BK269" s="17"/>
      <c r="BL269" s="17">
        <v>722</v>
      </c>
      <c r="BW269" s="17">
        <f>I269</f>
        <v>12</v>
      </c>
      <c r="BX269" s="4" t="s">
        <v>229</v>
      </c>
    </row>
    <row r="270" spans="1:76" x14ac:dyDescent="0.25">
      <c r="A270" s="1" t="s">
        <v>825</v>
      </c>
      <c r="B270" s="2" t="s">
        <v>220</v>
      </c>
      <c r="C270" s="2" t="s">
        <v>117</v>
      </c>
      <c r="D270" s="83" t="s">
        <v>118</v>
      </c>
      <c r="E270" s="84"/>
      <c r="F270" s="2" t="s">
        <v>31</v>
      </c>
      <c r="G270" s="17">
        <f>'Rozpočet - vybrané sloupce'!J226</f>
        <v>35</v>
      </c>
      <c r="H270" s="17">
        <f>'Rozpočet - vybrané sloupce'!K226</f>
        <v>0</v>
      </c>
      <c r="I270" s="74">
        <v>12</v>
      </c>
      <c r="J270" s="17">
        <f>ROUND(G270*AO270,2)</f>
        <v>0</v>
      </c>
      <c r="K270" s="17">
        <f>ROUND(G270*AP270,2)</f>
        <v>0</v>
      </c>
      <c r="L270" s="17">
        <f>ROUND(G270*H270,2)</f>
        <v>0</v>
      </c>
      <c r="M270" s="17">
        <f>L270*(1+BW270/100)</f>
        <v>0</v>
      </c>
      <c r="N270" s="17">
        <v>4.2999999999999999E-4</v>
      </c>
      <c r="O270" s="17">
        <f>G270*N270</f>
        <v>1.5049999999999999E-2</v>
      </c>
      <c r="P270" s="75" t="s">
        <v>576</v>
      </c>
      <c r="Z270" s="17">
        <f>ROUND(IF(AQ270="5",BJ270,0),2)</f>
        <v>0</v>
      </c>
      <c r="AB270" s="17">
        <f>ROUND(IF(AQ270="1",BH270,0),2)</f>
        <v>0</v>
      </c>
      <c r="AC270" s="17">
        <f>ROUND(IF(AQ270="1",BI270,0),2)</f>
        <v>0</v>
      </c>
      <c r="AD270" s="17">
        <f>ROUND(IF(AQ270="7",BH270,0),2)</f>
        <v>0</v>
      </c>
      <c r="AE270" s="17">
        <f>ROUND(IF(AQ270="7",BI270,0),2)</f>
        <v>0</v>
      </c>
      <c r="AF270" s="17">
        <f>ROUND(IF(AQ270="2",BH270,0),2)</f>
        <v>0</v>
      </c>
      <c r="AG270" s="17">
        <f>ROUND(IF(AQ270="2",BI270,0),2)</f>
        <v>0</v>
      </c>
      <c r="AH270" s="17">
        <f>ROUND(IF(AQ270="0",BJ270,0),2)</f>
        <v>0</v>
      </c>
      <c r="AI270" s="14" t="s">
        <v>220</v>
      </c>
      <c r="AJ270" s="17">
        <f>IF(AN270=0,L270,0)</f>
        <v>0</v>
      </c>
      <c r="AK270" s="17">
        <f>IF(AN270=12,L270,0)</f>
        <v>0</v>
      </c>
      <c r="AL270" s="17">
        <f>IF(AN270=21,L270,0)</f>
        <v>0</v>
      </c>
      <c r="AN270" s="17">
        <v>12</v>
      </c>
      <c r="AO270" s="17">
        <f>H270*0.433809524</f>
        <v>0</v>
      </c>
      <c r="AP270" s="17">
        <f>H270*(1-0.433809524)</f>
        <v>0</v>
      </c>
      <c r="AQ270" s="76" t="s">
        <v>577</v>
      </c>
      <c r="AV270" s="17">
        <f>ROUND(AW270+AX270,2)</f>
        <v>0</v>
      </c>
      <c r="AW270" s="17">
        <f>ROUND(G270*AO270,2)</f>
        <v>0</v>
      </c>
      <c r="AX270" s="17">
        <f>ROUND(G270*AP270,2)</f>
        <v>0</v>
      </c>
      <c r="AY270" s="76" t="s">
        <v>677</v>
      </c>
      <c r="AZ270" s="76" t="s">
        <v>823</v>
      </c>
      <c r="BA270" s="14" t="s">
        <v>818</v>
      </c>
      <c r="BC270" s="17">
        <f>AW270+AX270</f>
        <v>0</v>
      </c>
      <c r="BD270" s="17">
        <f>H270/(100-BE270)*100</f>
        <v>0</v>
      </c>
      <c r="BE270" s="17">
        <v>0</v>
      </c>
      <c r="BF270" s="17">
        <f>O270</f>
        <v>1.5049999999999999E-2</v>
      </c>
      <c r="BH270" s="17">
        <f>G270*AO270</f>
        <v>0</v>
      </c>
      <c r="BI270" s="17">
        <f>G270*AP270</f>
        <v>0</v>
      </c>
      <c r="BJ270" s="17">
        <f>G270*H270</f>
        <v>0</v>
      </c>
      <c r="BK270" s="17"/>
      <c r="BL270" s="17">
        <v>722</v>
      </c>
      <c r="BW270" s="17">
        <f>I270</f>
        <v>12</v>
      </c>
      <c r="BX270" s="4" t="s">
        <v>118</v>
      </c>
    </row>
    <row r="271" spans="1:76" x14ac:dyDescent="0.25">
      <c r="A271" s="77"/>
      <c r="C271" s="78" t="s">
        <v>610</v>
      </c>
      <c r="D271" s="161" t="s">
        <v>681</v>
      </c>
      <c r="E271" s="162"/>
      <c r="F271" s="162"/>
      <c r="G271" s="162"/>
      <c r="H271" s="162"/>
      <c r="I271" s="162"/>
      <c r="J271" s="162"/>
      <c r="K271" s="162"/>
      <c r="L271" s="162"/>
      <c r="M271" s="162"/>
      <c r="N271" s="162"/>
      <c r="O271" s="162"/>
      <c r="P271" s="163"/>
      <c r="BX271" s="79" t="s">
        <v>681</v>
      </c>
    </row>
    <row r="272" spans="1:76" x14ac:dyDescent="0.25">
      <c r="A272" s="1" t="s">
        <v>826</v>
      </c>
      <c r="B272" s="2" t="s">
        <v>220</v>
      </c>
      <c r="C272" s="2" t="s">
        <v>119</v>
      </c>
      <c r="D272" s="83" t="s">
        <v>120</v>
      </c>
      <c r="E272" s="84"/>
      <c r="F272" s="2" t="s">
        <v>31</v>
      </c>
      <c r="G272" s="17">
        <f>'Rozpočet - vybrané sloupce'!J227</f>
        <v>18</v>
      </c>
      <c r="H272" s="17">
        <f>'Rozpočet - vybrané sloupce'!K227</f>
        <v>0</v>
      </c>
      <c r="I272" s="74">
        <v>12</v>
      </c>
      <c r="J272" s="17">
        <f>ROUND(G272*AO272,2)</f>
        <v>0</v>
      </c>
      <c r="K272" s="17">
        <f>ROUND(G272*AP272,2)</f>
        <v>0</v>
      </c>
      <c r="L272" s="17">
        <f>ROUND(G272*H272,2)</f>
        <v>0</v>
      </c>
      <c r="M272" s="17">
        <f>L272*(1+BW272/100)</f>
        <v>0</v>
      </c>
      <c r="N272" s="17">
        <v>5.2999999999999998E-4</v>
      </c>
      <c r="O272" s="17">
        <f>G272*N272</f>
        <v>9.5399999999999999E-3</v>
      </c>
      <c r="P272" s="75" t="s">
        <v>576</v>
      </c>
      <c r="Z272" s="17">
        <f>ROUND(IF(AQ272="5",BJ272,0),2)</f>
        <v>0</v>
      </c>
      <c r="AB272" s="17">
        <f>ROUND(IF(AQ272="1",BH272,0),2)</f>
        <v>0</v>
      </c>
      <c r="AC272" s="17">
        <f>ROUND(IF(AQ272="1",BI272,0),2)</f>
        <v>0</v>
      </c>
      <c r="AD272" s="17">
        <f>ROUND(IF(AQ272="7",BH272,0),2)</f>
        <v>0</v>
      </c>
      <c r="AE272" s="17">
        <f>ROUND(IF(AQ272="7",BI272,0),2)</f>
        <v>0</v>
      </c>
      <c r="AF272" s="17">
        <f>ROUND(IF(AQ272="2",BH272,0),2)</f>
        <v>0</v>
      </c>
      <c r="AG272" s="17">
        <f>ROUND(IF(AQ272="2",BI272,0),2)</f>
        <v>0</v>
      </c>
      <c r="AH272" s="17">
        <f>ROUND(IF(AQ272="0",BJ272,0),2)</f>
        <v>0</v>
      </c>
      <c r="AI272" s="14" t="s">
        <v>220</v>
      </c>
      <c r="AJ272" s="17">
        <f>IF(AN272=0,L272,0)</f>
        <v>0</v>
      </c>
      <c r="AK272" s="17">
        <f>IF(AN272=12,L272,0)</f>
        <v>0</v>
      </c>
      <c r="AL272" s="17">
        <f>IF(AN272=21,L272,0)</f>
        <v>0</v>
      </c>
      <c r="AN272" s="17">
        <v>12</v>
      </c>
      <c r="AO272" s="17">
        <f>H272*0.499111111</f>
        <v>0</v>
      </c>
      <c r="AP272" s="17">
        <f>H272*(1-0.499111111)</f>
        <v>0</v>
      </c>
      <c r="AQ272" s="76" t="s">
        <v>577</v>
      </c>
      <c r="AV272" s="17">
        <f>ROUND(AW272+AX272,2)</f>
        <v>0</v>
      </c>
      <c r="AW272" s="17">
        <f>ROUND(G272*AO272,2)</f>
        <v>0</v>
      </c>
      <c r="AX272" s="17">
        <f>ROUND(G272*AP272,2)</f>
        <v>0</v>
      </c>
      <c r="AY272" s="76" t="s">
        <v>677</v>
      </c>
      <c r="AZ272" s="76" t="s">
        <v>823</v>
      </c>
      <c r="BA272" s="14" t="s">
        <v>818</v>
      </c>
      <c r="BC272" s="17">
        <f>AW272+AX272</f>
        <v>0</v>
      </c>
      <c r="BD272" s="17">
        <f>H272/(100-BE272)*100</f>
        <v>0</v>
      </c>
      <c r="BE272" s="17">
        <v>0</v>
      </c>
      <c r="BF272" s="17">
        <f>O272</f>
        <v>9.5399999999999999E-3</v>
      </c>
      <c r="BH272" s="17">
        <f>G272*AO272</f>
        <v>0</v>
      </c>
      <c r="BI272" s="17">
        <f>G272*AP272</f>
        <v>0</v>
      </c>
      <c r="BJ272" s="17">
        <f>G272*H272</f>
        <v>0</v>
      </c>
      <c r="BK272" s="17"/>
      <c r="BL272" s="17">
        <v>722</v>
      </c>
      <c r="BW272" s="17">
        <f>I272</f>
        <v>12</v>
      </c>
      <c r="BX272" s="4" t="s">
        <v>120</v>
      </c>
    </row>
    <row r="273" spans="1:76" x14ac:dyDescent="0.25">
      <c r="A273" s="1" t="s">
        <v>827</v>
      </c>
      <c r="B273" s="2" t="s">
        <v>220</v>
      </c>
      <c r="C273" s="2" t="s">
        <v>121</v>
      </c>
      <c r="D273" s="83" t="s">
        <v>122</v>
      </c>
      <c r="E273" s="84"/>
      <c r="F273" s="2" t="s">
        <v>31</v>
      </c>
      <c r="G273" s="17">
        <f>'Rozpočet - vybrané sloupce'!J228</f>
        <v>36</v>
      </c>
      <c r="H273" s="17">
        <f>'Rozpočet - vybrané sloupce'!K228</f>
        <v>0</v>
      </c>
      <c r="I273" s="74">
        <v>12</v>
      </c>
      <c r="J273" s="17">
        <f>ROUND(G273*AO273,2)</f>
        <v>0</v>
      </c>
      <c r="K273" s="17">
        <f>ROUND(G273*AP273,2)</f>
        <v>0</v>
      </c>
      <c r="L273" s="17">
        <f>ROUND(G273*H273,2)</f>
        <v>0</v>
      </c>
      <c r="M273" s="17">
        <f>L273*(1+BW273/100)</f>
        <v>0</v>
      </c>
      <c r="N273" s="17">
        <v>7.2999999999999996E-4</v>
      </c>
      <c r="O273" s="17">
        <f>G273*N273</f>
        <v>2.6279999999999998E-2</v>
      </c>
      <c r="P273" s="75" t="s">
        <v>576</v>
      </c>
      <c r="Z273" s="17">
        <f>ROUND(IF(AQ273="5",BJ273,0),2)</f>
        <v>0</v>
      </c>
      <c r="AB273" s="17">
        <f>ROUND(IF(AQ273="1",BH273,0),2)</f>
        <v>0</v>
      </c>
      <c r="AC273" s="17">
        <f>ROUND(IF(AQ273="1",BI273,0),2)</f>
        <v>0</v>
      </c>
      <c r="AD273" s="17">
        <f>ROUND(IF(AQ273="7",BH273,0),2)</f>
        <v>0</v>
      </c>
      <c r="AE273" s="17">
        <f>ROUND(IF(AQ273="7",BI273,0),2)</f>
        <v>0</v>
      </c>
      <c r="AF273" s="17">
        <f>ROUND(IF(AQ273="2",BH273,0),2)</f>
        <v>0</v>
      </c>
      <c r="AG273" s="17">
        <f>ROUND(IF(AQ273="2",BI273,0),2)</f>
        <v>0</v>
      </c>
      <c r="AH273" s="17">
        <f>ROUND(IF(AQ273="0",BJ273,0),2)</f>
        <v>0</v>
      </c>
      <c r="AI273" s="14" t="s">
        <v>220</v>
      </c>
      <c r="AJ273" s="17">
        <f>IF(AN273=0,L273,0)</f>
        <v>0</v>
      </c>
      <c r="AK273" s="17">
        <f>IF(AN273=12,L273,0)</f>
        <v>0</v>
      </c>
      <c r="AL273" s="17">
        <f>IF(AN273=21,L273,0)</f>
        <v>0</v>
      </c>
      <c r="AN273" s="17">
        <v>12</v>
      </c>
      <c r="AO273" s="17">
        <f>H273*0.578547486</f>
        <v>0</v>
      </c>
      <c r="AP273" s="17">
        <f>H273*(1-0.578547486)</f>
        <v>0</v>
      </c>
      <c r="AQ273" s="76" t="s">
        <v>577</v>
      </c>
      <c r="AV273" s="17">
        <f>ROUND(AW273+AX273,2)</f>
        <v>0</v>
      </c>
      <c r="AW273" s="17">
        <f>ROUND(G273*AO273,2)</f>
        <v>0</v>
      </c>
      <c r="AX273" s="17">
        <f>ROUND(G273*AP273,2)</f>
        <v>0</v>
      </c>
      <c r="AY273" s="76" t="s">
        <v>677</v>
      </c>
      <c r="AZ273" s="76" t="s">
        <v>823</v>
      </c>
      <c r="BA273" s="14" t="s">
        <v>818</v>
      </c>
      <c r="BC273" s="17">
        <f>AW273+AX273</f>
        <v>0</v>
      </c>
      <c r="BD273" s="17">
        <f>H273/(100-BE273)*100</f>
        <v>0</v>
      </c>
      <c r="BE273" s="17">
        <v>0</v>
      </c>
      <c r="BF273" s="17">
        <f>O273</f>
        <v>2.6279999999999998E-2</v>
      </c>
      <c r="BH273" s="17">
        <f>G273*AO273</f>
        <v>0</v>
      </c>
      <c r="BI273" s="17">
        <f>G273*AP273</f>
        <v>0</v>
      </c>
      <c r="BJ273" s="17">
        <f>G273*H273</f>
        <v>0</v>
      </c>
      <c r="BK273" s="17"/>
      <c r="BL273" s="17">
        <v>722</v>
      </c>
      <c r="BW273" s="17">
        <f>I273</f>
        <v>12</v>
      </c>
      <c r="BX273" s="4" t="s">
        <v>122</v>
      </c>
    </row>
    <row r="274" spans="1:76" x14ac:dyDescent="0.25">
      <c r="A274" s="1" t="s">
        <v>828</v>
      </c>
      <c r="B274" s="2" t="s">
        <v>220</v>
      </c>
      <c r="C274" s="2" t="s">
        <v>212</v>
      </c>
      <c r="D274" s="83" t="s">
        <v>213</v>
      </c>
      <c r="E274" s="84"/>
      <c r="F274" s="2" t="s">
        <v>31</v>
      </c>
      <c r="G274" s="17">
        <f>'Rozpočet - vybrané sloupce'!J229</f>
        <v>9</v>
      </c>
      <c r="H274" s="17">
        <f>'Rozpočet - vybrané sloupce'!K229</f>
        <v>0</v>
      </c>
      <c r="I274" s="74">
        <v>12</v>
      </c>
      <c r="J274" s="17">
        <f>ROUND(G274*AO274,2)</f>
        <v>0</v>
      </c>
      <c r="K274" s="17">
        <f>ROUND(G274*AP274,2)</f>
        <v>0</v>
      </c>
      <c r="L274" s="17">
        <f>ROUND(G274*H274,2)</f>
        <v>0</v>
      </c>
      <c r="M274" s="17">
        <f>L274*(1+BW274/100)</f>
        <v>0</v>
      </c>
      <c r="N274" s="17">
        <v>3.0000000000000001E-5</v>
      </c>
      <c r="O274" s="17">
        <f>G274*N274</f>
        <v>2.7E-4</v>
      </c>
      <c r="P274" s="75" t="s">
        <v>576</v>
      </c>
      <c r="Z274" s="17">
        <f>ROUND(IF(AQ274="5",BJ274,0),2)</f>
        <v>0</v>
      </c>
      <c r="AB274" s="17">
        <f>ROUND(IF(AQ274="1",BH274,0),2)</f>
        <v>0</v>
      </c>
      <c r="AC274" s="17">
        <f>ROUND(IF(AQ274="1",BI274,0),2)</f>
        <v>0</v>
      </c>
      <c r="AD274" s="17">
        <f>ROUND(IF(AQ274="7",BH274,0),2)</f>
        <v>0</v>
      </c>
      <c r="AE274" s="17">
        <f>ROUND(IF(AQ274="7",BI274,0),2)</f>
        <v>0</v>
      </c>
      <c r="AF274" s="17">
        <f>ROUND(IF(AQ274="2",BH274,0),2)</f>
        <v>0</v>
      </c>
      <c r="AG274" s="17">
        <f>ROUND(IF(AQ274="2",BI274,0),2)</f>
        <v>0</v>
      </c>
      <c r="AH274" s="17">
        <f>ROUND(IF(AQ274="0",BJ274,0),2)</f>
        <v>0</v>
      </c>
      <c r="AI274" s="14" t="s">
        <v>220</v>
      </c>
      <c r="AJ274" s="17">
        <f>IF(AN274=0,L274,0)</f>
        <v>0</v>
      </c>
      <c r="AK274" s="17">
        <f>IF(AN274=12,L274,0)</f>
        <v>0</v>
      </c>
      <c r="AL274" s="17">
        <f>IF(AN274=21,L274,0)</f>
        <v>0</v>
      </c>
      <c r="AN274" s="17">
        <v>12</v>
      </c>
      <c r="AO274" s="17">
        <f>H274*0.230784983</f>
        <v>0</v>
      </c>
      <c r="AP274" s="17">
        <f>H274*(1-0.230784983)</f>
        <v>0</v>
      </c>
      <c r="AQ274" s="76" t="s">
        <v>577</v>
      </c>
      <c r="AV274" s="17">
        <f>ROUND(AW274+AX274,2)</f>
        <v>0</v>
      </c>
      <c r="AW274" s="17">
        <f>ROUND(G274*AO274,2)</f>
        <v>0</v>
      </c>
      <c r="AX274" s="17">
        <f>ROUND(G274*AP274,2)</f>
        <v>0</v>
      </c>
      <c r="AY274" s="76" t="s">
        <v>677</v>
      </c>
      <c r="AZ274" s="76" t="s">
        <v>823</v>
      </c>
      <c r="BA274" s="14" t="s">
        <v>818</v>
      </c>
      <c r="BC274" s="17">
        <f>AW274+AX274</f>
        <v>0</v>
      </c>
      <c r="BD274" s="17">
        <f>H274/(100-BE274)*100</f>
        <v>0</v>
      </c>
      <c r="BE274" s="17">
        <v>0</v>
      </c>
      <c r="BF274" s="17">
        <f>O274</f>
        <v>2.7E-4</v>
      </c>
      <c r="BH274" s="17">
        <f>G274*AO274</f>
        <v>0</v>
      </c>
      <c r="BI274" s="17">
        <f>G274*AP274</f>
        <v>0</v>
      </c>
      <c r="BJ274" s="17">
        <f>G274*H274</f>
        <v>0</v>
      </c>
      <c r="BK274" s="17"/>
      <c r="BL274" s="17">
        <v>722</v>
      </c>
      <c r="BW274" s="17">
        <f>I274</f>
        <v>12</v>
      </c>
      <c r="BX274" s="4" t="s">
        <v>213</v>
      </c>
    </row>
    <row r="275" spans="1:76" x14ac:dyDescent="0.25">
      <c r="A275" s="77"/>
      <c r="C275" s="78" t="s">
        <v>610</v>
      </c>
      <c r="D275" s="161" t="s">
        <v>687</v>
      </c>
      <c r="E275" s="162"/>
      <c r="F275" s="162"/>
      <c r="G275" s="162"/>
      <c r="H275" s="162"/>
      <c r="I275" s="162"/>
      <c r="J275" s="162"/>
      <c r="K275" s="162"/>
      <c r="L275" s="162"/>
      <c r="M275" s="162"/>
      <c r="N275" s="162"/>
      <c r="O275" s="162"/>
      <c r="P275" s="163"/>
      <c r="BX275" s="79" t="s">
        <v>687</v>
      </c>
    </row>
    <row r="276" spans="1:76" x14ac:dyDescent="0.25">
      <c r="A276" s="1" t="s">
        <v>829</v>
      </c>
      <c r="B276" s="2" t="s">
        <v>220</v>
      </c>
      <c r="C276" s="2" t="s">
        <v>127</v>
      </c>
      <c r="D276" s="83" t="s">
        <v>128</v>
      </c>
      <c r="E276" s="84"/>
      <c r="F276" s="2" t="s">
        <v>31</v>
      </c>
      <c r="G276" s="17">
        <f>'Rozpočet - vybrané sloupce'!J230</f>
        <v>9</v>
      </c>
      <c r="H276" s="17">
        <f>'Rozpočet - vybrané sloupce'!K230</f>
        <v>0</v>
      </c>
      <c r="I276" s="74">
        <v>12</v>
      </c>
      <c r="J276" s="17">
        <f>ROUND(G276*AO276,2)</f>
        <v>0</v>
      </c>
      <c r="K276" s="17">
        <f>ROUND(G276*AP276,2)</f>
        <v>0</v>
      </c>
      <c r="L276" s="17">
        <f>ROUND(G276*H276,2)</f>
        <v>0</v>
      </c>
      <c r="M276" s="17">
        <f>L276*(1+BW276/100)</f>
        <v>0</v>
      </c>
      <c r="N276" s="17">
        <v>6.0000000000000002E-5</v>
      </c>
      <c r="O276" s="17">
        <f>G276*N276</f>
        <v>5.4000000000000001E-4</v>
      </c>
      <c r="P276" s="75" t="s">
        <v>576</v>
      </c>
      <c r="Z276" s="17">
        <f>ROUND(IF(AQ276="5",BJ276,0),2)</f>
        <v>0</v>
      </c>
      <c r="AB276" s="17">
        <f>ROUND(IF(AQ276="1",BH276,0),2)</f>
        <v>0</v>
      </c>
      <c r="AC276" s="17">
        <f>ROUND(IF(AQ276="1",BI276,0),2)</f>
        <v>0</v>
      </c>
      <c r="AD276" s="17">
        <f>ROUND(IF(AQ276="7",BH276,0),2)</f>
        <v>0</v>
      </c>
      <c r="AE276" s="17">
        <f>ROUND(IF(AQ276="7",BI276,0),2)</f>
        <v>0</v>
      </c>
      <c r="AF276" s="17">
        <f>ROUND(IF(AQ276="2",BH276,0),2)</f>
        <v>0</v>
      </c>
      <c r="AG276" s="17">
        <f>ROUND(IF(AQ276="2",BI276,0),2)</f>
        <v>0</v>
      </c>
      <c r="AH276" s="17">
        <f>ROUND(IF(AQ276="0",BJ276,0),2)</f>
        <v>0</v>
      </c>
      <c r="AI276" s="14" t="s">
        <v>220</v>
      </c>
      <c r="AJ276" s="17">
        <f>IF(AN276=0,L276,0)</f>
        <v>0</v>
      </c>
      <c r="AK276" s="17">
        <f>IF(AN276=12,L276,0)</f>
        <v>0</v>
      </c>
      <c r="AL276" s="17">
        <f>IF(AN276=21,L276,0)</f>
        <v>0</v>
      </c>
      <c r="AN276" s="17">
        <v>12</v>
      </c>
      <c r="AO276" s="17">
        <f>H276*0.243955307</f>
        <v>0</v>
      </c>
      <c r="AP276" s="17">
        <f>H276*(1-0.243955307)</f>
        <v>0</v>
      </c>
      <c r="AQ276" s="76" t="s">
        <v>577</v>
      </c>
      <c r="AV276" s="17">
        <f>ROUND(AW276+AX276,2)</f>
        <v>0</v>
      </c>
      <c r="AW276" s="17">
        <f>ROUND(G276*AO276,2)</f>
        <v>0</v>
      </c>
      <c r="AX276" s="17">
        <f>ROUND(G276*AP276,2)</f>
        <v>0</v>
      </c>
      <c r="AY276" s="76" t="s">
        <v>677</v>
      </c>
      <c r="AZ276" s="76" t="s">
        <v>823</v>
      </c>
      <c r="BA276" s="14" t="s">
        <v>818</v>
      </c>
      <c r="BC276" s="17">
        <f>AW276+AX276</f>
        <v>0</v>
      </c>
      <c r="BD276" s="17">
        <f>H276/(100-BE276)*100</f>
        <v>0</v>
      </c>
      <c r="BE276" s="17">
        <v>0</v>
      </c>
      <c r="BF276" s="17">
        <f>O276</f>
        <v>5.4000000000000001E-4</v>
      </c>
      <c r="BH276" s="17">
        <f>G276*AO276</f>
        <v>0</v>
      </c>
      <c r="BI276" s="17">
        <f>G276*AP276</f>
        <v>0</v>
      </c>
      <c r="BJ276" s="17">
        <f>G276*H276</f>
        <v>0</v>
      </c>
      <c r="BK276" s="17"/>
      <c r="BL276" s="17">
        <v>722</v>
      </c>
      <c r="BW276" s="17">
        <f>I276</f>
        <v>12</v>
      </c>
      <c r="BX276" s="4" t="s">
        <v>128</v>
      </c>
    </row>
    <row r="277" spans="1:76" x14ac:dyDescent="0.25">
      <c r="A277" s="77"/>
      <c r="C277" s="78" t="s">
        <v>610</v>
      </c>
      <c r="D277" s="161" t="s">
        <v>687</v>
      </c>
      <c r="E277" s="162"/>
      <c r="F277" s="162"/>
      <c r="G277" s="162"/>
      <c r="H277" s="162"/>
      <c r="I277" s="162"/>
      <c r="J277" s="162"/>
      <c r="K277" s="162"/>
      <c r="L277" s="162"/>
      <c r="M277" s="162"/>
      <c r="N277" s="162"/>
      <c r="O277" s="162"/>
      <c r="P277" s="163"/>
      <c r="BX277" s="79" t="s">
        <v>687</v>
      </c>
    </row>
    <row r="278" spans="1:76" x14ac:dyDescent="0.25">
      <c r="A278" s="1" t="s">
        <v>830</v>
      </c>
      <c r="B278" s="2" t="s">
        <v>220</v>
      </c>
      <c r="C278" s="2" t="s">
        <v>129</v>
      </c>
      <c r="D278" s="83" t="s">
        <v>130</v>
      </c>
      <c r="E278" s="84"/>
      <c r="F278" s="2" t="s">
        <v>31</v>
      </c>
      <c r="G278" s="17">
        <f>'Rozpočet - vybrané sloupce'!J231</f>
        <v>18</v>
      </c>
      <c r="H278" s="17">
        <f>'Rozpočet - vybrané sloupce'!K231</f>
        <v>0</v>
      </c>
      <c r="I278" s="74">
        <v>12</v>
      </c>
      <c r="J278" s="17">
        <f>ROUND(G278*AO278,2)</f>
        <v>0</v>
      </c>
      <c r="K278" s="17">
        <f>ROUND(G278*AP278,2)</f>
        <v>0</v>
      </c>
      <c r="L278" s="17">
        <f>ROUND(G278*H278,2)</f>
        <v>0</v>
      </c>
      <c r="M278" s="17">
        <f>L278*(1+BW278/100)</f>
        <v>0</v>
      </c>
      <c r="N278" s="17">
        <v>5.0000000000000002E-5</v>
      </c>
      <c r="O278" s="17">
        <f>G278*N278</f>
        <v>9.0000000000000008E-4</v>
      </c>
      <c r="P278" s="75" t="s">
        <v>576</v>
      </c>
      <c r="Z278" s="17">
        <f>ROUND(IF(AQ278="5",BJ278,0),2)</f>
        <v>0</v>
      </c>
      <c r="AB278" s="17">
        <f>ROUND(IF(AQ278="1",BH278,0),2)</f>
        <v>0</v>
      </c>
      <c r="AC278" s="17">
        <f>ROUND(IF(AQ278="1",BI278,0),2)</f>
        <v>0</v>
      </c>
      <c r="AD278" s="17">
        <f>ROUND(IF(AQ278="7",BH278,0),2)</f>
        <v>0</v>
      </c>
      <c r="AE278" s="17">
        <f>ROUND(IF(AQ278="7",BI278,0),2)</f>
        <v>0</v>
      </c>
      <c r="AF278" s="17">
        <f>ROUND(IF(AQ278="2",BH278,0),2)</f>
        <v>0</v>
      </c>
      <c r="AG278" s="17">
        <f>ROUND(IF(AQ278="2",BI278,0),2)</f>
        <v>0</v>
      </c>
      <c r="AH278" s="17">
        <f>ROUND(IF(AQ278="0",BJ278,0),2)</f>
        <v>0</v>
      </c>
      <c r="AI278" s="14" t="s">
        <v>220</v>
      </c>
      <c r="AJ278" s="17">
        <f>IF(AN278=0,L278,0)</f>
        <v>0</v>
      </c>
      <c r="AK278" s="17">
        <f>IF(AN278=12,L278,0)</f>
        <v>0</v>
      </c>
      <c r="AL278" s="17">
        <f>IF(AN278=21,L278,0)</f>
        <v>0</v>
      </c>
      <c r="AN278" s="17">
        <v>12</v>
      </c>
      <c r="AO278" s="17">
        <f>H278*0.242374429</f>
        <v>0</v>
      </c>
      <c r="AP278" s="17">
        <f>H278*(1-0.242374429)</f>
        <v>0</v>
      </c>
      <c r="AQ278" s="76" t="s">
        <v>577</v>
      </c>
      <c r="AV278" s="17">
        <f>ROUND(AW278+AX278,2)</f>
        <v>0</v>
      </c>
      <c r="AW278" s="17">
        <f>ROUND(G278*AO278,2)</f>
        <v>0</v>
      </c>
      <c r="AX278" s="17">
        <f>ROUND(G278*AP278,2)</f>
        <v>0</v>
      </c>
      <c r="AY278" s="76" t="s">
        <v>677</v>
      </c>
      <c r="AZ278" s="76" t="s">
        <v>823</v>
      </c>
      <c r="BA278" s="14" t="s">
        <v>818</v>
      </c>
      <c r="BC278" s="17">
        <f>AW278+AX278</f>
        <v>0</v>
      </c>
      <c r="BD278" s="17">
        <f>H278/(100-BE278)*100</f>
        <v>0</v>
      </c>
      <c r="BE278" s="17">
        <v>0</v>
      </c>
      <c r="BF278" s="17">
        <f>O278</f>
        <v>9.0000000000000008E-4</v>
      </c>
      <c r="BH278" s="17">
        <f>G278*AO278</f>
        <v>0</v>
      </c>
      <c r="BI278" s="17">
        <f>G278*AP278</f>
        <v>0</v>
      </c>
      <c r="BJ278" s="17">
        <f>G278*H278</f>
        <v>0</v>
      </c>
      <c r="BK278" s="17"/>
      <c r="BL278" s="17">
        <v>722</v>
      </c>
      <c r="BW278" s="17">
        <f>I278</f>
        <v>12</v>
      </c>
      <c r="BX278" s="4" t="s">
        <v>130</v>
      </c>
    </row>
    <row r="279" spans="1:76" x14ac:dyDescent="0.25">
      <c r="A279" s="77"/>
      <c r="C279" s="78" t="s">
        <v>610</v>
      </c>
      <c r="D279" s="161" t="s">
        <v>687</v>
      </c>
      <c r="E279" s="162"/>
      <c r="F279" s="162"/>
      <c r="G279" s="162"/>
      <c r="H279" s="162"/>
      <c r="I279" s="162"/>
      <c r="J279" s="162"/>
      <c r="K279" s="162"/>
      <c r="L279" s="162"/>
      <c r="M279" s="162"/>
      <c r="N279" s="162"/>
      <c r="O279" s="162"/>
      <c r="P279" s="163"/>
      <c r="BX279" s="79" t="s">
        <v>687</v>
      </c>
    </row>
    <row r="280" spans="1:76" x14ac:dyDescent="0.25">
      <c r="A280" s="1" t="s">
        <v>831</v>
      </c>
      <c r="B280" s="2" t="s">
        <v>220</v>
      </c>
      <c r="C280" s="2" t="s">
        <v>133</v>
      </c>
      <c r="D280" s="83" t="s">
        <v>134</v>
      </c>
      <c r="E280" s="84"/>
      <c r="F280" s="2" t="s">
        <v>31</v>
      </c>
      <c r="G280" s="17">
        <f>'Rozpočet - vybrané sloupce'!J232</f>
        <v>26</v>
      </c>
      <c r="H280" s="17">
        <f>'Rozpočet - vybrané sloupce'!K232</f>
        <v>0</v>
      </c>
      <c r="I280" s="74">
        <v>12</v>
      </c>
      <c r="J280" s="17">
        <f>ROUND(G280*AO280,2)</f>
        <v>0</v>
      </c>
      <c r="K280" s="17">
        <f>ROUND(G280*AP280,2)</f>
        <v>0</v>
      </c>
      <c r="L280" s="17">
        <f>ROUND(G280*H280,2)</f>
        <v>0</v>
      </c>
      <c r="M280" s="17">
        <f>L280*(1+BW280/100)</f>
        <v>0</v>
      </c>
      <c r="N280" s="17">
        <v>6.9999999999999994E-5</v>
      </c>
      <c r="O280" s="17">
        <f>G280*N280</f>
        <v>1.8199999999999998E-3</v>
      </c>
      <c r="P280" s="75" t="s">
        <v>576</v>
      </c>
      <c r="Z280" s="17">
        <f>ROUND(IF(AQ280="5",BJ280,0),2)</f>
        <v>0</v>
      </c>
      <c r="AB280" s="17">
        <f>ROUND(IF(AQ280="1",BH280,0),2)</f>
        <v>0</v>
      </c>
      <c r="AC280" s="17">
        <f>ROUND(IF(AQ280="1",BI280,0),2)</f>
        <v>0</v>
      </c>
      <c r="AD280" s="17">
        <f>ROUND(IF(AQ280="7",BH280,0),2)</f>
        <v>0</v>
      </c>
      <c r="AE280" s="17">
        <f>ROUND(IF(AQ280="7",BI280,0),2)</f>
        <v>0</v>
      </c>
      <c r="AF280" s="17">
        <f>ROUND(IF(AQ280="2",BH280,0),2)</f>
        <v>0</v>
      </c>
      <c r="AG280" s="17">
        <f>ROUND(IF(AQ280="2",BI280,0),2)</f>
        <v>0</v>
      </c>
      <c r="AH280" s="17">
        <f>ROUND(IF(AQ280="0",BJ280,0),2)</f>
        <v>0</v>
      </c>
      <c r="AI280" s="14" t="s">
        <v>220</v>
      </c>
      <c r="AJ280" s="17">
        <f>IF(AN280=0,L280,0)</f>
        <v>0</v>
      </c>
      <c r="AK280" s="17">
        <f>IF(AN280=12,L280,0)</f>
        <v>0</v>
      </c>
      <c r="AL280" s="17">
        <f>IF(AN280=21,L280,0)</f>
        <v>0</v>
      </c>
      <c r="AN280" s="17">
        <v>12</v>
      </c>
      <c r="AO280" s="17">
        <f>H280*0.496107383</f>
        <v>0</v>
      </c>
      <c r="AP280" s="17">
        <f>H280*(1-0.496107383)</f>
        <v>0</v>
      </c>
      <c r="AQ280" s="76" t="s">
        <v>577</v>
      </c>
      <c r="AV280" s="17">
        <f>ROUND(AW280+AX280,2)</f>
        <v>0</v>
      </c>
      <c r="AW280" s="17">
        <f>ROUND(G280*AO280,2)</f>
        <v>0</v>
      </c>
      <c r="AX280" s="17">
        <f>ROUND(G280*AP280,2)</f>
        <v>0</v>
      </c>
      <c r="AY280" s="76" t="s">
        <v>677</v>
      </c>
      <c r="AZ280" s="76" t="s">
        <v>823</v>
      </c>
      <c r="BA280" s="14" t="s">
        <v>818</v>
      </c>
      <c r="BC280" s="17">
        <f>AW280+AX280</f>
        <v>0</v>
      </c>
      <c r="BD280" s="17">
        <f>H280/(100-BE280)*100</f>
        <v>0</v>
      </c>
      <c r="BE280" s="17">
        <v>0</v>
      </c>
      <c r="BF280" s="17">
        <f>O280</f>
        <v>1.8199999999999998E-3</v>
      </c>
      <c r="BH280" s="17">
        <f>G280*AO280</f>
        <v>0</v>
      </c>
      <c r="BI280" s="17">
        <f>G280*AP280</f>
        <v>0</v>
      </c>
      <c r="BJ280" s="17">
        <f>G280*H280</f>
        <v>0</v>
      </c>
      <c r="BK280" s="17"/>
      <c r="BL280" s="17">
        <v>722</v>
      </c>
      <c r="BW280" s="17">
        <f>I280</f>
        <v>12</v>
      </c>
      <c r="BX280" s="4" t="s">
        <v>134</v>
      </c>
    </row>
    <row r="281" spans="1:76" x14ac:dyDescent="0.25">
      <c r="A281" s="77"/>
      <c r="C281" s="78" t="s">
        <v>610</v>
      </c>
      <c r="D281" s="161" t="s">
        <v>687</v>
      </c>
      <c r="E281" s="162"/>
      <c r="F281" s="162"/>
      <c r="G281" s="162"/>
      <c r="H281" s="162"/>
      <c r="I281" s="162"/>
      <c r="J281" s="162"/>
      <c r="K281" s="162"/>
      <c r="L281" s="162"/>
      <c r="M281" s="162"/>
      <c r="N281" s="162"/>
      <c r="O281" s="162"/>
      <c r="P281" s="163"/>
      <c r="BX281" s="79" t="s">
        <v>687</v>
      </c>
    </row>
    <row r="282" spans="1:76" x14ac:dyDescent="0.25">
      <c r="A282" s="1" t="s">
        <v>832</v>
      </c>
      <c r="B282" s="2" t="s">
        <v>220</v>
      </c>
      <c r="C282" s="2" t="s">
        <v>135</v>
      </c>
      <c r="D282" s="83" t="s">
        <v>136</v>
      </c>
      <c r="E282" s="84"/>
      <c r="F282" s="2" t="s">
        <v>31</v>
      </c>
      <c r="G282" s="17">
        <f>'Rozpočet - vybrané sloupce'!J233</f>
        <v>9</v>
      </c>
      <c r="H282" s="17">
        <f>'Rozpočet - vybrané sloupce'!K233</f>
        <v>0</v>
      </c>
      <c r="I282" s="74">
        <v>12</v>
      </c>
      <c r="J282" s="17">
        <f>ROUND(G282*AO282,2)</f>
        <v>0</v>
      </c>
      <c r="K282" s="17">
        <f>ROUND(G282*AP282,2)</f>
        <v>0</v>
      </c>
      <c r="L282" s="17">
        <f>ROUND(G282*H282,2)</f>
        <v>0</v>
      </c>
      <c r="M282" s="17">
        <f>L282*(1+BW282/100)</f>
        <v>0</v>
      </c>
      <c r="N282" s="17">
        <v>6.9999999999999994E-5</v>
      </c>
      <c r="O282" s="17">
        <f>G282*N282</f>
        <v>6.2999999999999992E-4</v>
      </c>
      <c r="P282" s="75" t="s">
        <v>576</v>
      </c>
      <c r="Z282" s="17">
        <f>ROUND(IF(AQ282="5",BJ282,0),2)</f>
        <v>0</v>
      </c>
      <c r="AB282" s="17">
        <f>ROUND(IF(AQ282="1",BH282,0),2)</f>
        <v>0</v>
      </c>
      <c r="AC282" s="17">
        <f>ROUND(IF(AQ282="1",BI282,0),2)</f>
        <v>0</v>
      </c>
      <c r="AD282" s="17">
        <f>ROUND(IF(AQ282="7",BH282,0),2)</f>
        <v>0</v>
      </c>
      <c r="AE282" s="17">
        <f>ROUND(IF(AQ282="7",BI282,0),2)</f>
        <v>0</v>
      </c>
      <c r="AF282" s="17">
        <f>ROUND(IF(AQ282="2",BH282,0),2)</f>
        <v>0</v>
      </c>
      <c r="AG282" s="17">
        <f>ROUND(IF(AQ282="2",BI282,0),2)</f>
        <v>0</v>
      </c>
      <c r="AH282" s="17">
        <f>ROUND(IF(AQ282="0",BJ282,0),2)</f>
        <v>0</v>
      </c>
      <c r="AI282" s="14" t="s">
        <v>220</v>
      </c>
      <c r="AJ282" s="17">
        <f>IF(AN282=0,L282,0)</f>
        <v>0</v>
      </c>
      <c r="AK282" s="17">
        <f>IF(AN282=12,L282,0)</f>
        <v>0</v>
      </c>
      <c r="AL282" s="17">
        <f>IF(AN282=21,L282,0)</f>
        <v>0</v>
      </c>
      <c r="AN282" s="17">
        <v>12</v>
      </c>
      <c r="AO282" s="17">
        <f>H282*0.523117066</f>
        <v>0</v>
      </c>
      <c r="AP282" s="17">
        <f>H282*(1-0.523117066)</f>
        <v>0</v>
      </c>
      <c r="AQ282" s="76" t="s">
        <v>577</v>
      </c>
      <c r="AV282" s="17">
        <f>ROUND(AW282+AX282,2)</f>
        <v>0</v>
      </c>
      <c r="AW282" s="17">
        <f>ROUND(G282*AO282,2)</f>
        <v>0</v>
      </c>
      <c r="AX282" s="17">
        <f>ROUND(G282*AP282,2)</f>
        <v>0</v>
      </c>
      <c r="AY282" s="76" t="s">
        <v>677</v>
      </c>
      <c r="AZ282" s="76" t="s">
        <v>823</v>
      </c>
      <c r="BA282" s="14" t="s">
        <v>818</v>
      </c>
      <c r="BC282" s="17">
        <f>AW282+AX282</f>
        <v>0</v>
      </c>
      <c r="BD282" s="17">
        <f>H282/(100-BE282)*100</f>
        <v>0</v>
      </c>
      <c r="BE282" s="17">
        <v>0</v>
      </c>
      <c r="BF282" s="17">
        <f>O282</f>
        <v>6.2999999999999992E-4</v>
      </c>
      <c r="BH282" s="17">
        <f>G282*AO282</f>
        <v>0</v>
      </c>
      <c r="BI282" s="17">
        <f>G282*AP282</f>
        <v>0</v>
      </c>
      <c r="BJ282" s="17">
        <f>G282*H282</f>
        <v>0</v>
      </c>
      <c r="BK282" s="17"/>
      <c r="BL282" s="17">
        <v>722</v>
      </c>
      <c r="BW282" s="17">
        <f>I282</f>
        <v>12</v>
      </c>
      <c r="BX282" s="4" t="s">
        <v>136</v>
      </c>
    </row>
    <row r="283" spans="1:76" x14ac:dyDescent="0.25">
      <c r="A283" s="77"/>
      <c r="C283" s="78" t="s">
        <v>610</v>
      </c>
      <c r="D283" s="161" t="s">
        <v>687</v>
      </c>
      <c r="E283" s="162"/>
      <c r="F283" s="162"/>
      <c r="G283" s="162"/>
      <c r="H283" s="162"/>
      <c r="I283" s="162"/>
      <c r="J283" s="162"/>
      <c r="K283" s="162"/>
      <c r="L283" s="162"/>
      <c r="M283" s="162"/>
      <c r="N283" s="162"/>
      <c r="O283" s="162"/>
      <c r="P283" s="163"/>
      <c r="BX283" s="79" t="s">
        <v>687</v>
      </c>
    </row>
    <row r="284" spans="1:76" x14ac:dyDescent="0.25">
      <c r="A284" s="1" t="s">
        <v>833</v>
      </c>
      <c r="B284" s="2" t="s">
        <v>220</v>
      </c>
      <c r="C284" s="2" t="s">
        <v>137</v>
      </c>
      <c r="D284" s="83" t="s">
        <v>138</v>
      </c>
      <c r="E284" s="84"/>
      <c r="F284" s="2" t="s">
        <v>31</v>
      </c>
      <c r="G284" s="17">
        <f>'Rozpočet - vybrané sloupce'!J234</f>
        <v>18</v>
      </c>
      <c r="H284" s="17">
        <f>'Rozpočet - vybrané sloupce'!K234</f>
        <v>0</v>
      </c>
      <c r="I284" s="74">
        <v>12</v>
      </c>
      <c r="J284" s="17">
        <f>ROUND(G284*AO284,2)</f>
        <v>0</v>
      </c>
      <c r="K284" s="17">
        <f>ROUND(G284*AP284,2)</f>
        <v>0</v>
      </c>
      <c r="L284" s="17">
        <f>ROUND(G284*H284,2)</f>
        <v>0</v>
      </c>
      <c r="M284" s="17">
        <f>L284*(1+BW284/100)</f>
        <v>0</v>
      </c>
      <c r="N284" s="17">
        <v>8.0000000000000007E-5</v>
      </c>
      <c r="O284" s="17">
        <f>G284*N284</f>
        <v>1.4400000000000001E-3</v>
      </c>
      <c r="P284" s="75" t="s">
        <v>576</v>
      </c>
      <c r="Z284" s="17">
        <f>ROUND(IF(AQ284="5",BJ284,0),2)</f>
        <v>0</v>
      </c>
      <c r="AB284" s="17">
        <f>ROUND(IF(AQ284="1",BH284,0),2)</f>
        <v>0</v>
      </c>
      <c r="AC284" s="17">
        <f>ROUND(IF(AQ284="1",BI284,0),2)</f>
        <v>0</v>
      </c>
      <c r="AD284" s="17">
        <f>ROUND(IF(AQ284="7",BH284,0),2)</f>
        <v>0</v>
      </c>
      <c r="AE284" s="17">
        <f>ROUND(IF(AQ284="7",BI284,0),2)</f>
        <v>0</v>
      </c>
      <c r="AF284" s="17">
        <f>ROUND(IF(AQ284="2",BH284,0),2)</f>
        <v>0</v>
      </c>
      <c r="AG284" s="17">
        <f>ROUND(IF(AQ284="2",BI284,0),2)</f>
        <v>0</v>
      </c>
      <c r="AH284" s="17">
        <f>ROUND(IF(AQ284="0",BJ284,0),2)</f>
        <v>0</v>
      </c>
      <c r="AI284" s="14" t="s">
        <v>220</v>
      </c>
      <c r="AJ284" s="17">
        <f>IF(AN284=0,L284,0)</f>
        <v>0</v>
      </c>
      <c r="AK284" s="17">
        <f>IF(AN284=12,L284,0)</f>
        <v>0</v>
      </c>
      <c r="AL284" s="17">
        <f>IF(AN284=21,L284,0)</f>
        <v>0</v>
      </c>
      <c r="AN284" s="17">
        <v>12</v>
      </c>
      <c r="AO284" s="17">
        <f>H284*0.527714286</f>
        <v>0</v>
      </c>
      <c r="AP284" s="17">
        <f>H284*(1-0.527714286)</f>
        <v>0</v>
      </c>
      <c r="AQ284" s="76" t="s">
        <v>577</v>
      </c>
      <c r="AV284" s="17">
        <f>ROUND(AW284+AX284,2)</f>
        <v>0</v>
      </c>
      <c r="AW284" s="17">
        <f>ROUND(G284*AO284,2)</f>
        <v>0</v>
      </c>
      <c r="AX284" s="17">
        <f>ROUND(G284*AP284,2)</f>
        <v>0</v>
      </c>
      <c r="AY284" s="76" t="s">
        <v>677</v>
      </c>
      <c r="AZ284" s="76" t="s">
        <v>823</v>
      </c>
      <c r="BA284" s="14" t="s">
        <v>818</v>
      </c>
      <c r="BC284" s="17">
        <f>AW284+AX284</f>
        <v>0</v>
      </c>
      <c r="BD284" s="17">
        <f>H284/(100-BE284)*100</f>
        <v>0</v>
      </c>
      <c r="BE284" s="17">
        <v>0</v>
      </c>
      <c r="BF284" s="17">
        <f>O284</f>
        <v>1.4400000000000001E-3</v>
      </c>
      <c r="BH284" s="17">
        <f>G284*AO284</f>
        <v>0</v>
      </c>
      <c r="BI284" s="17">
        <f>G284*AP284</f>
        <v>0</v>
      </c>
      <c r="BJ284" s="17">
        <f>G284*H284</f>
        <v>0</v>
      </c>
      <c r="BK284" s="17"/>
      <c r="BL284" s="17">
        <v>722</v>
      </c>
      <c r="BW284" s="17">
        <f>I284</f>
        <v>12</v>
      </c>
      <c r="BX284" s="4" t="s">
        <v>138</v>
      </c>
    </row>
    <row r="285" spans="1:76" x14ac:dyDescent="0.25">
      <c r="A285" s="77"/>
      <c r="C285" s="78" t="s">
        <v>610</v>
      </c>
      <c r="D285" s="161" t="s">
        <v>687</v>
      </c>
      <c r="E285" s="162"/>
      <c r="F285" s="162"/>
      <c r="G285" s="162"/>
      <c r="H285" s="162"/>
      <c r="I285" s="162"/>
      <c r="J285" s="162"/>
      <c r="K285" s="162"/>
      <c r="L285" s="162"/>
      <c r="M285" s="162"/>
      <c r="N285" s="162"/>
      <c r="O285" s="162"/>
      <c r="P285" s="163"/>
      <c r="BX285" s="79" t="s">
        <v>687</v>
      </c>
    </row>
    <row r="286" spans="1:76" x14ac:dyDescent="0.25">
      <c r="A286" s="1" t="s">
        <v>834</v>
      </c>
      <c r="B286" s="2" t="s">
        <v>220</v>
      </c>
      <c r="C286" s="2" t="s">
        <v>145</v>
      </c>
      <c r="D286" s="83" t="s">
        <v>146</v>
      </c>
      <c r="E286" s="84"/>
      <c r="F286" s="2" t="s">
        <v>35</v>
      </c>
      <c r="G286" s="17">
        <f>'Rozpočet - vybrané sloupce'!J235</f>
        <v>36</v>
      </c>
      <c r="H286" s="17">
        <f>'Rozpočet - vybrané sloupce'!K235</f>
        <v>0</v>
      </c>
      <c r="I286" s="74">
        <v>12</v>
      </c>
      <c r="J286" s="17">
        <f t="shared" ref="J286:J293" si="372">ROUND(G286*AO286,2)</f>
        <v>0</v>
      </c>
      <c r="K286" s="17">
        <f t="shared" ref="K286:K293" si="373">ROUND(G286*AP286,2)</f>
        <v>0</v>
      </c>
      <c r="L286" s="17">
        <f t="shared" ref="L286:L293" si="374">ROUND(G286*H286,2)</f>
        <v>0</v>
      </c>
      <c r="M286" s="17">
        <f t="shared" ref="M286:M293" si="375">L286*(1+BW286/100)</f>
        <v>0</v>
      </c>
      <c r="N286" s="17">
        <v>0</v>
      </c>
      <c r="O286" s="17">
        <f t="shared" ref="O286:O293" si="376">G286*N286</f>
        <v>0</v>
      </c>
      <c r="P286" s="75" t="s">
        <v>576</v>
      </c>
      <c r="Z286" s="17">
        <f t="shared" ref="Z286:Z293" si="377">ROUND(IF(AQ286="5",BJ286,0),2)</f>
        <v>0</v>
      </c>
      <c r="AB286" s="17">
        <f t="shared" ref="AB286:AB293" si="378">ROUND(IF(AQ286="1",BH286,0),2)</f>
        <v>0</v>
      </c>
      <c r="AC286" s="17">
        <f t="shared" ref="AC286:AC293" si="379">ROUND(IF(AQ286="1",BI286,0),2)</f>
        <v>0</v>
      </c>
      <c r="AD286" s="17">
        <f t="shared" ref="AD286:AD293" si="380">ROUND(IF(AQ286="7",BH286,0),2)</f>
        <v>0</v>
      </c>
      <c r="AE286" s="17">
        <f t="shared" ref="AE286:AE293" si="381">ROUND(IF(AQ286="7",BI286,0),2)</f>
        <v>0</v>
      </c>
      <c r="AF286" s="17">
        <f t="shared" ref="AF286:AF293" si="382">ROUND(IF(AQ286="2",BH286,0),2)</f>
        <v>0</v>
      </c>
      <c r="AG286" s="17">
        <f t="shared" ref="AG286:AG293" si="383">ROUND(IF(AQ286="2",BI286,0),2)</f>
        <v>0</v>
      </c>
      <c r="AH286" s="17">
        <f t="shared" ref="AH286:AH293" si="384">ROUND(IF(AQ286="0",BJ286,0),2)</f>
        <v>0</v>
      </c>
      <c r="AI286" s="14" t="s">
        <v>220</v>
      </c>
      <c r="AJ286" s="17">
        <f t="shared" ref="AJ286:AJ293" si="385">IF(AN286=0,L286,0)</f>
        <v>0</v>
      </c>
      <c r="AK286" s="17">
        <f t="shared" ref="AK286:AK293" si="386">IF(AN286=12,L286,0)</f>
        <v>0</v>
      </c>
      <c r="AL286" s="17">
        <f t="shared" ref="AL286:AL293" si="387">IF(AN286=21,L286,0)</f>
        <v>0</v>
      </c>
      <c r="AN286" s="17">
        <v>12</v>
      </c>
      <c r="AO286" s="17">
        <f>H286*1</f>
        <v>0</v>
      </c>
      <c r="AP286" s="17">
        <f>H286*(1-1)</f>
        <v>0</v>
      </c>
      <c r="AQ286" s="76" t="s">
        <v>577</v>
      </c>
      <c r="AV286" s="17">
        <f t="shared" ref="AV286:AV293" si="388">ROUND(AW286+AX286,2)</f>
        <v>0</v>
      </c>
      <c r="AW286" s="17">
        <f t="shared" ref="AW286:AW293" si="389">ROUND(G286*AO286,2)</f>
        <v>0</v>
      </c>
      <c r="AX286" s="17">
        <f t="shared" ref="AX286:AX293" si="390">ROUND(G286*AP286,2)</f>
        <v>0</v>
      </c>
      <c r="AY286" s="76" t="s">
        <v>677</v>
      </c>
      <c r="AZ286" s="76" t="s">
        <v>823</v>
      </c>
      <c r="BA286" s="14" t="s">
        <v>818</v>
      </c>
      <c r="BC286" s="17">
        <f t="shared" ref="BC286:BC293" si="391">AW286+AX286</f>
        <v>0</v>
      </c>
      <c r="BD286" s="17">
        <f t="shared" ref="BD286:BD293" si="392">H286/(100-BE286)*100</f>
        <v>0</v>
      </c>
      <c r="BE286" s="17">
        <v>0</v>
      </c>
      <c r="BF286" s="17">
        <f t="shared" ref="BF286:BF293" si="393">O286</f>
        <v>0</v>
      </c>
      <c r="BH286" s="17">
        <f t="shared" ref="BH286:BH293" si="394">G286*AO286</f>
        <v>0</v>
      </c>
      <c r="BI286" s="17">
        <f t="shared" ref="BI286:BI293" si="395">G286*AP286</f>
        <v>0</v>
      </c>
      <c r="BJ286" s="17">
        <f t="shared" ref="BJ286:BJ293" si="396">G286*H286</f>
        <v>0</v>
      </c>
      <c r="BK286" s="17"/>
      <c r="BL286" s="17">
        <v>722</v>
      </c>
      <c r="BW286" s="17">
        <f t="shared" ref="BW286:BW293" si="397">I286</f>
        <v>12</v>
      </c>
      <c r="BX286" s="4" t="s">
        <v>146</v>
      </c>
    </row>
    <row r="287" spans="1:76" x14ac:dyDescent="0.25">
      <c r="A287" s="1" t="s">
        <v>835</v>
      </c>
      <c r="B287" s="2" t="s">
        <v>220</v>
      </c>
      <c r="C287" s="2" t="s">
        <v>153</v>
      </c>
      <c r="D287" s="83" t="s">
        <v>230</v>
      </c>
      <c r="E287" s="84"/>
      <c r="F287" s="2" t="s">
        <v>35</v>
      </c>
      <c r="G287" s="17">
        <f>'Rozpočet - vybrané sloupce'!J236</f>
        <v>18</v>
      </c>
      <c r="H287" s="17">
        <f>'Rozpočet - vybrané sloupce'!K236</f>
        <v>0</v>
      </c>
      <c r="I287" s="74">
        <v>12</v>
      </c>
      <c r="J287" s="17">
        <f t="shared" si="372"/>
        <v>0</v>
      </c>
      <c r="K287" s="17">
        <f t="shared" si="373"/>
        <v>0</v>
      </c>
      <c r="L287" s="17">
        <f t="shared" si="374"/>
        <v>0</v>
      </c>
      <c r="M287" s="17">
        <f t="shared" si="375"/>
        <v>0</v>
      </c>
      <c r="N287" s="17">
        <v>2.4000000000000001E-4</v>
      </c>
      <c r="O287" s="17">
        <f t="shared" si="376"/>
        <v>4.3200000000000001E-3</v>
      </c>
      <c r="P287" s="75" t="s">
        <v>576</v>
      </c>
      <c r="Z287" s="17">
        <f t="shared" si="377"/>
        <v>0</v>
      </c>
      <c r="AB287" s="17">
        <f t="shared" si="378"/>
        <v>0</v>
      </c>
      <c r="AC287" s="17">
        <f t="shared" si="379"/>
        <v>0</v>
      </c>
      <c r="AD287" s="17">
        <f t="shared" si="380"/>
        <v>0</v>
      </c>
      <c r="AE287" s="17">
        <f t="shared" si="381"/>
        <v>0</v>
      </c>
      <c r="AF287" s="17">
        <f t="shared" si="382"/>
        <v>0</v>
      </c>
      <c r="AG287" s="17">
        <f t="shared" si="383"/>
        <v>0</v>
      </c>
      <c r="AH287" s="17">
        <f t="shared" si="384"/>
        <v>0</v>
      </c>
      <c r="AI287" s="14" t="s">
        <v>220</v>
      </c>
      <c r="AJ287" s="17">
        <f t="shared" si="385"/>
        <v>0</v>
      </c>
      <c r="AK287" s="17">
        <f t="shared" si="386"/>
        <v>0</v>
      </c>
      <c r="AL287" s="17">
        <f t="shared" si="387"/>
        <v>0</v>
      </c>
      <c r="AN287" s="17">
        <v>12</v>
      </c>
      <c r="AO287" s="17">
        <f>H287*0.728238342</f>
        <v>0</v>
      </c>
      <c r="AP287" s="17">
        <f>H287*(1-0.728238342)</f>
        <v>0</v>
      </c>
      <c r="AQ287" s="76" t="s">
        <v>577</v>
      </c>
      <c r="AV287" s="17">
        <f t="shared" si="388"/>
        <v>0</v>
      </c>
      <c r="AW287" s="17">
        <f t="shared" si="389"/>
        <v>0</v>
      </c>
      <c r="AX287" s="17">
        <f t="shared" si="390"/>
        <v>0</v>
      </c>
      <c r="AY287" s="76" t="s">
        <v>677</v>
      </c>
      <c r="AZ287" s="76" t="s">
        <v>823</v>
      </c>
      <c r="BA287" s="14" t="s">
        <v>818</v>
      </c>
      <c r="BC287" s="17">
        <f t="shared" si="391"/>
        <v>0</v>
      </c>
      <c r="BD287" s="17">
        <f t="shared" si="392"/>
        <v>0</v>
      </c>
      <c r="BE287" s="17">
        <v>0</v>
      </c>
      <c r="BF287" s="17">
        <f t="shared" si="393"/>
        <v>4.3200000000000001E-3</v>
      </c>
      <c r="BH287" s="17">
        <f t="shared" si="394"/>
        <v>0</v>
      </c>
      <c r="BI287" s="17">
        <f t="shared" si="395"/>
        <v>0</v>
      </c>
      <c r="BJ287" s="17">
        <f t="shared" si="396"/>
        <v>0</v>
      </c>
      <c r="BK287" s="17"/>
      <c r="BL287" s="17">
        <v>722</v>
      </c>
      <c r="BW287" s="17">
        <f t="shared" si="397"/>
        <v>12</v>
      </c>
      <c r="BX287" s="4" t="s">
        <v>230</v>
      </c>
    </row>
    <row r="288" spans="1:76" x14ac:dyDescent="0.25">
      <c r="A288" s="1" t="s">
        <v>836</v>
      </c>
      <c r="B288" s="2" t="s">
        <v>220</v>
      </c>
      <c r="C288" s="2" t="s">
        <v>231</v>
      </c>
      <c r="D288" s="83" t="s">
        <v>232</v>
      </c>
      <c r="E288" s="84"/>
      <c r="F288" s="2" t="s">
        <v>35</v>
      </c>
      <c r="G288" s="17">
        <f>'Rozpočet - vybrané sloupce'!J237</f>
        <v>18</v>
      </c>
      <c r="H288" s="17">
        <f>'Rozpočet - vybrané sloupce'!K237</f>
        <v>0</v>
      </c>
      <c r="I288" s="74">
        <v>12</v>
      </c>
      <c r="J288" s="17">
        <f t="shared" si="372"/>
        <v>0</v>
      </c>
      <c r="K288" s="17">
        <f t="shared" si="373"/>
        <v>0</v>
      </c>
      <c r="L288" s="17">
        <f t="shared" si="374"/>
        <v>0</v>
      </c>
      <c r="M288" s="17">
        <f t="shared" si="375"/>
        <v>0</v>
      </c>
      <c r="N288" s="17">
        <v>1.1E-4</v>
      </c>
      <c r="O288" s="17">
        <f t="shared" si="376"/>
        <v>1.98E-3</v>
      </c>
      <c r="P288" s="75" t="s">
        <v>576</v>
      </c>
      <c r="Z288" s="17">
        <f t="shared" si="377"/>
        <v>0</v>
      </c>
      <c r="AB288" s="17">
        <f t="shared" si="378"/>
        <v>0</v>
      </c>
      <c r="AC288" s="17">
        <f t="shared" si="379"/>
        <v>0</v>
      </c>
      <c r="AD288" s="17">
        <f t="shared" si="380"/>
        <v>0</v>
      </c>
      <c r="AE288" s="17">
        <f t="shared" si="381"/>
        <v>0</v>
      </c>
      <c r="AF288" s="17">
        <f t="shared" si="382"/>
        <v>0</v>
      </c>
      <c r="AG288" s="17">
        <f t="shared" si="383"/>
        <v>0</v>
      </c>
      <c r="AH288" s="17">
        <f t="shared" si="384"/>
        <v>0</v>
      </c>
      <c r="AI288" s="14" t="s">
        <v>220</v>
      </c>
      <c r="AJ288" s="17">
        <f t="shared" si="385"/>
        <v>0</v>
      </c>
      <c r="AK288" s="17">
        <f t="shared" si="386"/>
        <v>0</v>
      </c>
      <c r="AL288" s="17">
        <f t="shared" si="387"/>
        <v>0</v>
      </c>
      <c r="AN288" s="17">
        <v>12</v>
      </c>
      <c r="AO288" s="17">
        <f>H288*0.699426934</f>
        <v>0</v>
      </c>
      <c r="AP288" s="17">
        <f>H288*(1-0.699426934)</f>
        <v>0</v>
      </c>
      <c r="AQ288" s="76" t="s">
        <v>577</v>
      </c>
      <c r="AV288" s="17">
        <f t="shared" si="388"/>
        <v>0</v>
      </c>
      <c r="AW288" s="17">
        <f t="shared" si="389"/>
        <v>0</v>
      </c>
      <c r="AX288" s="17">
        <f t="shared" si="390"/>
        <v>0</v>
      </c>
      <c r="AY288" s="76" t="s">
        <v>677</v>
      </c>
      <c r="AZ288" s="76" t="s">
        <v>823</v>
      </c>
      <c r="BA288" s="14" t="s">
        <v>818</v>
      </c>
      <c r="BC288" s="17">
        <f t="shared" si="391"/>
        <v>0</v>
      </c>
      <c r="BD288" s="17">
        <f t="shared" si="392"/>
        <v>0</v>
      </c>
      <c r="BE288" s="17">
        <v>0</v>
      </c>
      <c r="BF288" s="17">
        <f t="shared" si="393"/>
        <v>1.98E-3</v>
      </c>
      <c r="BH288" s="17">
        <f t="shared" si="394"/>
        <v>0</v>
      </c>
      <c r="BI288" s="17">
        <f t="shared" si="395"/>
        <v>0</v>
      </c>
      <c r="BJ288" s="17">
        <f t="shared" si="396"/>
        <v>0</v>
      </c>
      <c r="BK288" s="17"/>
      <c r="BL288" s="17">
        <v>722</v>
      </c>
      <c r="BW288" s="17">
        <f t="shared" si="397"/>
        <v>12</v>
      </c>
      <c r="BX288" s="4" t="s">
        <v>232</v>
      </c>
    </row>
    <row r="289" spans="1:76" x14ac:dyDescent="0.25">
      <c r="A289" s="1" t="s">
        <v>837</v>
      </c>
      <c r="B289" s="2" t="s">
        <v>220</v>
      </c>
      <c r="C289" s="2" t="s">
        <v>233</v>
      </c>
      <c r="D289" s="83" t="s">
        <v>234</v>
      </c>
      <c r="E289" s="84"/>
      <c r="F289" s="2" t="s">
        <v>35</v>
      </c>
      <c r="G289" s="17">
        <f>'Rozpočet - vybrané sloupce'!J238</f>
        <v>18</v>
      </c>
      <c r="H289" s="17">
        <f>'Rozpočet - vybrané sloupce'!K238</f>
        <v>0</v>
      </c>
      <c r="I289" s="74">
        <v>12</v>
      </c>
      <c r="J289" s="17">
        <f t="shared" si="372"/>
        <v>0</v>
      </c>
      <c r="K289" s="17">
        <f t="shared" si="373"/>
        <v>0</v>
      </c>
      <c r="L289" s="17">
        <f t="shared" si="374"/>
        <v>0</v>
      </c>
      <c r="M289" s="17">
        <f t="shared" si="375"/>
        <v>0</v>
      </c>
      <c r="N289" s="17">
        <v>5.4900000000000001E-3</v>
      </c>
      <c r="O289" s="17">
        <f t="shared" si="376"/>
        <v>9.8820000000000005E-2</v>
      </c>
      <c r="P289" s="75" t="s">
        <v>576</v>
      </c>
      <c r="Z289" s="17">
        <f t="shared" si="377"/>
        <v>0</v>
      </c>
      <c r="AB289" s="17">
        <f t="shared" si="378"/>
        <v>0</v>
      </c>
      <c r="AC289" s="17">
        <f t="shared" si="379"/>
        <v>0</v>
      </c>
      <c r="AD289" s="17">
        <f t="shared" si="380"/>
        <v>0</v>
      </c>
      <c r="AE289" s="17">
        <f t="shared" si="381"/>
        <v>0</v>
      </c>
      <c r="AF289" s="17">
        <f t="shared" si="382"/>
        <v>0</v>
      </c>
      <c r="AG289" s="17">
        <f t="shared" si="383"/>
        <v>0</v>
      </c>
      <c r="AH289" s="17">
        <f t="shared" si="384"/>
        <v>0</v>
      </c>
      <c r="AI289" s="14" t="s">
        <v>220</v>
      </c>
      <c r="AJ289" s="17">
        <f t="shared" si="385"/>
        <v>0</v>
      </c>
      <c r="AK289" s="17">
        <f t="shared" si="386"/>
        <v>0</v>
      </c>
      <c r="AL289" s="17">
        <f t="shared" si="387"/>
        <v>0</v>
      </c>
      <c r="AN289" s="17">
        <v>12</v>
      </c>
      <c r="AO289" s="17">
        <f>H289*0</f>
        <v>0</v>
      </c>
      <c r="AP289" s="17">
        <f>H289*(1-0)</f>
        <v>0</v>
      </c>
      <c r="AQ289" s="76" t="s">
        <v>577</v>
      </c>
      <c r="AV289" s="17">
        <f t="shared" si="388"/>
        <v>0</v>
      </c>
      <c r="AW289" s="17">
        <f t="shared" si="389"/>
        <v>0</v>
      </c>
      <c r="AX289" s="17">
        <f t="shared" si="390"/>
        <v>0</v>
      </c>
      <c r="AY289" s="76" t="s">
        <v>677</v>
      </c>
      <c r="AZ289" s="76" t="s">
        <v>823</v>
      </c>
      <c r="BA289" s="14" t="s">
        <v>818</v>
      </c>
      <c r="BC289" s="17">
        <f t="shared" si="391"/>
        <v>0</v>
      </c>
      <c r="BD289" s="17">
        <f t="shared" si="392"/>
        <v>0</v>
      </c>
      <c r="BE289" s="17">
        <v>0</v>
      </c>
      <c r="BF289" s="17">
        <f t="shared" si="393"/>
        <v>9.8820000000000005E-2</v>
      </c>
      <c r="BH289" s="17">
        <f t="shared" si="394"/>
        <v>0</v>
      </c>
      <c r="BI289" s="17">
        <f t="shared" si="395"/>
        <v>0</v>
      </c>
      <c r="BJ289" s="17">
        <f t="shared" si="396"/>
        <v>0</v>
      </c>
      <c r="BK289" s="17"/>
      <c r="BL289" s="17">
        <v>722</v>
      </c>
      <c r="BW289" s="17">
        <f t="shared" si="397"/>
        <v>12</v>
      </c>
      <c r="BX289" s="4" t="s">
        <v>234</v>
      </c>
    </row>
    <row r="290" spans="1:76" x14ac:dyDescent="0.25">
      <c r="A290" s="1" t="s">
        <v>838</v>
      </c>
      <c r="B290" s="2" t="s">
        <v>220</v>
      </c>
      <c r="C290" s="2" t="s">
        <v>235</v>
      </c>
      <c r="D290" s="83" t="s">
        <v>236</v>
      </c>
      <c r="E290" s="84"/>
      <c r="F290" s="2" t="s">
        <v>35</v>
      </c>
      <c r="G290" s="17" t="e">
        <f>'Rozpočet - vybrané sloupce'!#REF!</f>
        <v>#REF!</v>
      </c>
      <c r="H290" s="17" t="e">
        <f>'Rozpočet - vybrané sloupce'!#REF!</f>
        <v>#REF!</v>
      </c>
      <c r="I290" s="74">
        <v>12</v>
      </c>
      <c r="J290" s="17" t="e">
        <f t="shared" si="372"/>
        <v>#REF!</v>
      </c>
      <c r="K290" s="17" t="e">
        <f t="shared" si="373"/>
        <v>#REF!</v>
      </c>
      <c r="L290" s="17" t="e">
        <f t="shared" si="374"/>
        <v>#REF!</v>
      </c>
      <c r="M290" s="17" t="e">
        <f t="shared" si="375"/>
        <v>#REF!</v>
      </c>
      <c r="N290" s="17">
        <v>2.0000000000000002E-5</v>
      </c>
      <c r="O290" s="17" t="e">
        <f t="shared" si="376"/>
        <v>#REF!</v>
      </c>
      <c r="P290" s="75" t="s">
        <v>576</v>
      </c>
      <c r="Z290" s="17">
        <f t="shared" si="377"/>
        <v>0</v>
      </c>
      <c r="AB290" s="17">
        <f t="shared" si="378"/>
        <v>0</v>
      </c>
      <c r="AC290" s="17">
        <f t="shared" si="379"/>
        <v>0</v>
      </c>
      <c r="AD290" s="17" t="e">
        <f t="shared" si="380"/>
        <v>#REF!</v>
      </c>
      <c r="AE290" s="17" t="e">
        <f t="shared" si="381"/>
        <v>#REF!</v>
      </c>
      <c r="AF290" s="17">
        <f t="shared" si="382"/>
        <v>0</v>
      </c>
      <c r="AG290" s="17">
        <f t="shared" si="383"/>
        <v>0</v>
      </c>
      <c r="AH290" s="17">
        <f t="shared" si="384"/>
        <v>0</v>
      </c>
      <c r="AI290" s="14" t="s">
        <v>220</v>
      </c>
      <c r="AJ290" s="17">
        <f t="shared" si="385"/>
        <v>0</v>
      </c>
      <c r="AK290" s="17" t="e">
        <f t="shared" si="386"/>
        <v>#REF!</v>
      </c>
      <c r="AL290" s="17">
        <f t="shared" si="387"/>
        <v>0</v>
      </c>
      <c r="AN290" s="17">
        <v>12</v>
      </c>
      <c r="AO290" s="17" t="e">
        <f>H290*0.034752475</f>
        <v>#REF!</v>
      </c>
      <c r="AP290" s="17" t="e">
        <f>H290*(1-0.034752475)</f>
        <v>#REF!</v>
      </c>
      <c r="AQ290" s="76" t="s">
        <v>577</v>
      </c>
      <c r="AV290" s="17" t="e">
        <f t="shared" si="388"/>
        <v>#REF!</v>
      </c>
      <c r="AW290" s="17" t="e">
        <f t="shared" si="389"/>
        <v>#REF!</v>
      </c>
      <c r="AX290" s="17" t="e">
        <f t="shared" si="390"/>
        <v>#REF!</v>
      </c>
      <c r="AY290" s="76" t="s">
        <v>677</v>
      </c>
      <c r="AZ290" s="76" t="s">
        <v>823</v>
      </c>
      <c r="BA290" s="14" t="s">
        <v>818</v>
      </c>
      <c r="BC290" s="17" t="e">
        <f t="shared" si="391"/>
        <v>#REF!</v>
      </c>
      <c r="BD290" s="17" t="e">
        <f t="shared" si="392"/>
        <v>#REF!</v>
      </c>
      <c r="BE290" s="17">
        <v>0</v>
      </c>
      <c r="BF290" s="17" t="e">
        <f t="shared" si="393"/>
        <v>#REF!</v>
      </c>
      <c r="BH290" s="17" t="e">
        <f t="shared" si="394"/>
        <v>#REF!</v>
      </c>
      <c r="BI290" s="17" t="e">
        <f t="shared" si="395"/>
        <v>#REF!</v>
      </c>
      <c r="BJ290" s="17" t="e">
        <f t="shared" si="396"/>
        <v>#REF!</v>
      </c>
      <c r="BK290" s="17"/>
      <c r="BL290" s="17">
        <v>722</v>
      </c>
      <c r="BW290" s="17">
        <f t="shared" si="397"/>
        <v>12</v>
      </c>
      <c r="BX290" s="4" t="s">
        <v>236</v>
      </c>
    </row>
    <row r="291" spans="1:76" x14ac:dyDescent="0.25">
      <c r="A291" s="1" t="s">
        <v>839</v>
      </c>
      <c r="B291" s="2" t="s">
        <v>220</v>
      </c>
      <c r="C291" s="2" t="s">
        <v>237</v>
      </c>
      <c r="D291" s="83" t="s">
        <v>238</v>
      </c>
      <c r="E291" s="84"/>
      <c r="F291" s="2" t="s">
        <v>35</v>
      </c>
      <c r="G291" s="17" t="e">
        <f>'Rozpočet - vybrané sloupce'!#REF!</f>
        <v>#REF!</v>
      </c>
      <c r="H291" s="17" t="e">
        <f>'Rozpočet - vybrané sloupce'!#REF!</f>
        <v>#REF!</v>
      </c>
      <c r="I291" s="74">
        <v>12</v>
      </c>
      <c r="J291" s="17" t="e">
        <f t="shared" si="372"/>
        <v>#REF!</v>
      </c>
      <c r="K291" s="17" t="e">
        <f t="shared" si="373"/>
        <v>#REF!</v>
      </c>
      <c r="L291" s="17" t="e">
        <f t="shared" si="374"/>
        <v>#REF!</v>
      </c>
      <c r="M291" s="17" t="e">
        <f t="shared" si="375"/>
        <v>#REF!</v>
      </c>
      <c r="N291" s="17">
        <v>0</v>
      </c>
      <c r="O291" s="17" t="e">
        <f t="shared" si="376"/>
        <v>#REF!</v>
      </c>
      <c r="P291" s="75" t="s">
        <v>576</v>
      </c>
      <c r="Z291" s="17">
        <f t="shared" si="377"/>
        <v>0</v>
      </c>
      <c r="AB291" s="17">
        <f t="shared" si="378"/>
        <v>0</v>
      </c>
      <c r="AC291" s="17">
        <f t="shared" si="379"/>
        <v>0</v>
      </c>
      <c r="AD291" s="17" t="e">
        <f t="shared" si="380"/>
        <v>#REF!</v>
      </c>
      <c r="AE291" s="17" t="e">
        <f t="shared" si="381"/>
        <v>#REF!</v>
      </c>
      <c r="AF291" s="17">
        <f t="shared" si="382"/>
        <v>0</v>
      </c>
      <c r="AG291" s="17">
        <f t="shared" si="383"/>
        <v>0</v>
      </c>
      <c r="AH291" s="17">
        <f t="shared" si="384"/>
        <v>0</v>
      </c>
      <c r="AI291" s="14" t="s">
        <v>220</v>
      </c>
      <c r="AJ291" s="17">
        <f t="shared" si="385"/>
        <v>0</v>
      </c>
      <c r="AK291" s="17" t="e">
        <f t="shared" si="386"/>
        <v>#REF!</v>
      </c>
      <c r="AL291" s="17">
        <f t="shared" si="387"/>
        <v>0</v>
      </c>
      <c r="AN291" s="17">
        <v>12</v>
      </c>
      <c r="AO291" s="17" t="e">
        <f>H291*0.166666667</f>
        <v>#REF!</v>
      </c>
      <c r="AP291" s="17" t="e">
        <f>H291*(1-0.166666667)</f>
        <v>#REF!</v>
      </c>
      <c r="AQ291" s="76" t="s">
        <v>577</v>
      </c>
      <c r="AV291" s="17" t="e">
        <f t="shared" si="388"/>
        <v>#REF!</v>
      </c>
      <c r="AW291" s="17" t="e">
        <f t="shared" si="389"/>
        <v>#REF!</v>
      </c>
      <c r="AX291" s="17" t="e">
        <f t="shared" si="390"/>
        <v>#REF!</v>
      </c>
      <c r="AY291" s="76" t="s">
        <v>677</v>
      </c>
      <c r="AZ291" s="76" t="s">
        <v>823</v>
      </c>
      <c r="BA291" s="14" t="s">
        <v>818</v>
      </c>
      <c r="BC291" s="17" t="e">
        <f t="shared" si="391"/>
        <v>#REF!</v>
      </c>
      <c r="BD291" s="17" t="e">
        <f t="shared" si="392"/>
        <v>#REF!</v>
      </c>
      <c r="BE291" s="17">
        <v>0</v>
      </c>
      <c r="BF291" s="17" t="e">
        <f t="shared" si="393"/>
        <v>#REF!</v>
      </c>
      <c r="BH291" s="17" t="e">
        <f t="shared" si="394"/>
        <v>#REF!</v>
      </c>
      <c r="BI291" s="17" t="e">
        <f t="shared" si="395"/>
        <v>#REF!</v>
      </c>
      <c r="BJ291" s="17" t="e">
        <f t="shared" si="396"/>
        <v>#REF!</v>
      </c>
      <c r="BK291" s="17"/>
      <c r="BL291" s="17">
        <v>722</v>
      </c>
      <c r="BW291" s="17">
        <f t="shared" si="397"/>
        <v>12</v>
      </c>
      <c r="BX291" s="4" t="s">
        <v>238</v>
      </c>
    </row>
    <row r="292" spans="1:76" x14ac:dyDescent="0.25">
      <c r="A292" s="1" t="s">
        <v>840</v>
      </c>
      <c r="B292" s="2" t="s">
        <v>220</v>
      </c>
      <c r="C292" s="2" t="s">
        <v>186</v>
      </c>
      <c r="D292" s="83" t="s">
        <v>187</v>
      </c>
      <c r="E292" s="84"/>
      <c r="F292" s="2" t="s">
        <v>31</v>
      </c>
      <c r="G292" s="17">
        <f>'Rozpočet - vybrané sloupce'!J239</f>
        <v>1</v>
      </c>
      <c r="H292" s="17">
        <f>'Rozpočet - vybrané sloupce'!K239</f>
        <v>0</v>
      </c>
      <c r="I292" s="74">
        <v>12</v>
      </c>
      <c r="J292" s="17">
        <f t="shared" si="372"/>
        <v>0</v>
      </c>
      <c r="K292" s="17">
        <f t="shared" si="373"/>
        <v>0</v>
      </c>
      <c r="L292" s="17">
        <f t="shared" si="374"/>
        <v>0</v>
      </c>
      <c r="M292" s="17">
        <f t="shared" si="375"/>
        <v>0</v>
      </c>
      <c r="N292" s="17">
        <v>0</v>
      </c>
      <c r="O292" s="17">
        <f t="shared" si="376"/>
        <v>0</v>
      </c>
      <c r="P292" s="75" t="s">
        <v>576</v>
      </c>
      <c r="Z292" s="17">
        <f t="shared" si="377"/>
        <v>0</v>
      </c>
      <c r="AB292" s="17">
        <f t="shared" si="378"/>
        <v>0</v>
      </c>
      <c r="AC292" s="17">
        <f t="shared" si="379"/>
        <v>0</v>
      </c>
      <c r="AD292" s="17">
        <f t="shared" si="380"/>
        <v>0</v>
      </c>
      <c r="AE292" s="17">
        <f t="shared" si="381"/>
        <v>0</v>
      </c>
      <c r="AF292" s="17">
        <f t="shared" si="382"/>
        <v>0</v>
      </c>
      <c r="AG292" s="17">
        <f t="shared" si="383"/>
        <v>0</v>
      </c>
      <c r="AH292" s="17">
        <f t="shared" si="384"/>
        <v>0</v>
      </c>
      <c r="AI292" s="14" t="s">
        <v>220</v>
      </c>
      <c r="AJ292" s="17">
        <f t="shared" si="385"/>
        <v>0</v>
      </c>
      <c r="AK292" s="17">
        <f t="shared" si="386"/>
        <v>0</v>
      </c>
      <c r="AL292" s="17">
        <f t="shared" si="387"/>
        <v>0</v>
      </c>
      <c r="AN292" s="17">
        <v>12</v>
      </c>
      <c r="AO292" s="17">
        <f>H292*0.014895397</f>
        <v>0</v>
      </c>
      <c r="AP292" s="17">
        <f>H292*(1-0.014895397)</f>
        <v>0</v>
      </c>
      <c r="AQ292" s="76" t="s">
        <v>577</v>
      </c>
      <c r="AV292" s="17">
        <f t="shared" si="388"/>
        <v>0</v>
      </c>
      <c r="AW292" s="17">
        <f t="shared" si="389"/>
        <v>0</v>
      </c>
      <c r="AX292" s="17">
        <f t="shared" si="390"/>
        <v>0</v>
      </c>
      <c r="AY292" s="76" t="s">
        <v>677</v>
      </c>
      <c r="AZ292" s="76" t="s">
        <v>823</v>
      </c>
      <c r="BA292" s="14" t="s">
        <v>818</v>
      </c>
      <c r="BC292" s="17">
        <f t="shared" si="391"/>
        <v>0</v>
      </c>
      <c r="BD292" s="17">
        <f t="shared" si="392"/>
        <v>0</v>
      </c>
      <c r="BE292" s="17">
        <v>0</v>
      </c>
      <c r="BF292" s="17">
        <f t="shared" si="393"/>
        <v>0</v>
      </c>
      <c r="BH292" s="17">
        <f t="shared" si="394"/>
        <v>0</v>
      </c>
      <c r="BI292" s="17">
        <f t="shared" si="395"/>
        <v>0</v>
      </c>
      <c r="BJ292" s="17">
        <f t="shared" si="396"/>
        <v>0</v>
      </c>
      <c r="BK292" s="17"/>
      <c r="BL292" s="17">
        <v>722</v>
      </c>
      <c r="BW292" s="17">
        <f t="shared" si="397"/>
        <v>12</v>
      </c>
      <c r="BX292" s="4" t="s">
        <v>187</v>
      </c>
    </row>
    <row r="293" spans="1:76" x14ac:dyDescent="0.25">
      <c r="A293" s="1" t="s">
        <v>841</v>
      </c>
      <c r="B293" s="2" t="s">
        <v>220</v>
      </c>
      <c r="C293" s="2" t="s">
        <v>239</v>
      </c>
      <c r="D293" s="83" t="s">
        <v>240</v>
      </c>
      <c r="E293" s="84"/>
      <c r="F293" s="2" t="s">
        <v>88</v>
      </c>
      <c r="G293" s="17">
        <f>'Rozpočet - vybrané sloupce'!J240</f>
        <v>0.1</v>
      </c>
      <c r="H293" s="17">
        <f>'Rozpočet - vybrané sloupce'!K240</f>
        <v>0</v>
      </c>
      <c r="I293" s="74">
        <v>12</v>
      </c>
      <c r="J293" s="17">
        <f t="shared" si="372"/>
        <v>0</v>
      </c>
      <c r="K293" s="17">
        <f t="shared" si="373"/>
        <v>0</v>
      </c>
      <c r="L293" s="17">
        <f t="shared" si="374"/>
        <v>0</v>
      </c>
      <c r="M293" s="17">
        <f t="shared" si="375"/>
        <v>0</v>
      </c>
      <c r="N293" s="17">
        <v>0</v>
      </c>
      <c r="O293" s="17">
        <f t="shared" si="376"/>
        <v>0</v>
      </c>
      <c r="P293" s="75" t="s">
        <v>576</v>
      </c>
      <c r="Z293" s="17">
        <f t="shared" si="377"/>
        <v>0</v>
      </c>
      <c r="AB293" s="17">
        <f t="shared" si="378"/>
        <v>0</v>
      </c>
      <c r="AC293" s="17">
        <f t="shared" si="379"/>
        <v>0</v>
      </c>
      <c r="AD293" s="17">
        <f t="shared" si="380"/>
        <v>0</v>
      </c>
      <c r="AE293" s="17">
        <f t="shared" si="381"/>
        <v>0</v>
      </c>
      <c r="AF293" s="17">
        <f t="shared" si="382"/>
        <v>0</v>
      </c>
      <c r="AG293" s="17">
        <f t="shared" si="383"/>
        <v>0</v>
      </c>
      <c r="AH293" s="17">
        <f t="shared" si="384"/>
        <v>0</v>
      </c>
      <c r="AI293" s="14" t="s">
        <v>220</v>
      </c>
      <c r="AJ293" s="17">
        <f t="shared" si="385"/>
        <v>0</v>
      </c>
      <c r="AK293" s="17">
        <f t="shared" si="386"/>
        <v>0</v>
      </c>
      <c r="AL293" s="17">
        <f t="shared" si="387"/>
        <v>0</v>
      </c>
      <c r="AN293" s="17">
        <v>12</v>
      </c>
      <c r="AO293" s="17">
        <f>H293*0</f>
        <v>0</v>
      </c>
      <c r="AP293" s="17">
        <f>H293*(1-0)</f>
        <v>0</v>
      </c>
      <c r="AQ293" s="76" t="s">
        <v>577</v>
      </c>
      <c r="AV293" s="17">
        <f t="shared" si="388"/>
        <v>0</v>
      </c>
      <c r="AW293" s="17">
        <f t="shared" si="389"/>
        <v>0</v>
      </c>
      <c r="AX293" s="17">
        <f t="shared" si="390"/>
        <v>0</v>
      </c>
      <c r="AY293" s="76" t="s">
        <v>677</v>
      </c>
      <c r="AZ293" s="76" t="s">
        <v>823</v>
      </c>
      <c r="BA293" s="14" t="s">
        <v>818</v>
      </c>
      <c r="BC293" s="17">
        <f t="shared" si="391"/>
        <v>0</v>
      </c>
      <c r="BD293" s="17">
        <f t="shared" si="392"/>
        <v>0</v>
      </c>
      <c r="BE293" s="17">
        <v>0</v>
      </c>
      <c r="BF293" s="17">
        <f t="shared" si="393"/>
        <v>0</v>
      </c>
      <c r="BH293" s="17">
        <f t="shared" si="394"/>
        <v>0</v>
      </c>
      <c r="BI293" s="17">
        <f t="shared" si="395"/>
        <v>0</v>
      </c>
      <c r="BJ293" s="17">
        <f t="shared" si="396"/>
        <v>0</v>
      </c>
      <c r="BK293" s="17"/>
      <c r="BL293" s="17">
        <v>722</v>
      </c>
      <c r="BW293" s="17">
        <f t="shared" si="397"/>
        <v>12</v>
      </c>
      <c r="BX293" s="4" t="s">
        <v>240</v>
      </c>
    </row>
    <row r="294" spans="1:76" x14ac:dyDescent="0.25">
      <c r="A294" s="77"/>
      <c r="C294" s="78" t="s">
        <v>610</v>
      </c>
      <c r="D294" s="161" t="s">
        <v>624</v>
      </c>
      <c r="E294" s="162"/>
      <c r="F294" s="162"/>
      <c r="G294" s="162"/>
      <c r="H294" s="162"/>
      <c r="I294" s="162"/>
      <c r="J294" s="162"/>
      <c r="K294" s="162"/>
      <c r="L294" s="162"/>
      <c r="M294" s="162"/>
      <c r="N294" s="162"/>
      <c r="O294" s="162"/>
      <c r="P294" s="163"/>
      <c r="BX294" s="79" t="s">
        <v>624</v>
      </c>
    </row>
    <row r="295" spans="1:76" x14ac:dyDescent="0.25">
      <c r="A295" s="1" t="s">
        <v>842</v>
      </c>
      <c r="B295" s="2" t="s">
        <v>220</v>
      </c>
      <c r="C295" s="2" t="s">
        <v>194</v>
      </c>
      <c r="D295" s="83" t="s">
        <v>195</v>
      </c>
      <c r="E295" s="84"/>
      <c r="F295" s="2" t="s">
        <v>45</v>
      </c>
      <c r="G295" s="17">
        <f>'Rozpočet - vybrané sloupce'!J241</f>
        <v>0</v>
      </c>
      <c r="H295" s="17">
        <f>'Rozpočet - vybrané sloupce'!K241</f>
        <v>0</v>
      </c>
      <c r="I295" s="74">
        <v>12</v>
      </c>
      <c r="J295" s="17">
        <f>ROUND(G295*AO295,2)</f>
        <v>0</v>
      </c>
      <c r="K295" s="17">
        <f>ROUND(G295*AP295,2)</f>
        <v>0</v>
      </c>
      <c r="L295" s="17">
        <f>ROUND(G295*H295,2)</f>
        <v>0</v>
      </c>
      <c r="M295" s="17">
        <f>L295*(1+BW295/100)</f>
        <v>0</v>
      </c>
      <c r="N295" s="17">
        <v>0</v>
      </c>
      <c r="O295" s="17">
        <f>G295*N295</f>
        <v>0</v>
      </c>
      <c r="P295" s="75" t="s">
        <v>576</v>
      </c>
      <c r="Z295" s="17">
        <f>ROUND(IF(AQ295="5",BJ295,0),2)</f>
        <v>0</v>
      </c>
      <c r="AB295" s="17">
        <f>ROUND(IF(AQ295="1",BH295,0),2)</f>
        <v>0</v>
      </c>
      <c r="AC295" s="17">
        <f>ROUND(IF(AQ295="1",BI295,0),2)</f>
        <v>0</v>
      </c>
      <c r="AD295" s="17">
        <f>ROUND(IF(AQ295="7",BH295,0),2)</f>
        <v>0</v>
      </c>
      <c r="AE295" s="17">
        <f>ROUND(IF(AQ295="7",BI295,0),2)</f>
        <v>0</v>
      </c>
      <c r="AF295" s="17">
        <f>ROUND(IF(AQ295="2",BH295,0),2)</f>
        <v>0</v>
      </c>
      <c r="AG295" s="17">
        <f>ROUND(IF(AQ295="2",BI295,0),2)</f>
        <v>0</v>
      </c>
      <c r="AH295" s="17">
        <f>ROUND(IF(AQ295="0",BJ295,0),2)</f>
        <v>0</v>
      </c>
      <c r="AI295" s="14" t="s">
        <v>220</v>
      </c>
      <c r="AJ295" s="17">
        <f>IF(AN295=0,L295,0)</f>
        <v>0</v>
      </c>
      <c r="AK295" s="17">
        <f>IF(AN295=12,L295,0)</f>
        <v>0</v>
      </c>
      <c r="AL295" s="17">
        <f>IF(AN295=21,L295,0)</f>
        <v>0</v>
      </c>
      <c r="AN295" s="17">
        <v>12</v>
      </c>
      <c r="AO295" s="17">
        <f>H295*0</f>
        <v>0</v>
      </c>
      <c r="AP295" s="17">
        <f>H295*(1-0)</f>
        <v>0</v>
      </c>
      <c r="AQ295" s="76" t="s">
        <v>585</v>
      </c>
      <c r="AV295" s="17">
        <f>ROUND(AW295+AX295,2)</f>
        <v>0</v>
      </c>
      <c r="AW295" s="17">
        <f>ROUND(G295*AO295,2)</f>
        <v>0</v>
      </c>
      <c r="AX295" s="17">
        <f>ROUND(G295*AP295,2)</f>
        <v>0</v>
      </c>
      <c r="AY295" s="76" t="s">
        <v>677</v>
      </c>
      <c r="AZ295" s="76" t="s">
        <v>823</v>
      </c>
      <c r="BA295" s="14" t="s">
        <v>818</v>
      </c>
      <c r="BC295" s="17">
        <f>AW295+AX295</f>
        <v>0</v>
      </c>
      <c r="BD295" s="17">
        <f>H295/(100-BE295)*100</f>
        <v>0</v>
      </c>
      <c r="BE295" s="17">
        <v>0</v>
      </c>
      <c r="BF295" s="17">
        <f>O295</f>
        <v>0</v>
      </c>
      <c r="BH295" s="17">
        <f>G295*AO295</f>
        <v>0</v>
      </c>
      <c r="BI295" s="17">
        <f>G295*AP295</f>
        <v>0</v>
      </c>
      <c r="BJ295" s="17">
        <f>G295*H295</f>
        <v>0</v>
      </c>
      <c r="BK295" s="17"/>
      <c r="BL295" s="17">
        <v>722</v>
      </c>
      <c r="BW295" s="17">
        <f>I295</f>
        <v>12</v>
      </c>
      <c r="BX295" s="4" t="s">
        <v>195</v>
      </c>
    </row>
    <row r="296" spans="1:76" x14ac:dyDescent="0.25">
      <c r="A296" s="71" t="s">
        <v>25</v>
      </c>
      <c r="B296" s="13" t="s">
        <v>220</v>
      </c>
      <c r="C296" s="13" t="s">
        <v>241</v>
      </c>
      <c r="D296" s="135" t="s">
        <v>242</v>
      </c>
      <c r="E296" s="136"/>
      <c r="F296" s="72" t="s">
        <v>23</v>
      </c>
      <c r="G296" s="72" t="s">
        <v>23</v>
      </c>
      <c r="H296" s="72" t="s">
        <v>23</v>
      </c>
      <c r="I296" s="72" t="s">
        <v>23</v>
      </c>
      <c r="J296" s="47">
        <f>SUM(J297:J301)</f>
        <v>0</v>
      </c>
      <c r="K296" s="47">
        <f>SUM(K297:K301)</f>
        <v>0</v>
      </c>
      <c r="L296" s="47">
        <f>SUM(L297:L301)</f>
        <v>0</v>
      </c>
      <c r="M296" s="47">
        <f>SUM(M297:M301)</f>
        <v>0</v>
      </c>
      <c r="N296" s="14" t="s">
        <v>25</v>
      </c>
      <c r="O296" s="47">
        <f>SUM(O297:O301)</f>
        <v>0.18012</v>
      </c>
      <c r="P296" s="73" t="s">
        <v>25</v>
      </c>
      <c r="AI296" s="14" t="s">
        <v>220</v>
      </c>
      <c r="AS296" s="47">
        <f>SUM(AJ297:AJ301)</f>
        <v>0</v>
      </c>
      <c r="AT296" s="47">
        <f>SUM(AK297:AK301)</f>
        <v>0</v>
      </c>
      <c r="AU296" s="47">
        <f>SUM(AL297:AL301)</f>
        <v>0</v>
      </c>
    </row>
    <row r="297" spans="1:76" x14ac:dyDescent="0.25">
      <c r="A297" s="1" t="s">
        <v>843</v>
      </c>
      <c r="B297" s="2" t="s">
        <v>220</v>
      </c>
      <c r="C297" s="2" t="s">
        <v>243</v>
      </c>
      <c r="D297" s="83" t="s">
        <v>244</v>
      </c>
      <c r="E297" s="84"/>
      <c r="F297" s="2" t="s">
        <v>40</v>
      </c>
      <c r="G297" s="17">
        <f>'Rozpočet - vybrané sloupce'!J243</f>
        <v>6</v>
      </c>
      <c r="H297" s="17">
        <f>'Rozpočet - vybrané sloupce'!K243</f>
        <v>0</v>
      </c>
      <c r="I297" s="74">
        <v>12</v>
      </c>
      <c r="J297" s="17">
        <f>ROUND(G297*AO297,2)</f>
        <v>0</v>
      </c>
      <c r="K297" s="17">
        <f>ROUND(G297*AP297,2)</f>
        <v>0</v>
      </c>
      <c r="L297" s="17">
        <f>ROUND(G297*H297,2)</f>
        <v>0</v>
      </c>
      <c r="M297" s="17">
        <f>L297*(1+BW297/100)</f>
        <v>0</v>
      </c>
      <c r="N297" s="17">
        <v>1.933E-2</v>
      </c>
      <c r="O297" s="17">
        <f>G297*N297</f>
        <v>0.11598</v>
      </c>
      <c r="P297" s="75" t="s">
        <v>576</v>
      </c>
      <c r="Z297" s="17">
        <f>ROUND(IF(AQ297="5",BJ297,0),2)</f>
        <v>0</v>
      </c>
      <c r="AB297" s="17">
        <f>ROUND(IF(AQ297="1",BH297,0),2)</f>
        <v>0</v>
      </c>
      <c r="AC297" s="17">
        <f>ROUND(IF(AQ297="1",BI297,0),2)</f>
        <v>0</v>
      </c>
      <c r="AD297" s="17">
        <f>ROUND(IF(AQ297="7",BH297,0),2)</f>
        <v>0</v>
      </c>
      <c r="AE297" s="17">
        <f>ROUND(IF(AQ297="7",BI297,0),2)</f>
        <v>0</v>
      </c>
      <c r="AF297" s="17">
        <f>ROUND(IF(AQ297="2",BH297,0),2)</f>
        <v>0</v>
      </c>
      <c r="AG297" s="17">
        <f>ROUND(IF(AQ297="2",BI297,0),2)</f>
        <v>0</v>
      </c>
      <c r="AH297" s="17">
        <f>ROUND(IF(AQ297="0",BJ297,0),2)</f>
        <v>0</v>
      </c>
      <c r="AI297" s="14" t="s">
        <v>220</v>
      </c>
      <c r="AJ297" s="17">
        <f>IF(AN297=0,L297,0)</f>
        <v>0</v>
      </c>
      <c r="AK297" s="17">
        <f>IF(AN297=12,L297,0)</f>
        <v>0</v>
      </c>
      <c r="AL297" s="17">
        <f>IF(AN297=21,L297,0)</f>
        <v>0</v>
      </c>
      <c r="AN297" s="17">
        <v>12</v>
      </c>
      <c r="AO297" s="17">
        <f>H297*0</f>
        <v>0</v>
      </c>
      <c r="AP297" s="17">
        <f>H297*(1-0)</f>
        <v>0</v>
      </c>
      <c r="AQ297" s="76" t="s">
        <v>577</v>
      </c>
      <c r="AV297" s="17">
        <f>ROUND(AW297+AX297,2)</f>
        <v>0</v>
      </c>
      <c r="AW297" s="17">
        <f>ROUND(G297*AO297,2)</f>
        <v>0</v>
      </c>
      <c r="AX297" s="17">
        <f>ROUND(G297*AP297,2)</f>
        <v>0</v>
      </c>
      <c r="AY297" s="76" t="s">
        <v>844</v>
      </c>
      <c r="AZ297" s="76" t="s">
        <v>823</v>
      </c>
      <c r="BA297" s="14" t="s">
        <v>818</v>
      </c>
      <c r="BC297" s="17">
        <f>AW297+AX297</f>
        <v>0</v>
      </c>
      <c r="BD297" s="17">
        <f>H297/(100-BE297)*100</f>
        <v>0</v>
      </c>
      <c r="BE297" s="17">
        <v>0</v>
      </c>
      <c r="BF297" s="17">
        <f>O297</f>
        <v>0.11598</v>
      </c>
      <c r="BH297" s="17">
        <f>G297*AO297</f>
        <v>0</v>
      </c>
      <c r="BI297" s="17">
        <f>G297*AP297</f>
        <v>0</v>
      </c>
      <c r="BJ297" s="17">
        <f>G297*H297</f>
        <v>0</v>
      </c>
      <c r="BK297" s="17"/>
      <c r="BL297" s="17">
        <v>725</v>
      </c>
      <c r="BW297" s="17">
        <f>I297</f>
        <v>12</v>
      </c>
      <c r="BX297" s="4" t="s">
        <v>244</v>
      </c>
    </row>
    <row r="298" spans="1:76" x14ac:dyDescent="0.25">
      <c r="A298" s="1" t="s">
        <v>845</v>
      </c>
      <c r="B298" s="2" t="s">
        <v>220</v>
      </c>
      <c r="C298" s="2" t="s">
        <v>245</v>
      </c>
      <c r="D298" s="83" t="s">
        <v>246</v>
      </c>
      <c r="E298" s="84"/>
      <c r="F298" s="2" t="s">
        <v>40</v>
      </c>
      <c r="G298" s="17">
        <f>'Rozpočet - vybrané sloupce'!J244</f>
        <v>6</v>
      </c>
      <c r="H298" s="17">
        <f>'Rozpočet - vybrané sloupce'!K244</f>
        <v>0</v>
      </c>
      <c r="I298" s="74">
        <v>12</v>
      </c>
      <c r="J298" s="17">
        <f>ROUND(G298*AO298,2)</f>
        <v>0</v>
      </c>
      <c r="K298" s="17">
        <f>ROUND(G298*AP298,2)</f>
        <v>0</v>
      </c>
      <c r="L298" s="17">
        <f>ROUND(G298*H298,2)</f>
        <v>0</v>
      </c>
      <c r="M298" s="17">
        <f>L298*(1+BW298/100)</f>
        <v>0</v>
      </c>
      <c r="N298" s="17">
        <v>1.8600000000000001E-3</v>
      </c>
      <c r="O298" s="17">
        <f>G298*N298</f>
        <v>1.116E-2</v>
      </c>
      <c r="P298" s="75" t="s">
        <v>576</v>
      </c>
      <c r="Z298" s="17">
        <f>ROUND(IF(AQ298="5",BJ298,0),2)</f>
        <v>0</v>
      </c>
      <c r="AB298" s="17">
        <f>ROUND(IF(AQ298="1",BH298,0),2)</f>
        <v>0</v>
      </c>
      <c r="AC298" s="17">
        <f>ROUND(IF(AQ298="1",BI298,0),2)</f>
        <v>0</v>
      </c>
      <c r="AD298" s="17">
        <f>ROUND(IF(AQ298="7",BH298,0),2)</f>
        <v>0</v>
      </c>
      <c r="AE298" s="17">
        <f>ROUND(IF(AQ298="7",BI298,0),2)</f>
        <v>0</v>
      </c>
      <c r="AF298" s="17">
        <f>ROUND(IF(AQ298="2",BH298,0),2)</f>
        <v>0</v>
      </c>
      <c r="AG298" s="17">
        <f>ROUND(IF(AQ298="2",BI298,0),2)</f>
        <v>0</v>
      </c>
      <c r="AH298" s="17">
        <f>ROUND(IF(AQ298="0",BJ298,0),2)</f>
        <v>0</v>
      </c>
      <c r="AI298" s="14" t="s">
        <v>220</v>
      </c>
      <c r="AJ298" s="17">
        <f>IF(AN298=0,L298,0)</f>
        <v>0</v>
      </c>
      <c r="AK298" s="17">
        <f>IF(AN298=12,L298,0)</f>
        <v>0</v>
      </c>
      <c r="AL298" s="17">
        <f>IF(AN298=21,L298,0)</f>
        <v>0</v>
      </c>
      <c r="AN298" s="17">
        <v>12</v>
      </c>
      <c r="AO298" s="17">
        <f>H298*0.443490814</f>
        <v>0</v>
      </c>
      <c r="AP298" s="17">
        <f>H298*(1-0.443490814)</f>
        <v>0</v>
      </c>
      <c r="AQ298" s="76" t="s">
        <v>577</v>
      </c>
      <c r="AV298" s="17">
        <f>ROUND(AW298+AX298,2)</f>
        <v>0</v>
      </c>
      <c r="AW298" s="17">
        <f>ROUND(G298*AO298,2)</f>
        <v>0</v>
      </c>
      <c r="AX298" s="17">
        <f>ROUND(G298*AP298,2)</f>
        <v>0</v>
      </c>
      <c r="AY298" s="76" t="s">
        <v>844</v>
      </c>
      <c r="AZ298" s="76" t="s">
        <v>823</v>
      </c>
      <c r="BA298" s="14" t="s">
        <v>818</v>
      </c>
      <c r="BC298" s="17">
        <f>AW298+AX298</f>
        <v>0</v>
      </c>
      <c r="BD298" s="17">
        <f>H298/(100-BE298)*100</f>
        <v>0</v>
      </c>
      <c r="BE298" s="17">
        <v>0</v>
      </c>
      <c r="BF298" s="17">
        <f>O298</f>
        <v>1.116E-2</v>
      </c>
      <c r="BH298" s="17">
        <f>G298*AO298</f>
        <v>0</v>
      </c>
      <c r="BI298" s="17">
        <f>G298*AP298</f>
        <v>0</v>
      </c>
      <c r="BJ298" s="17">
        <f>G298*H298</f>
        <v>0</v>
      </c>
      <c r="BK298" s="17"/>
      <c r="BL298" s="17">
        <v>725</v>
      </c>
      <c r="BW298" s="17">
        <f>I298</f>
        <v>12</v>
      </c>
      <c r="BX298" s="4" t="s">
        <v>246</v>
      </c>
    </row>
    <row r="299" spans="1:76" x14ac:dyDescent="0.25">
      <c r="A299" s="1" t="s">
        <v>846</v>
      </c>
      <c r="B299" s="2" t="s">
        <v>220</v>
      </c>
      <c r="C299" s="2" t="s">
        <v>247</v>
      </c>
      <c r="D299" s="83" t="s">
        <v>248</v>
      </c>
      <c r="E299" s="84"/>
      <c r="F299" s="2" t="s">
        <v>40</v>
      </c>
      <c r="G299" s="17">
        <f>'Rozpočet - vybrané sloupce'!J245</f>
        <v>3</v>
      </c>
      <c r="H299" s="17">
        <f>'Rozpočet - vybrané sloupce'!K245</f>
        <v>0</v>
      </c>
      <c r="I299" s="74">
        <v>12</v>
      </c>
      <c r="J299" s="17">
        <f>ROUND(G299*AO299,2)</f>
        <v>0</v>
      </c>
      <c r="K299" s="17">
        <f>ROUND(G299*AP299,2)</f>
        <v>0</v>
      </c>
      <c r="L299" s="17">
        <f>ROUND(G299*H299,2)</f>
        <v>0</v>
      </c>
      <c r="M299" s="17">
        <f>L299*(1+BW299/100)</f>
        <v>0</v>
      </c>
      <c r="N299" s="17">
        <v>1.7600000000000001E-2</v>
      </c>
      <c r="O299" s="17">
        <f>G299*N299</f>
        <v>5.28E-2</v>
      </c>
      <c r="P299" s="75" t="s">
        <v>576</v>
      </c>
      <c r="Z299" s="17">
        <f>ROUND(IF(AQ299="5",BJ299,0),2)</f>
        <v>0</v>
      </c>
      <c r="AB299" s="17">
        <f>ROUND(IF(AQ299="1",BH299,0),2)</f>
        <v>0</v>
      </c>
      <c r="AC299" s="17">
        <f>ROUND(IF(AQ299="1",BI299,0),2)</f>
        <v>0</v>
      </c>
      <c r="AD299" s="17">
        <f>ROUND(IF(AQ299="7",BH299,0),2)</f>
        <v>0</v>
      </c>
      <c r="AE299" s="17">
        <f>ROUND(IF(AQ299="7",BI299,0),2)</f>
        <v>0</v>
      </c>
      <c r="AF299" s="17">
        <f>ROUND(IF(AQ299="2",BH299,0),2)</f>
        <v>0</v>
      </c>
      <c r="AG299" s="17">
        <f>ROUND(IF(AQ299="2",BI299,0),2)</f>
        <v>0</v>
      </c>
      <c r="AH299" s="17">
        <f>ROUND(IF(AQ299="0",BJ299,0),2)</f>
        <v>0</v>
      </c>
      <c r="AI299" s="14" t="s">
        <v>220</v>
      </c>
      <c r="AJ299" s="17">
        <f>IF(AN299=0,L299,0)</f>
        <v>0</v>
      </c>
      <c r="AK299" s="17">
        <f>IF(AN299=12,L299,0)</f>
        <v>0</v>
      </c>
      <c r="AL299" s="17">
        <f>IF(AN299=21,L299,0)</f>
        <v>0</v>
      </c>
      <c r="AN299" s="17">
        <v>12</v>
      </c>
      <c r="AO299" s="17">
        <f>H299*0</f>
        <v>0</v>
      </c>
      <c r="AP299" s="17">
        <f>H299*(1-0)</f>
        <v>0</v>
      </c>
      <c r="AQ299" s="76" t="s">
        <v>577</v>
      </c>
      <c r="AV299" s="17">
        <f>ROUND(AW299+AX299,2)</f>
        <v>0</v>
      </c>
      <c r="AW299" s="17">
        <f>ROUND(G299*AO299,2)</f>
        <v>0</v>
      </c>
      <c r="AX299" s="17">
        <f>ROUND(G299*AP299,2)</f>
        <v>0</v>
      </c>
      <c r="AY299" s="76" t="s">
        <v>844</v>
      </c>
      <c r="AZ299" s="76" t="s">
        <v>823</v>
      </c>
      <c r="BA299" s="14" t="s">
        <v>818</v>
      </c>
      <c r="BC299" s="17">
        <f>AW299+AX299</f>
        <v>0</v>
      </c>
      <c r="BD299" s="17">
        <f>H299/(100-BE299)*100</f>
        <v>0</v>
      </c>
      <c r="BE299" s="17">
        <v>0</v>
      </c>
      <c r="BF299" s="17">
        <f>O299</f>
        <v>5.28E-2</v>
      </c>
      <c r="BH299" s="17">
        <f>G299*AO299</f>
        <v>0</v>
      </c>
      <c r="BI299" s="17">
        <f>G299*AP299</f>
        <v>0</v>
      </c>
      <c r="BJ299" s="17">
        <f>G299*H299</f>
        <v>0</v>
      </c>
      <c r="BK299" s="17"/>
      <c r="BL299" s="17">
        <v>725</v>
      </c>
      <c r="BW299" s="17">
        <f>I299</f>
        <v>12</v>
      </c>
      <c r="BX299" s="4" t="s">
        <v>248</v>
      </c>
    </row>
    <row r="300" spans="1:76" x14ac:dyDescent="0.25">
      <c r="A300" s="1" t="s">
        <v>847</v>
      </c>
      <c r="B300" s="2" t="s">
        <v>220</v>
      </c>
      <c r="C300" s="2" t="s">
        <v>249</v>
      </c>
      <c r="D300" s="83" t="s">
        <v>250</v>
      </c>
      <c r="E300" s="84"/>
      <c r="F300" s="2" t="s">
        <v>35</v>
      </c>
      <c r="G300" s="17">
        <f>'Rozpočet - vybrané sloupce'!J246</f>
        <v>3</v>
      </c>
      <c r="H300" s="17">
        <f>'Rozpočet - vybrané sloupce'!K246</f>
        <v>0</v>
      </c>
      <c r="I300" s="74">
        <v>12</v>
      </c>
      <c r="J300" s="17">
        <f>ROUND(G300*AO300,2)</f>
        <v>0</v>
      </c>
      <c r="K300" s="17">
        <f>ROUND(G300*AP300,2)</f>
        <v>0</v>
      </c>
      <c r="L300" s="17">
        <f>ROUND(G300*H300,2)</f>
        <v>0</v>
      </c>
      <c r="M300" s="17">
        <f>L300*(1+BW300/100)</f>
        <v>0</v>
      </c>
      <c r="N300" s="17">
        <v>6.0000000000000002E-5</v>
      </c>
      <c r="O300" s="17">
        <f>G300*N300</f>
        <v>1.8000000000000001E-4</v>
      </c>
      <c r="P300" s="75" t="s">
        <v>576</v>
      </c>
      <c r="Z300" s="17">
        <f>ROUND(IF(AQ300="5",BJ300,0),2)</f>
        <v>0</v>
      </c>
      <c r="AB300" s="17">
        <f>ROUND(IF(AQ300="1",BH300,0),2)</f>
        <v>0</v>
      </c>
      <c r="AC300" s="17">
        <f>ROUND(IF(AQ300="1",BI300,0),2)</f>
        <v>0</v>
      </c>
      <c r="AD300" s="17">
        <f>ROUND(IF(AQ300="7",BH300,0),2)</f>
        <v>0</v>
      </c>
      <c r="AE300" s="17">
        <f>ROUND(IF(AQ300="7",BI300,0),2)</f>
        <v>0</v>
      </c>
      <c r="AF300" s="17">
        <f>ROUND(IF(AQ300="2",BH300,0),2)</f>
        <v>0</v>
      </c>
      <c r="AG300" s="17">
        <f>ROUND(IF(AQ300="2",BI300,0),2)</f>
        <v>0</v>
      </c>
      <c r="AH300" s="17">
        <f>ROUND(IF(AQ300="0",BJ300,0),2)</f>
        <v>0</v>
      </c>
      <c r="AI300" s="14" t="s">
        <v>220</v>
      </c>
      <c r="AJ300" s="17">
        <f>IF(AN300=0,L300,0)</f>
        <v>0</v>
      </c>
      <c r="AK300" s="17">
        <f>IF(AN300=12,L300,0)</f>
        <v>0</v>
      </c>
      <c r="AL300" s="17">
        <f>IF(AN300=21,L300,0)</f>
        <v>0</v>
      </c>
      <c r="AN300" s="17">
        <v>12</v>
      </c>
      <c r="AO300" s="17">
        <f>H300*0.055554299</f>
        <v>0</v>
      </c>
      <c r="AP300" s="17">
        <f>H300*(1-0.055554299)</f>
        <v>0</v>
      </c>
      <c r="AQ300" s="76" t="s">
        <v>577</v>
      </c>
      <c r="AV300" s="17">
        <f>ROUND(AW300+AX300,2)</f>
        <v>0</v>
      </c>
      <c r="AW300" s="17">
        <f>ROUND(G300*AO300,2)</f>
        <v>0</v>
      </c>
      <c r="AX300" s="17">
        <f>ROUND(G300*AP300,2)</f>
        <v>0</v>
      </c>
      <c r="AY300" s="76" t="s">
        <v>844</v>
      </c>
      <c r="AZ300" s="76" t="s">
        <v>823</v>
      </c>
      <c r="BA300" s="14" t="s">
        <v>818</v>
      </c>
      <c r="BC300" s="17">
        <f>AW300+AX300</f>
        <v>0</v>
      </c>
      <c r="BD300" s="17">
        <f>H300/(100-BE300)*100</f>
        <v>0</v>
      </c>
      <c r="BE300" s="17">
        <v>0</v>
      </c>
      <c r="BF300" s="17">
        <f>O300</f>
        <v>1.8000000000000001E-4</v>
      </c>
      <c r="BH300" s="17">
        <f>G300*AO300</f>
        <v>0</v>
      </c>
      <c r="BI300" s="17">
        <f>G300*AP300</f>
        <v>0</v>
      </c>
      <c r="BJ300" s="17">
        <f>G300*H300</f>
        <v>0</v>
      </c>
      <c r="BK300" s="17"/>
      <c r="BL300" s="17">
        <v>725</v>
      </c>
      <c r="BW300" s="17">
        <f>I300</f>
        <v>12</v>
      </c>
      <c r="BX300" s="4" t="s">
        <v>250</v>
      </c>
    </row>
    <row r="301" spans="1:76" x14ac:dyDescent="0.25">
      <c r="A301" s="1" t="s">
        <v>848</v>
      </c>
      <c r="B301" s="2" t="s">
        <v>220</v>
      </c>
      <c r="C301" s="2" t="s">
        <v>251</v>
      </c>
      <c r="D301" s="83" t="s">
        <v>252</v>
      </c>
      <c r="E301" s="84"/>
      <c r="F301" s="2" t="s">
        <v>45</v>
      </c>
      <c r="G301" s="17">
        <f>'Rozpočet - vybrané sloupce'!J247</f>
        <v>0</v>
      </c>
      <c r="H301" s="17">
        <f>'Rozpočet - vybrané sloupce'!K247</f>
        <v>0</v>
      </c>
      <c r="I301" s="74">
        <v>12</v>
      </c>
      <c r="J301" s="17">
        <f>ROUND(G301*AO301,2)</f>
        <v>0</v>
      </c>
      <c r="K301" s="17">
        <f>ROUND(G301*AP301,2)</f>
        <v>0</v>
      </c>
      <c r="L301" s="17">
        <f>ROUND(G301*H301,2)</f>
        <v>0</v>
      </c>
      <c r="M301" s="17">
        <f>L301*(1+BW301/100)</f>
        <v>0</v>
      </c>
      <c r="N301" s="17">
        <v>0</v>
      </c>
      <c r="O301" s="17">
        <f>G301*N301</f>
        <v>0</v>
      </c>
      <c r="P301" s="75" t="s">
        <v>576</v>
      </c>
      <c r="Z301" s="17">
        <f>ROUND(IF(AQ301="5",BJ301,0),2)</f>
        <v>0</v>
      </c>
      <c r="AB301" s="17">
        <f>ROUND(IF(AQ301="1",BH301,0),2)</f>
        <v>0</v>
      </c>
      <c r="AC301" s="17">
        <f>ROUND(IF(AQ301="1",BI301,0),2)</f>
        <v>0</v>
      </c>
      <c r="AD301" s="17">
        <f>ROUND(IF(AQ301="7",BH301,0),2)</f>
        <v>0</v>
      </c>
      <c r="AE301" s="17">
        <f>ROUND(IF(AQ301="7",BI301,0),2)</f>
        <v>0</v>
      </c>
      <c r="AF301" s="17">
        <f>ROUND(IF(AQ301="2",BH301,0),2)</f>
        <v>0</v>
      </c>
      <c r="AG301" s="17">
        <f>ROUND(IF(AQ301="2",BI301,0),2)</f>
        <v>0</v>
      </c>
      <c r="AH301" s="17">
        <f>ROUND(IF(AQ301="0",BJ301,0),2)</f>
        <v>0</v>
      </c>
      <c r="AI301" s="14" t="s">
        <v>220</v>
      </c>
      <c r="AJ301" s="17">
        <f>IF(AN301=0,L301,0)</f>
        <v>0</v>
      </c>
      <c r="AK301" s="17">
        <f>IF(AN301=12,L301,0)</f>
        <v>0</v>
      </c>
      <c r="AL301" s="17">
        <f>IF(AN301=21,L301,0)</f>
        <v>0</v>
      </c>
      <c r="AN301" s="17">
        <v>12</v>
      </c>
      <c r="AO301" s="17">
        <f>H301*0</f>
        <v>0</v>
      </c>
      <c r="AP301" s="17">
        <f>H301*(1-0)</f>
        <v>0</v>
      </c>
      <c r="AQ301" s="76" t="s">
        <v>585</v>
      </c>
      <c r="AV301" s="17">
        <f>ROUND(AW301+AX301,2)</f>
        <v>0</v>
      </c>
      <c r="AW301" s="17">
        <f>ROUND(G301*AO301,2)</f>
        <v>0</v>
      </c>
      <c r="AX301" s="17">
        <f>ROUND(G301*AP301,2)</f>
        <v>0</v>
      </c>
      <c r="AY301" s="76" t="s">
        <v>844</v>
      </c>
      <c r="AZ301" s="76" t="s">
        <v>823</v>
      </c>
      <c r="BA301" s="14" t="s">
        <v>818</v>
      </c>
      <c r="BC301" s="17">
        <f>AW301+AX301</f>
        <v>0</v>
      </c>
      <c r="BD301" s="17">
        <f>H301/(100-BE301)*100</f>
        <v>0</v>
      </c>
      <c r="BE301" s="17">
        <v>0</v>
      </c>
      <c r="BF301" s="17">
        <f>O301</f>
        <v>0</v>
      </c>
      <c r="BH301" s="17">
        <f>G301*AO301</f>
        <v>0</v>
      </c>
      <c r="BI301" s="17">
        <f>G301*AP301</f>
        <v>0</v>
      </c>
      <c r="BJ301" s="17">
        <f>G301*H301</f>
        <v>0</v>
      </c>
      <c r="BK301" s="17"/>
      <c r="BL301" s="17">
        <v>725</v>
      </c>
      <c r="BW301" s="17">
        <f>I301</f>
        <v>12</v>
      </c>
      <c r="BX301" s="4" t="s">
        <v>252</v>
      </c>
    </row>
    <row r="302" spans="1:76" x14ac:dyDescent="0.25">
      <c r="A302" s="71" t="s">
        <v>25</v>
      </c>
      <c r="B302" s="13" t="s">
        <v>253</v>
      </c>
      <c r="C302" s="13" t="s">
        <v>25</v>
      </c>
      <c r="D302" s="135" t="s">
        <v>254</v>
      </c>
      <c r="E302" s="136"/>
      <c r="F302" s="72" t="s">
        <v>23</v>
      </c>
      <c r="G302" s="72" t="s">
        <v>23</v>
      </c>
      <c r="H302" s="72" t="s">
        <v>23</v>
      </c>
      <c r="I302" s="72" t="s">
        <v>23</v>
      </c>
      <c r="J302" s="47" t="e">
        <f>J303+J308+J330</f>
        <v>#REF!</v>
      </c>
      <c r="K302" s="47" t="e">
        <f>K303+K308+K330</f>
        <v>#REF!</v>
      </c>
      <c r="L302" s="47" t="e">
        <f>L303+L308+L330</f>
        <v>#REF!</v>
      </c>
      <c r="M302" s="47" t="e">
        <f>M303+M308+M330</f>
        <v>#REF!</v>
      </c>
      <c r="N302" s="14" t="s">
        <v>25</v>
      </c>
      <c r="O302" s="47" t="e">
        <f>O303+O308+O330</f>
        <v>#REF!</v>
      </c>
      <c r="P302" s="73" t="s">
        <v>25</v>
      </c>
    </row>
    <row r="303" spans="1:76" x14ac:dyDescent="0.25">
      <c r="A303" s="71" t="s">
        <v>25</v>
      </c>
      <c r="B303" s="13" t="s">
        <v>253</v>
      </c>
      <c r="C303" s="13" t="s">
        <v>52</v>
      </c>
      <c r="D303" s="135" t="s">
        <v>53</v>
      </c>
      <c r="E303" s="136"/>
      <c r="F303" s="72" t="s">
        <v>23</v>
      </c>
      <c r="G303" s="72" t="s">
        <v>23</v>
      </c>
      <c r="H303" s="72" t="s">
        <v>23</v>
      </c>
      <c r="I303" s="72" t="s">
        <v>23</v>
      </c>
      <c r="J303" s="47">
        <f>SUM(J304:J307)</f>
        <v>0</v>
      </c>
      <c r="K303" s="47">
        <f>SUM(K304:K307)</f>
        <v>0</v>
      </c>
      <c r="L303" s="47">
        <f>SUM(L304:L307)</f>
        <v>0</v>
      </c>
      <c r="M303" s="47">
        <f>SUM(M304:M307)</f>
        <v>0</v>
      </c>
      <c r="N303" s="14" t="s">
        <v>25</v>
      </c>
      <c r="O303" s="47">
        <f>SUM(O304:O307)</f>
        <v>0</v>
      </c>
      <c r="P303" s="73" t="s">
        <v>25</v>
      </c>
      <c r="AI303" s="14" t="s">
        <v>253</v>
      </c>
      <c r="AS303" s="47">
        <f>SUM(AJ304:AJ307)</f>
        <v>0</v>
      </c>
      <c r="AT303" s="47">
        <f>SUM(AK304:AK307)</f>
        <v>0</v>
      </c>
      <c r="AU303" s="47">
        <f>SUM(AL304:AL307)</f>
        <v>0</v>
      </c>
    </row>
    <row r="304" spans="1:76" x14ac:dyDescent="0.25">
      <c r="A304" s="1" t="s">
        <v>849</v>
      </c>
      <c r="B304" s="2" t="s">
        <v>253</v>
      </c>
      <c r="C304" s="2" t="s">
        <v>222</v>
      </c>
      <c r="D304" s="83" t="s">
        <v>223</v>
      </c>
      <c r="E304" s="84"/>
      <c r="F304" s="2" t="s">
        <v>35</v>
      </c>
      <c r="G304" s="17">
        <f>'Rozpočet - vybrané sloupce'!J250</f>
        <v>12</v>
      </c>
      <c r="H304" s="17">
        <f>'Rozpočet - vybrané sloupce'!K250</f>
        <v>0</v>
      </c>
      <c r="I304" s="74">
        <v>12</v>
      </c>
      <c r="J304" s="17">
        <f>ROUND(G304*AO304,2)</f>
        <v>0</v>
      </c>
      <c r="K304" s="17">
        <f>ROUND(G304*AP304,2)</f>
        <v>0</v>
      </c>
      <c r="L304" s="17">
        <f>ROUND(G304*H304,2)</f>
        <v>0</v>
      </c>
      <c r="M304" s="17">
        <f>L304*(1+BW304/100)</f>
        <v>0</v>
      </c>
      <c r="N304" s="17">
        <v>0</v>
      </c>
      <c r="O304" s="17">
        <f>G304*N304</f>
        <v>0</v>
      </c>
      <c r="P304" s="75" t="s">
        <v>576</v>
      </c>
      <c r="Z304" s="17">
        <f>ROUND(IF(AQ304="5",BJ304,0),2)</f>
        <v>0</v>
      </c>
      <c r="AB304" s="17">
        <f>ROUND(IF(AQ304="1",BH304,0),2)</f>
        <v>0</v>
      </c>
      <c r="AC304" s="17">
        <f>ROUND(IF(AQ304="1",BI304,0),2)</f>
        <v>0</v>
      </c>
      <c r="AD304" s="17">
        <f>ROUND(IF(AQ304="7",BH304,0),2)</f>
        <v>0</v>
      </c>
      <c r="AE304" s="17">
        <f>ROUND(IF(AQ304="7",BI304,0),2)</f>
        <v>0</v>
      </c>
      <c r="AF304" s="17">
        <f>ROUND(IF(AQ304="2",BH304,0),2)</f>
        <v>0</v>
      </c>
      <c r="AG304" s="17">
        <f>ROUND(IF(AQ304="2",BI304,0),2)</f>
        <v>0</v>
      </c>
      <c r="AH304" s="17">
        <f>ROUND(IF(AQ304="0",BJ304,0),2)</f>
        <v>0</v>
      </c>
      <c r="AI304" s="14" t="s">
        <v>253</v>
      </c>
      <c r="AJ304" s="17">
        <f>IF(AN304=0,L304,0)</f>
        <v>0</v>
      </c>
      <c r="AK304" s="17">
        <f>IF(AN304=12,L304,0)</f>
        <v>0</v>
      </c>
      <c r="AL304" s="17">
        <f>IF(AN304=21,L304,0)</f>
        <v>0</v>
      </c>
      <c r="AN304" s="17">
        <v>12</v>
      </c>
      <c r="AO304" s="17">
        <f>H304*1</f>
        <v>0</v>
      </c>
      <c r="AP304" s="17">
        <f>H304*(1-1)</f>
        <v>0</v>
      </c>
      <c r="AQ304" s="76" t="s">
        <v>577</v>
      </c>
      <c r="AV304" s="17">
        <f>ROUND(AW304+AX304,2)</f>
        <v>0</v>
      </c>
      <c r="AW304" s="17">
        <f>ROUND(G304*AO304,2)</f>
        <v>0</v>
      </c>
      <c r="AX304" s="17">
        <f>ROUND(G304*AP304,2)</f>
        <v>0</v>
      </c>
      <c r="AY304" s="76" t="s">
        <v>603</v>
      </c>
      <c r="AZ304" s="76" t="s">
        <v>850</v>
      </c>
      <c r="BA304" s="14" t="s">
        <v>851</v>
      </c>
      <c r="BC304" s="17">
        <f>AW304+AX304</f>
        <v>0</v>
      </c>
      <c r="BD304" s="17">
        <f>H304/(100-BE304)*100</f>
        <v>0</v>
      </c>
      <c r="BE304" s="17">
        <v>0</v>
      </c>
      <c r="BF304" s="17">
        <f>O304</f>
        <v>0</v>
      </c>
      <c r="BH304" s="17">
        <f>G304*AO304</f>
        <v>0</v>
      </c>
      <c r="BI304" s="17">
        <f>G304*AP304</f>
        <v>0</v>
      </c>
      <c r="BJ304" s="17">
        <f>G304*H304</f>
        <v>0</v>
      </c>
      <c r="BK304" s="17"/>
      <c r="BL304" s="17">
        <v>713</v>
      </c>
      <c r="BW304" s="17">
        <f>I304</f>
        <v>12</v>
      </c>
      <c r="BX304" s="4" t="s">
        <v>223</v>
      </c>
    </row>
    <row r="305" spans="1:76" x14ac:dyDescent="0.25">
      <c r="A305" s="1" t="s">
        <v>852</v>
      </c>
      <c r="B305" s="2" t="s">
        <v>253</v>
      </c>
      <c r="C305" s="2" t="s">
        <v>224</v>
      </c>
      <c r="D305" s="83" t="s">
        <v>225</v>
      </c>
      <c r="E305" s="84"/>
      <c r="F305" s="2" t="s">
        <v>35</v>
      </c>
      <c r="G305" s="17">
        <f>'Rozpočet - vybrané sloupce'!J251</f>
        <v>8</v>
      </c>
      <c r="H305" s="17">
        <f>'Rozpočet - vybrané sloupce'!K251</f>
        <v>0</v>
      </c>
      <c r="I305" s="74">
        <v>12</v>
      </c>
      <c r="J305" s="17">
        <f>ROUND(G305*AO305,2)</f>
        <v>0</v>
      </c>
      <c r="K305" s="17">
        <f>ROUND(G305*AP305,2)</f>
        <v>0</v>
      </c>
      <c r="L305" s="17">
        <f>ROUND(G305*H305,2)</f>
        <v>0</v>
      </c>
      <c r="M305" s="17">
        <f>L305*(1+BW305/100)</f>
        <v>0</v>
      </c>
      <c r="N305" s="17">
        <v>0</v>
      </c>
      <c r="O305" s="17">
        <f>G305*N305</f>
        <v>0</v>
      </c>
      <c r="P305" s="75" t="s">
        <v>576</v>
      </c>
      <c r="Z305" s="17">
        <f>ROUND(IF(AQ305="5",BJ305,0),2)</f>
        <v>0</v>
      </c>
      <c r="AB305" s="17">
        <f>ROUND(IF(AQ305="1",BH305,0),2)</f>
        <v>0</v>
      </c>
      <c r="AC305" s="17">
        <f>ROUND(IF(AQ305="1",BI305,0),2)</f>
        <v>0</v>
      </c>
      <c r="AD305" s="17">
        <f>ROUND(IF(AQ305="7",BH305,0),2)</f>
        <v>0</v>
      </c>
      <c r="AE305" s="17">
        <f>ROUND(IF(AQ305="7",BI305,0),2)</f>
        <v>0</v>
      </c>
      <c r="AF305" s="17">
        <f>ROUND(IF(AQ305="2",BH305,0),2)</f>
        <v>0</v>
      </c>
      <c r="AG305" s="17">
        <f>ROUND(IF(AQ305="2",BI305,0),2)</f>
        <v>0</v>
      </c>
      <c r="AH305" s="17">
        <f>ROUND(IF(AQ305="0",BJ305,0),2)</f>
        <v>0</v>
      </c>
      <c r="AI305" s="14" t="s">
        <v>253</v>
      </c>
      <c r="AJ305" s="17">
        <f>IF(AN305=0,L305,0)</f>
        <v>0</v>
      </c>
      <c r="AK305" s="17">
        <f>IF(AN305=12,L305,0)</f>
        <v>0</v>
      </c>
      <c r="AL305" s="17">
        <f>IF(AN305=21,L305,0)</f>
        <v>0</v>
      </c>
      <c r="AN305" s="17">
        <v>12</v>
      </c>
      <c r="AO305" s="17">
        <f>H305*1</f>
        <v>0</v>
      </c>
      <c r="AP305" s="17">
        <f>H305*(1-1)</f>
        <v>0</v>
      </c>
      <c r="AQ305" s="76" t="s">
        <v>577</v>
      </c>
      <c r="AV305" s="17">
        <f>ROUND(AW305+AX305,2)</f>
        <v>0</v>
      </c>
      <c r="AW305" s="17">
        <f>ROUND(G305*AO305,2)</f>
        <v>0</v>
      </c>
      <c r="AX305" s="17">
        <f>ROUND(G305*AP305,2)</f>
        <v>0</v>
      </c>
      <c r="AY305" s="76" t="s">
        <v>603</v>
      </c>
      <c r="AZ305" s="76" t="s">
        <v>850</v>
      </c>
      <c r="BA305" s="14" t="s">
        <v>851</v>
      </c>
      <c r="BC305" s="17">
        <f>AW305+AX305</f>
        <v>0</v>
      </c>
      <c r="BD305" s="17">
        <f>H305/(100-BE305)*100</f>
        <v>0</v>
      </c>
      <c r="BE305" s="17">
        <v>0</v>
      </c>
      <c r="BF305" s="17">
        <f>O305</f>
        <v>0</v>
      </c>
      <c r="BH305" s="17">
        <f>G305*AO305</f>
        <v>0</v>
      </c>
      <c r="BI305" s="17">
        <f>G305*AP305</f>
        <v>0</v>
      </c>
      <c r="BJ305" s="17">
        <f>G305*H305</f>
        <v>0</v>
      </c>
      <c r="BK305" s="17"/>
      <c r="BL305" s="17">
        <v>713</v>
      </c>
      <c r="BW305" s="17">
        <f>I305</f>
        <v>12</v>
      </c>
      <c r="BX305" s="4" t="s">
        <v>225</v>
      </c>
    </row>
    <row r="306" spans="1:76" x14ac:dyDescent="0.25">
      <c r="A306" s="1" t="s">
        <v>853</v>
      </c>
      <c r="B306" s="2" t="s">
        <v>253</v>
      </c>
      <c r="C306" s="2" t="s">
        <v>226</v>
      </c>
      <c r="D306" s="83" t="s">
        <v>227</v>
      </c>
      <c r="E306" s="84"/>
      <c r="F306" s="2" t="s">
        <v>35</v>
      </c>
      <c r="G306" s="17">
        <f>'Rozpočet - vybrané sloupce'!J252</f>
        <v>16</v>
      </c>
      <c r="H306" s="17">
        <f>'Rozpočet - vybrané sloupce'!K252</f>
        <v>0</v>
      </c>
      <c r="I306" s="74">
        <v>12</v>
      </c>
      <c r="J306" s="17">
        <f>ROUND(G306*AO306,2)</f>
        <v>0</v>
      </c>
      <c r="K306" s="17">
        <f>ROUND(G306*AP306,2)</f>
        <v>0</v>
      </c>
      <c r="L306" s="17">
        <f>ROUND(G306*H306,2)</f>
        <v>0</v>
      </c>
      <c r="M306" s="17">
        <f>L306*(1+BW306/100)</f>
        <v>0</v>
      </c>
      <c r="N306" s="17">
        <v>0</v>
      </c>
      <c r="O306" s="17">
        <f>G306*N306</f>
        <v>0</v>
      </c>
      <c r="P306" s="75" t="s">
        <v>576</v>
      </c>
      <c r="Z306" s="17">
        <f>ROUND(IF(AQ306="5",BJ306,0),2)</f>
        <v>0</v>
      </c>
      <c r="AB306" s="17">
        <f>ROUND(IF(AQ306="1",BH306,0),2)</f>
        <v>0</v>
      </c>
      <c r="AC306" s="17">
        <f>ROUND(IF(AQ306="1",BI306,0),2)</f>
        <v>0</v>
      </c>
      <c r="AD306" s="17">
        <f>ROUND(IF(AQ306="7",BH306,0),2)</f>
        <v>0</v>
      </c>
      <c r="AE306" s="17">
        <f>ROUND(IF(AQ306="7",BI306,0),2)</f>
        <v>0</v>
      </c>
      <c r="AF306" s="17">
        <f>ROUND(IF(AQ306="2",BH306,0),2)</f>
        <v>0</v>
      </c>
      <c r="AG306" s="17">
        <f>ROUND(IF(AQ306="2",BI306,0),2)</f>
        <v>0</v>
      </c>
      <c r="AH306" s="17">
        <f>ROUND(IF(AQ306="0",BJ306,0),2)</f>
        <v>0</v>
      </c>
      <c r="AI306" s="14" t="s">
        <v>253</v>
      </c>
      <c r="AJ306" s="17">
        <f>IF(AN306=0,L306,0)</f>
        <v>0</v>
      </c>
      <c r="AK306" s="17">
        <f>IF(AN306=12,L306,0)</f>
        <v>0</v>
      </c>
      <c r="AL306" s="17">
        <f>IF(AN306=21,L306,0)</f>
        <v>0</v>
      </c>
      <c r="AN306" s="17">
        <v>12</v>
      </c>
      <c r="AO306" s="17">
        <f>H306*1</f>
        <v>0</v>
      </c>
      <c r="AP306" s="17">
        <f>H306*(1-1)</f>
        <v>0</v>
      </c>
      <c r="AQ306" s="76" t="s">
        <v>577</v>
      </c>
      <c r="AV306" s="17">
        <f>ROUND(AW306+AX306,2)</f>
        <v>0</v>
      </c>
      <c r="AW306" s="17">
        <f>ROUND(G306*AO306,2)</f>
        <v>0</v>
      </c>
      <c r="AX306" s="17">
        <f>ROUND(G306*AP306,2)</f>
        <v>0</v>
      </c>
      <c r="AY306" s="76" t="s">
        <v>603</v>
      </c>
      <c r="AZ306" s="76" t="s">
        <v>850</v>
      </c>
      <c r="BA306" s="14" t="s">
        <v>851</v>
      </c>
      <c r="BC306" s="17">
        <f>AW306+AX306</f>
        <v>0</v>
      </c>
      <c r="BD306" s="17">
        <f>H306/(100-BE306)*100</f>
        <v>0</v>
      </c>
      <c r="BE306" s="17">
        <v>0</v>
      </c>
      <c r="BF306" s="17">
        <f>O306</f>
        <v>0</v>
      </c>
      <c r="BH306" s="17">
        <f>G306*AO306</f>
        <v>0</v>
      </c>
      <c r="BI306" s="17">
        <f>G306*AP306</f>
        <v>0</v>
      </c>
      <c r="BJ306" s="17">
        <f>G306*H306</f>
        <v>0</v>
      </c>
      <c r="BK306" s="17"/>
      <c r="BL306" s="17">
        <v>713</v>
      </c>
      <c r="BW306" s="17">
        <f>I306</f>
        <v>12</v>
      </c>
      <c r="BX306" s="4" t="s">
        <v>227</v>
      </c>
    </row>
    <row r="307" spans="1:76" x14ac:dyDescent="0.25">
      <c r="A307" s="1" t="s">
        <v>854</v>
      </c>
      <c r="B307" s="2" t="s">
        <v>253</v>
      </c>
      <c r="C307" s="2" t="s">
        <v>56</v>
      </c>
      <c r="D307" s="83" t="s">
        <v>57</v>
      </c>
      <c r="E307" s="84"/>
      <c r="F307" s="2" t="s">
        <v>45</v>
      </c>
      <c r="G307" s="17">
        <f>'Rozpočet - vybrané sloupce'!J253</f>
        <v>0</v>
      </c>
      <c r="H307" s="17">
        <f>'Rozpočet - vybrané sloupce'!K253</f>
        <v>0</v>
      </c>
      <c r="I307" s="74">
        <v>12</v>
      </c>
      <c r="J307" s="17">
        <f>ROUND(G307*AO307,2)</f>
        <v>0</v>
      </c>
      <c r="K307" s="17">
        <f>ROUND(G307*AP307,2)</f>
        <v>0</v>
      </c>
      <c r="L307" s="17">
        <f>ROUND(G307*H307,2)</f>
        <v>0</v>
      </c>
      <c r="M307" s="17">
        <f>L307*(1+BW307/100)</f>
        <v>0</v>
      </c>
      <c r="N307" s="17">
        <v>0</v>
      </c>
      <c r="O307" s="17">
        <f>G307*N307</f>
        <v>0</v>
      </c>
      <c r="P307" s="75" t="s">
        <v>576</v>
      </c>
      <c r="Z307" s="17">
        <f>ROUND(IF(AQ307="5",BJ307,0),2)</f>
        <v>0</v>
      </c>
      <c r="AB307" s="17">
        <f>ROUND(IF(AQ307="1",BH307,0),2)</f>
        <v>0</v>
      </c>
      <c r="AC307" s="17">
        <f>ROUND(IF(AQ307="1",BI307,0),2)</f>
        <v>0</v>
      </c>
      <c r="AD307" s="17">
        <f>ROUND(IF(AQ307="7",BH307,0),2)</f>
        <v>0</v>
      </c>
      <c r="AE307" s="17">
        <f>ROUND(IF(AQ307="7",BI307,0),2)</f>
        <v>0</v>
      </c>
      <c r="AF307" s="17">
        <f>ROUND(IF(AQ307="2",BH307,0),2)</f>
        <v>0</v>
      </c>
      <c r="AG307" s="17">
        <f>ROUND(IF(AQ307="2",BI307,0),2)</f>
        <v>0</v>
      </c>
      <c r="AH307" s="17">
        <f>ROUND(IF(AQ307="0",BJ307,0),2)</f>
        <v>0</v>
      </c>
      <c r="AI307" s="14" t="s">
        <v>253</v>
      </c>
      <c r="AJ307" s="17">
        <f>IF(AN307=0,L307,0)</f>
        <v>0</v>
      </c>
      <c r="AK307" s="17">
        <f>IF(AN307=12,L307,0)</f>
        <v>0</v>
      </c>
      <c r="AL307" s="17">
        <f>IF(AN307=21,L307,0)</f>
        <v>0</v>
      </c>
      <c r="AN307" s="17">
        <v>12</v>
      </c>
      <c r="AO307" s="17">
        <f>H307*0</f>
        <v>0</v>
      </c>
      <c r="AP307" s="17">
        <f>H307*(1-0)</f>
        <v>0</v>
      </c>
      <c r="AQ307" s="76" t="s">
        <v>585</v>
      </c>
      <c r="AV307" s="17">
        <f>ROUND(AW307+AX307,2)</f>
        <v>0</v>
      </c>
      <c r="AW307" s="17">
        <f>ROUND(G307*AO307,2)</f>
        <v>0</v>
      </c>
      <c r="AX307" s="17">
        <f>ROUND(G307*AP307,2)</f>
        <v>0</v>
      </c>
      <c r="AY307" s="76" t="s">
        <v>603</v>
      </c>
      <c r="AZ307" s="76" t="s">
        <v>850</v>
      </c>
      <c r="BA307" s="14" t="s">
        <v>851</v>
      </c>
      <c r="BC307" s="17">
        <f>AW307+AX307</f>
        <v>0</v>
      </c>
      <c r="BD307" s="17">
        <f>H307/(100-BE307)*100</f>
        <v>0</v>
      </c>
      <c r="BE307" s="17">
        <v>0</v>
      </c>
      <c r="BF307" s="17">
        <f>O307</f>
        <v>0</v>
      </c>
      <c r="BH307" s="17">
        <f>G307*AO307</f>
        <v>0</v>
      </c>
      <c r="BI307" s="17">
        <f>G307*AP307</f>
        <v>0</v>
      </c>
      <c r="BJ307" s="17">
        <f>G307*H307</f>
        <v>0</v>
      </c>
      <c r="BK307" s="17"/>
      <c r="BL307" s="17">
        <v>713</v>
      </c>
      <c r="BW307" s="17">
        <f>I307</f>
        <v>12</v>
      </c>
      <c r="BX307" s="4" t="s">
        <v>57</v>
      </c>
    </row>
    <row r="308" spans="1:76" x14ac:dyDescent="0.25">
      <c r="A308" s="71" t="s">
        <v>25</v>
      </c>
      <c r="B308" s="13" t="s">
        <v>253</v>
      </c>
      <c r="C308" s="13" t="s">
        <v>111</v>
      </c>
      <c r="D308" s="135" t="s">
        <v>112</v>
      </c>
      <c r="E308" s="136"/>
      <c r="F308" s="72" t="s">
        <v>23</v>
      </c>
      <c r="G308" s="72" t="s">
        <v>23</v>
      </c>
      <c r="H308" s="72" t="s">
        <v>23</v>
      </c>
      <c r="I308" s="72" t="s">
        <v>23</v>
      </c>
      <c r="J308" s="47" t="e">
        <f>SUM(J309:J329)</f>
        <v>#REF!</v>
      </c>
      <c r="K308" s="47" t="e">
        <f>SUM(K309:K329)</f>
        <v>#REF!</v>
      </c>
      <c r="L308" s="47" t="e">
        <f>SUM(L309:L329)</f>
        <v>#REF!</v>
      </c>
      <c r="M308" s="47" t="e">
        <f>SUM(M309:M329)</f>
        <v>#REF!</v>
      </c>
      <c r="N308" s="14" t="s">
        <v>25</v>
      </c>
      <c r="O308" s="47" t="e">
        <f>SUM(O309:O329)</f>
        <v>#REF!</v>
      </c>
      <c r="P308" s="73" t="s">
        <v>25</v>
      </c>
      <c r="AI308" s="14" t="s">
        <v>253</v>
      </c>
      <c r="AS308" s="47">
        <f>SUM(AJ309:AJ329)</f>
        <v>0</v>
      </c>
      <c r="AT308" s="47" t="e">
        <f>SUM(AK309:AK329)</f>
        <v>#REF!</v>
      </c>
      <c r="AU308" s="47">
        <f>SUM(AL309:AL329)</f>
        <v>0</v>
      </c>
    </row>
    <row r="309" spans="1:76" x14ac:dyDescent="0.25">
      <c r="A309" s="1" t="s">
        <v>855</v>
      </c>
      <c r="B309" s="2" t="s">
        <v>253</v>
      </c>
      <c r="C309" s="2" t="s">
        <v>113</v>
      </c>
      <c r="D309" s="83" t="s">
        <v>114</v>
      </c>
      <c r="E309" s="84"/>
      <c r="F309" s="2" t="s">
        <v>31</v>
      </c>
      <c r="G309" s="17">
        <f>'Rozpočet - vybrané sloupce'!J255</f>
        <v>118</v>
      </c>
      <c r="H309" s="17">
        <f>'Rozpočet - vybrané sloupce'!K255</f>
        <v>0</v>
      </c>
      <c r="I309" s="74">
        <v>12</v>
      </c>
      <c r="J309" s="17">
        <f t="shared" ref="J309:J327" si="398">ROUND(G309*AO309,2)</f>
        <v>0</v>
      </c>
      <c r="K309" s="17">
        <f t="shared" ref="K309:K327" si="399">ROUND(G309*AP309,2)</f>
        <v>0</v>
      </c>
      <c r="L309" s="17">
        <f t="shared" ref="L309:L327" si="400">ROUND(G309*H309,2)</f>
        <v>0</v>
      </c>
      <c r="M309" s="17">
        <f t="shared" ref="M309:M327" si="401">L309*(1+BW309/100)</f>
        <v>0</v>
      </c>
      <c r="N309" s="17">
        <v>2.7999999999999998E-4</v>
      </c>
      <c r="O309" s="17">
        <f t="shared" ref="O309:O327" si="402">G309*N309</f>
        <v>3.304E-2</v>
      </c>
      <c r="P309" s="75" t="s">
        <v>576</v>
      </c>
      <c r="Z309" s="17">
        <f t="shared" ref="Z309:Z327" si="403">ROUND(IF(AQ309="5",BJ309,0),2)</f>
        <v>0</v>
      </c>
      <c r="AB309" s="17">
        <f t="shared" ref="AB309:AB327" si="404">ROUND(IF(AQ309="1",BH309,0),2)</f>
        <v>0</v>
      </c>
      <c r="AC309" s="17">
        <f t="shared" ref="AC309:AC327" si="405">ROUND(IF(AQ309="1",BI309,0),2)</f>
        <v>0</v>
      </c>
      <c r="AD309" s="17">
        <f t="shared" ref="AD309:AD327" si="406">ROUND(IF(AQ309="7",BH309,0),2)</f>
        <v>0</v>
      </c>
      <c r="AE309" s="17">
        <f t="shared" ref="AE309:AE327" si="407">ROUND(IF(AQ309="7",BI309,0),2)</f>
        <v>0</v>
      </c>
      <c r="AF309" s="17">
        <f t="shared" ref="AF309:AF327" si="408">ROUND(IF(AQ309="2",BH309,0),2)</f>
        <v>0</v>
      </c>
      <c r="AG309" s="17">
        <f t="shared" ref="AG309:AG327" si="409">ROUND(IF(AQ309="2",BI309,0),2)</f>
        <v>0</v>
      </c>
      <c r="AH309" s="17">
        <f t="shared" ref="AH309:AH327" si="410">ROUND(IF(AQ309="0",BJ309,0),2)</f>
        <v>0</v>
      </c>
      <c r="AI309" s="14" t="s">
        <v>253</v>
      </c>
      <c r="AJ309" s="17">
        <f t="shared" ref="AJ309:AJ327" si="411">IF(AN309=0,L309,0)</f>
        <v>0</v>
      </c>
      <c r="AK309" s="17">
        <f t="shared" ref="AK309:AK327" si="412">IF(AN309=12,L309,0)</f>
        <v>0</v>
      </c>
      <c r="AL309" s="17">
        <f t="shared" ref="AL309:AL327" si="413">IF(AN309=21,L309,0)</f>
        <v>0</v>
      </c>
      <c r="AN309" s="17">
        <v>12</v>
      </c>
      <c r="AO309" s="17">
        <f>H309*0</f>
        <v>0</v>
      </c>
      <c r="AP309" s="17">
        <f>H309*(1-0)</f>
        <v>0</v>
      </c>
      <c r="AQ309" s="76" t="s">
        <v>577</v>
      </c>
      <c r="AV309" s="17">
        <f t="shared" ref="AV309:AV327" si="414">ROUND(AW309+AX309,2)</f>
        <v>0</v>
      </c>
      <c r="AW309" s="17">
        <f t="shared" ref="AW309:AW327" si="415">ROUND(G309*AO309,2)</f>
        <v>0</v>
      </c>
      <c r="AX309" s="17">
        <f t="shared" ref="AX309:AX327" si="416">ROUND(G309*AP309,2)</f>
        <v>0</v>
      </c>
      <c r="AY309" s="76" t="s">
        <v>677</v>
      </c>
      <c r="AZ309" s="76" t="s">
        <v>856</v>
      </c>
      <c r="BA309" s="14" t="s">
        <v>851</v>
      </c>
      <c r="BC309" s="17">
        <f t="shared" ref="BC309:BC327" si="417">AW309+AX309</f>
        <v>0</v>
      </c>
      <c r="BD309" s="17">
        <f t="shared" ref="BD309:BD327" si="418">H309/(100-BE309)*100</f>
        <v>0</v>
      </c>
      <c r="BE309" s="17">
        <v>0</v>
      </c>
      <c r="BF309" s="17">
        <f t="shared" ref="BF309:BF327" si="419">O309</f>
        <v>3.304E-2</v>
      </c>
      <c r="BH309" s="17">
        <f t="shared" ref="BH309:BH327" si="420">G309*AO309</f>
        <v>0</v>
      </c>
      <c r="BI309" s="17">
        <f t="shared" ref="BI309:BI327" si="421">G309*AP309</f>
        <v>0</v>
      </c>
      <c r="BJ309" s="17">
        <f t="shared" ref="BJ309:BJ327" si="422">G309*H309</f>
        <v>0</v>
      </c>
      <c r="BK309" s="17"/>
      <c r="BL309" s="17">
        <v>722</v>
      </c>
      <c r="BW309" s="17">
        <f t="shared" ref="BW309:BW327" si="423">I309</f>
        <v>12</v>
      </c>
      <c r="BX309" s="4" t="s">
        <v>114</v>
      </c>
    </row>
    <row r="310" spans="1:76" x14ac:dyDescent="0.25">
      <c r="A310" s="1" t="s">
        <v>857</v>
      </c>
      <c r="B310" s="2" t="s">
        <v>253</v>
      </c>
      <c r="C310" s="2" t="s">
        <v>228</v>
      </c>
      <c r="D310" s="83" t="s">
        <v>229</v>
      </c>
      <c r="E310" s="84"/>
      <c r="F310" s="2" t="s">
        <v>35</v>
      </c>
      <c r="G310" s="17">
        <f>'Rozpočet - vybrané sloupce'!J256</f>
        <v>24</v>
      </c>
      <c r="H310" s="17">
        <f>'Rozpočet - vybrané sloupce'!K256</f>
        <v>0</v>
      </c>
      <c r="I310" s="74">
        <v>12</v>
      </c>
      <c r="J310" s="17">
        <f t="shared" si="398"/>
        <v>0</v>
      </c>
      <c r="K310" s="17">
        <f t="shared" si="399"/>
        <v>0</v>
      </c>
      <c r="L310" s="17">
        <f t="shared" si="400"/>
        <v>0</v>
      </c>
      <c r="M310" s="17">
        <f t="shared" si="401"/>
        <v>0</v>
      </c>
      <c r="N310" s="17">
        <v>6.9999999999999999E-4</v>
      </c>
      <c r="O310" s="17">
        <f t="shared" si="402"/>
        <v>1.6799999999999999E-2</v>
      </c>
      <c r="P310" s="75" t="s">
        <v>576</v>
      </c>
      <c r="Z310" s="17">
        <f t="shared" si="403"/>
        <v>0</v>
      </c>
      <c r="AB310" s="17">
        <f t="shared" si="404"/>
        <v>0</v>
      </c>
      <c r="AC310" s="17">
        <f t="shared" si="405"/>
        <v>0</v>
      </c>
      <c r="AD310" s="17">
        <f t="shared" si="406"/>
        <v>0</v>
      </c>
      <c r="AE310" s="17">
        <f t="shared" si="407"/>
        <v>0</v>
      </c>
      <c r="AF310" s="17">
        <f t="shared" si="408"/>
        <v>0</v>
      </c>
      <c r="AG310" s="17">
        <f t="shared" si="409"/>
        <v>0</v>
      </c>
      <c r="AH310" s="17">
        <f t="shared" si="410"/>
        <v>0</v>
      </c>
      <c r="AI310" s="14" t="s">
        <v>253</v>
      </c>
      <c r="AJ310" s="17">
        <f t="shared" si="411"/>
        <v>0</v>
      </c>
      <c r="AK310" s="17">
        <f t="shared" si="412"/>
        <v>0</v>
      </c>
      <c r="AL310" s="17">
        <f t="shared" si="413"/>
        <v>0</v>
      </c>
      <c r="AN310" s="17">
        <v>12</v>
      </c>
      <c r="AO310" s="17">
        <f>H310*0.274019715</f>
        <v>0</v>
      </c>
      <c r="AP310" s="17">
        <f>H310*(1-0.274019715)</f>
        <v>0</v>
      </c>
      <c r="AQ310" s="76" t="s">
        <v>577</v>
      </c>
      <c r="AV310" s="17">
        <f t="shared" si="414"/>
        <v>0</v>
      </c>
      <c r="AW310" s="17">
        <f t="shared" si="415"/>
        <v>0</v>
      </c>
      <c r="AX310" s="17">
        <f t="shared" si="416"/>
        <v>0</v>
      </c>
      <c r="AY310" s="76" t="s">
        <v>677</v>
      </c>
      <c r="AZ310" s="76" t="s">
        <v>856</v>
      </c>
      <c r="BA310" s="14" t="s">
        <v>851</v>
      </c>
      <c r="BC310" s="17">
        <f t="shared" si="417"/>
        <v>0</v>
      </c>
      <c r="BD310" s="17">
        <f t="shared" si="418"/>
        <v>0</v>
      </c>
      <c r="BE310" s="17">
        <v>0</v>
      </c>
      <c r="BF310" s="17">
        <f t="shared" si="419"/>
        <v>1.6799999999999999E-2</v>
      </c>
      <c r="BH310" s="17">
        <f t="shared" si="420"/>
        <v>0</v>
      </c>
      <c r="BI310" s="17">
        <f t="shared" si="421"/>
        <v>0</v>
      </c>
      <c r="BJ310" s="17">
        <f t="shared" si="422"/>
        <v>0</v>
      </c>
      <c r="BK310" s="17"/>
      <c r="BL310" s="17">
        <v>722</v>
      </c>
      <c r="BW310" s="17">
        <f t="shared" si="423"/>
        <v>12</v>
      </c>
      <c r="BX310" s="4" t="s">
        <v>229</v>
      </c>
    </row>
    <row r="311" spans="1:76" x14ac:dyDescent="0.25">
      <c r="A311" s="1" t="s">
        <v>858</v>
      </c>
      <c r="B311" s="2" t="s">
        <v>253</v>
      </c>
      <c r="C311" s="2" t="s">
        <v>117</v>
      </c>
      <c r="D311" s="83" t="s">
        <v>118</v>
      </c>
      <c r="E311" s="84"/>
      <c r="F311" s="2" t="s">
        <v>31</v>
      </c>
      <c r="G311" s="17">
        <f>'Rozpočet - vybrané sloupce'!J257</f>
        <v>46</v>
      </c>
      <c r="H311" s="17">
        <f>'Rozpočet - vybrané sloupce'!K257</f>
        <v>0</v>
      </c>
      <c r="I311" s="74">
        <v>12</v>
      </c>
      <c r="J311" s="17">
        <f t="shared" si="398"/>
        <v>0</v>
      </c>
      <c r="K311" s="17">
        <f t="shared" si="399"/>
        <v>0</v>
      </c>
      <c r="L311" s="17">
        <f t="shared" si="400"/>
        <v>0</v>
      </c>
      <c r="M311" s="17">
        <f t="shared" si="401"/>
        <v>0</v>
      </c>
      <c r="N311" s="17">
        <v>4.2999999999999999E-4</v>
      </c>
      <c r="O311" s="17">
        <f t="shared" si="402"/>
        <v>1.9779999999999999E-2</v>
      </c>
      <c r="P311" s="75" t="s">
        <v>576</v>
      </c>
      <c r="Z311" s="17">
        <f t="shared" si="403"/>
        <v>0</v>
      </c>
      <c r="AB311" s="17">
        <f t="shared" si="404"/>
        <v>0</v>
      </c>
      <c r="AC311" s="17">
        <f t="shared" si="405"/>
        <v>0</v>
      </c>
      <c r="AD311" s="17">
        <f t="shared" si="406"/>
        <v>0</v>
      </c>
      <c r="AE311" s="17">
        <f t="shared" si="407"/>
        <v>0</v>
      </c>
      <c r="AF311" s="17">
        <f t="shared" si="408"/>
        <v>0</v>
      </c>
      <c r="AG311" s="17">
        <f t="shared" si="409"/>
        <v>0</v>
      </c>
      <c r="AH311" s="17">
        <f t="shared" si="410"/>
        <v>0</v>
      </c>
      <c r="AI311" s="14" t="s">
        <v>253</v>
      </c>
      <c r="AJ311" s="17">
        <f t="shared" si="411"/>
        <v>0</v>
      </c>
      <c r="AK311" s="17">
        <f t="shared" si="412"/>
        <v>0</v>
      </c>
      <c r="AL311" s="17">
        <f t="shared" si="413"/>
        <v>0</v>
      </c>
      <c r="AN311" s="17">
        <v>12</v>
      </c>
      <c r="AO311" s="17">
        <f>H311*0.433809524</f>
        <v>0</v>
      </c>
      <c r="AP311" s="17">
        <f>H311*(1-0.433809524)</f>
        <v>0</v>
      </c>
      <c r="AQ311" s="76" t="s">
        <v>577</v>
      </c>
      <c r="AV311" s="17">
        <f t="shared" si="414"/>
        <v>0</v>
      </c>
      <c r="AW311" s="17">
        <f t="shared" si="415"/>
        <v>0</v>
      </c>
      <c r="AX311" s="17">
        <f t="shared" si="416"/>
        <v>0</v>
      </c>
      <c r="AY311" s="76" t="s">
        <v>677</v>
      </c>
      <c r="AZ311" s="76" t="s">
        <v>856</v>
      </c>
      <c r="BA311" s="14" t="s">
        <v>851</v>
      </c>
      <c r="BC311" s="17">
        <f t="shared" si="417"/>
        <v>0</v>
      </c>
      <c r="BD311" s="17">
        <f t="shared" si="418"/>
        <v>0</v>
      </c>
      <c r="BE311" s="17">
        <v>0</v>
      </c>
      <c r="BF311" s="17">
        <f t="shared" si="419"/>
        <v>1.9779999999999999E-2</v>
      </c>
      <c r="BH311" s="17">
        <f t="shared" si="420"/>
        <v>0</v>
      </c>
      <c r="BI311" s="17">
        <f t="shared" si="421"/>
        <v>0</v>
      </c>
      <c r="BJ311" s="17">
        <f t="shared" si="422"/>
        <v>0</v>
      </c>
      <c r="BK311" s="17"/>
      <c r="BL311" s="17">
        <v>722</v>
      </c>
      <c r="BW311" s="17">
        <f t="shared" si="423"/>
        <v>12</v>
      </c>
      <c r="BX311" s="4" t="s">
        <v>118</v>
      </c>
    </row>
    <row r="312" spans="1:76" x14ac:dyDescent="0.25">
      <c r="A312" s="1" t="s">
        <v>859</v>
      </c>
      <c r="B312" s="2" t="s">
        <v>253</v>
      </c>
      <c r="C312" s="2" t="s">
        <v>119</v>
      </c>
      <c r="D312" s="83" t="s">
        <v>120</v>
      </c>
      <c r="E312" s="84"/>
      <c r="F312" s="2" t="s">
        <v>31</v>
      </c>
      <c r="G312" s="17">
        <f>'Rozpočet - vybrané sloupce'!J258</f>
        <v>24</v>
      </c>
      <c r="H312" s="17">
        <f>'Rozpočet - vybrané sloupce'!K258</f>
        <v>0</v>
      </c>
      <c r="I312" s="74">
        <v>12</v>
      </c>
      <c r="J312" s="17">
        <f t="shared" si="398"/>
        <v>0</v>
      </c>
      <c r="K312" s="17">
        <f t="shared" si="399"/>
        <v>0</v>
      </c>
      <c r="L312" s="17">
        <f t="shared" si="400"/>
        <v>0</v>
      </c>
      <c r="M312" s="17">
        <f t="shared" si="401"/>
        <v>0</v>
      </c>
      <c r="N312" s="17">
        <v>5.2999999999999998E-4</v>
      </c>
      <c r="O312" s="17">
        <f t="shared" si="402"/>
        <v>1.2719999999999999E-2</v>
      </c>
      <c r="P312" s="75" t="s">
        <v>576</v>
      </c>
      <c r="Z312" s="17">
        <f t="shared" si="403"/>
        <v>0</v>
      </c>
      <c r="AB312" s="17">
        <f t="shared" si="404"/>
        <v>0</v>
      </c>
      <c r="AC312" s="17">
        <f t="shared" si="405"/>
        <v>0</v>
      </c>
      <c r="AD312" s="17">
        <f t="shared" si="406"/>
        <v>0</v>
      </c>
      <c r="AE312" s="17">
        <f t="shared" si="407"/>
        <v>0</v>
      </c>
      <c r="AF312" s="17">
        <f t="shared" si="408"/>
        <v>0</v>
      </c>
      <c r="AG312" s="17">
        <f t="shared" si="409"/>
        <v>0</v>
      </c>
      <c r="AH312" s="17">
        <f t="shared" si="410"/>
        <v>0</v>
      </c>
      <c r="AI312" s="14" t="s">
        <v>253</v>
      </c>
      <c r="AJ312" s="17">
        <f t="shared" si="411"/>
        <v>0</v>
      </c>
      <c r="AK312" s="17">
        <f t="shared" si="412"/>
        <v>0</v>
      </c>
      <c r="AL312" s="17">
        <f t="shared" si="413"/>
        <v>0</v>
      </c>
      <c r="AN312" s="17">
        <v>12</v>
      </c>
      <c r="AO312" s="17">
        <f>H312*0.499111111</f>
        <v>0</v>
      </c>
      <c r="AP312" s="17">
        <f>H312*(1-0.499111111)</f>
        <v>0</v>
      </c>
      <c r="AQ312" s="76" t="s">
        <v>577</v>
      </c>
      <c r="AV312" s="17">
        <f t="shared" si="414"/>
        <v>0</v>
      </c>
      <c r="AW312" s="17">
        <f t="shared" si="415"/>
        <v>0</v>
      </c>
      <c r="AX312" s="17">
        <f t="shared" si="416"/>
        <v>0</v>
      </c>
      <c r="AY312" s="76" t="s">
        <v>677</v>
      </c>
      <c r="AZ312" s="76" t="s">
        <v>856</v>
      </c>
      <c r="BA312" s="14" t="s">
        <v>851</v>
      </c>
      <c r="BC312" s="17">
        <f t="shared" si="417"/>
        <v>0</v>
      </c>
      <c r="BD312" s="17">
        <f t="shared" si="418"/>
        <v>0</v>
      </c>
      <c r="BE312" s="17">
        <v>0</v>
      </c>
      <c r="BF312" s="17">
        <f t="shared" si="419"/>
        <v>1.2719999999999999E-2</v>
      </c>
      <c r="BH312" s="17">
        <f t="shared" si="420"/>
        <v>0</v>
      </c>
      <c r="BI312" s="17">
        <f t="shared" si="421"/>
        <v>0</v>
      </c>
      <c r="BJ312" s="17">
        <f t="shared" si="422"/>
        <v>0</v>
      </c>
      <c r="BK312" s="17"/>
      <c r="BL312" s="17">
        <v>722</v>
      </c>
      <c r="BW312" s="17">
        <f t="shared" si="423"/>
        <v>12</v>
      </c>
      <c r="BX312" s="4" t="s">
        <v>120</v>
      </c>
    </row>
    <row r="313" spans="1:76" x14ac:dyDescent="0.25">
      <c r="A313" s="1" t="s">
        <v>860</v>
      </c>
      <c r="B313" s="2" t="s">
        <v>253</v>
      </c>
      <c r="C313" s="2" t="s">
        <v>121</v>
      </c>
      <c r="D313" s="83" t="s">
        <v>122</v>
      </c>
      <c r="E313" s="84"/>
      <c r="F313" s="2" t="s">
        <v>31</v>
      </c>
      <c r="G313" s="17">
        <f>'Rozpočet - vybrané sloupce'!J259</f>
        <v>48</v>
      </c>
      <c r="H313" s="17">
        <f>'Rozpočet - vybrané sloupce'!K259</f>
        <v>0</v>
      </c>
      <c r="I313" s="74">
        <v>12</v>
      </c>
      <c r="J313" s="17">
        <f t="shared" si="398"/>
        <v>0</v>
      </c>
      <c r="K313" s="17">
        <f t="shared" si="399"/>
        <v>0</v>
      </c>
      <c r="L313" s="17">
        <f t="shared" si="400"/>
        <v>0</v>
      </c>
      <c r="M313" s="17">
        <f t="shared" si="401"/>
        <v>0</v>
      </c>
      <c r="N313" s="17">
        <v>7.2999999999999996E-4</v>
      </c>
      <c r="O313" s="17">
        <f t="shared" si="402"/>
        <v>3.5040000000000002E-2</v>
      </c>
      <c r="P313" s="75" t="s">
        <v>576</v>
      </c>
      <c r="Z313" s="17">
        <f t="shared" si="403"/>
        <v>0</v>
      </c>
      <c r="AB313" s="17">
        <f t="shared" si="404"/>
        <v>0</v>
      </c>
      <c r="AC313" s="17">
        <f t="shared" si="405"/>
        <v>0</v>
      </c>
      <c r="AD313" s="17">
        <f t="shared" si="406"/>
        <v>0</v>
      </c>
      <c r="AE313" s="17">
        <f t="shared" si="407"/>
        <v>0</v>
      </c>
      <c r="AF313" s="17">
        <f t="shared" si="408"/>
        <v>0</v>
      </c>
      <c r="AG313" s="17">
        <f t="shared" si="409"/>
        <v>0</v>
      </c>
      <c r="AH313" s="17">
        <f t="shared" si="410"/>
        <v>0</v>
      </c>
      <c r="AI313" s="14" t="s">
        <v>253</v>
      </c>
      <c r="AJ313" s="17">
        <f t="shared" si="411"/>
        <v>0</v>
      </c>
      <c r="AK313" s="17">
        <f t="shared" si="412"/>
        <v>0</v>
      </c>
      <c r="AL313" s="17">
        <f t="shared" si="413"/>
        <v>0</v>
      </c>
      <c r="AN313" s="17">
        <v>12</v>
      </c>
      <c r="AO313" s="17">
        <f>H313*0.578547486</f>
        <v>0</v>
      </c>
      <c r="AP313" s="17">
        <f>H313*(1-0.578547486)</f>
        <v>0</v>
      </c>
      <c r="AQ313" s="76" t="s">
        <v>577</v>
      </c>
      <c r="AV313" s="17">
        <f t="shared" si="414"/>
        <v>0</v>
      </c>
      <c r="AW313" s="17">
        <f t="shared" si="415"/>
        <v>0</v>
      </c>
      <c r="AX313" s="17">
        <f t="shared" si="416"/>
        <v>0</v>
      </c>
      <c r="AY313" s="76" t="s">
        <v>677</v>
      </c>
      <c r="AZ313" s="76" t="s">
        <v>856</v>
      </c>
      <c r="BA313" s="14" t="s">
        <v>851</v>
      </c>
      <c r="BC313" s="17">
        <f t="shared" si="417"/>
        <v>0</v>
      </c>
      <c r="BD313" s="17">
        <f t="shared" si="418"/>
        <v>0</v>
      </c>
      <c r="BE313" s="17">
        <v>0</v>
      </c>
      <c r="BF313" s="17">
        <f t="shared" si="419"/>
        <v>3.5040000000000002E-2</v>
      </c>
      <c r="BH313" s="17">
        <f t="shared" si="420"/>
        <v>0</v>
      </c>
      <c r="BI313" s="17">
        <f t="shared" si="421"/>
        <v>0</v>
      </c>
      <c r="BJ313" s="17">
        <f t="shared" si="422"/>
        <v>0</v>
      </c>
      <c r="BK313" s="17"/>
      <c r="BL313" s="17">
        <v>722</v>
      </c>
      <c r="BW313" s="17">
        <f t="shared" si="423"/>
        <v>12</v>
      </c>
      <c r="BX313" s="4" t="s">
        <v>122</v>
      </c>
    </row>
    <row r="314" spans="1:76" x14ac:dyDescent="0.25">
      <c r="A314" s="1" t="s">
        <v>861</v>
      </c>
      <c r="B314" s="2" t="s">
        <v>253</v>
      </c>
      <c r="C314" s="2" t="s">
        <v>212</v>
      </c>
      <c r="D314" s="83" t="s">
        <v>213</v>
      </c>
      <c r="E314" s="84"/>
      <c r="F314" s="2" t="s">
        <v>31</v>
      </c>
      <c r="G314" s="17">
        <f>'Rozpočet - vybrané sloupce'!J260</f>
        <v>12</v>
      </c>
      <c r="H314" s="17">
        <f>'Rozpočet - vybrané sloupce'!K260</f>
        <v>0</v>
      </c>
      <c r="I314" s="74">
        <v>12</v>
      </c>
      <c r="J314" s="17">
        <f t="shared" si="398"/>
        <v>0</v>
      </c>
      <c r="K314" s="17">
        <f t="shared" si="399"/>
        <v>0</v>
      </c>
      <c r="L314" s="17">
        <f t="shared" si="400"/>
        <v>0</v>
      </c>
      <c r="M314" s="17">
        <f t="shared" si="401"/>
        <v>0</v>
      </c>
      <c r="N314" s="17">
        <v>3.0000000000000001E-5</v>
      </c>
      <c r="O314" s="17">
        <f t="shared" si="402"/>
        <v>3.6000000000000002E-4</v>
      </c>
      <c r="P314" s="75" t="s">
        <v>576</v>
      </c>
      <c r="Z314" s="17">
        <f t="shared" si="403"/>
        <v>0</v>
      </c>
      <c r="AB314" s="17">
        <f t="shared" si="404"/>
        <v>0</v>
      </c>
      <c r="AC314" s="17">
        <f t="shared" si="405"/>
        <v>0</v>
      </c>
      <c r="AD314" s="17">
        <f t="shared" si="406"/>
        <v>0</v>
      </c>
      <c r="AE314" s="17">
        <f t="shared" si="407"/>
        <v>0</v>
      </c>
      <c r="AF314" s="17">
        <f t="shared" si="408"/>
        <v>0</v>
      </c>
      <c r="AG314" s="17">
        <f t="shared" si="409"/>
        <v>0</v>
      </c>
      <c r="AH314" s="17">
        <f t="shared" si="410"/>
        <v>0</v>
      </c>
      <c r="AI314" s="14" t="s">
        <v>253</v>
      </c>
      <c r="AJ314" s="17">
        <f t="shared" si="411"/>
        <v>0</v>
      </c>
      <c r="AK314" s="17">
        <f t="shared" si="412"/>
        <v>0</v>
      </c>
      <c r="AL314" s="17">
        <f t="shared" si="413"/>
        <v>0</v>
      </c>
      <c r="AN314" s="17">
        <v>12</v>
      </c>
      <c r="AO314" s="17">
        <f>H314*0.230588235</f>
        <v>0</v>
      </c>
      <c r="AP314" s="17">
        <f>H314*(1-0.230588235)</f>
        <v>0</v>
      </c>
      <c r="AQ314" s="76" t="s">
        <v>577</v>
      </c>
      <c r="AV314" s="17">
        <f t="shared" si="414"/>
        <v>0</v>
      </c>
      <c r="AW314" s="17">
        <f t="shared" si="415"/>
        <v>0</v>
      </c>
      <c r="AX314" s="17">
        <f t="shared" si="416"/>
        <v>0</v>
      </c>
      <c r="AY314" s="76" t="s">
        <v>677</v>
      </c>
      <c r="AZ314" s="76" t="s">
        <v>856</v>
      </c>
      <c r="BA314" s="14" t="s">
        <v>851</v>
      </c>
      <c r="BC314" s="17">
        <f t="shared" si="417"/>
        <v>0</v>
      </c>
      <c r="BD314" s="17">
        <f t="shared" si="418"/>
        <v>0</v>
      </c>
      <c r="BE314" s="17">
        <v>0</v>
      </c>
      <c r="BF314" s="17">
        <f t="shared" si="419"/>
        <v>3.6000000000000002E-4</v>
      </c>
      <c r="BH314" s="17">
        <f t="shared" si="420"/>
        <v>0</v>
      </c>
      <c r="BI314" s="17">
        <f t="shared" si="421"/>
        <v>0</v>
      </c>
      <c r="BJ314" s="17">
        <f t="shared" si="422"/>
        <v>0</v>
      </c>
      <c r="BK314" s="17"/>
      <c r="BL314" s="17">
        <v>722</v>
      </c>
      <c r="BW314" s="17">
        <f t="shared" si="423"/>
        <v>12</v>
      </c>
      <c r="BX314" s="4" t="s">
        <v>213</v>
      </c>
    </row>
    <row r="315" spans="1:76" x14ac:dyDescent="0.25">
      <c r="A315" s="1" t="s">
        <v>862</v>
      </c>
      <c r="B315" s="2" t="s">
        <v>253</v>
      </c>
      <c r="C315" s="2" t="s">
        <v>127</v>
      </c>
      <c r="D315" s="83" t="s">
        <v>128</v>
      </c>
      <c r="E315" s="84"/>
      <c r="F315" s="2" t="s">
        <v>31</v>
      </c>
      <c r="G315" s="17">
        <f>'Rozpočet - vybrané sloupce'!J261</f>
        <v>12</v>
      </c>
      <c r="H315" s="17">
        <f>'Rozpočet - vybrané sloupce'!K261</f>
        <v>0</v>
      </c>
      <c r="I315" s="74">
        <v>12</v>
      </c>
      <c r="J315" s="17">
        <f t="shared" si="398"/>
        <v>0</v>
      </c>
      <c r="K315" s="17">
        <f t="shared" si="399"/>
        <v>0</v>
      </c>
      <c r="L315" s="17">
        <f t="shared" si="400"/>
        <v>0</v>
      </c>
      <c r="M315" s="17">
        <f t="shared" si="401"/>
        <v>0</v>
      </c>
      <c r="N315" s="17">
        <v>6.0000000000000002E-5</v>
      </c>
      <c r="O315" s="17">
        <f t="shared" si="402"/>
        <v>7.2000000000000005E-4</v>
      </c>
      <c r="P315" s="75" t="s">
        <v>576</v>
      </c>
      <c r="Z315" s="17">
        <f t="shared" si="403"/>
        <v>0</v>
      </c>
      <c r="AB315" s="17">
        <f t="shared" si="404"/>
        <v>0</v>
      </c>
      <c r="AC315" s="17">
        <f t="shared" si="405"/>
        <v>0</v>
      </c>
      <c r="AD315" s="17">
        <f t="shared" si="406"/>
        <v>0</v>
      </c>
      <c r="AE315" s="17">
        <f t="shared" si="407"/>
        <v>0</v>
      </c>
      <c r="AF315" s="17">
        <f t="shared" si="408"/>
        <v>0</v>
      </c>
      <c r="AG315" s="17">
        <f t="shared" si="409"/>
        <v>0</v>
      </c>
      <c r="AH315" s="17">
        <f t="shared" si="410"/>
        <v>0</v>
      </c>
      <c r="AI315" s="14" t="s">
        <v>253</v>
      </c>
      <c r="AJ315" s="17">
        <f t="shared" si="411"/>
        <v>0</v>
      </c>
      <c r="AK315" s="17">
        <f t="shared" si="412"/>
        <v>0</v>
      </c>
      <c r="AL315" s="17">
        <f t="shared" si="413"/>
        <v>0</v>
      </c>
      <c r="AN315" s="17">
        <v>12</v>
      </c>
      <c r="AO315" s="17">
        <f>H315*0.24402347</f>
        <v>0</v>
      </c>
      <c r="AP315" s="17">
        <f>H315*(1-0.24402347)</f>
        <v>0</v>
      </c>
      <c r="AQ315" s="76" t="s">
        <v>577</v>
      </c>
      <c r="AV315" s="17">
        <f t="shared" si="414"/>
        <v>0</v>
      </c>
      <c r="AW315" s="17">
        <f t="shared" si="415"/>
        <v>0</v>
      </c>
      <c r="AX315" s="17">
        <f t="shared" si="416"/>
        <v>0</v>
      </c>
      <c r="AY315" s="76" t="s">
        <v>677</v>
      </c>
      <c r="AZ315" s="76" t="s">
        <v>856</v>
      </c>
      <c r="BA315" s="14" t="s">
        <v>851</v>
      </c>
      <c r="BC315" s="17">
        <f t="shared" si="417"/>
        <v>0</v>
      </c>
      <c r="BD315" s="17">
        <f t="shared" si="418"/>
        <v>0</v>
      </c>
      <c r="BE315" s="17">
        <v>0</v>
      </c>
      <c r="BF315" s="17">
        <f t="shared" si="419"/>
        <v>7.2000000000000005E-4</v>
      </c>
      <c r="BH315" s="17">
        <f t="shared" si="420"/>
        <v>0</v>
      </c>
      <c r="BI315" s="17">
        <f t="shared" si="421"/>
        <v>0</v>
      </c>
      <c r="BJ315" s="17">
        <f t="shared" si="422"/>
        <v>0</v>
      </c>
      <c r="BK315" s="17"/>
      <c r="BL315" s="17">
        <v>722</v>
      </c>
      <c r="BW315" s="17">
        <f t="shared" si="423"/>
        <v>12</v>
      </c>
      <c r="BX315" s="4" t="s">
        <v>128</v>
      </c>
    </row>
    <row r="316" spans="1:76" x14ac:dyDescent="0.25">
      <c r="A316" s="1" t="s">
        <v>863</v>
      </c>
      <c r="B316" s="2" t="s">
        <v>253</v>
      </c>
      <c r="C316" s="2" t="s">
        <v>129</v>
      </c>
      <c r="D316" s="83" t="s">
        <v>130</v>
      </c>
      <c r="E316" s="84"/>
      <c r="F316" s="2" t="s">
        <v>31</v>
      </c>
      <c r="G316" s="17">
        <f>'Rozpočet - vybrané sloupce'!J262</f>
        <v>24</v>
      </c>
      <c r="H316" s="17">
        <f>'Rozpočet - vybrané sloupce'!K262</f>
        <v>0</v>
      </c>
      <c r="I316" s="74">
        <v>12</v>
      </c>
      <c r="J316" s="17">
        <f t="shared" si="398"/>
        <v>0</v>
      </c>
      <c r="K316" s="17">
        <f t="shared" si="399"/>
        <v>0</v>
      </c>
      <c r="L316" s="17">
        <f t="shared" si="400"/>
        <v>0</v>
      </c>
      <c r="M316" s="17">
        <f t="shared" si="401"/>
        <v>0</v>
      </c>
      <c r="N316" s="17">
        <v>5.0000000000000002E-5</v>
      </c>
      <c r="O316" s="17">
        <f t="shared" si="402"/>
        <v>1.2000000000000001E-3</v>
      </c>
      <c r="P316" s="75" t="s">
        <v>576</v>
      </c>
      <c r="Z316" s="17">
        <f t="shared" si="403"/>
        <v>0</v>
      </c>
      <c r="AB316" s="17">
        <f t="shared" si="404"/>
        <v>0</v>
      </c>
      <c r="AC316" s="17">
        <f t="shared" si="405"/>
        <v>0</v>
      </c>
      <c r="AD316" s="17">
        <f t="shared" si="406"/>
        <v>0</v>
      </c>
      <c r="AE316" s="17">
        <f t="shared" si="407"/>
        <v>0</v>
      </c>
      <c r="AF316" s="17">
        <f t="shared" si="408"/>
        <v>0</v>
      </c>
      <c r="AG316" s="17">
        <f t="shared" si="409"/>
        <v>0</v>
      </c>
      <c r="AH316" s="17">
        <f t="shared" si="410"/>
        <v>0</v>
      </c>
      <c r="AI316" s="14" t="s">
        <v>253</v>
      </c>
      <c r="AJ316" s="17">
        <f t="shared" si="411"/>
        <v>0</v>
      </c>
      <c r="AK316" s="17">
        <f t="shared" si="412"/>
        <v>0</v>
      </c>
      <c r="AL316" s="17">
        <f t="shared" si="413"/>
        <v>0</v>
      </c>
      <c r="AN316" s="17">
        <v>12</v>
      </c>
      <c r="AO316" s="17">
        <f>H316*0.242374429</f>
        <v>0</v>
      </c>
      <c r="AP316" s="17">
        <f>H316*(1-0.242374429)</f>
        <v>0</v>
      </c>
      <c r="AQ316" s="76" t="s">
        <v>577</v>
      </c>
      <c r="AV316" s="17">
        <f t="shared" si="414"/>
        <v>0</v>
      </c>
      <c r="AW316" s="17">
        <f t="shared" si="415"/>
        <v>0</v>
      </c>
      <c r="AX316" s="17">
        <f t="shared" si="416"/>
        <v>0</v>
      </c>
      <c r="AY316" s="76" t="s">
        <v>677</v>
      </c>
      <c r="AZ316" s="76" t="s">
        <v>856</v>
      </c>
      <c r="BA316" s="14" t="s">
        <v>851</v>
      </c>
      <c r="BC316" s="17">
        <f t="shared" si="417"/>
        <v>0</v>
      </c>
      <c r="BD316" s="17">
        <f t="shared" si="418"/>
        <v>0</v>
      </c>
      <c r="BE316" s="17">
        <v>0</v>
      </c>
      <c r="BF316" s="17">
        <f t="shared" si="419"/>
        <v>1.2000000000000001E-3</v>
      </c>
      <c r="BH316" s="17">
        <f t="shared" si="420"/>
        <v>0</v>
      </c>
      <c r="BI316" s="17">
        <f t="shared" si="421"/>
        <v>0</v>
      </c>
      <c r="BJ316" s="17">
        <f t="shared" si="422"/>
        <v>0</v>
      </c>
      <c r="BK316" s="17"/>
      <c r="BL316" s="17">
        <v>722</v>
      </c>
      <c r="BW316" s="17">
        <f t="shared" si="423"/>
        <v>12</v>
      </c>
      <c r="BX316" s="4" t="s">
        <v>130</v>
      </c>
    </row>
    <row r="317" spans="1:76" x14ac:dyDescent="0.25">
      <c r="A317" s="1" t="s">
        <v>864</v>
      </c>
      <c r="B317" s="2" t="s">
        <v>253</v>
      </c>
      <c r="C317" s="2" t="s">
        <v>133</v>
      </c>
      <c r="D317" s="83" t="s">
        <v>134</v>
      </c>
      <c r="E317" s="84"/>
      <c r="F317" s="2" t="s">
        <v>31</v>
      </c>
      <c r="G317" s="17">
        <f>'Rozpočet - vybrané sloupce'!J263</f>
        <v>34</v>
      </c>
      <c r="H317" s="17">
        <f>'Rozpočet - vybrané sloupce'!K263</f>
        <v>0</v>
      </c>
      <c r="I317" s="74">
        <v>12</v>
      </c>
      <c r="J317" s="17">
        <f t="shared" si="398"/>
        <v>0</v>
      </c>
      <c r="K317" s="17">
        <f t="shared" si="399"/>
        <v>0</v>
      </c>
      <c r="L317" s="17">
        <f t="shared" si="400"/>
        <v>0</v>
      </c>
      <c r="M317" s="17">
        <f t="shared" si="401"/>
        <v>0</v>
      </c>
      <c r="N317" s="17">
        <v>6.9999999999999994E-5</v>
      </c>
      <c r="O317" s="17">
        <f t="shared" si="402"/>
        <v>2.3799999999999997E-3</v>
      </c>
      <c r="P317" s="75" t="s">
        <v>576</v>
      </c>
      <c r="Z317" s="17">
        <f t="shared" si="403"/>
        <v>0</v>
      </c>
      <c r="AB317" s="17">
        <f t="shared" si="404"/>
        <v>0</v>
      </c>
      <c r="AC317" s="17">
        <f t="shared" si="405"/>
        <v>0</v>
      </c>
      <c r="AD317" s="17">
        <f t="shared" si="406"/>
        <v>0</v>
      </c>
      <c r="AE317" s="17">
        <f t="shared" si="407"/>
        <v>0</v>
      </c>
      <c r="AF317" s="17">
        <f t="shared" si="408"/>
        <v>0</v>
      </c>
      <c r="AG317" s="17">
        <f t="shared" si="409"/>
        <v>0</v>
      </c>
      <c r="AH317" s="17">
        <f t="shared" si="410"/>
        <v>0</v>
      </c>
      <c r="AI317" s="14" t="s">
        <v>253</v>
      </c>
      <c r="AJ317" s="17">
        <f t="shared" si="411"/>
        <v>0</v>
      </c>
      <c r="AK317" s="17">
        <f t="shared" si="412"/>
        <v>0</v>
      </c>
      <c r="AL317" s="17">
        <f t="shared" si="413"/>
        <v>0</v>
      </c>
      <c r="AN317" s="17">
        <v>12</v>
      </c>
      <c r="AO317" s="17">
        <f>H317*0.496107383</f>
        <v>0</v>
      </c>
      <c r="AP317" s="17">
        <f>H317*(1-0.496107383)</f>
        <v>0</v>
      </c>
      <c r="AQ317" s="76" t="s">
        <v>577</v>
      </c>
      <c r="AV317" s="17">
        <f t="shared" si="414"/>
        <v>0</v>
      </c>
      <c r="AW317" s="17">
        <f t="shared" si="415"/>
        <v>0</v>
      </c>
      <c r="AX317" s="17">
        <f t="shared" si="416"/>
        <v>0</v>
      </c>
      <c r="AY317" s="76" t="s">
        <v>677</v>
      </c>
      <c r="AZ317" s="76" t="s">
        <v>856</v>
      </c>
      <c r="BA317" s="14" t="s">
        <v>851</v>
      </c>
      <c r="BC317" s="17">
        <f t="shared" si="417"/>
        <v>0</v>
      </c>
      <c r="BD317" s="17">
        <f t="shared" si="418"/>
        <v>0</v>
      </c>
      <c r="BE317" s="17">
        <v>0</v>
      </c>
      <c r="BF317" s="17">
        <f t="shared" si="419"/>
        <v>2.3799999999999997E-3</v>
      </c>
      <c r="BH317" s="17">
        <f t="shared" si="420"/>
        <v>0</v>
      </c>
      <c r="BI317" s="17">
        <f t="shared" si="421"/>
        <v>0</v>
      </c>
      <c r="BJ317" s="17">
        <f t="shared" si="422"/>
        <v>0</v>
      </c>
      <c r="BK317" s="17"/>
      <c r="BL317" s="17">
        <v>722</v>
      </c>
      <c r="BW317" s="17">
        <f t="shared" si="423"/>
        <v>12</v>
      </c>
      <c r="BX317" s="4" t="s">
        <v>134</v>
      </c>
    </row>
    <row r="318" spans="1:76" x14ac:dyDescent="0.25">
      <c r="A318" s="1" t="s">
        <v>865</v>
      </c>
      <c r="B318" s="2" t="s">
        <v>253</v>
      </c>
      <c r="C318" s="2" t="s">
        <v>135</v>
      </c>
      <c r="D318" s="83" t="s">
        <v>136</v>
      </c>
      <c r="E318" s="84"/>
      <c r="F318" s="2" t="s">
        <v>31</v>
      </c>
      <c r="G318" s="17">
        <f>'Rozpočet - vybrané sloupce'!J264</f>
        <v>12</v>
      </c>
      <c r="H318" s="17">
        <f>'Rozpočet - vybrané sloupce'!K264</f>
        <v>0</v>
      </c>
      <c r="I318" s="74">
        <v>12</v>
      </c>
      <c r="J318" s="17">
        <f t="shared" si="398"/>
        <v>0</v>
      </c>
      <c r="K318" s="17">
        <f t="shared" si="399"/>
        <v>0</v>
      </c>
      <c r="L318" s="17">
        <f t="shared" si="400"/>
        <v>0</v>
      </c>
      <c r="M318" s="17">
        <f t="shared" si="401"/>
        <v>0</v>
      </c>
      <c r="N318" s="17">
        <v>6.9999999999999994E-5</v>
      </c>
      <c r="O318" s="17">
        <f t="shared" si="402"/>
        <v>8.3999999999999993E-4</v>
      </c>
      <c r="P318" s="75" t="s">
        <v>576</v>
      </c>
      <c r="Z318" s="17">
        <f t="shared" si="403"/>
        <v>0</v>
      </c>
      <c r="AB318" s="17">
        <f t="shared" si="404"/>
        <v>0</v>
      </c>
      <c r="AC318" s="17">
        <f t="shared" si="405"/>
        <v>0</v>
      </c>
      <c r="AD318" s="17">
        <f t="shared" si="406"/>
        <v>0</v>
      </c>
      <c r="AE318" s="17">
        <f t="shared" si="407"/>
        <v>0</v>
      </c>
      <c r="AF318" s="17">
        <f t="shared" si="408"/>
        <v>0</v>
      </c>
      <c r="AG318" s="17">
        <f t="shared" si="409"/>
        <v>0</v>
      </c>
      <c r="AH318" s="17">
        <f t="shared" si="410"/>
        <v>0</v>
      </c>
      <c r="AI318" s="14" t="s">
        <v>253</v>
      </c>
      <c r="AJ318" s="17">
        <f t="shared" si="411"/>
        <v>0</v>
      </c>
      <c r="AK318" s="17">
        <f t="shared" si="412"/>
        <v>0</v>
      </c>
      <c r="AL318" s="17">
        <f t="shared" si="413"/>
        <v>0</v>
      </c>
      <c r="AN318" s="17">
        <v>12</v>
      </c>
      <c r="AO318" s="17">
        <f>H318*0.523301587</f>
        <v>0</v>
      </c>
      <c r="AP318" s="17">
        <f>H318*(1-0.523301587)</f>
        <v>0</v>
      </c>
      <c r="AQ318" s="76" t="s">
        <v>577</v>
      </c>
      <c r="AV318" s="17">
        <f t="shared" si="414"/>
        <v>0</v>
      </c>
      <c r="AW318" s="17">
        <f t="shared" si="415"/>
        <v>0</v>
      </c>
      <c r="AX318" s="17">
        <f t="shared" si="416"/>
        <v>0</v>
      </c>
      <c r="AY318" s="76" t="s">
        <v>677</v>
      </c>
      <c r="AZ318" s="76" t="s">
        <v>856</v>
      </c>
      <c r="BA318" s="14" t="s">
        <v>851</v>
      </c>
      <c r="BC318" s="17">
        <f t="shared" si="417"/>
        <v>0</v>
      </c>
      <c r="BD318" s="17">
        <f t="shared" si="418"/>
        <v>0</v>
      </c>
      <c r="BE318" s="17">
        <v>0</v>
      </c>
      <c r="BF318" s="17">
        <f t="shared" si="419"/>
        <v>8.3999999999999993E-4</v>
      </c>
      <c r="BH318" s="17">
        <f t="shared" si="420"/>
        <v>0</v>
      </c>
      <c r="BI318" s="17">
        <f t="shared" si="421"/>
        <v>0</v>
      </c>
      <c r="BJ318" s="17">
        <f t="shared" si="422"/>
        <v>0</v>
      </c>
      <c r="BK318" s="17"/>
      <c r="BL318" s="17">
        <v>722</v>
      </c>
      <c r="BW318" s="17">
        <f t="shared" si="423"/>
        <v>12</v>
      </c>
      <c r="BX318" s="4" t="s">
        <v>136</v>
      </c>
    </row>
    <row r="319" spans="1:76" x14ac:dyDescent="0.25">
      <c r="A319" s="1" t="s">
        <v>866</v>
      </c>
      <c r="B319" s="2" t="s">
        <v>253</v>
      </c>
      <c r="C319" s="2" t="s">
        <v>137</v>
      </c>
      <c r="D319" s="83" t="s">
        <v>138</v>
      </c>
      <c r="E319" s="84"/>
      <c r="F319" s="2" t="s">
        <v>31</v>
      </c>
      <c r="G319" s="17">
        <f>'Rozpočet - vybrané sloupce'!J265</f>
        <v>24</v>
      </c>
      <c r="H319" s="17">
        <f>'Rozpočet - vybrané sloupce'!K265</f>
        <v>0</v>
      </c>
      <c r="I319" s="74">
        <v>12</v>
      </c>
      <c r="J319" s="17">
        <f t="shared" si="398"/>
        <v>0</v>
      </c>
      <c r="K319" s="17">
        <f t="shared" si="399"/>
        <v>0</v>
      </c>
      <c r="L319" s="17">
        <f t="shared" si="400"/>
        <v>0</v>
      </c>
      <c r="M319" s="17">
        <f t="shared" si="401"/>
        <v>0</v>
      </c>
      <c r="N319" s="17">
        <v>8.0000000000000007E-5</v>
      </c>
      <c r="O319" s="17">
        <f t="shared" si="402"/>
        <v>1.9200000000000003E-3</v>
      </c>
      <c r="P319" s="75" t="s">
        <v>576</v>
      </c>
      <c r="Z319" s="17">
        <f t="shared" si="403"/>
        <v>0</v>
      </c>
      <c r="AB319" s="17">
        <f t="shared" si="404"/>
        <v>0</v>
      </c>
      <c r="AC319" s="17">
        <f t="shared" si="405"/>
        <v>0</v>
      </c>
      <c r="AD319" s="17">
        <f t="shared" si="406"/>
        <v>0</v>
      </c>
      <c r="AE319" s="17">
        <f t="shared" si="407"/>
        <v>0</v>
      </c>
      <c r="AF319" s="17">
        <f t="shared" si="408"/>
        <v>0</v>
      </c>
      <c r="AG319" s="17">
        <f t="shared" si="409"/>
        <v>0</v>
      </c>
      <c r="AH319" s="17">
        <f t="shared" si="410"/>
        <v>0</v>
      </c>
      <c r="AI319" s="14" t="s">
        <v>253</v>
      </c>
      <c r="AJ319" s="17">
        <f t="shared" si="411"/>
        <v>0</v>
      </c>
      <c r="AK319" s="17">
        <f t="shared" si="412"/>
        <v>0</v>
      </c>
      <c r="AL319" s="17">
        <f t="shared" si="413"/>
        <v>0</v>
      </c>
      <c r="AN319" s="17">
        <v>12</v>
      </c>
      <c r="AO319" s="17">
        <f>H319*0.527714286</f>
        <v>0</v>
      </c>
      <c r="AP319" s="17">
        <f>H319*(1-0.527714286)</f>
        <v>0</v>
      </c>
      <c r="AQ319" s="76" t="s">
        <v>577</v>
      </c>
      <c r="AV319" s="17">
        <f t="shared" si="414"/>
        <v>0</v>
      </c>
      <c r="AW319" s="17">
        <f t="shared" si="415"/>
        <v>0</v>
      </c>
      <c r="AX319" s="17">
        <f t="shared" si="416"/>
        <v>0</v>
      </c>
      <c r="AY319" s="76" t="s">
        <v>677</v>
      </c>
      <c r="AZ319" s="76" t="s">
        <v>856</v>
      </c>
      <c r="BA319" s="14" t="s">
        <v>851</v>
      </c>
      <c r="BC319" s="17">
        <f t="shared" si="417"/>
        <v>0</v>
      </c>
      <c r="BD319" s="17">
        <f t="shared" si="418"/>
        <v>0</v>
      </c>
      <c r="BE319" s="17">
        <v>0</v>
      </c>
      <c r="BF319" s="17">
        <f t="shared" si="419"/>
        <v>1.9200000000000003E-3</v>
      </c>
      <c r="BH319" s="17">
        <f t="shared" si="420"/>
        <v>0</v>
      </c>
      <c r="BI319" s="17">
        <f t="shared" si="421"/>
        <v>0</v>
      </c>
      <c r="BJ319" s="17">
        <f t="shared" si="422"/>
        <v>0</v>
      </c>
      <c r="BK319" s="17"/>
      <c r="BL319" s="17">
        <v>722</v>
      </c>
      <c r="BW319" s="17">
        <f t="shared" si="423"/>
        <v>12</v>
      </c>
      <c r="BX319" s="4" t="s">
        <v>138</v>
      </c>
    </row>
    <row r="320" spans="1:76" x14ac:dyDescent="0.25">
      <c r="A320" s="1" t="s">
        <v>867</v>
      </c>
      <c r="B320" s="2" t="s">
        <v>253</v>
      </c>
      <c r="C320" s="2" t="s">
        <v>145</v>
      </c>
      <c r="D320" s="83" t="s">
        <v>146</v>
      </c>
      <c r="E320" s="84"/>
      <c r="F320" s="2" t="s">
        <v>35</v>
      </c>
      <c r="G320" s="17">
        <f>'Rozpočet - vybrané sloupce'!J266</f>
        <v>48</v>
      </c>
      <c r="H320" s="17">
        <f>'Rozpočet - vybrané sloupce'!K266</f>
        <v>0</v>
      </c>
      <c r="I320" s="74">
        <v>12</v>
      </c>
      <c r="J320" s="17">
        <f t="shared" si="398"/>
        <v>0</v>
      </c>
      <c r="K320" s="17">
        <f t="shared" si="399"/>
        <v>0</v>
      </c>
      <c r="L320" s="17">
        <f t="shared" si="400"/>
        <v>0</v>
      </c>
      <c r="M320" s="17">
        <f t="shared" si="401"/>
        <v>0</v>
      </c>
      <c r="N320" s="17">
        <v>0</v>
      </c>
      <c r="O320" s="17">
        <f t="shared" si="402"/>
        <v>0</v>
      </c>
      <c r="P320" s="75" t="s">
        <v>576</v>
      </c>
      <c r="Z320" s="17">
        <f t="shared" si="403"/>
        <v>0</v>
      </c>
      <c r="AB320" s="17">
        <f t="shared" si="404"/>
        <v>0</v>
      </c>
      <c r="AC320" s="17">
        <f t="shared" si="405"/>
        <v>0</v>
      </c>
      <c r="AD320" s="17">
        <f t="shared" si="406"/>
        <v>0</v>
      </c>
      <c r="AE320" s="17">
        <f t="shared" si="407"/>
        <v>0</v>
      </c>
      <c r="AF320" s="17">
        <f t="shared" si="408"/>
        <v>0</v>
      </c>
      <c r="AG320" s="17">
        <f t="shared" si="409"/>
        <v>0</v>
      </c>
      <c r="AH320" s="17">
        <f t="shared" si="410"/>
        <v>0</v>
      </c>
      <c r="AI320" s="14" t="s">
        <v>253</v>
      </c>
      <c r="AJ320" s="17">
        <f t="shared" si="411"/>
        <v>0</v>
      </c>
      <c r="AK320" s="17">
        <f t="shared" si="412"/>
        <v>0</v>
      </c>
      <c r="AL320" s="17">
        <f t="shared" si="413"/>
        <v>0</v>
      </c>
      <c r="AN320" s="17">
        <v>12</v>
      </c>
      <c r="AO320" s="17">
        <f>H320*1</f>
        <v>0</v>
      </c>
      <c r="AP320" s="17">
        <f>H320*(1-1)</f>
        <v>0</v>
      </c>
      <c r="AQ320" s="76" t="s">
        <v>577</v>
      </c>
      <c r="AV320" s="17">
        <f t="shared" si="414"/>
        <v>0</v>
      </c>
      <c r="AW320" s="17">
        <f t="shared" si="415"/>
        <v>0</v>
      </c>
      <c r="AX320" s="17">
        <f t="shared" si="416"/>
        <v>0</v>
      </c>
      <c r="AY320" s="76" t="s">
        <v>677</v>
      </c>
      <c r="AZ320" s="76" t="s">
        <v>856</v>
      </c>
      <c r="BA320" s="14" t="s">
        <v>851</v>
      </c>
      <c r="BC320" s="17">
        <f t="shared" si="417"/>
        <v>0</v>
      </c>
      <c r="BD320" s="17">
        <f t="shared" si="418"/>
        <v>0</v>
      </c>
      <c r="BE320" s="17">
        <v>0</v>
      </c>
      <c r="BF320" s="17">
        <f t="shared" si="419"/>
        <v>0</v>
      </c>
      <c r="BH320" s="17">
        <f t="shared" si="420"/>
        <v>0</v>
      </c>
      <c r="BI320" s="17">
        <f t="shared" si="421"/>
        <v>0</v>
      </c>
      <c r="BJ320" s="17">
        <f t="shared" si="422"/>
        <v>0</v>
      </c>
      <c r="BK320" s="17"/>
      <c r="BL320" s="17">
        <v>722</v>
      </c>
      <c r="BW320" s="17">
        <f t="shared" si="423"/>
        <v>12</v>
      </c>
      <c r="BX320" s="4" t="s">
        <v>146</v>
      </c>
    </row>
    <row r="321" spans="1:76" x14ac:dyDescent="0.25">
      <c r="A321" s="1" t="s">
        <v>868</v>
      </c>
      <c r="B321" s="2" t="s">
        <v>253</v>
      </c>
      <c r="C321" s="2" t="s">
        <v>153</v>
      </c>
      <c r="D321" s="83" t="s">
        <v>230</v>
      </c>
      <c r="E321" s="84"/>
      <c r="F321" s="2" t="s">
        <v>35</v>
      </c>
      <c r="G321" s="17">
        <f>'Rozpočet - vybrané sloupce'!J267</f>
        <v>24</v>
      </c>
      <c r="H321" s="17">
        <f>'Rozpočet - vybrané sloupce'!K267</f>
        <v>0</v>
      </c>
      <c r="I321" s="74">
        <v>12</v>
      </c>
      <c r="J321" s="17">
        <f t="shared" si="398"/>
        <v>0</v>
      </c>
      <c r="K321" s="17">
        <f t="shared" si="399"/>
        <v>0</v>
      </c>
      <c r="L321" s="17">
        <f t="shared" si="400"/>
        <v>0</v>
      </c>
      <c r="M321" s="17">
        <f t="shared" si="401"/>
        <v>0</v>
      </c>
      <c r="N321" s="17">
        <v>2.4000000000000001E-4</v>
      </c>
      <c r="O321" s="17">
        <f t="shared" si="402"/>
        <v>5.7600000000000004E-3</v>
      </c>
      <c r="P321" s="75" t="s">
        <v>576</v>
      </c>
      <c r="Z321" s="17">
        <f t="shared" si="403"/>
        <v>0</v>
      </c>
      <c r="AB321" s="17">
        <f t="shared" si="404"/>
        <v>0</v>
      </c>
      <c r="AC321" s="17">
        <f t="shared" si="405"/>
        <v>0</v>
      </c>
      <c r="AD321" s="17">
        <f t="shared" si="406"/>
        <v>0</v>
      </c>
      <c r="AE321" s="17">
        <f t="shared" si="407"/>
        <v>0</v>
      </c>
      <c r="AF321" s="17">
        <f t="shared" si="408"/>
        <v>0</v>
      </c>
      <c r="AG321" s="17">
        <f t="shared" si="409"/>
        <v>0</v>
      </c>
      <c r="AH321" s="17">
        <f t="shared" si="410"/>
        <v>0</v>
      </c>
      <c r="AI321" s="14" t="s">
        <v>253</v>
      </c>
      <c r="AJ321" s="17">
        <f t="shared" si="411"/>
        <v>0</v>
      </c>
      <c r="AK321" s="17">
        <f t="shared" si="412"/>
        <v>0</v>
      </c>
      <c r="AL321" s="17">
        <f t="shared" si="413"/>
        <v>0</v>
      </c>
      <c r="AN321" s="17">
        <v>12</v>
      </c>
      <c r="AO321" s="17">
        <f>H321*0.728238342</f>
        <v>0</v>
      </c>
      <c r="AP321" s="17">
        <f>H321*(1-0.728238342)</f>
        <v>0</v>
      </c>
      <c r="AQ321" s="76" t="s">
        <v>577</v>
      </c>
      <c r="AV321" s="17">
        <f t="shared" si="414"/>
        <v>0</v>
      </c>
      <c r="AW321" s="17">
        <f t="shared" si="415"/>
        <v>0</v>
      </c>
      <c r="AX321" s="17">
        <f t="shared" si="416"/>
        <v>0</v>
      </c>
      <c r="AY321" s="76" t="s">
        <v>677</v>
      </c>
      <c r="AZ321" s="76" t="s">
        <v>856</v>
      </c>
      <c r="BA321" s="14" t="s">
        <v>851</v>
      </c>
      <c r="BC321" s="17">
        <f t="shared" si="417"/>
        <v>0</v>
      </c>
      <c r="BD321" s="17">
        <f t="shared" si="418"/>
        <v>0</v>
      </c>
      <c r="BE321" s="17">
        <v>0</v>
      </c>
      <c r="BF321" s="17">
        <f t="shared" si="419"/>
        <v>5.7600000000000004E-3</v>
      </c>
      <c r="BH321" s="17">
        <f t="shared" si="420"/>
        <v>0</v>
      </c>
      <c r="BI321" s="17">
        <f t="shared" si="421"/>
        <v>0</v>
      </c>
      <c r="BJ321" s="17">
        <f t="shared" si="422"/>
        <v>0</v>
      </c>
      <c r="BK321" s="17"/>
      <c r="BL321" s="17">
        <v>722</v>
      </c>
      <c r="BW321" s="17">
        <f t="shared" si="423"/>
        <v>12</v>
      </c>
      <c r="BX321" s="4" t="s">
        <v>230</v>
      </c>
    </row>
    <row r="322" spans="1:76" x14ac:dyDescent="0.25">
      <c r="A322" s="1" t="s">
        <v>869</v>
      </c>
      <c r="B322" s="2" t="s">
        <v>253</v>
      </c>
      <c r="C322" s="2" t="s">
        <v>231</v>
      </c>
      <c r="D322" s="83" t="s">
        <v>232</v>
      </c>
      <c r="E322" s="84"/>
      <c r="F322" s="2" t="s">
        <v>35</v>
      </c>
      <c r="G322" s="17">
        <f>'Rozpočet - vybrané sloupce'!J268</f>
        <v>24</v>
      </c>
      <c r="H322" s="17">
        <f>'Rozpočet - vybrané sloupce'!K268</f>
        <v>0</v>
      </c>
      <c r="I322" s="74">
        <v>12</v>
      </c>
      <c r="J322" s="17">
        <f t="shared" si="398"/>
        <v>0</v>
      </c>
      <c r="K322" s="17">
        <f t="shared" si="399"/>
        <v>0</v>
      </c>
      <c r="L322" s="17">
        <f t="shared" si="400"/>
        <v>0</v>
      </c>
      <c r="M322" s="17">
        <f t="shared" si="401"/>
        <v>0</v>
      </c>
      <c r="N322" s="17">
        <v>1.1E-4</v>
      </c>
      <c r="O322" s="17">
        <f t="shared" si="402"/>
        <v>2.64E-3</v>
      </c>
      <c r="P322" s="75" t="s">
        <v>576</v>
      </c>
      <c r="Z322" s="17">
        <f t="shared" si="403"/>
        <v>0</v>
      </c>
      <c r="AB322" s="17">
        <f t="shared" si="404"/>
        <v>0</v>
      </c>
      <c r="AC322" s="17">
        <f t="shared" si="405"/>
        <v>0</v>
      </c>
      <c r="AD322" s="17">
        <f t="shared" si="406"/>
        <v>0</v>
      </c>
      <c r="AE322" s="17">
        <f t="shared" si="407"/>
        <v>0</v>
      </c>
      <c r="AF322" s="17">
        <f t="shared" si="408"/>
        <v>0</v>
      </c>
      <c r="AG322" s="17">
        <f t="shared" si="409"/>
        <v>0</v>
      </c>
      <c r="AH322" s="17">
        <f t="shared" si="410"/>
        <v>0</v>
      </c>
      <c r="AI322" s="14" t="s">
        <v>253</v>
      </c>
      <c r="AJ322" s="17">
        <f t="shared" si="411"/>
        <v>0</v>
      </c>
      <c r="AK322" s="17">
        <f t="shared" si="412"/>
        <v>0</v>
      </c>
      <c r="AL322" s="17">
        <f t="shared" si="413"/>
        <v>0</v>
      </c>
      <c r="AN322" s="17">
        <v>12</v>
      </c>
      <c r="AO322" s="17">
        <f>H322*0.699426934</f>
        <v>0</v>
      </c>
      <c r="AP322" s="17">
        <f>H322*(1-0.699426934)</f>
        <v>0</v>
      </c>
      <c r="AQ322" s="76" t="s">
        <v>577</v>
      </c>
      <c r="AV322" s="17">
        <f t="shared" si="414"/>
        <v>0</v>
      </c>
      <c r="AW322" s="17">
        <f t="shared" si="415"/>
        <v>0</v>
      </c>
      <c r="AX322" s="17">
        <f t="shared" si="416"/>
        <v>0</v>
      </c>
      <c r="AY322" s="76" t="s">
        <v>677</v>
      </c>
      <c r="AZ322" s="76" t="s">
        <v>856</v>
      </c>
      <c r="BA322" s="14" t="s">
        <v>851</v>
      </c>
      <c r="BC322" s="17">
        <f t="shared" si="417"/>
        <v>0</v>
      </c>
      <c r="BD322" s="17">
        <f t="shared" si="418"/>
        <v>0</v>
      </c>
      <c r="BE322" s="17">
        <v>0</v>
      </c>
      <c r="BF322" s="17">
        <f t="shared" si="419"/>
        <v>2.64E-3</v>
      </c>
      <c r="BH322" s="17">
        <f t="shared" si="420"/>
        <v>0</v>
      </c>
      <c r="BI322" s="17">
        <f t="shared" si="421"/>
        <v>0</v>
      </c>
      <c r="BJ322" s="17">
        <f t="shared" si="422"/>
        <v>0</v>
      </c>
      <c r="BK322" s="17"/>
      <c r="BL322" s="17">
        <v>722</v>
      </c>
      <c r="BW322" s="17">
        <f t="shared" si="423"/>
        <v>12</v>
      </c>
      <c r="BX322" s="4" t="s">
        <v>232</v>
      </c>
    </row>
    <row r="323" spans="1:76" x14ac:dyDescent="0.25">
      <c r="A323" s="1" t="s">
        <v>870</v>
      </c>
      <c r="B323" s="2" t="s">
        <v>253</v>
      </c>
      <c r="C323" s="2" t="s">
        <v>233</v>
      </c>
      <c r="D323" s="83" t="s">
        <v>234</v>
      </c>
      <c r="E323" s="84"/>
      <c r="F323" s="2" t="s">
        <v>35</v>
      </c>
      <c r="G323" s="17">
        <f>'Rozpočet - vybrané sloupce'!J269</f>
        <v>24</v>
      </c>
      <c r="H323" s="17">
        <f>'Rozpočet - vybrané sloupce'!K269</f>
        <v>0</v>
      </c>
      <c r="I323" s="74">
        <v>12</v>
      </c>
      <c r="J323" s="17">
        <f t="shared" si="398"/>
        <v>0</v>
      </c>
      <c r="K323" s="17">
        <f t="shared" si="399"/>
        <v>0</v>
      </c>
      <c r="L323" s="17">
        <f t="shared" si="400"/>
        <v>0</v>
      </c>
      <c r="M323" s="17">
        <f t="shared" si="401"/>
        <v>0</v>
      </c>
      <c r="N323" s="17">
        <v>5.4900000000000001E-3</v>
      </c>
      <c r="O323" s="17">
        <f t="shared" si="402"/>
        <v>0.13175999999999999</v>
      </c>
      <c r="P323" s="75" t="s">
        <v>576</v>
      </c>
      <c r="Z323" s="17">
        <f t="shared" si="403"/>
        <v>0</v>
      </c>
      <c r="AB323" s="17">
        <f t="shared" si="404"/>
        <v>0</v>
      </c>
      <c r="AC323" s="17">
        <f t="shared" si="405"/>
        <v>0</v>
      </c>
      <c r="AD323" s="17">
        <f t="shared" si="406"/>
        <v>0</v>
      </c>
      <c r="AE323" s="17">
        <f t="shared" si="407"/>
        <v>0</v>
      </c>
      <c r="AF323" s="17">
        <f t="shared" si="408"/>
        <v>0</v>
      </c>
      <c r="AG323" s="17">
        <f t="shared" si="409"/>
        <v>0</v>
      </c>
      <c r="AH323" s="17">
        <f t="shared" si="410"/>
        <v>0</v>
      </c>
      <c r="AI323" s="14" t="s">
        <v>253</v>
      </c>
      <c r="AJ323" s="17">
        <f t="shared" si="411"/>
        <v>0</v>
      </c>
      <c r="AK323" s="17">
        <f t="shared" si="412"/>
        <v>0</v>
      </c>
      <c r="AL323" s="17">
        <f t="shared" si="413"/>
        <v>0</v>
      </c>
      <c r="AN323" s="17">
        <v>12</v>
      </c>
      <c r="AO323" s="17">
        <f>H323*0</f>
        <v>0</v>
      </c>
      <c r="AP323" s="17">
        <f>H323*(1-0)</f>
        <v>0</v>
      </c>
      <c r="AQ323" s="76" t="s">
        <v>577</v>
      </c>
      <c r="AV323" s="17">
        <f t="shared" si="414"/>
        <v>0</v>
      </c>
      <c r="AW323" s="17">
        <f t="shared" si="415"/>
        <v>0</v>
      </c>
      <c r="AX323" s="17">
        <f t="shared" si="416"/>
        <v>0</v>
      </c>
      <c r="AY323" s="76" t="s">
        <v>677</v>
      </c>
      <c r="AZ323" s="76" t="s">
        <v>856</v>
      </c>
      <c r="BA323" s="14" t="s">
        <v>851</v>
      </c>
      <c r="BC323" s="17">
        <f t="shared" si="417"/>
        <v>0</v>
      </c>
      <c r="BD323" s="17">
        <f t="shared" si="418"/>
        <v>0</v>
      </c>
      <c r="BE323" s="17">
        <v>0</v>
      </c>
      <c r="BF323" s="17">
        <f t="shared" si="419"/>
        <v>0.13175999999999999</v>
      </c>
      <c r="BH323" s="17">
        <f t="shared" si="420"/>
        <v>0</v>
      </c>
      <c r="BI323" s="17">
        <f t="shared" si="421"/>
        <v>0</v>
      </c>
      <c r="BJ323" s="17">
        <f t="shared" si="422"/>
        <v>0</v>
      </c>
      <c r="BK323" s="17"/>
      <c r="BL323" s="17">
        <v>722</v>
      </c>
      <c r="BW323" s="17">
        <f t="shared" si="423"/>
        <v>12</v>
      </c>
      <c r="BX323" s="4" t="s">
        <v>234</v>
      </c>
    </row>
    <row r="324" spans="1:76" x14ac:dyDescent="0.25">
      <c r="A324" s="1" t="s">
        <v>871</v>
      </c>
      <c r="B324" s="2" t="s">
        <v>253</v>
      </c>
      <c r="C324" s="2" t="s">
        <v>235</v>
      </c>
      <c r="D324" s="83" t="s">
        <v>236</v>
      </c>
      <c r="E324" s="84"/>
      <c r="F324" s="2" t="s">
        <v>35</v>
      </c>
      <c r="G324" s="17" t="e">
        <f>'Rozpočet - vybrané sloupce'!#REF!</f>
        <v>#REF!</v>
      </c>
      <c r="H324" s="17" t="e">
        <f>'Rozpočet - vybrané sloupce'!#REF!</f>
        <v>#REF!</v>
      </c>
      <c r="I324" s="74">
        <v>12</v>
      </c>
      <c r="J324" s="17" t="e">
        <f t="shared" si="398"/>
        <v>#REF!</v>
      </c>
      <c r="K324" s="17" t="e">
        <f t="shared" si="399"/>
        <v>#REF!</v>
      </c>
      <c r="L324" s="17" t="e">
        <f t="shared" si="400"/>
        <v>#REF!</v>
      </c>
      <c r="M324" s="17" t="e">
        <f t="shared" si="401"/>
        <v>#REF!</v>
      </c>
      <c r="N324" s="17">
        <v>2.0000000000000002E-5</v>
      </c>
      <c r="O324" s="17" t="e">
        <f t="shared" si="402"/>
        <v>#REF!</v>
      </c>
      <c r="P324" s="75" t="s">
        <v>576</v>
      </c>
      <c r="Z324" s="17">
        <f t="shared" si="403"/>
        <v>0</v>
      </c>
      <c r="AB324" s="17">
        <f t="shared" si="404"/>
        <v>0</v>
      </c>
      <c r="AC324" s="17">
        <f t="shared" si="405"/>
        <v>0</v>
      </c>
      <c r="AD324" s="17" t="e">
        <f t="shared" si="406"/>
        <v>#REF!</v>
      </c>
      <c r="AE324" s="17" t="e">
        <f t="shared" si="407"/>
        <v>#REF!</v>
      </c>
      <c r="AF324" s="17">
        <f t="shared" si="408"/>
        <v>0</v>
      </c>
      <c r="AG324" s="17">
        <f t="shared" si="409"/>
        <v>0</v>
      </c>
      <c r="AH324" s="17">
        <f t="shared" si="410"/>
        <v>0</v>
      </c>
      <c r="AI324" s="14" t="s">
        <v>253</v>
      </c>
      <c r="AJ324" s="17">
        <f t="shared" si="411"/>
        <v>0</v>
      </c>
      <c r="AK324" s="17" t="e">
        <f t="shared" si="412"/>
        <v>#REF!</v>
      </c>
      <c r="AL324" s="17">
        <f t="shared" si="413"/>
        <v>0</v>
      </c>
      <c r="AN324" s="17">
        <v>12</v>
      </c>
      <c r="AO324" s="17" t="e">
        <f>H324*0.034752475</f>
        <v>#REF!</v>
      </c>
      <c r="AP324" s="17" t="e">
        <f>H324*(1-0.034752475)</f>
        <v>#REF!</v>
      </c>
      <c r="AQ324" s="76" t="s">
        <v>577</v>
      </c>
      <c r="AV324" s="17" t="e">
        <f t="shared" si="414"/>
        <v>#REF!</v>
      </c>
      <c r="AW324" s="17" t="e">
        <f t="shared" si="415"/>
        <v>#REF!</v>
      </c>
      <c r="AX324" s="17" t="e">
        <f t="shared" si="416"/>
        <v>#REF!</v>
      </c>
      <c r="AY324" s="76" t="s">
        <v>677</v>
      </c>
      <c r="AZ324" s="76" t="s">
        <v>856</v>
      </c>
      <c r="BA324" s="14" t="s">
        <v>851</v>
      </c>
      <c r="BC324" s="17" t="e">
        <f t="shared" si="417"/>
        <v>#REF!</v>
      </c>
      <c r="BD324" s="17" t="e">
        <f t="shared" si="418"/>
        <v>#REF!</v>
      </c>
      <c r="BE324" s="17">
        <v>0</v>
      </c>
      <c r="BF324" s="17" t="e">
        <f t="shared" si="419"/>
        <v>#REF!</v>
      </c>
      <c r="BH324" s="17" t="e">
        <f t="shared" si="420"/>
        <v>#REF!</v>
      </c>
      <c r="BI324" s="17" t="e">
        <f t="shared" si="421"/>
        <v>#REF!</v>
      </c>
      <c r="BJ324" s="17" t="e">
        <f t="shared" si="422"/>
        <v>#REF!</v>
      </c>
      <c r="BK324" s="17"/>
      <c r="BL324" s="17">
        <v>722</v>
      </c>
      <c r="BW324" s="17">
        <f t="shared" si="423"/>
        <v>12</v>
      </c>
      <c r="BX324" s="4" t="s">
        <v>236</v>
      </c>
    </row>
    <row r="325" spans="1:76" x14ac:dyDescent="0.25">
      <c r="A325" s="1" t="s">
        <v>872</v>
      </c>
      <c r="B325" s="2" t="s">
        <v>253</v>
      </c>
      <c r="C325" s="2" t="s">
        <v>237</v>
      </c>
      <c r="D325" s="83" t="s">
        <v>238</v>
      </c>
      <c r="E325" s="84"/>
      <c r="F325" s="2" t="s">
        <v>35</v>
      </c>
      <c r="G325" s="17" t="e">
        <f>'Rozpočet - vybrané sloupce'!#REF!</f>
        <v>#REF!</v>
      </c>
      <c r="H325" s="17" t="e">
        <f>'Rozpočet - vybrané sloupce'!#REF!</f>
        <v>#REF!</v>
      </c>
      <c r="I325" s="74">
        <v>12</v>
      </c>
      <c r="J325" s="17" t="e">
        <f t="shared" si="398"/>
        <v>#REF!</v>
      </c>
      <c r="K325" s="17" t="e">
        <f t="shared" si="399"/>
        <v>#REF!</v>
      </c>
      <c r="L325" s="17" t="e">
        <f t="shared" si="400"/>
        <v>#REF!</v>
      </c>
      <c r="M325" s="17" t="e">
        <f t="shared" si="401"/>
        <v>#REF!</v>
      </c>
      <c r="N325" s="17">
        <v>0</v>
      </c>
      <c r="O325" s="17" t="e">
        <f t="shared" si="402"/>
        <v>#REF!</v>
      </c>
      <c r="P325" s="75" t="s">
        <v>576</v>
      </c>
      <c r="Z325" s="17">
        <f t="shared" si="403"/>
        <v>0</v>
      </c>
      <c r="AB325" s="17">
        <f t="shared" si="404"/>
        <v>0</v>
      </c>
      <c r="AC325" s="17">
        <f t="shared" si="405"/>
        <v>0</v>
      </c>
      <c r="AD325" s="17" t="e">
        <f t="shared" si="406"/>
        <v>#REF!</v>
      </c>
      <c r="AE325" s="17" t="e">
        <f t="shared" si="407"/>
        <v>#REF!</v>
      </c>
      <c r="AF325" s="17">
        <f t="shared" si="408"/>
        <v>0</v>
      </c>
      <c r="AG325" s="17">
        <f t="shared" si="409"/>
        <v>0</v>
      </c>
      <c r="AH325" s="17">
        <f t="shared" si="410"/>
        <v>0</v>
      </c>
      <c r="AI325" s="14" t="s">
        <v>253</v>
      </c>
      <c r="AJ325" s="17">
        <f t="shared" si="411"/>
        <v>0</v>
      </c>
      <c r="AK325" s="17" t="e">
        <f t="shared" si="412"/>
        <v>#REF!</v>
      </c>
      <c r="AL325" s="17">
        <f t="shared" si="413"/>
        <v>0</v>
      </c>
      <c r="AN325" s="17">
        <v>12</v>
      </c>
      <c r="AO325" s="17" t="e">
        <f>H325*0.166666667</f>
        <v>#REF!</v>
      </c>
      <c r="AP325" s="17" t="e">
        <f>H325*(1-0.166666667)</f>
        <v>#REF!</v>
      </c>
      <c r="AQ325" s="76" t="s">
        <v>577</v>
      </c>
      <c r="AV325" s="17" t="e">
        <f t="shared" si="414"/>
        <v>#REF!</v>
      </c>
      <c r="AW325" s="17" t="e">
        <f t="shared" si="415"/>
        <v>#REF!</v>
      </c>
      <c r="AX325" s="17" t="e">
        <f t="shared" si="416"/>
        <v>#REF!</v>
      </c>
      <c r="AY325" s="76" t="s">
        <v>677</v>
      </c>
      <c r="AZ325" s="76" t="s">
        <v>856</v>
      </c>
      <c r="BA325" s="14" t="s">
        <v>851</v>
      </c>
      <c r="BC325" s="17" t="e">
        <f t="shared" si="417"/>
        <v>#REF!</v>
      </c>
      <c r="BD325" s="17" t="e">
        <f t="shared" si="418"/>
        <v>#REF!</v>
      </c>
      <c r="BE325" s="17">
        <v>0</v>
      </c>
      <c r="BF325" s="17" t="e">
        <f t="shared" si="419"/>
        <v>#REF!</v>
      </c>
      <c r="BH325" s="17" t="e">
        <f t="shared" si="420"/>
        <v>#REF!</v>
      </c>
      <c r="BI325" s="17" t="e">
        <f t="shared" si="421"/>
        <v>#REF!</v>
      </c>
      <c r="BJ325" s="17" t="e">
        <f t="shared" si="422"/>
        <v>#REF!</v>
      </c>
      <c r="BK325" s="17"/>
      <c r="BL325" s="17">
        <v>722</v>
      </c>
      <c r="BW325" s="17">
        <f t="shared" si="423"/>
        <v>12</v>
      </c>
      <c r="BX325" s="4" t="s">
        <v>238</v>
      </c>
    </row>
    <row r="326" spans="1:76" x14ac:dyDescent="0.25">
      <c r="A326" s="1" t="s">
        <v>873</v>
      </c>
      <c r="B326" s="2" t="s">
        <v>253</v>
      </c>
      <c r="C326" s="2" t="s">
        <v>186</v>
      </c>
      <c r="D326" s="83" t="s">
        <v>187</v>
      </c>
      <c r="E326" s="84"/>
      <c r="F326" s="2" t="s">
        <v>31</v>
      </c>
      <c r="G326" s="17">
        <f>'Rozpočet - vybrané sloupce'!J270</f>
        <v>1</v>
      </c>
      <c r="H326" s="17">
        <f>'Rozpočet - vybrané sloupce'!K270</f>
        <v>0</v>
      </c>
      <c r="I326" s="74">
        <v>12</v>
      </c>
      <c r="J326" s="17">
        <f t="shared" si="398"/>
        <v>0</v>
      </c>
      <c r="K326" s="17">
        <f t="shared" si="399"/>
        <v>0</v>
      </c>
      <c r="L326" s="17">
        <f t="shared" si="400"/>
        <v>0</v>
      </c>
      <c r="M326" s="17">
        <f t="shared" si="401"/>
        <v>0</v>
      </c>
      <c r="N326" s="17">
        <v>0</v>
      </c>
      <c r="O326" s="17">
        <f t="shared" si="402"/>
        <v>0</v>
      </c>
      <c r="P326" s="75" t="s">
        <v>576</v>
      </c>
      <c r="Z326" s="17">
        <f t="shared" si="403"/>
        <v>0</v>
      </c>
      <c r="AB326" s="17">
        <f t="shared" si="404"/>
        <v>0</v>
      </c>
      <c r="AC326" s="17">
        <f t="shared" si="405"/>
        <v>0</v>
      </c>
      <c r="AD326" s="17">
        <f t="shared" si="406"/>
        <v>0</v>
      </c>
      <c r="AE326" s="17">
        <f t="shared" si="407"/>
        <v>0</v>
      </c>
      <c r="AF326" s="17">
        <f t="shared" si="408"/>
        <v>0</v>
      </c>
      <c r="AG326" s="17">
        <f t="shared" si="409"/>
        <v>0</v>
      </c>
      <c r="AH326" s="17">
        <f t="shared" si="410"/>
        <v>0</v>
      </c>
      <c r="AI326" s="14" t="s">
        <v>253</v>
      </c>
      <c r="AJ326" s="17">
        <f t="shared" si="411"/>
        <v>0</v>
      </c>
      <c r="AK326" s="17">
        <f t="shared" si="412"/>
        <v>0</v>
      </c>
      <c r="AL326" s="17">
        <f t="shared" si="413"/>
        <v>0</v>
      </c>
      <c r="AN326" s="17">
        <v>12</v>
      </c>
      <c r="AO326" s="17">
        <f>H326*0.014896303</f>
        <v>0</v>
      </c>
      <c r="AP326" s="17">
        <f>H326*(1-0.014896303)</f>
        <v>0</v>
      </c>
      <c r="AQ326" s="76" t="s">
        <v>577</v>
      </c>
      <c r="AV326" s="17">
        <f t="shared" si="414"/>
        <v>0</v>
      </c>
      <c r="AW326" s="17">
        <f t="shared" si="415"/>
        <v>0</v>
      </c>
      <c r="AX326" s="17">
        <f t="shared" si="416"/>
        <v>0</v>
      </c>
      <c r="AY326" s="76" t="s">
        <v>677</v>
      </c>
      <c r="AZ326" s="76" t="s">
        <v>856</v>
      </c>
      <c r="BA326" s="14" t="s">
        <v>851</v>
      </c>
      <c r="BC326" s="17">
        <f t="shared" si="417"/>
        <v>0</v>
      </c>
      <c r="BD326" s="17">
        <f t="shared" si="418"/>
        <v>0</v>
      </c>
      <c r="BE326" s="17">
        <v>0</v>
      </c>
      <c r="BF326" s="17">
        <f t="shared" si="419"/>
        <v>0</v>
      </c>
      <c r="BH326" s="17">
        <f t="shared" si="420"/>
        <v>0</v>
      </c>
      <c r="BI326" s="17">
        <f t="shared" si="421"/>
        <v>0</v>
      </c>
      <c r="BJ326" s="17">
        <f t="shared" si="422"/>
        <v>0</v>
      </c>
      <c r="BK326" s="17"/>
      <c r="BL326" s="17">
        <v>722</v>
      </c>
      <c r="BW326" s="17">
        <f t="shared" si="423"/>
        <v>12</v>
      </c>
      <c r="BX326" s="4" t="s">
        <v>187</v>
      </c>
    </row>
    <row r="327" spans="1:76" x14ac:dyDescent="0.25">
      <c r="A327" s="1" t="s">
        <v>874</v>
      </c>
      <c r="B327" s="2" t="s">
        <v>253</v>
      </c>
      <c r="C327" s="2" t="s">
        <v>239</v>
      </c>
      <c r="D327" s="83" t="s">
        <v>240</v>
      </c>
      <c r="E327" s="84"/>
      <c r="F327" s="2" t="s">
        <v>88</v>
      </c>
      <c r="G327" s="17">
        <f>'Rozpočet - vybrané sloupce'!J271</f>
        <v>0.1</v>
      </c>
      <c r="H327" s="17">
        <f>'Rozpočet - vybrané sloupce'!K271</f>
        <v>0</v>
      </c>
      <c r="I327" s="74">
        <v>12</v>
      </c>
      <c r="J327" s="17">
        <f t="shared" si="398"/>
        <v>0</v>
      </c>
      <c r="K327" s="17">
        <f t="shared" si="399"/>
        <v>0</v>
      </c>
      <c r="L327" s="17">
        <f t="shared" si="400"/>
        <v>0</v>
      </c>
      <c r="M327" s="17">
        <f t="shared" si="401"/>
        <v>0</v>
      </c>
      <c r="N327" s="17">
        <v>0</v>
      </c>
      <c r="O327" s="17">
        <f t="shared" si="402"/>
        <v>0</v>
      </c>
      <c r="P327" s="75" t="s">
        <v>576</v>
      </c>
      <c r="Z327" s="17">
        <f t="shared" si="403"/>
        <v>0</v>
      </c>
      <c r="AB327" s="17">
        <f t="shared" si="404"/>
        <v>0</v>
      </c>
      <c r="AC327" s="17">
        <f t="shared" si="405"/>
        <v>0</v>
      </c>
      <c r="AD327" s="17">
        <f t="shared" si="406"/>
        <v>0</v>
      </c>
      <c r="AE327" s="17">
        <f t="shared" si="407"/>
        <v>0</v>
      </c>
      <c r="AF327" s="17">
        <f t="shared" si="408"/>
        <v>0</v>
      </c>
      <c r="AG327" s="17">
        <f t="shared" si="409"/>
        <v>0</v>
      </c>
      <c r="AH327" s="17">
        <f t="shared" si="410"/>
        <v>0</v>
      </c>
      <c r="AI327" s="14" t="s">
        <v>253</v>
      </c>
      <c r="AJ327" s="17">
        <f t="shared" si="411"/>
        <v>0</v>
      </c>
      <c r="AK327" s="17">
        <f t="shared" si="412"/>
        <v>0</v>
      </c>
      <c r="AL327" s="17">
        <f t="shared" si="413"/>
        <v>0</v>
      </c>
      <c r="AN327" s="17">
        <v>12</v>
      </c>
      <c r="AO327" s="17">
        <f>H327*0</f>
        <v>0</v>
      </c>
      <c r="AP327" s="17">
        <f>H327*(1-0)</f>
        <v>0</v>
      </c>
      <c r="AQ327" s="76" t="s">
        <v>577</v>
      </c>
      <c r="AV327" s="17">
        <f t="shared" si="414"/>
        <v>0</v>
      </c>
      <c r="AW327" s="17">
        <f t="shared" si="415"/>
        <v>0</v>
      </c>
      <c r="AX327" s="17">
        <f t="shared" si="416"/>
        <v>0</v>
      </c>
      <c r="AY327" s="76" t="s">
        <v>677</v>
      </c>
      <c r="AZ327" s="76" t="s">
        <v>856</v>
      </c>
      <c r="BA327" s="14" t="s">
        <v>851</v>
      </c>
      <c r="BC327" s="17">
        <f t="shared" si="417"/>
        <v>0</v>
      </c>
      <c r="BD327" s="17">
        <f t="shared" si="418"/>
        <v>0</v>
      </c>
      <c r="BE327" s="17">
        <v>0</v>
      </c>
      <c r="BF327" s="17">
        <f t="shared" si="419"/>
        <v>0</v>
      </c>
      <c r="BH327" s="17">
        <f t="shared" si="420"/>
        <v>0</v>
      </c>
      <c r="BI327" s="17">
        <f t="shared" si="421"/>
        <v>0</v>
      </c>
      <c r="BJ327" s="17">
        <f t="shared" si="422"/>
        <v>0</v>
      </c>
      <c r="BK327" s="17"/>
      <c r="BL327" s="17">
        <v>722</v>
      </c>
      <c r="BW327" s="17">
        <f t="shared" si="423"/>
        <v>12</v>
      </c>
      <c r="BX327" s="4" t="s">
        <v>240</v>
      </c>
    </row>
    <row r="328" spans="1:76" x14ac:dyDescent="0.25">
      <c r="A328" s="77"/>
      <c r="C328" s="78" t="s">
        <v>610</v>
      </c>
      <c r="D328" s="161" t="s">
        <v>624</v>
      </c>
      <c r="E328" s="162"/>
      <c r="F328" s="162"/>
      <c r="G328" s="162"/>
      <c r="H328" s="162"/>
      <c r="I328" s="162"/>
      <c r="J328" s="162"/>
      <c r="K328" s="162"/>
      <c r="L328" s="162"/>
      <c r="M328" s="162"/>
      <c r="N328" s="162"/>
      <c r="O328" s="162"/>
      <c r="P328" s="163"/>
      <c r="BX328" s="79" t="s">
        <v>624</v>
      </c>
    </row>
    <row r="329" spans="1:76" x14ac:dyDescent="0.25">
      <c r="A329" s="1" t="s">
        <v>875</v>
      </c>
      <c r="B329" s="2" t="s">
        <v>253</v>
      </c>
      <c r="C329" s="2" t="s">
        <v>194</v>
      </c>
      <c r="D329" s="83" t="s">
        <v>195</v>
      </c>
      <c r="E329" s="84"/>
      <c r="F329" s="2" t="s">
        <v>45</v>
      </c>
      <c r="G329" s="17">
        <f>'Rozpočet - vybrané sloupce'!J272</f>
        <v>0</v>
      </c>
      <c r="H329" s="17">
        <f>'Rozpočet - vybrané sloupce'!K272</f>
        <v>0</v>
      </c>
      <c r="I329" s="74">
        <v>12</v>
      </c>
      <c r="J329" s="17">
        <f>ROUND(G329*AO329,2)</f>
        <v>0</v>
      </c>
      <c r="K329" s="17">
        <f>ROUND(G329*AP329,2)</f>
        <v>0</v>
      </c>
      <c r="L329" s="17">
        <f>ROUND(G329*H329,2)</f>
        <v>0</v>
      </c>
      <c r="M329" s="17">
        <f>L329*(1+BW329/100)</f>
        <v>0</v>
      </c>
      <c r="N329" s="17">
        <v>0</v>
      </c>
      <c r="O329" s="17">
        <f>G329*N329</f>
        <v>0</v>
      </c>
      <c r="P329" s="75" t="s">
        <v>576</v>
      </c>
      <c r="Z329" s="17">
        <f>ROUND(IF(AQ329="5",BJ329,0),2)</f>
        <v>0</v>
      </c>
      <c r="AB329" s="17">
        <f>ROUND(IF(AQ329="1",BH329,0),2)</f>
        <v>0</v>
      </c>
      <c r="AC329" s="17">
        <f>ROUND(IF(AQ329="1",BI329,0),2)</f>
        <v>0</v>
      </c>
      <c r="AD329" s="17">
        <f>ROUND(IF(AQ329="7",BH329,0),2)</f>
        <v>0</v>
      </c>
      <c r="AE329" s="17">
        <f>ROUND(IF(AQ329="7",BI329,0),2)</f>
        <v>0</v>
      </c>
      <c r="AF329" s="17">
        <f>ROUND(IF(AQ329="2",BH329,0),2)</f>
        <v>0</v>
      </c>
      <c r="AG329" s="17">
        <f>ROUND(IF(AQ329="2",BI329,0),2)</f>
        <v>0</v>
      </c>
      <c r="AH329" s="17">
        <f>ROUND(IF(AQ329="0",BJ329,0),2)</f>
        <v>0</v>
      </c>
      <c r="AI329" s="14" t="s">
        <v>253</v>
      </c>
      <c r="AJ329" s="17">
        <f>IF(AN329=0,L329,0)</f>
        <v>0</v>
      </c>
      <c r="AK329" s="17">
        <f>IF(AN329=12,L329,0)</f>
        <v>0</v>
      </c>
      <c r="AL329" s="17">
        <f>IF(AN329=21,L329,0)</f>
        <v>0</v>
      </c>
      <c r="AN329" s="17">
        <v>12</v>
      </c>
      <c r="AO329" s="17">
        <f>H329*0</f>
        <v>0</v>
      </c>
      <c r="AP329" s="17">
        <f>H329*(1-0)</f>
        <v>0</v>
      </c>
      <c r="AQ329" s="76" t="s">
        <v>585</v>
      </c>
      <c r="AV329" s="17">
        <f>ROUND(AW329+AX329,2)</f>
        <v>0</v>
      </c>
      <c r="AW329" s="17">
        <f>ROUND(G329*AO329,2)</f>
        <v>0</v>
      </c>
      <c r="AX329" s="17">
        <f>ROUND(G329*AP329,2)</f>
        <v>0</v>
      </c>
      <c r="AY329" s="76" t="s">
        <v>677</v>
      </c>
      <c r="AZ329" s="76" t="s">
        <v>856</v>
      </c>
      <c r="BA329" s="14" t="s">
        <v>851</v>
      </c>
      <c r="BC329" s="17">
        <f>AW329+AX329</f>
        <v>0</v>
      </c>
      <c r="BD329" s="17">
        <f>H329/(100-BE329)*100</f>
        <v>0</v>
      </c>
      <c r="BE329" s="17">
        <v>0</v>
      </c>
      <c r="BF329" s="17">
        <f>O329</f>
        <v>0</v>
      </c>
      <c r="BH329" s="17">
        <f>G329*AO329</f>
        <v>0</v>
      </c>
      <c r="BI329" s="17">
        <f>G329*AP329</f>
        <v>0</v>
      </c>
      <c r="BJ329" s="17">
        <f>G329*H329</f>
        <v>0</v>
      </c>
      <c r="BK329" s="17"/>
      <c r="BL329" s="17">
        <v>722</v>
      </c>
      <c r="BW329" s="17">
        <f>I329</f>
        <v>12</v>
      </c>
      <c r="BX329" s="4" t="s">
        <v>195</v>
      </c>
    </row>
    <row r="330" spans="1:76" x14ac:dyDescent="0.25">
      <c r="A330" s="71" t="s">
        <v>25</v>
      </c>
      <c r="B330" s="13" t="s">
        <v>253</v>
      </c>
      <c r="C330" s="13" t="s">
        <v>241</v>
      </c>
      <c r="D330" s="135" t="s">
        <v>242</v>
      </c>
      <c r="E330" s="136"/>
      <c r="F330" s="72" t="s">
        <v>23</v>
      </c>
      <c r="G330" s="72" t="s">
        <v>23</v>
      </c>
      <c r="H330" s="72" t="s">
        <v>23</v>
      </c>
      <c r="I330" s="72" t="s">
        <v>23</v>
      </c>
      <c r="J330" s="47">
        <f>SUM(J331:J335)</f>
        <v>0</v>
      </c>
      <c r="K330" s="47">
        <f>SUM(K331:K335)</f>
        <v>0</v>
      </c>
      <c r="L330" s="47">
        <f>SUM(L331:L335)</f>
        <v>0</v>
      </c>
      <c r="M330" s="47">
        <f>SUM(M331:M335)</f>
        <v>0</v>
      </c>
      <c r="N330" s="14" t="s">
        <v>25</v>
      </c>
      <c r="O330" s="47">
        <f>SUM(O331:O335)</f>
        <v>0.2331</v>
      </c>
      <c r="P330" s="73" t="s">
        <v>25</v>
      </c>
      <c r="AI330" s="14" t="s">
        <v>253</v>
      </c>
      <c r="AS330" s="47">
        <f>SUM(AJ331:AJ335)</f>
        <v>0</v>
      </c>
      <c r="AT330" s="47">
        <f>SUM(AK331:AK335)</f>
        <v>0</v>
      </c>
      <c r="AU330" s="47">
        <f>SUM(AL331:AL335)</f>
        <v>0</v>
      </c>
    </row>
    <row r="331" spans="1:76" x14ac:dyDescent="0.25">
      <c r="A331" s="1" t="s">
        <v>876</v>
      </c>
      <c r="B331" s="2" t="s">
        <v>253</v>
      </c>
      <c r="C331" s="2" t="s">
        <v>243</v>
      </c>
      <c r="D331" s="83" t="s">
        <v>244</v>
      </c>
      <c r="E331" s="84"/>
      <c r="F331" s="2" t="s">
        <v>40</v>
      </c>
      <c r="G331" s="17">
        <f>'Rozpočet - vybrané sloupce'!J274</f>
        <v>6</v>
      </c>
      <c r="H331" s="17">
        <f>'Rozpočet - vybrané sloupce'!K274</f>
        <v>0</v>
      </c>
      <c r="I331" s="74">
        <v>12</v>
      </c>
      <c r="J331" s="17">
        <f>ROUND(G331*AO331,2)</f>
        <v>0</v>
      </c>
      <c r="K331" s="17">
        <f>ROUND(G331*AP331,2)</f>
        <v>0</v>
      </c>
      <c r="L331" s="17">
        <f>ROUND(G331*H331,2)</f>
        <v>0</v>
      </c>
      <c r="M331" s="17">
        <f>L331*(1+BW331/100)</f>
        <v>0</v>
      </c>
      <c r="N331" s="17">
        <v>1.933E-2</v>
      </c>
      <c r="O331" s="17">
        <f>G331*N331</f>
        <v>0.11598</v>
      </c>
      <c r="P331" s="75" t="s">
        <v>576</v>
      </c>
      <c r="Z331" s="17">
        <f>ROUND(IF(AQ331="5",BJ331,0),2)</f>
        <v>0</v>
      </c>
      <c r="AB331" s="17">
        <f>ROUND(IF(AQ331="1",BH331,0),2)</f>
        <v>0</v>
      </c>
      <c r="AC331" s="17">
        <f>ROUND(IF(AQ331="1",BI331,0),2)</f>
        <v>0</v>
      </c>
      <c r="AD331" s="17">
        <f>ROUND(IF(AQ331="7",BH331,0),2)</f>
        <v>0</v>
      </c>
      <c r="AE331" s="17">
        <f>ROUND(IF(AQ331="7",BI331,0),2)</f>
        <v>0</v>
      </c>
      <c r="AF331" s="17">
        <f>ROUND(IF(AQ331="2",BH331,0),2)</f>
        <v>0</v>
      </c>
      <c r="AG331" s="17">
        <f>ROUND(IF(AQ331="2",BI331,0),2)</f>
        <v>0</v>
      </c>
      <c r="AH331" s="17">
        <f>ROUND(IF(AQ331="0",BJ331,0),2)</f>
        <v>0</v>
      </c>
      <c r="AI331" s="14" t="s">
        <v>253</v>
      </c>
      <c r="AJ331" s="17">
        <f>IF(AN331=0,L331,0)</f>
        <v>0</v>
      </c>
      <c r="AK331" s="17">
        <f>IF(AN331=12,L331,0)</f>
        <v>0</v>
      </c>
      <c r="AL331" s="17">
        <f>IF(AN331=21,L331,0)</f>
        <v>0</v>
      </c>
      <c r="AN331" s="17">
        <v>12</v>
      </c>
      <c r="AO331" s="17">
        <f>H331*0</f>
        <v>0</v>
      </c>
      <c r="AP331" s="17">
        <f>H331*(1-0)</f>
        <v>0</v>
      </c>
      <c r="AQ331" s="76" t="s">
        <v>577</v>
      </c>
      <c r="AV331" s="17">
        <f>ROUND(AW331+AX331,2)</f>
        <v>0</v>
      </c>
      <c r="AW331" s="17">
        <f>ROUND(G331*AO331,2)</f>
        <v>0</v>
      </c>
      <c r="AX331" s="17">
        <f>ROUND(G331*AP331,2)</f>
        <v>0</v>
      </c>
      <c r="AY331" s="76" t="s">
        <v>844</v>
      </c>
      <c r="AZ331" s="76" t="s">
        <v>856</v>
      </c>
      <c r="BA331" s="14" t="s">
        <v>851</v>
      </c>
      <c r="BC331" s="17">
        <f>AW331+AX331</f>
        <v>0</v>
      </c>
      <c r="BD331" s="17">
        <f>H331/(100-BE331)*100</f>
        <v>0</v>
      </c>
      <c r="BE331" s="17">
        <v>0</v>
      </c>
      <c r="BF331" s="17">
        <f>O331</f>
        <v>0.11598</v>
      </c>
      <c r="BH331" s="17">
        <f>G331*AO331</f>
        <v>0</v>
      </c>
      <c r="BI331" s="17">
        <f>G331*AP331</f>
        <v>0</v>
      </c>
      <c r="BJ331" s="17">
        <f>G331*H331</f>
        <v>0</v>
      </c>
      <c r="BK331" s="17"/>
      <c r="BL331" s="17">
        <v>725</v>
      </c>
      <c r="BW331" s="17">
        <f>I331</f>
        <v>12</v>
      </c>
      <c r="BX331" s="4" t="s">
        <v>244</v>
      </c>
    </row>
    <row r="332" spans="1:76" x14ac:dyDescent="0.25">
      <c r="A332" s="1" t="s">
        <v>877</v>
      </c>
      <c r="B332" s="2" t="s">
        <v>253</v>
      </c>
      <c r="C332" s="2" t="s">
        <v>245</v>
      </c>
      <c r="D332" s="83" t="s">
        <v>246</v>
      </c>
      <c r="E332" s="84"/>
      <c r="F332" s="2" t="s">
        <v>40</v>
      </c>
      <c r="G332" s="17">
        <f>'Rozpočet - vybrané sloupce'!J275</f>
        <v>6</v>
      </c>
      <c r="H332" s="17">
        <f>'Rozpočet - vybrané sloupce'!K275</f>
        <v>0</v>
      </c>
      <c r="I332" s="74">
        <v>12</v>
      </c>
      <c r="J332" s="17">
        <f>ROUND(G332*AO332,2)</f>
        <v>0</v>
      </c>
      <c r="K332" s="17">
        <f>ROUND(G332*AP332,2)</f>
        <v>0</v>
      </c>
      <c r="L332" s="17">
        <f>ROUND(G332*H332,2)</f>
        <v>0</v>
      </c>
      <c r="M332" s="17">
        <f>L332*(1+BW332/100)</f>
        <v>0</v>
      </c>
      <c r="N332" s="17">
        <v>1.8600000000000001E-3</v>
      </c>
      <c r="O332" s="17">
        <f>G332*N332</f>
        <v>1.116E-2</v>
      </c>
      <c r="P332" s="75" t="s">
        <v>576</v>
      </c>
      <c r="Z332" s="17">
        <f>ROUND(IF(AQ332="5",BJ332,0),2)</f>
        <v>0</v>
      </c>
      <c r="AB332" s="17">
        <f>ROUND(IF(AQ332="1",BH332,0),2)</f>
        <v>0</v>
      </c>
      <c r="AC332" s="17">
        <f>ROUND(IF(AQ332="1",BI332,0),2)</f>
        <v>0</v>
      </c>
      <c r="AD332" s="17">
        <f>ROUND(IF(AQ332="7",BH332,0),2)</f>
        <v>0</v>
      </c>
      <c r="AE332" s="17">
        <f>ROUND(IF(AQ332="7",BI332,0),2)</f>
        <v>0</v>
      </c>
      <c r="AF332" s="17">
        <f>ROUND(IF(AQ332="2",BH332,0),2)</f>
        <v>0</v>
      </c>
      <c r="AG332" s="17">
        <f>ROUND(IF(AQ332="2",BI332,0),2)</f>
        <v>0</v>
      </c>
      <c r="AH332" s="17">
        <f>ROUND(IF(AQ332="0",BJ332,0),2)</f>
        <v>0</v>
      </c>
      <c r="AI332" s="14" t="s">
        <v>253</v>
      </c>
      <c r="AJ332" s="17">
        <f>IF(AN332=0,L332,0)</f>
        <v>0</v>
      </c>
      <c r="AK332" s="17">
        <f>IF(AN332=12,L332,0)</f>
        <v>0</v>
      </c>
      <c r="AL332" s="17">
        <f>IF(AN332=21,L332,0)</f>
        <v>0</v>
      </c>
      <c r="AN332" s="17">
        <v>12</v>
      </c>
      <c r="AO332" s="17">
        <f>H332*0.443490814</f>
        <v>0</v>
      </c>
      <c r="AP332" s="17">
        <f>H332*(1-0.443490814)</f>
        <v>0</v>
      </c>
      <c r="AQ332" s="76" t="s">
        <v>577</v>
      </c>
      <c r="AV332" s="17">
        <f>ROUND(AW332+AX332,2)</f>
        <v>0</v>
      </c>
      <c r="AW332" s="17">
        <f>ROUND(G332*AO332,2)</f>
        <v>0</v>
      </c>
      <c r="AX332" s="17">
        <f>ROUND(G332*AP332,2)</f>
        <v>0</v>
      </c>
      <c r="AY332" s="76" t="s">
        <v>844</v>
      </c>
      <c r="AZ332" s="76" t="s">
        <v>856</v>
      </c>
      <c r="BA332" s="14" t="s">
        <v>851</v>
      </c>
      <c r="BC332" s="17">
        <f>AW332+AX332</f>
        <v>0</v>
      </c>
      <c r="BD332" s="17">
        <f>H332/(100-BE332)*100</f>
        <v>0</v>
      </c>
      <c r="BE332" s="17">
        <v>0</v>
      </c>
      <c r="BF332" s="17">
        <f>O332</f>
        <v>1.116E-2</v>
      </c>
      <c r="BH332" s="17">
        <f>G332*AO332</f>
        <v>0</v>
      </c>
      <c r="BI332" s="17">
        <f>G332*AP332</f>
        <v>0</v>
      </c>
      <c r="BJ332" s="17">
        <f>G332*H332</f>
        <v>0</v>
      </c>
      <c r="BK332" s="17"/>
      <c r="BL332" s="17">
        <v>725</v>
      </c>
      <c r="BW332" s="17">
        <f>I332</f>
        <v>12</v>
      </c>
      <c r="BX332" s="4" t="s">
        <v>246</v>
      </c>
    </row>
    <row r="333" spans="1:76" x14ac:dyDescent="0.25">
      <c r="A333" s="1" t="s">
        <v>878</v>
      </c>
      <c r="B333" s="2" t="s">
        <v>253</v>
      </c>
      <c r="C333" s="2" t="s">
        <v>247</v>
      </c>
      <c r="D333" s="83" t="s">
        <v>248</v>
      </c>
      <c r="E333" s="84"/>
      <c r="F333" s="2" t="s">
        <v>40</v>
      </c>
      <c r="G333" s="17">
        <f>'Rozpočet - vybrané sloupce'!J276</f>
        <v>6</v>
      </c>
      <c r="H333" s="17">
        <f>'Rozpočet - vybrané sloupce'!K276</f>
        <v>0</v>
      </c>
      <c r="I333" s="74">
        <v>12</v>
      </c>
      <c r="J333" s="17">
        <f>ROUND(G333*AO333,2)</f>
        <v>0</v>
      </c>
      <c r="K333" s="17">
        <f>ROUND(G333*AP333,2)</f>
        <v>0</v>
      </c>
      <c r="L333" s="17">
        <f>ROUND(G333*H333,2)</f>
        <v>0</v>
      </c>
      <c r="M333" s="17">
        <f>L333*(1+BW333/100)</f>
        <v>0</v>
      </c>
      <c r="N333" s="17">
        <v>1.7600000000000001E-2</v>
      </c>
      <c r="O333" s="17">
        <f>G333*N333</f>
        <v>0.1056</v>
      </c>
      <c r="P333" s="75" t="s">
        <v>576</v>
      </c>
      <c r="Z333" s="17">
        <f>ROUND(IF(AQ333="5",BJ333,0),2)</f>
        <v>0</v>
      </c>
      <c r="AB333" s="17">
        <f>ROUND(IF(AQ333="1",BH333,0),2)</f>
        <v>0</v>
      </c>
      <c r="AC333" s="17">
        <f>ROUND(IF(AQ333="1",BI333,0),2)</f>
        <v>0</v>
      </c>
      <c r="AD333" s="17">
        <f>ROUND(IF(AQ333="7",BH333,0),2)</f>
        <v>0</v>
      </c>
      <c r="AE333" s="17">
        <f>ROUND(IF(AQ333="7",BI333,0),2)</f>
        <v>0</v>
      </c>
      <c r="AF333" s="17">
        <f>ROUND(IF(AQ333="2",BH333,0),2)</f>
        <v>0</v>
      </c>
      <c r="AG333" s="17">
        <f>ROUND(IF(AQ333="2",BI333,0),2)</f>
        <v>0</v>
      </c>
      <c r="AH333" s="17">
        <f>ROUND(IF(AQ333="0",BJ333,0),2)</f>
        <v>0</v>
      </c>
      <c r="AI333" s="14" t="s">
        <v>253</v>
      </c>
      <c r="AJ333" s="17">
        <f>IF(AN333=0,L333,0)</f>
        <v>0</v>
      </c>
      <c r="AK333" s="17">
        <f>IF(AN333=12,L333,0)</f>
        <v>0</v>
      </c>
      <c r="AL333" s="17">
        <f>IF(AN333=21,L333,0)</f>
        <v>0</v>
      </c>
      <c r="AN333" s="17">
        <v>12</v>
      </c>
      <c r="AO333" s="17">
        <f>H333*0</f>
        <v>0</v>
      </c>
      <c r="AP333" s="17">
        <f>H333*(1-0)</f>
        <v>0</v>
      </c>
      <c r="AQ333" s="76" t="s">
        <v>577</v>
      </c>
      <c r="AV333" s="17">
        <f>ROUND(AW333+AX333,2)</f>
        <v>0</v>
      </c>
      <c r="AW333" s="17">
        <f>ROUND(G333*AO333,2)</f>
        <v>0</v>
      </c>
      <c r="AX333" s="17">
        <f>ROUND(G333*AP333,2)</f>
        <v>0</v>
      </c>
      <c r="AY333" s="76" t="s">
        <v>844</v>
      </c>
      <c r="AZ333" s="76" t="s">
        <v>856</v>
      </c>
      <c r="BA333" s="14" t="s">
        <v>851</v>
      </c>
      <c r="BC333" s="17">
        <f>AW333+AX333</f>
        <v>0</v>
      </c>
      <c r="BD333" s="17">
        <f>H333/(100-BE333)*100</f>
        <v>0</v>
      </c>
      <c r="BE333" s="17">
        <v>0</v>
      </c>
      <c r="BF333" s="17">
        <f>O333</f>
        <v>0.1056</v>
      </c>
      <c r="BH333" s="17">
        <f>G333*AO333</f>
        <v>0</v>
      </c>
      <c r="BI333" s="17">
        <f>G333*AP333</f>
        <v>0</v>
      </c>
      <c r="BJ333" s="17">
        <f>G333*H333</f>
        <v>0</v>
      </c>
      <c r="BK333" s="17"/>
      <c r="BL333" s="17">
        <v>725</v>
      </c>
      <c r="BW333" s="17">
        <f>I333</f>
        <v>12</v>
      </c>
      <c r="BX333" s="4" t="s">
        <v>248</v>
      </c>
    </row>
    <row r="334" spans="1:76" x14ac:dyDescent="0.25">
      <c r="A334" s="1" t="s">
        <v>879</v>
      </c>
      <c r="B334" s="2" t="s">
        <v>253</v>
      </c>
      <c r="C334" s="2" t="s">
        <v>249</v>
      </c>
      <c r="D334" s="83" t="s">
        <v>250</v>
      </c>
      <c r="E334" s="84"/>
      <c r="F334" s="2" t="s">
        <v>35</v>
      </c>
      <c r="G334" s="17">
        <f>'Rozpočet - vybrané sloupce'!J277</f>
        <v>6</v>
      </c>
      <c r="H334" s="17">
        <f>'Rozpočet - vybrané sloupce'!K277</f>
        <v>0</v>
      </c>
      <c r="I334" s="74">
        <v>12</v>
      </c>
      <c r="J334" s="17">
        <f>ROUND(G334*AO334,2)</f>
        <v>0</v>
      </c>
      <c r="K334" s="17">
        <f>ROUND(G334*AP334,2)</f>
        <v>0</v>
      </c>
      <c r="L334" s="17">
        <f>ROUND(G334*H334,2)</f>
        <v>0</v>
      </c>
      <c r="M334" s="17">
        <f>L334*(1+BW334/100)</f>
        <v>0</v>
      </c>
      <c r="N334" s="17">
        <v>6.0000000000000002E-5</v>
      </c>
      <c r="O334" s="17">
        <f>G334*N334</f>
        <v>3.6000000000000002E-4</v>
      </c>
      <c r="P334" s="75" t="s">
        <v>576</v>
      </c>
      <c r="Z334" s="17">
        <f>ROUND(IF(AQ334="5",BJ334,0),2)</f>
        <v>0</v>
      </c>
      <c r="AB334" s="17">
        <f>ROUND(IF(AQ334="1",BH334,0),2)</f>
        <v>0</v>
      </c>
      <c r="AC334" s="17">
        <f>ROUND(IF(AQ334="1",BI334,0),2)</f>
        <v>0</v>
      </c>
      <c r="AD334" s="17">
        <f>ROUND(IF(AQ334="7",BH334,0),2)</f>
        <v>0</v>
      </c>
      <c r="AE334" s="17">
        <f>ROUND(IF(AQ334="7",BI334,0),2)</f>
        <v>0</v>
      </c>
      <c r="AF334" s="17">
        <f>ROUND(IF(AQ334="2",BH334,0),2)</f>
        <v>0</v>
      </c>
      <c r="AG334" s="17">
        <f>ROUND(IF(AQ334="2",BI334,0),2)</f>
        <v>0</v>
      </c>
      <c r="AH334" s="17">
        <f>ROUND(IF(AQ334="0",BJ334,0),2)</f>
        <v>0</v>
      </c>
      <c r="AI334" s="14" t="s">
        <v>253</v>
      </c>
      <c r="AJ334" s="17">
        <f>IF(AN334=0,L334,0)</f>
        <v>0</v>
      </c>
      <c r="AK334" s="17">
        <f>IF(AN334=12,L334,0)</f>
        <v>0</v>
      </c>
      <c r="AL334" s="17">
        <f>IF(AN334=21,L334,0)</f>
        <v>0</v>
      </c>
      <c r="AN334" s="17">
        <v>12</v>
      </c>
      <c r="AO334" s="17">
        <f>H334*0.055554299</f>
        <v>0</v>
      </c>
      <c r="AP334" s="17">
        <f>H334*(1-0.055554299)</f>
        <v>0</v>
      </c>
      <c r="AQ334" s="76" t="s">
        <v>577</v>
      </c>
      <c r="AV334" s="17">
        <f>ROUND(AW334+AX334,2)</f>
        <v>0</v>
      </c>
      <c r="AW334" s="17">
        <f>ROUND(G334*AO334,2)</f>
        <v>0</v>
      </c>
      <c r="AX334" s="17">
        <f>ROUND(G334*AP334,2)</f>
        <v>0</v>
      </c>
      <c r="AY334" s="76" t="s">
        <v>844</v>
      </c>
      <c r="AZ334" s="76" t="s">
        <v>856</v>
      </c>
      <c r="BA334" s="14" t="s">
        <v>851</v>
      </c>
      <c r="BC334" s="17">
        <f>AW334+AX334</f>
        <v>0</v>
      </c>
      <c r="BD334" s="17">
        <f>H334/(100-BE334)*100</f>
        <v>0</v>
      </c>
      <c r="BE334" s="17">
        <v>0</v>
      </c>
      <c r="BF334" s="17">
        <f>O334</f>
        <v>3.6000000000000002E-4</v>
      </c>
      <c r="BH334" s="17">
        <f>G334*AO334</f>
        <v>0</v>
      </c>
      <c r="BI334" s="17">
        <f>G334*AP334</f>
        <v>0</v>
      </c>
      <c r="BJ334" s="17">
        <f>G334*H334</f>
        <v>0</v>
      </c>
      <c r="BK334" s="17"/>
      <c r="BL334" s="17">
        <v>725</v>
      </c>
      <c r="BW334" s="17">
        <f>I334</f>
        <v>12</v>
      </c>
      <c r="BX334" s="4" t="s">
        <v>250</v>
      </c>
    </row>
    <row r="335" spans="1:76" x14ac:dyDescent="0.25">
      <c r="A335" s="1" t="s">
        <v>880</v>
      </c>
      <c r="B335" s="2" t="s">
        <v>253</v>
      </c>
      <c r="C335" s="2" t="s">
        <v>251</v>
      </c>
      <c r="D335" s="83" t="s">
        <v>252</v>
      </c>
      <c r="E335" s="84"/>
      <c r="F335" s="2" t="s">
        <v>45</v>
      </c>
      <c r="G335" s="17">
        <f>'Rozpočet - vybrané sloupce'!J278</f>
        <v>0</v>
      </c>
      <c r="H335" s="17">
        <f>'Rozpočet - vybrané sloupce'!K278</f>
        <v>0</v>
      </c>
      <c r="I335" s="74">
        <v>12</v>
      </c>
      <c r="J335" s="17">
        <f>ROUND(G335*AO335,2)</f>
        <v>0</v>
      </c>
      <c r="K335" s="17">
        <f>ROUND(G335*AP335,2)</f>
        <v>0</v>
      </c>
      <c r="L335" s="17">
        <f>ROUND(G335*H335,2)</f>
        <v>0</v>
      </c>
      <c r="M335" s="17">
        <f>L335*(1+BW335/100)</f>
        <v>0</v>
      </c>
      <c r="N335" s="17">
        <v>0</v>
      </c>
      <c r="O335" s="17">
        <f>G335*N335</f>
        <v>0</v>
      </c>
      <c r="P335" s="75" t="s">
        <v>576</v>
      </c>
      <c r="Z335" s="17">
        <f>ROUND(IF(AQ335="5",BJ335,0),2)</f>
        <v>0</v>
      </c>
      <c r="AB335" s="17">
        <f>ROUND(IF(AQ335="1",BH335,0),2)</f>
        <v>0</v>
      </c>
      <c r="AC335" s="17">
        <f>ROUND(IF(AQ335="1",BI335,0),2)</f>
        <v>0</v>
      </c>
      <c r="AD335" s="17">
        <f>ROUND(IF(AQ335="7",BH335,0),2)</f>
        <v>0</v>
      </c>
      <c r="AE335" s="17">
        <f>ROUND(IF(AQ335="7",BI335,0),2)</f>
        <v>0</v>
      </c>
      <c r="AF335" s="17">
        <f>ROUND(IF(AQ335="2",BH335,0),2)</f>
        <v>0</v>
      </c>
      <c r="AG335" s="17">
        <f>ROUND(IF(AQ335="2",BI335,0),2)</f>
        <v>0</v>
      </c>
      <c r="AH335" s="17">
        <f>ROUND(IF(AQ335="0",BJ335,0),2)</f>
        <v>0</v>
      </c>
      <c r="AI335" s="14" t="s">
        <v>253</v>
      </c>
      <c r="AJ335" s="17">
        <f>IF(AN335=0,L335,0)</f>
        <v>0</v>
      </c>
      <c r="AK335" s="17">
        <f>IF(AN335=12,L335,0)</f>
        <v>0</v>
      </c>
      <c r="AL335" s="17">
        <f>IF(AN335=21,L335,0)</f>
        <v>0</v>
      </c>
      <c r="AN335" s="17">
        <v>12</v>
      </c>
      <c r="AO335" s="17">
        <f>H335*0</f>
        <v>0</v>
      </c>
      <c r="AP335" s="17">
        <f>H335*(1-0)</f>
        <v>0</v>
      </c>
      <c r="AQ335" s="76" t="s">
        <v>585</v>
      </c>
      <c r="AV335" s="17">
        <f>ROUND(AW335+AX335,2)</f>
        <v>0</v>
      </c>
      <c r="AW335" s="17">
        <f>ROUND(G335*AO335,2)</f>
        <v>0</v>
      </c>
      <c r="AX335" s="17">
        <f>ROUND(G335*AP335,2)</f>
        <v>0</v>
      </c>
      <c r="AY335" s="76" t="s">
        <v>844</v>
      </c>
      <c r="AZ335" s="76" t="s">
        <v>856</v>
      </c>
      <c r="BA335" s="14" t="s">
        <v>851</v>
      </c>
      <c r="BC335" s="17">
        <f>AW335+AX335</f>
        <v>0</v>
      </c>
      <c r="BD335" s="17">
        <f>H335/(100-BE335)*100</f>
        <v>0</v>
      </c>
      <c r="BE335" s="17">
        <v>0</v>
      </c>
      <c r="BF335" s="17">
        <f>O335</f>
        <v>0</v>
      </c>
      <c r="BH335" s="17">
        <f>G335*AO335</f>
        <v>0</v>
      </c>
      <c r="BI335" s="17">
        <f>G335*AP335</f>
        <v>0</v>
      </c>
      <c r="BJ335" s="17">
        <f>G335*H335</f>
        <v>0</v>
      </c>
      <c r="BK335" s="17"/>
      <c r="BL335" s="17">
        <v>725</v>
      </c>
      <c r="BW335" s="17">
        <f>I335</f>
        <v>12</v>
      </c>
      <c r="BX335" s="4" t="s">
        <v>252</v>
      </c>
    </row>
    <row r="336" spans="1:76" x14ac:dyDescent="0.25">
      <c r="A336" s="71" t="s">
        <v>25</v>
      </c>
      <c r="B336" s="13" t="s">
        <v>255</v>
      </c>
      <c r="C336" s="13" t="s">
        <v>25</v>
      </c>
      <c r="D336" s="135" t="s">
        <v>256</v>
      </c>
      <c r="E336" s="136"/>
      <c r="F336" s="72" t="s">
        <v>23</v>
      </c>
      <c r="G336" s="72" t="s">
        <v>23</v>
      </c>
      <c r="H336" s="72" t="s">
        <v>23</v>
      </c>
      <c r="I336" s="72" t="s">
        <v>23</v>
      </c>
      <c r="J336" s="47">
        <f>J337+J342+J364</f>
        <v>0</v>
      </c>
      <c r="K336" s="47">
        <f>K337+K342+K364</f>
        <v>0</v>
      </c>
      <c r="L336" s="47">
        <f>L337+L342+L364</f>
        <v>0</v>
      </c>
      <c r="M336" s="47">
        <f>M337+M342+M364</f>
        <v>0</v>
      </c>
      <c r="N336" s="14" t="s">
        <v>25</v>
      </c>
      <c r="O336" s="47">
        <f>O337+O342+O364</f>
        <v>0.44315999999999994</v>
      </c>
      <c r="P336" s="73" t="s">
        <v>25</v>
      </c>
    </row>
    <row r="337" spans="1:76" x14ac:dyDescent="0.25">
      <c r="A337" s="71" t="s">
        <v>25</v>
      </c>
      <c r="B337" s="13" t="s">
        <v>255</v>
      </c>
      <c r="C337" s="13" t="s">
        <v>52</v>
      </c>
      <c r="D337" s="135" t="s">
        <v>53</v>
      </c>
      <c r="E337" s="136"/>
      <c r="F337" s="72" t="s">
        <v>23</v>
      </c>
      <c r="G337" s="72" t="s">
        <v>23</v>
      </c>
      <c r="H337" s="72" t="s">
        <v>23</v>
      </c>
      <c r="I337" s="72" t="s">
        <v>23</v>
      </c>
      <c r="J337" s="47">
        <f>SUM(J338:J341)</f>
        <v>0</v>
      </c>
      <c r="K337" s="47">
        <f>SUM(K338:K341)</f>
        <v>0</v>
      </c>
      <c r="L337" s="47">
        <f>SUM(L338:L341)</f>
        <v>0</v>
      </c>
      <c r="M337" s="47">
        <f>SUM(M338:M341)</f>
        <v>0</v>
      </c>
      <c r="N337" s="14" t="s">
        <v>25</v>
      </c>
      <c r="O337" s="47">
        <f>SUM(O338:O341)</f>
        <v>0</v>
      </c>
      <c r="P337" s="73" t="s">
        <v>25</v>
      </c>
      <c r="AI337" s="14" t="s">
        <v>255</v>
      </c>
      <c r="AS337" s="47">
        <f>SUM(AJ338:AJ341)</f>
        <v>0</v>
      </c>
      <c r="AT337" s="47">
        <f>SUM(AK338:AK341)</f>
        <v>0</v>
      </c>
      <c r="AU337" s="47">
        <f>SUM(AL338:AL341)</f>
        <v>0</v>
      </c>
    </row>
    <row r="338" spans="1:76" x14ac:dyDescent="0.25">
      <c r="A338" s="1" t="s">
        <v>881</v>
      </c>
      <c r="B338" s="2" t="s">
        <v>255</v>
      </c>
      <c r="C338" s="2" t="s">
        <v>222</v>
      </c>
      <c r="D338" s="83" t="s">
        <v>223</v>
      </c>
      <c r="E338" s="84"/>
      <c r="F338" s="2" t="s">
        <v>35</v>
      </c>
      <c r="G338" s="17">
        <f>'Rozpočet - vybrané sloupce'!J281</f>
        <v>12</v>
      </c>
      <c r="H338" s="17">
        <f>'Rozpočet - vybrané sloupce'!K281</f>
        <v>0</v>
      </c>
      <c r="I338" s="74">
        <v>12</v>
      </c>
      <c r="J338" s="17">
        <f>ROUND(G338*AO338,2)</f>
        <v>0</v>
      </c>
      <c r="K338" s="17">
        <f>ROUND(G338*AP338,2)</f>
        <v>0</v>
      </c>
      <c r="L338" s="17">
        <f>ROUND(G338*H338,2)</f>
        <v>0</v>
      </c>
      <c r="M338" s="17">
        <f>L338*(1+BW338/100)</f>
        <v>0</v>
      </c>
      <c r="N338" s="17">
        <v>0</v>
      </c>
      <c r="O338" s="17">
        <f>G338*N338</f>
        <v>0</v>
      </c>
      <c r="P338" s="75" t="s">
        <v>576</v>
      </c>
      <c r="Z338" s="17">
        <f>ROUND(IF(AQ338="5",BJ338,0),2)</f>
        <v>0</v>
      </c>
      <c r="AB338" s="17">
        <f>ROUND(IF(AQ338="1",BH338,0),2)</f>
        <v>0</v>
      </c>
      <c r="AC338" s="17">
        <f>ROUND(IF(AQ338="1",BI338,0),2)</f>
        <v>0</v>
      </c>
      <c r="AD338" s="17">
        <f>ROUND(IF(AQ338="7",BH338,0),2)</f>
        <v>0</v>
      </c>
      <c r="AE338" s="17">
        <f>ROUND(IF(AQ338="7",BI338,0),2)</f>
        <v>0</v>
      </c>
      <c r="AF338" s="17">
        <f>ROUND(IF(AQ338="2",BH338,0),2)</f>
        <v>0</v>
      </c>
      <c r="AG338" s="17">
        <f>ROUND(IF(AQ338="2",BI338,0),2)</f>
        <v>0</v>
      </c>
      <c r="AH338" s="17">
        <f>ROUND(IF(AQ338="0",BJ338,0),2)</f>
        <v>0</v>
      </c>
      <c r="AI338" s="14" t="s">
        <v>255</v>
      </c>
      <c r="AJ338" s="17">
        <f>IF(AN338=0,L338,0)</f>
        <v>0</v>
      </c>
      <c r="AK338" s="17">
        <f>IF(AN338=12,L338,0)</f>
        <v>0</v>
      </c>
      <c r="AL338" s="17">
        <f>IF(AN338=21,L338,0)</f>
        <v>0</v>
      </c>
      <c r="AN338" s="17">
        <v>12</v>
      </c>
      <c r="AO338" s="17">
        <f>H338*1</f>
        <v>0</v>
      </c>
      <c r="AP338" s="17">
        <f>H338*(1-1)</f>
        <v>0</v>
      </c>
      <c r="AQ338" s="76" t="s">
        <v>577</v>
      </c>
      <c r="AV338" s="17">
        <f>ROUND(AW338+AX338,2)</f>
        <v>0</v>
      </c>
      <c r="AW338" s="17">
        <f>ROUND(G338*AO338,2)</f>
        <v>0</v>
      </c>
      <c r="AX338" s="17">
        <f>ROUND(G338*AP338,2)</f>
        <v>0</v>
      </c>
      <c r="AY338" s="76" t="s">
        <v>603</v>
      </c>
      <c r="AZ338" s="76" t="s">
        <v>882</v>
      </c>
      <c r="BA338" s="14" t="s">
        <v>883</v>
      </c>
      <c r="BC338" s="17">
        <f>AW338+AX338</f>
        <v>0</v>
      </c>
      <c r="BD338" s="17">
        <f>H338/(100-BE338)*100</f>
        <v>0</v>
      </c>
      <c r="BE338" s="17">
        <v>0</v>
      </c>
      <c r="BF338" s="17">
        <f>O338</f>
        <v>0</v>
      </c>
      <c r="BH338" s="17">
        <f>G338*AO338</f>
        <v>0</v>
      </c>
      <c r="BI338" s="17">
        <f>G338*AP338</f>
        <v>0</v>
      </c>
      <c r="BJ338" s="17">
        <f>G338*H338</f>
        <v>0</v>
      </c>
      <c r="BK338" s="17"/>
      <c r="BL338" s="17">
        <v>713</v>
      </c>
      <c r="BW338" s="17">
        <f>I338</f>
        <v>12</v>
      </c>
      <c r="BX338" s="4" t="s">
        <v>223</v>
      </c>
    </row>
    <row r="339" spans="1:76" x14ac:dyDescent="0.25">
      <c r="A339" s="1" t="s">
        <v>884</v>
      </c>
      <c r="B339" s="2" t="s">
        <v>255</v>
      </c>
      <c r="C339" s="2" t="s">
        <v>224</v>
      </c>
      <c r="D339" s="83" t="s">
        <v>225</v>
      </c>
      <c r="E339" s="84"/>
      <c r="F339" s="2" t="s">
        <v>35</v>
      </c>
      <c r="G339" s="17">
        <f>'Rozpočet - vybrané sloupce'!J282</f>
        <v>12</v>
      </c>
      <c r="H339" s="17">
        <f>'Rozpočet - vybrané sloupce'!K282</f>
        <v>0</v>
      </c>
      <c r="I339" s="74">
        <v>12</v>
      </c>
      <c r="J339" s="17">
        <f>ROUND(G339*AO339,2)</f>
        <v>0</v>
      </c>
      <c r="K339" s="17">
        <f>ROUND(G339*AP339,2)</f>
        <v>0</v>
      </c>
      <c r="L339" s="17">
        <f>ROUND(G339*H339,2)</f>
        <v>0</v>
      </c>
      <c r="M339" s="17">
        <f>L339*(1+BW339/100)</f>
        <v>0</v>
      </c>
      <c r="N339" s="17">
        <v>0</v>
      </c>
      <c r="O339" s="17">
        <f>G339*N339</f>
        <v>0</v>
      </c>
      <c r="P339" s="75" t="s">
        <v>576</v>
      </c>
      <c r="Z339" s="17">
        <f>ROUND(IF(AQ339="5",BJ339,0),2)</f>
        <v>0</v>
      </c>
      <c r="AB339" s="17">
        <f>ROUND(IF(AQ339="1",BH339,0),2)</f>
        <v>0</v>
      </c>
      <c r="AC339" s="17">
        <f>ROUND(IF(AQ339="1",BI339,0),2)</f>
        <v>0</v>
      </c>
      <c r="AD339" s="17">
        <f>ROUND(IF(AQ339="7",BH339,0),2)</f>
        <v>0</v>
      </c>
      <c r="AE339" s="17">
        <f>ROUND(IF(AQ339="7",BI339,0),2)</f>
        <v>0</v>
      </c>
      <c r="AF339" s="17">
        <f>ROUND(IF(AQ339="2",BH339,0),2)</f>
        <v>0</v>
      </c>
      <c r="AG339" s="17">
        <f>ROUND(IF(AQ339="2",BI339,0),2)</f>
        <v>0</v>
      </c>
      <c r="AH339" s="17">
        <f>ROUND(IF(AQ339="0",BJ339,0),2)</f>
        <v>0</v>
      </c>
      <c r="AI339" s="14" t="s">
        <v>255</v>
      </c>
      <c r="AJ339" s="17">
        <f>IF(AN339=0,L339,0)</f>
        <v>0</v>
      </c>
      <c r="AK339" s="17">
        <f>IF(AN339=12,L339,0)</f>
        <v>0</v>
      </c>
      <c r="AL339" s="17">
        <f>IF(AN339=21,L339,0)</f>
        <v>0</v>
      </c>
      <c r="AN339" s="17">
        <v>12</v>
      </c>
      <c r="AO339" s="17">
        <f>H339*1</f>
        <v>0</v>
      </c>
      <c r="AP339" s="17">
        <f>H339*(1-1)</f>
        <v>0</v>
      </c>
      <c r="AQ339" s="76" t="s">
        <v>577</v>
      </c>
      <c r="AV339" s="17">
        <f>ROUND(AW339+AX339,2)</f>
        <v>0</v>
      </c>
      <c r="AW339" s="17">
        <f>ROUND(G339*AO339,2)</f>
        <v>0</v>
      </c>
      <c r="AX339" s="17">
        <f>ROUND(G339*AP339,2)</f>
        <v>0</v>
      </c>
      <c r="AY339" s="76" t="s">
        <v>603</v>
      </c>
      <c r="AZ339" s="76" t="s">
        <v>882</v>
      </c>
      <c r="BA339" s="14" t="s">
        <v>883</v>
      </c>
      <c r="BC339" s="17">
        <f>AW339+AX339</f>
        <v>0</v>
      </c>
      <c r="BD339" s="17">
        <f>H339/(100-BE339)*100</f>
        <v>0</v>
      </c>
      <c r="BE339" s="17">
        <v>0</v>
      </c>
      <c r="BF339" s="17">
        <f>O339</f>
        <v>0</v>
      </c>
      <c r="BH339" s="17">
        <f>G339*AO339</f>
        <v>0</v>
      </c>
      <c r="BI339" s="17">
        <f>G339*AP339</f>
        <v>0</v>
      </c>
      <c r="BJ339" s="17">
        <f>G339*H339</f>
        <v>0</v>
      </c>
      <c r="BK339" s="17"/>
      <c r="BL339" s="17">
        <v>713</v>
      </c>
      <c r="BW339" s="17">
        <f>I339</f>
        <v>12</v>
      </c>
      <c r="BX339" s="4" t="s">
        <v>225</v>
      </c>
    </row>
    <row r="340" spans="1:76" x14ac:dyDescent="0.25">
      <c r="A340" s="1" t="s">
        <v>885</v>
      </c>
      <c r="B340" s="2" t="s">
        <v>255</v>
      </c>
      <c r="C340" s="2" t="s">
        <v>226</v>
      </c>
      <c r="D340" s="83" t="s">
        <v>227</v>
      </c>
      <c r="E340" s="84"/>
      <c r="F340" s="2" t="s">
        <v>35</v>
      </c>
      <c r="G340" s="17">
        <f>'Rozpočet - vybrané sloupce'!J283</f>
        <v>12</v>
      </c>
      <c r="H340" s="17">
        <f>'Rozpočet - vybrané sloupce'!K283</f>
        <v>0</v>
      </c>
      <c r="I340" s="74">
        <v>12</v>
      </c>
      <c r="J340" s="17">
        <f>ROUND(G340*AO340,2)</f>
        <v>0</v>
      </c>
      <c r="K340" s="17">
        <f>ROUND(G340*AP340,2)</f>
        <v>0</v>
      </c>
      <c r="L340" s="17">
        <f>ROUND(G340*H340,2)</f>
        <v>0</v>
      </c>
      <c r="M340" s="17">
        <f>L340*(1+BW340/100)</f>
        <v>0</v>
      </c>
      <c r="N340" s="17">
        <v>0</v>
      </c>
      <c r="O340" s="17">
        <f>G340*N340</f>
        <v>0</v>
      </c>
      <c r="P340" s="75" t="s">
        <v>576</v>
      </c>
      <c r="Z340" s="17">
        <f>ROUND(IF(AQ340="5",BJ340,0),2)</f>
        <v>0</v>
      </c>
      <c r="AB340" s="17">
        <f>ROUND(IF(AQ340="1",BH340,0),2)</f>
        <v>0</v>
      </c>
      <c r="AC340" s="17">
        <f>ROUND(IF(AQ340="1",BI340,0),2)</f>
        <v>0</v>
      </c>
      <c r="AD340" s="17">
        <f>ROUND(IF(AQ340="7",BH340,0),2)</f>
        <v>0</v>
      </c>
      <c r="AE340" s="17">
        <f>ROUND(IF(AQ340="7",BI340,0),2)</f>
        <v>0</v>
      </c>
      <c r="AF340" s="17">
        <f>ROUND(IF(AQ340="2",BH340,0),2)</f>
        <v>0</v>
      </c>
      <c r="AG340" s="17">
        <f>ROUND(IF(AQ340="2",BI340,0),2)</f>
        <v>0</v>
      </c>
      <c r="AH340" s="17">
        <f>ROUND(IF(AQ340="0",BJ340,0),2)</f>
        <v>0</v>
      </c>
      <c r="AI340" s="14" t="s">
        <v>255</v>
      </c>
      <c r="AJ340" s="17">
        <f>IF(AN340=0,L340,0)</f>
        <v>0</v>
      </c>
      <c r="AK340" s="17">
        <f>IF(AN340=12,L340,0)</f>
        <v>0</v>
      </c>
      <c r="AL340" s="17">
        <f>IF(AN340=21,L340,0)</f>
        <v>0</v>
      </c>
      <c r="AN340" s="17">
        <v>12</v>
      </c>
      <c r="AO340" s="17">
        <f>H340*1</f>
        <v>0</v>
      </c>
      <c r="AP340" s="17">
        <f>H340*(1-1)</f>
        <v>0</v>
      </c>
      <c r="AQ340" s="76" t="s">
        <v>577</v>
      </c>
      <c r="AV340" s="17">
        <f>ROUND(AW340+AX340,2)</f>
        <v>0</v>
      </c>
      <c r="AW340" s="17">
        <f>ROUND(G340*AO340,2)</f>
        <v>0</v>
      </c>
      <c r="AX340" s="17">
        <f>ROUND(G340*AP340,2)</f>
        <v>0</v>
      </c>
      <c r="AY340" s="76" t="s">
        <v>603</v>
      </c>
      <c r="AZ340" s="76" t="s">
        <v>882</v>
      </c>
      <c r="BA340" s="14" t="s">
        <v>883</v>
      </c>
      <c r="BC340" s="17">
        <f>AW340+AX340</f>
        <v>0</v>
      </c>
      <c r="BD340" s="17">
        <f>H340/(100-BE340)*100</f>
        <v>0</v>
      </c>
      <c r="BE340" s="17">
        <v>0</v>
      </c>
      <c r="BF340" s="17">
        <f>O340</f>
        <v>0</v>
      </c>
      <c r="BH340" s="17">
        <f>G340*AO340</f>
        <v>0</v>
      </c>
      <c r="BI340" s="17">
        <f>G340*AP340</f>
        <v>0</v>
      </c>
      <c r="BJ340" s="17">
        <f>G340*H340</f>
        <v>0</v>
      </c>
      <c r="BK340" s="17"/>
      <c r="BL340" s="17">
        <v>713</v>
      </c>
      <c r="BW340" s="17">
        <f>I340</f>
        <v>12</v>
      </c>
      <c r="BX340" s="4" t="s">
        <v>227</v>
      </c>
    </row>
    <row r="341" spans="1:76" x14ac:dyDescent="0.25">
      <c r="A341" s="1" t="s">
        <v>886</v>
      </c>
      <c r="B341" s="2" t="s">
        <v>255</v>
      </c>
      <c r="C341" s="2" t="s">
        <v>56</v>
      </c>
      <c r="D341" s="83" t="s">
        <v>57</v>
      </c>
      <c r="E341" s="84"/>
      <c r="F341" s="2" t="s">
        <v>45</v>
      </c>
      <c r="G341" s="17">
        <f>'Rozpočet - vybrané sloupce'!J284</f>
        <v>134</v>
      </c>
      <c r="H341" s="17">
        <f>'Rozpočet - vybrané sloupce'!K284</f>
        <v>0</v>
      </c>
      <c r="I341" s="74">
        <v>12</v>
      </c>
      <c r="J341" s="17">
        <f>ROUND(G341*AO341,2)</f>
        <v>0</v>
      </c>
      <c r="K341" s="17">
        <f>ROUND(G341*AP341,2)</f>
        <v>0</v>
      </c>
      <c r="L341" s="17">
        <f>ROUND(G341*H341,2)</f>
        <v>0</v>
      </c>
      <c r="M341" s="17">
        <f>L341*(1+BW341/100)</f>
        <v>0</v>
      </c>
      <c r="N341" s="17">
        <v>0</v>
      </c>
      <c r="O341" s="17">
        <f>G341*N341</f>
        <v>0</v>
      </c>
      <c r="P341" s="75" t="s">
        <v>576</v>
      </c>
      <c r="Z341" s="17">
        <f>ROUND(IF(AQ341="5",BJ341,0),2)</f>
        <v>0</v>
      </c>
      <c r="AB341" s="17">
        <f>ROUND(IF(AQ341="1",BH341,0),2)</f>
        <v>0</v>
      </c>
      <c r="AC341" s="17">
        <f>ROUND(IF(AQ341="1",BI341,0),2)</f>
        <v>0</v>
      </c>
      <c r="AD341" s="17">
        <f>ROUND(IF(AQ341="7",BH341,0),2)</f>
        <v>0</v>
      </c>
      <c r="AE341" s="17">
        <f>ROUND(IF(AQ341="7",BI341,0),2)</f>
        <v>0</v>
      </c>
      <c r="AF341" s="17">
        <f>ROUND(IF(AQ341="2",BH341,0),2)</f>
        <v>0</v>
      </c>
      <c r="AG341" s="17">
        <f>ROUND(IF(AQ341="2",BI341,0),2)</f>
        <v>0</v>
      </c>
      <c r="AH341" s="17">
        <f>ROUND(IF(AQ341="0",BJ341,0),2)</f>
        <v>0</v>
      </c>
      <c r="AI341" s="14" t="s">
        <v>255</v>
      </c>
      <c r="AJ341" s="17">
        <f>IF(AN341=0,L341,0)</f>
        <v>0</v>
      </c>
      <c r="AK341" s="17">
        <f>IF(AN341=12,L341,0)</f>
        <v>0</v>
      </c>
      <c r="AL341" s="17">
        <f>IF(AN341=21,L341,0)</f>
        <v>0</v>
      </c>
      <c r="AN341" s="17">
        <v>12</v>
      </c>
      <c r="AO341" s="17">
        <f>H341*0</f>
        <v>0</v>
      </c>
      <c r="AP341" s="17">
        <f>H341*(1-0)</f>
        <v>0</v>
      </c>
      <c r="AQ341" s="76" t="s">
        <v>585</v>
      </c>
      <c r="AV341" s="17">
        <f>ROUND(AW341+AX341,2)</f>
        <v>0</v>
      </c>
      <c r="AW341" s="17">
        <f>ROUND(G341*AO341,2)</f>
        <v>0</v>
      </c>
      <c r="AX341" s="17">
        <f>ROUND(G341*AP341,2)</f>
        <v>0</v>
      </c>
      <c r="AY341" s="76" t="s">
        <v>603</v>
      </c>
      <c r="AZ341" s="76" t="s">
        <v>882</v>
      </c>
      <c r="BA341" s="14" t="s">
        <v>883</v>
      </c>
      <c r="BC341" s="17">
        <f>AW341+AX341</f>
        <v>0</v>
      </c>
      <c r="BD341" s="17">
        <f>H341/(100-BE341)*100</f>
        <v>0</v>
      </c>
      <c r="BE341" s="17">
        <v>0</v>
      </c>
      <c r="BF341" s="17">
        <f>O341</f>
        <v>0</v>
      </c>
      <c r="BH341" s="17">
        <f>G341*AO341</f>
        <v>0</v>
      </c>
      <c r="BI341" s="17">
        <f>G341*AP341</f>
        <v>0</v>
      </c>
      <c r="BJ341" s="17">
        <f>G341*H341</f>
        <v>0</v>
      </c>
      <c r="BK341" s="17"/>
      <c r="BL341" s="17">
        <v>713</v>
      </c>
      <c r="BW341" s="17">
        <f>I341</f>
        <v>12</v>
      </c>
      <c r="BX341" s="4" t="s">
        <v>57</v>
      </c>
    </row>
    <row r="342" spans="1:76" x14ac:dyDescent="0.25">
      <c r="A342" s="71" t="s">
        <v>25</v>
      </c>
      <c r="B342" s="13" t="s">
        <v>255</v>
      </c>
      <c r="C342" s="13" t="s">
        <v>111</v>
      </c>
      <c r="D342" s="135" t="s">
        <v>112</v>
      </c>
      <c r="E342" s="136"/>
      <c r="F342" s="72" t="s">
        <v>23</v>
      </c>
      <c r="G342" s="72" t="s">
        <v>23</v>
      </c>
      <c r="H342" s="72" t="s">
        <v>23</v>
      </c>
      <c r="I342" s="72" t="s">
        <v>23</v>
      </c>
      <c r="J342" s="47">
        <f>SUM(J343:J363)</f>
        <v>0</v>
      </c>
      <c r="K342" s="47">
        <f>SUM(K343:K363)</f>
        <v>0</v>
      </c>
      <c r="L342" s="47">
        <f>SUM(L343:L363)</f>
        <v>0</v>
      </c>
      <c r="M342" s="47">
        <f>SUM(M343:M363)</f>
        <v>0</v>
      </c>
      <c r="N342" s="14" t="s">
        <v>25</v>
      </c>
      <c r="O342" s="47">
        <f>SUM(O343:O363)</f>
        <v>0.26303999999999994</v>
      </c>
      <c r="P342" s="73" t="s">
        <v>25</v>
      </c>
      <c r="AI342" s="14" t="s">
        <v>255</v>
      </c>
      <c r="AS342" s="47">
        <f>SUM(AJ343:AJ363)</f>
        <v>0</v>
      </c>
      <c r="AT342" s="47">
        <f>SUM(AK343:AK363)</f>
        <v>0</v>
      </c>
      <c r="AU342" s="47">
        <f>SUM(AL343:AL363)</f>
        <v>0</v>
      </c>
    </row>
    <row r="343" spans="1:76" x14ac:dyDescent="0.25">
      <c r="A343" s="1" t="s">
        <v>887</v>
      </c>
      <c r="B343" s="2" t="s">
        <v>255</v>
      </c>
      <c r="C343" s="2" t="s">
        <v>113</v>
      </c>
      <c r="D343" s="83" t="s">
        <v>114</v>
      </c>
      <c r="E343" s="84"/>
      <c r="F343" s="2" t="s">
        <v>31</v>
      </c>
      <c r="G343" s="17">
        <f>'Rozpočet - vybrané sloupce'!J286</f>
        <v>118</v>
      </c>
      <c r="H343" s="17">
        <f>'Rozpočet - vybrané sloupce'!K286</f>
        <v>0</v>
      </c>
      <c r="I343" s="74">
        <v>12</v>
      </c>
      <c r="J343" s="17">
        <f t="shared" ref="J343:J361" si="424">ROUND(G343*AO343,2)</f>
        <v>0</v>
      </c>
      <c r="K343" s="17">
        <f t="shared" ref="K343:K361" si="425">ROUND(G343*AP343,2)</f>
        <v>0</v>
      </c>
      <c r="L343" s="17">
        <f t="shared" ref="L343:L361" si="426">ROUND(G343*H343,2)</f>
        <v>0</v>
      </c>
      <c r="M343" s="17">
        <f t="shared" ref="M343:M361" si="427">L343*(1+BW343/100)</f>
        <v>0</v>
      </c>
      <c r="N343" s="17">
        <v>2.7999999999999998E-4</v>
      </c>
      <c r="O343" s="17">
        <f t="shared" ref="O343:O361" si="428">G343*N343</f>
        <v>3.304E-2</v>
      </c>
      <c r="P343" s="75" t="s">
        <v>576</v>
      </c>
      <c r="Z343" s="17">
        <f t="shared" ref="Z343:Z361" si="429">ROUND(IF(AQ343="5",BJ343,0),2)</f>
        <v>0</v>
      </c>
      <c r="AB343" s="17">
        <f t="shared" ref="AB343:AB361" si="430">ROUND(IF(AQ343="1",BH343,0),2)</f>
        <v>0</v>
      </c>
      <c r="AC343" s="17">
        <f t="shared" ref="AC343:AC361" si="431">ROUND(IF(AQ343="1",BI343,0),2)</f>
        <v>0</v>
      </c>
      <c r="AD343" s="17">
        <f t="shared" ref="AD343:AD361" si="432">ROUND(IF(AQ343="7",BH343,0),2)</f>
        <v>0</v>
      </c>
      <c r="AE343" s="17">
        <f t="shared" ref="AE343:AE361" si="433">ROUND(IF(AQ343="7",BI343,0),2)</f>
        <v>0</v>
      </c>
      <c r="AF343" s="17">
        <f t="shared" ref="AF343:AF361" si="434">ROUND(IF(AQ343="2",BH343,0),2)</f>
        <v>0</v>
      </c>
      <c r="AG343" s="17">
        <f t="shared" ref="AG343:AG361" si="435">ROUND(IF(AQ343="2",BI343,0),2)</f>
        <v>0</v>
      </c>
      <c r="AH343" s="17">
        <f t="shared" ref="AH343:AH361" si="436">ROUND(IF(AQ343="0",BJ343,0),2)</f>
        <v>0</v>
      </c>
      <c r="AI343" s="14" t="s">
        <v>255</v>
      </c>
      <c r="AJ343" s="17">
        <f t="shared" ref="AJ343:AJ361" si="437">IF(AN343=0,L343,0)</f>
        <v>0</v>
      </c>
      <c r="AK343" s="17">
        <f t="shared" ref="AK343:AK361" si="438">IF(AN343=12,L343,0)</f>
        <v>0</v>
      </c>
      <c r="AL343" s="17">
        <f t="shared" ref="AL343:AL361" si="439">IF(AN343=21,L343,0)</f>
        <v>0</v>
      </c>
      <c r="AN343" s="17">
        <v>12</v>
      </c>
      <c r="AO343" s="17">
        <f>H343*0</f>
        <v>0</v>
      </c>
      <c r="AP343" s="17">
        <f>H343*(1-0)</f>
        <v>0</v>
      </c>
      <c r="AQ343" s="76" t="s">
        <v>577</v>
      </c>
      <c r="AV343" s="17">
        <f t="shared" ref="AV343:AV361" si="440">ROUND(AW343+AX343,2)</f>
        <v>0</v>
      </c>
      <c r="AW343" s="17">
        <f t="shared" ref="AW343:AW361" si="441">ROUND(G343*AO343,2)</f>
        <v>0</v>
      </c>
      <c r="AX343" s="17">
        <f t="shared" ref="AX343:AX361" si="442">ROUND(G343*AP343,2)</f>
        <v>0</v>
      </c>
      <c r="AY343" s="76" t="s">
        <v>677</v>
      </c>
      <c r="AZ343" s="76" t="s">
        <v>888</v>
      </c>
      <c r="BA343" s="14" t="s">
        <v>883</v>
      </c>
      <c r="BC343" s="17">
        <f t="shared" ref="BC343:BC361" si="443">AW343+AX343</f>
        <v>0</v>
      </c>
      <c r="BD343" s="17">
        <f t="shared" ref="BD343:BD361" si="444">H343/(100-BE343)*100</f>
        <v>0</v>
      </c>
      <c r="BE343" s="17">
        <v>0</v>
      </c>
      <c r="BF343" s="17">
        <f t="shared" ref="BF343:BF361" si="445">O343</f>
        <v>3.304E-2</v>
      </c>
      <c r="BH343" s="17">
        <f t="shared" ref="BH343:BH361" si="446">G343*AO343</f>
        <v>0</v>
      </c>
      <c r="BI343" s="17">
        <f t="shared" ref="BI343:BI361" si="447">G343*AP343</f>
        <v>0</v>
      </c>
      <c r="BJ343" s="17">
        <f t="shared" ref="BJ343:BJ361" si="448">G343*H343</f>
        <v>0</v>
      </c>
      <c r="BK343" s="17"/>
      <c r="BL343" s="17">
        <v>722</v>
      </c>
      <c r="BW343" s="17">
        <f t="shared" ref="BW343:BW361" si="449">I343</f>
        <v>12</v>
      </c>
      <c r="BX343" s="4" t="s">
        <v>114</v>
      </c>
    </row>
    <row r="344" spans="1:76" x14ac:dyDescent="0.25">
      <c r="A344" s="1" t="s">
        <v>889</v>
      </c>
      <c r="B344" s="2" t="s">
        <v>255</v>
      </c>
      <c r="C344" s="2" t="s">
        <v>228</v>
      </c>
      <c r="D344" s="83" t="s">
        <v>229</v>
      </c>
      <c r="E344" s="84"/>
      <c r="F344" s="2" t="s">
        <v>35</v>
      </c>
      <c r="G344" s="17">
        <f>'Rozpočet - vybrané sloupce'!J287</f>
        <v>24</v>
      </c>
      <c r="H344" s="17">
        <f>'Rozpočet - vybrané sloupce'!K287</f>
        <v>0</v>
      </c>
      <c r="I344" s="74">
        <v>12</v>
      </c>
      <c r="J344" s="17">
        <f t="shared" si="424"/>
        <v>0</v>
      </c>
      <c r="K344" s="17">
        <f t="shared" si="425"/>
        <v>0</v>
      </c>
      <c r="L344" s="17">
        <f t="shared" si="426"/>
        <v>0</v>
      </c>
      <c r="M344" s="17">
        <f t="shared" si="427"/>
        <v>0</v>
      </c>
      <c r="N344" s="17">
        <v>6.9999999999999999E-4</v>
      </c>
      <c r="O344" s="17">
        <f t="shared" si="428"/>
        <v>1.6799999999999999E-2</v>
      </c>
      <c r="P344" s="75" t="s">
        <v>576</v>
      </c>
      <c r="Z344" s="17">
        <f t="shared" si="429"/>
        <v>0</v>
      </c>
      <c r="AB344" s="17">
        <f t="shared" si="430"/>
        <v>0</v>
      </c>
      <c r="AC344" s="17">
        <f t="shared" si="431"/>
        <v>0</v>
      </c>
      <c r="AD344" s="17">
        <f t="shared" si="432"/>
        <v>0</v>
      </c>
      <c r="AE344" s="17">
        <f t="shared" si="433"/>
        <v>0</v>
      </c>
      <c r="AF344" s="17">
        <f t="shared" si="434"/>
        <v>0</v>
      </c>
      <c r="AG344" s="17">
        <f t="shared" si="435"/>
        <v>0</v>
      </c>
      <c r="AH344" s="17">
        <f t="shared" si="436"/>
        <v>0</v>
      </c>
      <c r="AI344" s="14" t="s">
        <v>255</v>
      </c>
      <c r="AJ344" s="17">
        <f t="shared" si="437"/>
        <v>0</v>
      </c>
      <c r="AK344" s="17">
        <f t="shared" si="438"/>
        <v>0</v>
      </c>
      <c r="AL344" s="17">
        <f t="shared" si="439"/>
        <v>0</v>
      </c>
      <c r="AN344" s="17">
        <v>12</v>
      </c>
      <c r="AO344" s="17">
        <f>H344*0.274019715</f>
        <v>0</v>
      </c>
      <c r="AP344" s="17">
        <f>H344*(1-0.274019715)</f>
        <v>0</v>
      </c>
      <c r="AQ344" s="76" t="s">
        <v>577</v>
      </c>
      <c r="AV344" s="17">
        <f t="shared" si="440"/>
        <v>0</v>
      </c>
      <c r="AW344" s="17">
        <f t="shared" si="441"/>
        <v>0</v>
      </c>
      <c r="AX344" s="17">
        <f t="shared" si="442"/>
        <v>0</v>
      </c>
      <c r="AY344" s="76" t="s">
        <v>677</v>
      </c>
      <c r="AZ344" s="76" t="s">
        <v>888</v>
      </c>
      <c r="BA344" s="14" t="s">
        <v>883</v>
      </c>
      <c r="BC344" s="17">
        <f t="shared" si="443"/>
        <v>0</v>
      </c>
      <c r="BD344" s="17">
        <f t="shared" si="444"/>
        <v>0</v>
      </c>
      <c r="BE344" s="17">
        <v>0</v>
      </c>
      <c r="BF344" s="17">
        <f t="shared" si="445"/>
        <v>1.6799999999999999E-2</v>
      </c>
      <c r="BH344" s="17">
        <f t="shared" si="446"/>
        <v>0</v>
      </c>
      <c r="BI344" s="17">
        <f t="shared" si="447"/>
        <v>0</v>
      </c>
      <c r="BJ344" s="17">
        <f t="shared" si="448"/>
        <v>0</v>
      </c>
      <c r="BK344" s="17"/>
      <c r="BL344" s="17">
        <v>722</v>
      </c>
      <c r="BW344" s="17">
        <f t="shared" si="449"/>
        <v>12</v>
      </c>
      <c r="BX344" s="4" t="s">
        <v>229</v>
      </c>
    </row>
    <row r="345" spans="1:76" x14ac:dyDescent="0.25">
      <c r="A345" s="1" t="s">
        <v>890</v>
      </c>
      <c r="B345" s="2" t="s">
        <v>255</v>
      </c>
      <c r="C345" s="2" t="s">
        <v>117</v>
      </c>
      <c r="D345" s="83" t="s">
        <v>118</v>
      </c>
      <c r="E345" s="84"/>
      <c r="F345" s="2" t="s">
        <v>31</v>
      </c>
      <c r="G345" s="17">
        <f>'Rozpočet - vybrané sloupce'!J288</f>
        <v>46</v>
      </c>
      <c r="H345" s="17">
        <f>'Rozpočet - vybrané sloupce'!K288</f>
        <v>0</v>
      </c>
      <c r="I345" s="74">
        <v>12</v>
      </c>
      <c r="J345" s="17">
        <f t="shared" si="424"/>
        <v>0</v>
      </c>
      <c r="K345" s="17">
        <f t="shared" si="425"/>
        <v>0</v>
      </c>
      <c r="L345" s="17">
        <f t="shared" si="426"/>
        <v>0</v>
      </c>
      <c r="M345" s="17">
        <f t="shared" si="427"/>
        <v>0</v>
      </c>
      <c r="N345" s="17">
        <v>4.2999999999999999E-4</v>
      </c>
      <c r="O345" s="17">
        <f t="shared" si="428"/>
        <v>1.9779999999999999E-2</v>
      </c>
      <c r="P345" s="75" t="s">
        <v>576</v>
      </c>
      <c r="Z345" s="17">
        <f t="shared" si="429"/>
        <v>0</v>
      </c>
      <c r="AB345" s="17">
        <f t="shared" si="430"/>
        <v>0</v>
      </c>
      <c r="AC345" s="17">
        <f t="shared" si="431"/>
        <v>0</v>
      </c>
      <c r="AD345" s="17">
        <f t="shared" si="432"/>
        <v>0</v>
      </c>
      <c r="AE345" s="17">
        <f t="shared" si="433"/>
        <v>0</v>
      </c>
      <c r="AF345" s="17">
        <f t="shared" si="434"/>
        <v>0</v>
      </c>
      <c r="AG345" s="17">
        <f t="shared" si="435"/>
        <v>0</v>
      </c>
      <c r="AH345" s="17">
        <f t="shared" si="436"/>
        <v>0</v>
      </c>
      <c r="AI345" s="14" t="s">
        <v>255</v>
      </c>
      <c r="AJ345" s="17">
        <f t="shared" si="437"/>
        <v>0</v>
      </c>
      <c r="AK345" s="17">
        <f t="shared" si="438"/>
        <v>0</v>
      </c>
      <c r="AL345" s="17">
        <f t="shared" si="439"/>
        <v>0</v>
      </c>
      <c r="AN345" s="17">
        <v>12</v>
      </c>
      <c r="AO345" s="17">
        <f>H345*0.433809524</f>
        <v>0</v>
      </c>
      <c r="AP345" s="17">
        <f>H345*(1-0.433809524)</f>
        <v>0</v>
      </c>
      <c r="AQ345" s="76" t="s">
        <v>577</v>
      </c>
      <c r="AV345" s="17">
        <f t="shared" si="440"/>
        <v>0</v>
      </c>
      <c r="AW345" s="17">
        <f t="shared" si="441"/>
        <v>0</v>
      </c>
      <c r="AX345" s="17">
        <f t="shared" si="442"/>
        <v>0</v>
      </c>
      <c r="AY345" s="76" t="s">
        <v>677</v>
      </c>
      <c r="AZ345" s="76" t="s">
        <v>888</v>
      </c>
      <c r="BA345" s="14" t="s">
        <v>883</v>
      </c>
      <c r="BC345" s="17">
        <f t="shared" si="443"/>
        <v>0</v>
      </c>
      <c r="BD345" s="17">
        <f t="shared" si="444"/>
        <v>0</v>
      </c>
      <c r="BE345" s="17">
        <v>0</v>
      </c>
      <c r="BF345" s="17">
        <f t="shared" si="445"/>
        <v>1.9779999999999999E-2</v>
      </c>
      <c r="BH345" s="17">
        <f t="shared" si="446"/>
        <v>0</v>
      </c>
      <c r="BI345" s="17">
        <f t="shared" si="447"/>
        <v>0</v>
      </c>
      <c r="BJ345" s="17">
        <f t="shared" si="448"/>
        <v>0</v>
      </c>
      <c r="BK345" s="17"/>
      <c r="BL345" s="17">
        <v>722</v>
      </c>
      <c r="BW345" s="17">
        <f t="shared" si="449"/>
        <v>12</v>
      </c>
      <c r="BX345" s="4" t="s">
        <v>118</v>
      </c>
    </row>
    <row r="346" spans="1:76" x14ac:dyDescent="0.25">
      <c r="A346" s="1" t="s">
        <v>891</v>
      </c>
      <c r="B346" s="2" t="s">
        <v>255</v>
      </c>
      <c r="C346" s="2" t="s">
        <v>119</v>
      </c>
      <c r="D346" s="83" t="s">
        <v>120</v>
      </c>
      <c r="E346" s="84"/>
      <c r="F346" s="2" t="s">
        <v>31</v>
      </c>
      <c r="G346" s="17">
        <f>'Rozpočet - vybrané sloupce'!J289</f>
        <v>36</v>
      </c>
      <c r="H346" s="17">
        <f>'Rozpočet - vybrané sloupce'!K289</f>
        <v>0</v>
      </c>
      <c r="I346" s="74">
        <v>12</v>
      </c>
      <c r="J346" s="17">
        <f t="shared" si="424"/>
        <v>0</v>
      </c>
      <c r="K346" s="17">
        <f t="shared" si="425"/>
        <v>0</v>
      </c>
      <c r="L346" s="17">
        <f t="shared" si="426"/>
        <v>0</v>
      </c>
      <c r="M346" s="17">
        <f t="shared" si="427"/>
        <v>0</v>
      </c>
      <c r="N346" s="17">
        <v>5.2999999999999998E-4</v>
      </c>
      <c r="O346" s="17">
        <f t="shared" si="428"/>
        <v>1.908E-2</v>
      </c>
      <c r="P346" s="75" t="s">
        <v>576</v>
      </c>
      <c r="Z346" s="17">
        <f t="shared" si="429"/>
        <v>0</v>
      </c>
      <c r="AB346" s="17">
        <f t="shared" si="430"/>
        <v>0</v>
      </c>
      <c r="AC346" s="17">
        <f t="shared" si="431"/>
        <v>0</v>
      </c>
      <c r="AD346" s="17">
        <f t="shared" si="432"/>
        <v>0</v>
      </c>
      <c r="AE346" s="17">
        <f t="shared" si="433"/>
        <v>0</v>
      </c>
      <c r="AF346" s="17">
        <f t="shared" si="434"/>
        <v>0</v>
      </c>
      <c r="AG346" s="17">
        <f t="shared" si="435"/>
        <v>0</v>
      </c>
      <c r="AH346" s="17">
        <f t="shared" si="436"/>
        <v>0</v>
      </c>
      <c r="AI346" s="14" t="s">
        <v>255</v>
      </c>
      <c r="AJ346" s="17">
        <f t="shared" si="437"/>
        <v>0</v>
      </c>
      <c r="AK346" s="17">
        <f t="shared" si="438"/>
        <v>0</v>
      </c>
      <c r="AL346" s="17">
        <f t="shared" si="439"/>
        <v>0</v>
      </c>
      <c r="AN346" s="17">
        <v>12</v>
      </c>
      <c r="AO346" s="17">
        <f>H346*0.499111111</f>
        <v>0</v>
      </c>
      <c r="AP346" s="17">
        <f>H346*(1-0.499111111)</f>
        <v>0</v>
      </c>
      <c r="AQ346" s="76" t="s">
        <v>577</v>
      </c>
      <c r="AV346" s="17">
        <f t="shared" si="440"/>
        <v>0</v>
      </c>
      <c r="AW346" s="17">
        <f t="shared" si="441"/>
        <v>0</v>
      </c>
      <c r="AX346" s="17">
        <f t="shared" si="442"/>
        <v>0</v>
      </c>
      <c r="AY346" s="76" t="s">
        <v>677</v>
      </c>
      <c r="AZ346" s="76" t="s">
        <v>888</v>
      </c>
      <c r="BA346" s="14" t="s">
        <v>883</v>
      </c>
      <c r="BC346" s="17">
        <f t="shared" si="443"/>
        <v>0</v>
      </c>
      <c r="BD346" s="17">
        <f t="shared" si="444"/>
        <v>0</v>
      </c>
      <c r="BE346" s="17">
        <v>0</v>
      </c>
      <c r="BF346" s="17">
        <f t="shared" si="445"/>
        <v>1.908E-2</v>
      </c>
      <c r="BH346" s="17">
        <f t="shared" si="446"/>
        <v>0</v>
      </c>
      <c r="BI346" s="17">
        <f t="shared" si="447"/>
        <v>0</v>
      </c>
      <c r="BJ346" s="17">
        <f t="shared" si="448"/>
        <v>0</v>
      </c>
      <c r="BK346" s="17"/>
      <c r="BL346" s="17">
        <v>722</v>
      </c>
      <c r="BW346" s="17">
        <f t="shared" si="449"/>
        <v>12</v>
      </c>
      <c r="BX346" s="4" t="s">
        <v>120</v>
      </c>
    </row>
    <row r="347" spans="1:76" x14ac:dyDescent="0.25">
      <c r="A347" s="1" t="s">
        <v>892</v>
      </c>
      <c r="B347" s="2" t="s">
        <v>255</v>
      </c>
      <c r="C347" s="2" t="s">
        <v>121</v>
      </c>
      <c r="D347" s="83" t="s">
        <v>122</v>
      </c>
      <c r="E347" s="84"/>
      <c r="F347" s="2" t="s">
        <v>31</v>
      </c>
      <c r="G347" s="17">
        <f>'Rozpočet - vybrané sloupce'!J290</f>
        <v>36</v>
      </c>
      <c r="H347" s="17">
        <f>'Rozpočet - vybrané sloupce'!K290</f>
        <v>0</v>
      </c>
      <c r="I347" s="74">
        <v>12</v>
      </c>
      <c r="J347" s="17">
        <f t="shared" si="424"/>
        <v>0</v>
      </c>
      <c r="K347" s="17">
        <f t="shared" si="425"/>
        <v>0</v>
      </c>
      <c r="L347" s="17">
        <f t="shared" si="426"/>
        <v>0</v>
      </c>
      <c r="M347" s="17">
        <f t="shared" si="427"/>
        <v>0</v>
      </c>
      <c r="N347" s="17">
        <v>7.2999999999999996E-4</v>
      </c>
      <c r="O347" s="17">
        <f t="shared" si="428"/>
        <v>2.6279999999999998E-2</v>
      </c>
      <c r="P347" s="75" t="s">
        <v>576</v>
      </c>
      <c r="Z347" s="17">
        <f t="shared" si="429"/>
        <v>0</v>
      </c>
      <c r="AB347" s="17">
        <f t="shared" si="430"/>
        <v>0</v>
      </c>
      <c r="AC347" s="17">
        <f t="shared" si="431"/>
        <v>0</v>
      </c>
      <c r="AD347" s="17">
        <f t="shared" si="432"/>
        <v>0</v>
      </c>
      <c r="AE347" s="17">
        <f t="shared" si="433"/>
        <v>0</v>
      </c>
      <c r="AF347" s="17">
        <f t="shared" si="434"/>
        <v>0</v>
      </c>
      <c r="AG347" s="17">
        <f t="shared" si="435"/>
        <v>0</v>
      </c>
      <c r="AH347" s="17">
        <f t="shared" si="436"/>
        <v>0</v>
      </c>
      <c r="AI347" s="14" t="s">
        <v>255</v>
      </c>
      <c r="AJ347" s="17">
        <f t="shared" si="437"/>
        <v>0</v>
      </c>
      <c r="AK347" s="17">
        <f t="shared" si="438"/>
        <v>0</v>
      </c>
      <c r="AL347" s="17">
        <f t="shared" si="439"/>
        <v>0</v>
      </c>
      <c r="AN347" s="17">
        <v>12</v>
      </c>
      <c r="AO347" s="17">
        <f>H347*0.578547486</f>
        <v>0</v>
      </c>
      <c r="AP347" s="17">
        <f>H347*(1-0.578547486)</f>
        <v>0</v>
      </c>
      <c r="AQ347" s="76" t="s">
        <v>577</v>
      </c>
      <c r="AV347" s="17">
        <f t="shared" si="440"/>
        <v>0</v>
      </c>
      <c r="AW347" s="17">
        <f t="shared" si="441"/>
        <v>0</v>
      </c>
      <c r="AX347" s="17">
        <f t="shared" si="442"/>
        <v>0</v>
      </c>
      <c r="AY347" s="76" t="s">
        <v>677</v>
      </c>
      <c r="AZ347" s="76" t="s">
        <v>888</v>
      </c>
      <c r="BA347" s="14" t="s">
        <v>883</v>
      </c>
      <c r="BC347" s="17">
        <f t="shared" si="443"/>
        <v>0</v>
      </c>
      <c r="BD347" s="17">
        <f t="shared" si="444"/>
        <v>0</v>
      </c>
      <c r="BE347" s="17">
        <v>0</v>
      </c>
      <c r="BF347" s="17">
        <f t="shared" si="445"/>
        <v>2.6279999999999998E-2</v>
      </c>
      <c r="BH347" s="17">
        <f t="shared" si="446"/>
        <v>0</v>
      </c>
      <c r="BI347" s="17">
        <f t="shared" si="447"/>
        <v>0</v>
      </c>
      <c r="BJ347" s="17">
        <f t="shared" si="448"/>
        <v>0</v>
      </c>
      <c r="BK347" s="17"/>
      <c r="BL347" s="17">
        <v>722</v>
      </c>
      <c r="BW347" s="17">
        <f t="shared" si="449"/>
        <v>12</v>
      </c>
      <c r="BX347" s="4" t="s">
        <v>122</v>
      </c>
    </row>
    <row r="348" spans="1:76" x14ac:dyDescent="0.25">
      <c r="A348" s="1" t="s">
        <v>893</v>
      </c>
      <c r="B348" s="2" t="s">
        <v>255</v>
      </c>
      <c r="C348" s="2" t="s">
        <v>212</v>
      </c>
      <c r="D348" s="83" t="s">
        <v>213</v>
      </c>
      <c r="E348" s="84"/>
      <c r="F348" s="2" t="s">
        <v>31</v>
      </c>
      <c r="G348" s="17">
        <f>'Rozpočet - vybrané sloupce'!J291</f>
        <v>12</v>
      </c>
      <c r="H348" s="17">
        <f>'Rozpočet - vybrané sloupce'!K291</f>
        <v>0</v>
      </c>
      <c r="I348" s="74">
        <v>12</v>
      </c>
      <c r="J348" s="17">
        <f t="shared" si="424"/>
        <v>0</v>
      </c>
      <c r="K348" s="17">
        <f t="shared" si="425"/>
        <v>0</v>
      </c>
      <c r="L348" s="17">
        <f t="shared" si="426"/>
        <v>0</v>
      </c>
      <c r="M348" s="17">
        <f t="shared" si="427"/>
        <v>0</v>
      </c>
      <c r="N348" s="17">
        <v>3.0000000000000001E-5</v>
      </c>
      <c r="O348" s="17">
        <f t="shared" si="428"/>
        <v>3.6000000000000002E-4</v>
      </c>
      <c r="P348" s="75" t="s">
        <v>576</v>
      </c>
      <c r="Z348" s="17">
        <f t="shared" si="429"/>
        <v>0</v>
      </c>
      <c r="AB348" s="17">
        <f t="shared" si="430"/>
        <v>0</v>
      </c>
      <c r="AC348" s="17">
        <f t="shared" si="431"/>
        <v>0</v>
      </c>
      <c r="AD348" s="17">
        <f t="shared" si="432"/>
        <v>0</v>
      </c>
      <c r="AE348" s="17">
        <f t="shared" si="433"/>
        <v>0</v>
      </c>
      <c r="AF348" s="17">
        <f t="shared" si="434"/>
        <v>0</v>
      </c>
      <c r="AG348" s="17">
        <f t="shared" si="435"/>
        <v>0</v>
      </c>
      <c r="AH348" s="17">
        <f t="shared" si="436"/>
        <v>0</v>
      </c>
      <c r="AI348" s="14" t="s">
        <v>255</v>
      </c>
      <c r="AJ348" s="17">
        <f t="shared" si="437"/>
        <v>0</v>
      </c>
      <c r="AK348" s="17">
        <f t="shared" si="438"/>
        <v>0</v>
      </c>
      <c r="AL348" s="17">
        <f t="shared" si="439"/>
        <v>0</v>
      </c>
      <c r="AN348" s="17">
        <v>12</v>
      </c>
      <c r="AO348" s="17">
        <f>H348*0.230588235</f>
        <v>0</v>
      </c>
      <c r="AP348" s="17">
        <f>H348*(1-0.230588235)</f>
        <v>0</v>
      </c>
      <c r="AQ348" s="76" t="s">
        <v>577</v>
      </c>
      <c r="AV348" s="17">
        <f t="shared" si="440"/>
        <v>0</v>
      </c>
      <c r="AW348" s="17">
        <f t="shared" si="441"/>
        <v>0</v>
      </c>
      <c r="AX348" s="17">
        <f t="shared" si="442"/>
        <v>0</v>
      </c>
      <c r="AY348" s="76" t="s">
        <v>677</v>
      </c>
      <c r="AZ348" s="76" t="s">
        <v>888</v>
      </c>
      <c r="BA348" s="14" t="s">
        <v>883</v>
      </c>
      <c r="BC348" s="17">
        <f t="shared" si="443"/>
        <v>0</v>
      </c>
      <c r="BD348" s="17">
        <f t="shared" si="444"/>
        <v>0</v>
      </c>
      <c r="BE348" s="17">
        <v>0</v>
      </c>
      <c r="BF348" s="17">
        <f t="shared" si="445"/>
        <v>3.6000000000000002E-4</v>
      </c>
      <c r="BH348" s="17">
        <f t="shared" si="446"/>
        <v>0</v>
      </c>
      <c r="BI348" s="17">
        <f t="shared" si="447"/>
        <v>0</v>
      </c>
      <c r="BJ348" s="17">
        <f t="shared" si="448"/>
        <v>0</v>
      </c>
      <c r="BK348" s="17"/>
      <c r="BL348" s="17">
        <v>722</v>
      </c>
      <c r="BW348" s="17">
        <f t="shared" si="449"/>
        <v>12</v>
      </c>
      <c r="BX348" s="4" t="s">
        <v>213</v>
      </c>
    </row>
    <row r="349" spans="1:76" x14ac:dyDescent="0.25">
      <c r="A349" s="1" t="s">
        <v>894</v>
      </c>
      <c r="B349" s="2" t="s">
        <v>255</v>
      </c>
      <c r="C349" s="2" t="s">
        <v>127</v>
      </c>
      <c r="D349" s="83" t="s">
        <v>128</v>
      </c>
      <c r="E349" s="84"/>
      <c r="F349" s="2" t="s">
        <v>31</v>
      </c>
      <c r="G349" s="17">
        <f>'Rozpočet - vybrané sloupce'!J292</f>
        <v>18</v>
      </c>
      <c r="H349" s="17">
        <f>'Rozpočet - vybrané sloupce'!K292</f>
        <v>0</v>
      </c>
      <c r="I349" s="74">
        <v>12</v>
      </c>
      <c r="J349" s="17">
        <f t="shared" si="424"/>
        <v>0</v>
      </c>
      <c r="K349" s="17">
        <f t="shared" si="425"/>
        <v>0</v>
      </c>
      <c r="L349" s="17">
        <f t="shared" si="426"/>
        <v>0</v>
      </c>
      <c r="M349" s="17">
        <f t="shared" si="427"/>
        <v>0</v>
      </c>
      <c r="N349" s="17">
        <v>6.0000000000000002E-5</v>
      </c>
      <c r="O349" s="17">
        <f t="shared" si="428"/>
        <v>1.08E-3</v>
      </c>
      <c r="P349" s="75" t="s">
        <v>576</v>
      </c>
      <c r="Z349" s="17">
        <f t="shared" si="429"/>
        <v>0</v>
      </c>
      <c r="AB349" s="17">
        <f t="shared" si="430"/>
        <v>0</v>
      </c>
      <c r="AC349" s="17">
        <f t="shared" si="431"/>
        <v>0</v>
      </c>
      <c r="AD349" s="17">
        <f t="shared" si="432"/>
        <v>0</v>
      </c>
      <c r="AE349" s="17">
        <f t="shared" si="433"/>
        <v>0</v>
      </c>
      <c r="AF349" s="17">
        <f t="shared" si="434"/>
        <v>0</v>
      </c>
      <c r="AG349" s="17">
        <f t="shared" si="435"/>
        <v>0</v>
      </c>
      <c r="AH349" s="17">
        <f t="shared" si="436"/>
        <v>0</v>
      </c>
      <c r="AI349" s="14" t="s">
        <v>255</v>
      </c>
      <c r="AJ349" s="17">
        <f t="shared" si="437"/>
        <v>0</v>
      </c>
      <c r="AK349" s="17">
        <f t="shared" si="438"/>
        <v>0</v>
      </c>
      <c r="AL349" s="17">
        <f t="shared" si="439"/>
        <v>0</v>
      </c>
      <c r="AN349" s="17">
        <v>12</v>
      </c>
      <c r="AO349" s="17">
        <f>H349*0.244091671</f>
        <v>0</v>
      </c>
      <c r="AP349" s="17">
        <f>H349*(1-0.244091671)</f>
        <v>0</v>
      </c>
      <c r="AQ349" s="76" t="s">
        <v>577</v>
      </c>
      <c r="AV349" s="17">
        <f t="shared" si="440"/>
        <v>0</v>
      </c>
      <c r="AW349" s="17">
        <f t="shared" si="441"/>
        <v>0</v>
      </c>
      <c r="AX349" s="17">
        <f t="shared" si="442"/>
        <v>0</v>
      </c>
      <c r="AY349" s="76" t="s">
        <v>677</v>
      </c>
      <c r="AZ349" s="76" t="s">
        <v>888</v>
      </c>
      <c r="BA349" s="14" t="s">
        <v>883</v>
      </c>
      <c r="BC349" s="17">
        <f t="shared" si="443"/>
        <v>0</v>
      </c>
      <c r="BD349" s="17">
        <f t="shared" si="444"/>
        <v>0</v>
      </c>
      <c r="BE349" s="17">
        <v>0</v>
      </c>
      <c r="BF349" s="17">
        <f t="shared" si="445"/>
        <v>1.08E-3</v>
      </c>
      <c r="BH349" s="17">
        <f t="shared" si="446"/>
        <v>0</v>
      </c>
      <c r="BI349" s="17">
        <f t="shared" si="447"/>
        <v>0</v>
      </c>
      <c r="BJ349" s="17">
        <f t="shared" si="448"/>
        <v>0</v>
      </c>
      <c r="BK349" s="17"/>
      <c r="BL349" s="17">
        <v>722</v>
      </c>
      <c r="BW349" s="17">
        <f t="shared" si="449"/>
        <v>12</v>
      </c>
      <c r="BX349" s="4" t="s">
        <v>128</v>
      </c>
    </row>
    <row r="350" spans="1:76" x14ac:dyDescent="0.25">
      <c r="A350" s="1" t="s">
        <v>895</v>
      </c>
      <c r="B350" s="2" t="s">
        <v>255</v>
      </c>
      <c r="C350" s="2" t="s">
        <v>129</v>
      </c>
      <c r="D350" s="83" t="s">
        <v>130</v>
      </c>
      <c r="E350" s="84"/>
      <c r="F350" s="2" t="s">
        <v>31</v>
      </c>
      <c r="G350" s="17">
        <f>'Rozpočet - vybrané sloupce'!J293</f>
        <v>18</v>
      </c>
      <c r="H350" s="17">
        <f>'Rozpočet - vybrané sloupce'!K293</f>
        <v>0</v>
      </c>
      <c r="I350" s="74">
        <v>12</v>
      </c>
      <c r="J350" s="17">
        <f t="shared" si="424"/>
        <v>0</v>
      </c>
      <c r="K350" s="17">
        <f t="shared" si="425"/>
        <v>0</v>
      </c>
      <c r="L350" s="17">
        <f t="shared" si="426"/>
        <v>0</v>
      </c>
      <c r="M350" s="17">
        <f t="shared" si="427"/>
        <v>0</v>
      </c>
      <c r="N350" s="17">
        <v>5.0000000000000002E-5</v>
      </c>
      <c r="O350" s="17">
        <f t="shared" si="428"/>
        <v>9.0000000000000008E-4</v>
      </c>
      <c r="P350" s="75" t="s">
        <v>576</v>
      </c>
      <c r="Z350" s="17">
        <f t="shared" si="429"/>
        <v>0</v>
      </c>
      <c r="AB350" s="17">
        <f t="shared" si="430"/>
        <v>0</v>
      </c>
      <c r="AC350" s="17">
        <f t="shared" si="431"/>
        <v>0</v>
      </c>
      <c r="AD350" s="17">
        <f t="shared" si="432"/>
        <v>0</v>
      </c>
      <c r="AE350" s="17">
        <f t="shared" si="433"/>
        <v>0</v>
      </c>
      <c r="AF350" s="17">
        <f t="shared" si="434"/>
        <v>0</v>
      </c>
      <c r="AG350" s="17">
        <f t="shared" si="435"/>
        <v>0</v>
      </c>
      <c r="AH350" s="17">
        <f t="shared" si="436"/>
        <v>0</v>
      </c>
      <c r="AI350" s="14" t="s">
        <v>255</v>
      </c>
      <c r="AJ350" s="17">
        <f t="shared" si="437"/>
        <v>0</v>
      </c>
      <c r="AK350" s="17">
        <f t="shared" si="438"/>
        <v>0</v>
      </c>
      <c r="AL350" s="17">
        <f t="shared" si="439"/>
        <v>0</v>
      </c>
      <c r="AN350" s="17">
        <v>12</v>
      </c>
      <c r="AO350" s="17">
        <f>H350*0.242374429</f>
        <v>0</v>
      </c>
      <c r="AP350" s="17">
        <f>H350*(1-0.242374429)</f>
        <v>0</v>
      </c>
      <c r="AQ350" s="76" t="s">
        <v>577</v>
      </c>
      <c r="AV350" s="17">
        <f t="shared" si="440"/>
        <v>0</v>
      </c>
      <c r="AW350" s="17">
        <f t="shared" si="441"/>
        <v>0</v>
      </c>
      <c r="AX350" s="17">
        <f t="shared" si="442"/>
        <v>0</v>
      </c>
      <c r="AY350" s="76" t="s">
        <v>677</v>
      </c>
      <c r="AZ350" s="76" t="s">
        <v>888</v>
      </c>
      <c r="BA350" s="14" t="s">
        <v>883</v>
      </c>
      <c r="BC350" s="17">
        <f t="shared" si="443"/>
        <v>0</v>
      </c>
      <c r="BD350" s="17">
        <f t="shared" si="444"/>
        <v>0</v>
      </c>
      <c r="BE350" s="17">
        <v>0</v>
      </c>
      <c r="BF350" s="17">
        <f t="shared" si="445"/>
        <v>9.0000000000000008E-4</v>
      </c>
      <c r="BH350" s="17">
        <f t="shared" si="446"/>
        <v>0</v>
      </c>
      <c r="BI350" s="17">
        <f t="shared" si="447"/>
        <v>0</v>
      </c>
      <c r="BJ350" s="17">
        <f t="shared" si="448"/>
        <v>0</v>
      </c>
      <c r="BK350" s="17"/>
      <c r="BL350" s="17">
        <v>722</v>
      </c>
      <c r="BW350" s="17">
        <f t="shared" si="449"/>
        <v>12</v>
      </c>
      <c r="BX350" s="4" t="s">
        <v>130</v>
      </c>
    </row>
    <row r="351" spans="1:76" x14ac:dyDescent="0.25">
      <c r="A351" s="1" t="s">
        <v>896</v>
      </c>
      <c r="B351" s="2" t="s">
        <v>255</v>
      </c>
      <c r="C351" s="2" t="s">
        <v>133</v>
      </c>
      <c r="D351" s="83" t="s">
        <v>134</v>
      </c>
      <c r="E351" s="84"/>
      <c r="F351" s="2" t="s">
        <v>31</v>
      </c>
      <c r="G351" s="17">
        <f>'Rozpočet - vybrané sloupce'!J294</f>
        <v>34</v>
      </c>
      <c r="H351" s="17">
        <f>'Rozpočet - vybrané sloupce'!K294</f>
        <v>0</v>
      </c>
      <c r="I351" s="74">
        <v>12</v>
      </c>
      <c r="J351" s="17">
        <f t="shared" si="424"/>
        <v>0</v>
      </c>
      <c r="K351" s="17">
        <f t="shared" si="425"/>
        <v>0</v>
      </c>
      <c r="L351" s="17">
        <f t="shared" si="426"/>
        <v>0</v>
      </c>
      <c r="M351" s="17">
        <f t="shared" si="427"/>
        <v>0</v>
      </c>
      <c r="N351" s="17">
        <v>6.9999999999999994E-5</v>
      </c>
      <c r="O351" s="17">
        <f t="shared" si="428"/>
        <v>2.3799999999999997E-3</v>
      </c>
      <c r="P351" s="75" t="s">
        <v>576</v>
      </c>
      <c r="Z351" s="17">
        <f t="shared" si="429"/>
        <v>0</v>
      </c>
      <c r="AB351" s="17">
        <f t="shared" si="430"/>
        <v>0</v>
      </c>
      <c r="AC351" s="17">
        <f t="shared" si="431"/>
        <v>0</v>
      </c>
      <c r="AD351" s="17">
        <f t="shared" si="432"/>
        <v>0</v>
      </c>
      <c r="AE351" s="17">
        <f t="shared" si="433"/>
        <v>0</v>
      </c>
      <c r="AF351" s="17">
        <f t="shared" si="434"/>
        <v>0</v>
      </c>
      <c r="AG351" s="17">
        <f t="shared" si="435"/>
        <v>0</v>
      </c>
      <c r="AH351" s="17">
        <f t="shared" si="436"/>
        <v>0</v>
      </c>
      <c r="AI351" s="14" t="s">
        <v>255</v>
      </c>
      <c r="AJ351" s="17">
        <f t="shared" si="437"/>
        <v>0</v>
      </c>
      <c r="AK351" s="17">
        <f t="shared" si="438"/>
        <v>0</v>
      </c>
      <c r="AL351" s="17">
        <f t="shared" si="439"/>
        <v>0</v>
      </c>
      <c r="AN351" s="17">
        <v>12</v>
      </c>
      <c r="AO351" s="17">
        <f>H351*0.496107383</f>
        <v>0</v>
      </c>
      <c r="AP351" s="17">
        <f>H351*(1-0.496107383)</f>
        <v>0</v>
      </c>
      <c r="AQ351" s="76" t="s">
        <v>577</v>
      </c>
      <c r="AV351" s="17">
        <f t="shared" si="440"/>
        <v>0</v>
      </c>
      <c r="AW351" s="17">
        <f t="shared" si="441"/>
        <v>0</v>
      </c>
      <c r="AX351" s="17">
        <f t="shared" si="442"/>
        <v>0</v>
      </c>
      <c r="AY351" s="76" t="s">
        <v>677</v>
      </c>
      <c r="AZ351" s="76" t="s">
        <v>888</v>
      </c>
      <c r="BA351" s="14" t="s">
        <v>883</v>
      </c>
      <c r="BC351" s="17">
        <f t="shared" si="443"/>
        <v>0</v>
      </c>
      <c r="BD351" s="17">
        <f t="shared" si="444"/>
        <v>0</v>
      </c>
      <c r="BE351" s="17">
        <v>0</v>
      </c>
      <c r="BF351" s="17">
        <f t="shared" si="445"/>
        <v>2.3799999999999997E-3</v>
      </c>
      <c r="BH351" s="17">
        <f t="shared" si="446"/>
        <v>0</v>
      </c>
      <c r="BI351" s="17">
        <f t="shared" si="447"/>
        <v>0</v>
      </c>
      <c r="BJ351" s="17">
        <f t="shared" si="448"/>
        <v>0</v>
      </c>
      <c r="BK351" s="17"/>
      <c r="BL351" s="17">
        <v>722</v>
      </c>
      <c r="BW351" s="17">
        <f t="shared" si="449"/>
        <v>12</v>
      </c>
      <c r="BX351" s="4" t="s">
        <v>134</v>
      </c>
    </row>
    <row r="352" spans="1:76" x14ac:dyDescent="0.25">
      <c r="A352" s="1" t="s">
        <v>897</v>
      </c>
      <c r="B352" s="2" t="s">
        <v>255</v>
      </c>
      <c r="C352" s="2" t="s">
        <v>135</v>
      </c>
      <c r="D352" s="83" t="s">
        <v>136</v>
      </c>
      <c r="E352" s="84"/>
      <c r="F352" s="2" t="s">
        <v>31</v>
      </c>
      <c r="G352" s="17">
        <f>'Rozpočet - vybrané sloupce'!J295</f>
        <v>18</v>
      </c>
      <c r="H352" s="17">
        <f>'Rozpočet - vybrané sloupce'!K295</f>
        <v>0</v>
      </c>
      <c r="I352" s="74">
        <v>12</v>
      </c>
      <c r="J352" s="17">
        <f t="shared" si="424"/>
        <v>0</v>
      </c>
      <c r="K352" s="17">
        <f t="shared" si="425"/>
        <v>0</v>
      </c>
      <c r="L352" s="17">
        <f t="shared" si="426"/>
        <v>0</v>
      </c>
      <c r="M352" s="17">
        <f t="shared" si="427"/>
        <v>0</v>
      </c>
      <c r="N352" s="17">
        <v>6.9999999999999994E-5</v>
      </c>
      <c r="O352" s="17">
        <f t="shared" si="428"/>
        <v>1.2599999999999998E-3</v>
      </c>
      <c r="P352" s="75" t="s">
        <v>576</v>
      </c>
      <c r="Z352" s="17">
        <f t="shared" si="429"/>
        <v>0</v>
      </c>
      <c r="AB352" s="17">
        <f t="shared" si="430"/>
        <v>0</v>
      </c>
      <c r="AC352" s="17">
        <f t="shared" si="431"/>
        <v>0</v>
      </c>
      <c r="AD352" s="17">
        <f t="shared" si="432"/>
        <v>0</v>
      </c>
      <c r="AE352" s="17">
        <f t="shared" si="433"/>
        <v>0</v>
      </c>
      <c r="AF352" s="17">
        <f t="shared" si="434"/>
        <v>0</v>
      </c>
      <c r="AG352" s="17">
        <f t="shared" si="435"/>
        <v>0</v>
      </c>
      <c r="AH352" s="17">
        <f t="shared" si="436"/>
        <v>0</v>
      </c>
      <c r="AI352" s="14" t="s">
        <v>255</v>
      </c>
      <c r="AJ352" s="17">
        <f t="shared" si="437"/>
        <v>0</v>
      </c>
      <c r="AK352" s="17">
        <f t="shared" si="438"/>
        <v>0</v>
      </c>
      <c r="AL352" s="17">
        <f t="shared" si="439"/>
        <v>0</v>
      </c>
      <c r="AN352" s="17">
        <v>12</v>
      </c>
      <c r="AO352" s="17">
        <f>H352*0.523301587</f>
        <v>0</v>
      </c>
      <c r="AP352" s="17">
        <f>H352*(1-0.523301587)</f>
        <v>0</v>
      </c>
      <c r="AQ352" s="76" t="s">
        <v>577</v>
      </c>
      <c r="AV352" s="17">
        <f t="shared" si="440"/>
        <v>0</v>
      </c>
      <c r="AW352" s="17">
        <f t="shared" si="441"/>
        <v>0</v>
      </c>
      <c r="AX352" s="17">
        <f t="shared" si="442"/>
        <v>0</v>
      </c>
      <c r="AY352" s="76" t="s">
        <v>677</v>
      </c>
      <c r="AZ352" s="76" t="s">
        <v>888</v>
      </c>
      <c r="BA352" s="14" t="s">
        <v>883</v>
      </c>
      <c r="BC352" s="17">
        <f t="shared" si="443"/>
        <v>0</v>
      </c>
      <c r="BD352" s="17">
        <f t="shared" si="444"/>
        <v>0</v>
      </c>
      <c r="BE352" s="17">
        <v>0</v>
      </c>
      <c r="BF352" s="17">
        <f t="shared" si="445"/>
        <v>1.2599999999999998E-3</v>
      </c>
      <c r="BH352" s="17">
        <f t="shared" si="446"/>
        <v>0</v>
      </c>
      <c r="BI352" s="17">
        <f t="shared" si="447"/>
        <v>0</v>
      </c>
      <c r="BJ352" s="17">
        <f t="shared" si="448"/>
        <v>0</v>
      </c>
      <c r="BK352" s="17"/>
      <c r="BL352" s="17">
        <v>722</v>
      </c>
      <c r="BW352" s="17">
        <f t="shared" si="449"/>
        <v>12</v>
      </c>
      <c r="BX352" s="4" t="s">
        <v>136</v>
      </c>
    </row>
    <row r="353" spans="1:76" x14ac:dyDescent="0.25">
      <c r="A353" s="1" t="s">
        <v>898</v>
      </c>
      <c r="B353" s="2" t="s">
        <v>255</v>
      </c>
      <c r="C353" s="2" t="s">
        <v>137</v>
      </c>
      <c r="D353" s="83" t="s">
        <v>138</v>
      </c>
      <c r="E353" s="84"/>
      <c r="F353" s="2" t="s">
        <v>31</v>
      </c>
      <c r="G353" s="17">
        <f>'Rozpočet - vybrané sloupce'!J296</f>
        <v>18</v>
      </c>
      <c r="H353" s="17">
        <f>'Rozpočet - vybrané sloupce'!K296</f>
        <v>0</v>
      </c>
      <c r="I353" s="74">
        <v>12</v>
      </c>
      <c r="J353" s="17">
        <f t="shared" si="424"/>
        <v>0</v>
      </c>
      <c r="K353" s="17">
        <f t="shared" si="425"/>
        <v>0</v>
      </c>
      <c r="L353" s="17">
        <f t="shared" si="426"/>
        <v>0</v>
      </c>
      <c r="M353" s="17">
        <f t="shared" si="427"/>
        <v>0</v>
      </c>
      <c r="N353" s="17">
        <v>8.0000000000000007E-5</v>
      </c>
      <c r="O353" s="17">
        <f t="shared" si="428"/>
        <v>1.4400000000000001E-3</v>
      </c>
      <c r="P353" s="75" t="s">
        <v>576</v>
      </c>
      <c r="Z353" s="17">
        <f t="shared" si="429"/>
        <v>0</v>
      </c>
      <c r="AB353" s="17">
        <f t="shared" si="430"/>
        <v>0</v>
      </c>
      <c r="AC353" s="17">
        <f t="shared" si="431"/>
        <v>0</v>
      </c>
      <c r="AD353" s="17">
        <f t="shared" si="432"/>
        <v>0</v>
      </c>
      <c r="AE353" s="17">
        <f t="shared" si="433"/>
        <v>0</v>
      </c>
      <c r="AF353" s="17">
        <f t="shared" si="434"/>
        <v>0</v>
      </c>
      <c r="AG353" s="17">
        <f t="shared" si="435"/>
        <v>0</v>
      </c>
      <c r="AH353" s="17">
        <f t="shared" si="436"/>
        <v>0</v>
      </c>
      <c r="AI353" s="14" t="s">
        <v>255</v>
      </c>
      <c r="AJ353" s="17">
        <f t="shared" si="437"/>
        <v>0</v>
      </c>
      <c r="AK353" s="17">
        <f t="shared" si="438"/>
        <v>0</v>
      </c>
      <c r="AL353" s="17">
        <f t="shared" si="439"/>
        <v>0</v>
      </c>
      <c r="AN353" s="17">
        <v>12</v>
      </c>
      <c r="AO353" s="17">
        <f>H353*0.527714286</f>
        <v>0</v>
      </c>
      <c r="AP353" s="17">
        <f>H353*(1-0.527714286)</f>
        <v>0</v>
      </c>
      <c r="AQ353" s="76" t="s">
        <v>577</v>
      </c>
      <c r="AV353" s="17">
        <f t="shared" si="440"/>
        <v>0</v>
      </c>
      <c r="AW353" s="17">
        <f t="shared" si="441"/>
        <v>0</v>
      </c>
      <c r="AX353" s="17">
        <f t="shared" si="442"/>
        <v>0</v>
      </c>
      <c r="AY353" s="76" t="s">
        <v>677</v>
      </c>
      <c r="AZ353" s="76" t="s">
        <v>888</v>
      </c>
      <c r="BA353" s="14" t="s">
        <v>883</v>
      </c>
      <c r="BC353" s="17">
        <f t="shared" si="443"/>
        <v>0</v>
      </c>
      <c r="BD353" s="17">
        <f t="shared" si="444"/>
        <v>0</v>
      </c>
      <c r="BE353" s="17">
        <v>0</v>
      </c>
      <c r="BF353" s="17">
        <f t="shared" si="445"/>
        <v>1.4400000000000001E-3</v>
      </c>
      <c r="BH353" s="17">
        <f t="shared" si="446"/>
        <v>0</v>
      </c>
      <c r="BI353" s="17">
        <f t="shared" si="447"/>
        <v>0</v>
      </c>
      <c r="BJ353" s="17">
        <f t="shared" si="448"/>
        <v>0</v>
      </c>
      <c r="BK353" s="17"/>
      <c r="BL353" s="17">
        <v>722</v>
      </c>
      <c r="BW353" s="17">
        <f t="shared" si="449"/>
        <v>12</v>
      </c>
      <c r="BX353" s="4" t="s">
        <v>138</v>
      </c>
    </row>
    <row r="354" spans="1:76" x14ac:dyDescent="0.25">
      <c r="A354" s="1" t="s">
        <v>899</v>
      </c>
      <c r="B354" s="2" t="s">
        <v>255</v>
      </c>
      <c r="C354" s="2" t="s">
        <v>145</v>
      </c>
      <c r="D354" s="83" t="s">
        <v>146</v>
      </c>
      <c r="E354" s="84"/>
      <c r="F354" s="2" t="s">
        <v>35</v>
      </c>
      <c r="G354" s="17">
        <f>'Rozpočet - vybrané sloupce'!J297</f>
        <v>48</v>
      </c>
      <c r="H354" s="17">
        <f>'Rozpočet - vybrané sloupce'!K297</f>
        <v>0</v>
      </c>
      <c r="I354" s="74">
        <v>12</v>
      </c>
      <c r="J354" s="17">
        <f t="shared" si="424"/>
        <v>0</v>
      </c>
      <c r="K354" s="17">
        <f t="shared" si="425"/>
        <v>0</v>
      </c>
      <c r="L354" s="17">
        <f t="shared" si="426"/>
        <v>0</v>
      </c>
      <c r="M354" s="17">
        <f t="shared" si="427"/>
        <v>0</v>
      </c>
      <c r="N354" s="17">
        <v>0</v>
      </c>
      <c r="O354" s="17">
        <f t="shared" si="428"/>
        <v>0</v>
      </c>
      <c r="P354" s="75" t="s">
        <v>576</v>
      </c>
      <c r="Z354" s="17">
        <f t="shared" si="429"/>
        <v>0</v>
      </c>
      <c r="AB354" s="17">
        <f t="shared" si="430"/>
        <v>0</v>
      </c>
      <c r="AC354" s="17">
        <f t="shared" si="431"/>
        <v>0</v>
      </c>
      <c r="AD354" s="17">
        <f t="shared" si="432"/>
        <v>0</v>
      </c>
      <c r="AE354" s="17">
        <f t="shared" si="433"/>
        <v>0</v>
      </c>
      <c r="AF354" s="17">
        <f t="shared" si="434"/>
        <v>0</v>
      </c>
      <c r="AG354" s="17">
        <f t="shared" si="435"/>
        <v>0</v>
      </c>
      <c r="AH354" s="17">
        <f t="shared" si="436"/>
        <v>0</v>
      </c>
      <c r="AI354" s="14" t="s">
        <v>255</v>
      </c>
      <c r="AJ354" s="17">
        <f t="shared" si="437"/>
        <v>0</v>
      </c>
      <c r="AK354" s="17">
        <f t="shared" si="438"/>
        <v>0</v>
      </c>
      <c r="AL354" s="17">
        <f t="shared" si="439"/>
        <v>0</v>
      </c>
      <c r="AN354" s="17">
        <v>12</v>
      </c>
      <c r="AO354" s="17">
        <f>H354*1</f>
        <v>0</v>
      </c>
      <c r="AP354" s="17">
        <f>H354*(1-1)</f>
        <v>0</v>
      </c>
      <c r="AQ354" s="76" t="s">
        <v>577</v>
      </c>
      <c r="AV354" s="17">
        <f t="shared" si="440"/>
        <v>0</v>
      </c>
      <c r="AW354" s="17">
        <f t="shared" si="441"/>
        <v>0</v>
      </c>
      <c r="AX354" s="17">
        <f t="shared" si="442"/>
        <v>0</v>
      </c>
      <c r="AY354" s="76" t="s">
        <v>677</v>
      </c>
      <c r="AZ354" s="76" t="s">
        <v>888</v>
      </c>
      <c r="BA354" s="14" t="s">
        <v>883</v>
      </c>
      <c r="BC354" s="17">
        <f t="shared" si="443"/>
        <v>0</v>
      </c>
      <c r="BD354" s="17">
        <f t="shared" si="444"/>
        <v>0</v>
      </c>
      <c r="BE354" s="17">
        <v>0</v>
      </c>
      <c r="BF354" s="17">
        <f t="shared" si="445"/>
        <v>0</v>
      </c>
      <c r="BH354" s="17">
        <f t="shared" si="446"/>
        <v>0</v>
      </c>
      <c r="BI354" s="17">
        <f t="shared" si="447"/>
        <v>0</v>
      </c>
      <c r="BJ354" s="17">
        <f t="shared" si="448"/>
        <v>0</v>
      </c>
      <c r="BK354" s="17"/>
      <c r="BL354" s="17">
        <v>722</v>
      </c>
      <c r="BW354" s="17">
        <f t="shared" si="449"/>
        <v>12</v>
      </c>
      <c r="BX354" s="4" t="s">
        <v>146</v>
      </c>
    </row>
    <row r="355" spans="1:76" x14ac:dyDescent="0.25">
      <c r="A355" s="1" t="s">
        <v>900</v>
      </c>
      <c r="B355" s="2" t="s">
        <v>255</v>
      </c>
      <c r="C355" s="2" t="s">
        <v>153</v>
      </c>
      <c r="D355" s="83" t="s">
        <v>230</v>
      </c>
      <c r="E355" s="84"/>
      <c r="F355" s="2" t="s">
        <v>35</v>
      </c>
      <c r="G355" s="17">
        <f>'Rozpočet - vybrané sloupce'!J298</f>
        <v>24</v>
      </c>
      <c r="H355" s="17">
        <f>'Rozpočet - vybrané sloupce'!K298</f>
        <v>0</v>
      </c>
      <c r="I355" s="74">
        <v>12</v>
      </c>
      <c r="J355" s="17">
        <f t="shared" si="424"/>
        <v>0</v>
      </c>
      <c r="K355" s="17">
        <f t="shared" si="425"/>
        <v>0</v>
      </c>
      <c r="L355" s="17">
        <f t="shared" si="426"/>
        <v>0</v>
      </c>
      <c r="M355" s="17">
        <f t="shared" si="427"/>
        <v>0</v>
      </c>
      <c r="N355" s="17">
        <v>2.4000000000000001E-4</v>
      </c>
      <c r="O355" s="17">
        <f t="shared" si="428"/>
        <v>5.7600000000000004E-3</v>
      </c>
      <c r="P355" s="75" t="s">
        <v>576</v>
      </c>
      <c r="Z355" s="17">
        <f t="shared" si="429"/>
        <v>0</v>
      </c>
      <c r="AB355" s="17">
        <f t="shared" si="430"/>
        <v>0</v>
      </c>
      <c r="AC355" s="17">
        <f t="shared" si="431"/>
        <v>0</v>
      </c>
      <c r="AD355" s="17">
        <f t="shared" si="432"/>
        <v>0</v>
      </c>
      <c r="AE355" s="17">
        <f t="shared" si="433"/>
        <v>0</v>
      </c>
      <c r="AF355" s="17">
        <f t="shared" si="434"/>
        <v>0</v>
      </c>
      <c r="AG355" s="17">
        <f t="shared" si="435"/>
        <v>0</v>
      </c>
      <c r="AH355" s="17">
        <f t="shared" si="436"/>
        <v>0</v>
      </c>
      <c r="AI355" s="14" t="s">
        <v>255</v>
      </c>
      <c r="AJ355" s="17">
        <f t="shared" si="437"/>
        <v>0</v>
      </c>
      <c r="AK355" s="17">
        <f t="shared" si="438"/>
        <v>0</v>
      </c>
      <c r="AL355" s="17">
        <f t="shared" si="439"/>
        <v>0</v>
      </c>
      <c r="AN355" s="17">
        <v>12</v>
      </c>
      <c r="AO355" s="17">
        <f>H355*0.728238342</f>
        <v>0</v>
      </c>
      <c r="AP355" s="17">
        <f>H355*(1-0.728238342)</f>
        <v>0</v>
      </c>
      <c r="AQ355" s="76" t="s">
        <v>577</v>
      </c>
      <c r="AV355" s="17">
        <f t="shared" si="440"/>
        <v>0</v>
      </c>
      <c r="AW355" s="17">
        <f t="shared" si="441"/>
        <v>0</v>
      </c>
      <c r="AX355" s="17">
        <f t="shared" si="442"/>
        <v>0</v>
      </c>
      <c r="AY355" s="76" t="s">
        <v>677</v>
      </c>
      <c r="AZ355" s="76" t="s">
        <v>888</v>
      </c>
      <c r="BA355" s="14" t="s">
        <v>883</v>
      </c>
      <c r="BC355" s="17">
        <f t="shared" si="443"/>
        <v>0</v>
      </c>
      <c r="BD355" s="17">
        <f t="shared" si="444"/>
        <v>0</v>
      </c>
      <c r="BE355" s="17">
        <v>0</v>
      </c>
      <c r="BF355" s="17">
        <f t="shared" si="445"/>
        <v>5.7600000000000004E-3</v>
      </c>
      <c r="BH355" s="17">
        <f t="shared" si="446"/>
        <v>0</v>
      </c>
      <c r="BI355" s="17">
        <f t="shared" si="447"/>
        <v>0</v>
      </c>
      <c r="BJ355" s="17">
        <f t="shared" si="448"/>
        <v>0</v>
      </c>
      <c r="BK355" s="17"/>
      <c r="BL355" s="17">
        <v>722</v>
      </c>
      <c r="BW355" s="17">
        <f t="shared" si="449"/>
        <v>12</v>
      </c>
      <c r="BX355" s="4" t="s">
        <v>230</v>
      </c>
    </row>
    <row r="356" spans="1:76" x14ac:dyDescent="0.25">
      <c r="A356" s="1" t="s">
        <v>901</v>
      </c>
      <c r="B356" s="2" t="s">
        <v>255</v>
      </c>
      <c r="C356" s="2" t="s">
        <v>231</v>
      </c>
      <c r="D356" s="83" t="s">
        <v>232</v>
      </c>
      <c r="E356" s="84"/>
      <c r="F356" s="2" t="s">
        <v>35</v>
      </c>
      <c r="G356" s="17">
        <f>'Rozpočet - vybrané sloupce'!J299</f>
        <v>24</v>
      </c>
      <c r="H356" s="17">
        <f>'Rozpočet - vybrané sloupce'!K299</f>
        <v>0</v>
      </c>
      <c r="I356" s="74">
        <v>12</v>
      </c>
      <c r="J356" s="17">
        <f t="shared" si="424"/>
        <v>0</v>
      </c>
      <c r="K356" s="17">
        <f t="shared" si="425"/>
        <v>0</v>
      </c>
      <c r="L356" s="17">
        <f t="shared" si="426"/>
        <v>0</v>
      </c>
      <c r="M356" s="17">
        <f t="shared" si="427"/>
        <v>0</v>
      </c>
      <c r="N356" s="17">
        <v>1.1E-4</v>
      </c>
      <c r="O356" s="17">
        <f t="shared" si="428"/>
        <v>2.64E-3</v>
      </c>
      <c r="P356" s="75" t="s">
        <v>576</v>
      </c>
      <c r="Z356" s="17">
        <f t="shared" si="429"/>
        <v>0</v>
      </c>
      <c r="AB356" s="17">
        <f t="shared" si="430"/>
        <v>0</v>
      </c>
      <c r="AC356" s="17">
        <f t="shared" si="431"/>
        <v>0</v>
      </c>
      <c r="AD356" s="17">
        <f t="shared" si="432"/>
        <v>0</v>
      </c>
      <c r="AE356" s="17">
        <f t="shared" si="433"/>
        <v>0</v>
      </c>
      <c r="AF356" s="17">
        <f t="shared" si="434"/>
        <v>0</v>
      </c>
      <c r="AG356" s="17">
        <f t="shared" si="435"/>
        <v>0</v>
      </c>
      <c r="AH356" s="17">
        <f t="shared" si="436"/>
        <v>0</v>
      </c>
      <c r="AI356" s="14" t="s">
        <v>255</v>
      </c>
      <c r="AJ356" s="17">
        <f t="shared" si="437"/>
        <v>0</v>
      </c>
      <c r="AK356" s="17">
        <f t="shared" si="438"/>
        <v>0</v>
      </c>
      <c r="AL356" s="17">
        <f t="shared" si="439"/>
        <v>0</v>
      </c>
      <c r="AN356" s="17">
        <v>12</v>
      </c>
      <c r="AO356" s="17">
        <f>H356*0.699426934</f>
        <v>0</v>
      </c>
      <c r="AP356" s="17">
        <f>H356*(1-0.699426934)</f>
        <v>0</v>
      </c>
      <c r="AQ356" s="76" t="s">
        <v>577</v>
      </c>
      <c r="AV356" s="17">
        <f t="shared" si="440"/>
        <v>0</v>
      </c>
      <c r="AW356" s="17">
        <f t="shared" si="441"/>
        <v>0</v>
      </c>
      <c r="AX356" s="17">
        <f t="shared" si="442"/>
        <v>0</v>
      </c>
      <c r="AY356" s="76" t="s">
        <v>677</v>
      </c>
      <c r="AZ356" s="76" t="s">
        <v>888</v>
      </c>
      <c r="BA356" s="14" t="s">
        <v>883</v>
      </c>
      <c r="BC356" s="17">
        <f t="shared" si="443"/>
        <v>0</v>
      </c>
      <c r="BD356" s="17">
        <f t="shared" si="444"/>
        <v>0</v>
      </c>
      <c r="BE356" s="17">
        <v>0</v>
      </c>
      <c r="BF356" s="17">
        <f t="shared" si="445"/>
        <v>2.64E-3</v>
      </c>
      <c r="BH356" s="17">
        <f t="shared" si="446"/>
        <v>0</v>
      </c>
      <c r="BI356" s="17">
        <f t="shared" si="447"/>
        <v>0</v>
      </c>
      <c r="BJ356" s="17">
        <f t="shared" si="448"/>
        <v>0</v>
      </c>
      <c r="BK356" s="17"/>
      <c r="BL356" s="17">
        <v>722</v>
      </c>
      <c r="BW356" s="17">
        <f t="shared" si="449"/>
        <v>12</v>
      </c>
      <c r="BX356" s="4" t="s">
        <v>232</v>
      </c>
    </row>
    <row r="357" spans="1:76" x14ac:dyDescent="0.25">
      <c r="A357" s="1" t="s">
        <v>902</v>
      </c>
      <c r="B357" s="2" t="s">
        <v>255</v>
      </c>
      <c r="C357" s="2" t="s">
        <v>233</v>
      </c>
      <c r="D357" s="83" t="s">
        <v>234</v>
      </c>
      <c r="E357" s="84"/>
      <c r="F357" s="2" t="s">
        <v>35</v>
      </c>
      <c r="G357" s="17">
        <f>'Rozpočet - vybrané sloupce'!J300</f>
        <v>24</v>
      </c>
      <c r="H357" s="17">
        <f>'Rozpočet - vybrané sloupce'!K300</f>
        <v>0</v>
      </c>
      <c r="I357" s="74">
        <v>12</v>
      </c>
      <c r="J357" s="17">
        <f t="shared" si="424"/>
        <v>0</v>
      </c>
      <c r="K357" s="17">
        <f t="shared" si="425"/>
        <v>0</v>
      </c>
      <c r="L357" s="17">
        <f t="shared" si="426"/>
        <v>0</v>
      </c>
      <c r="M357" s="17">
        <f t="shared" si="427"/>
        <v>0</v>
      </c>
      <c r="N357" s="17">
        <v>5.4900000000000001E-3</v>
      </c>
      <c r="O357" s="17">
        <f t="shared" si="428"/>
        <v>0.13175999999999999</v>
      </c>
      <c r="P357" s="75" t="s">
        <v>576</v>
      </c>
      <c r="Z357" s="17">
        <f t="shared" si="429"/>
        <v>0</v>
      </c>
      <c r="AB357" s="17">
        <f t="shared" si="430"/>
        <v>0</v>
      </c>
      <c r="AC357" s="17">
        <f t="shared" si="431"/>
        <v>0</v>
      </c>
      <c r="AD357" s="17">
        <f t="shared" si="432"/>
        <v>0</v>
      </c>
      <c r="AE357" s="17">
        <f t="shared" si="433"/>
        <v>0</v>
      </c>
      <c r="AF357" s="17">
        <f t="shared" si="434"/>
        <v>0</v>
      </c>
      <c r="AG357" s="17">
        <f t="shared" si="435"/>
        <v>0</v>
      </c>
      <c r="AH357" s="17">
        <f t="shared" si="436"/>
        <v>0</v>
      </c>
      <c r="AI357" s="14" t="s">
        <v>255</v>
      </c>
      <c r="AJ357" s="17">
        <f t="shared" si="437"/>
        <v>0</v>
      </c>
      <c r="AK357" s="17">
        <f t="shared" si="438"/>
        <v>0</v>
      </c>
      <c r="AL357" s="17">
        <f t="shared" si="439"/>
        <v>0</v>
      </c>
      <c r="AN357" s="17">
        <v>12</v>
      </c>
      <c r="AO357" s="17">
        <f>H357*0</f>
        <v>0</v>
      </c>
      <c r="AP357" s="17">
        <f>H357*(1-0)</f>
        <v>0</v>
      </c>
      <c r="AQ357" s="76" t="s">
        <v>577</v>
      </c>
      <c r="AV357" s="17">
        <f t="shared" si="440"/>
        <v>0</v>
      </c>
      <c r="AW357" s="17">
        <f t="shared" si="441"/>
        <v>0</v>
      </c>
      <c r="AX357" s="17">
        <f t="shared" si="442"/>
        <v>0</v>
      </c>
      <c r="AY357" s="76" t="s">
        <v>677</v>
      </c>
      <c r="AZ357" s="76" t="s">
        <v>888</v>
      </c>
      <c r="BA357" s="14" t="s">
        <v>883</v>
      </c>
      <c r="BC357" s="17">
        <f t="shared" si="443"/>
        <v>0</v>
      </c>
      <c r="BD357" s="17">
        <f t="shared" si="444"/>
        <v>0</v>
      </c>
      <c r="BE357" s="17">
        <v>0</v>
      </c>
      <c r="BF357" s="17">
        <f t="shared" si="445"/>
        <v>0.13175999999999999</v>
      </c>
      <c r="BH357" s="17">
        <f t="shared" si="446"/>
        <v>0</v>
      </c>
      <c r="BI357" s="17">
        <f t="shared" si="447"/>
        <v>0</v>
      </c>
      <c r="BJ357" s="17">
        <f t="shared" si="448"/>
        <v>0</v>
      </c>
      <c r="BK357" s="17"/>
      <c r="BL357" s="17">
        <v>722</v>
      </c>
      <c r="BW357" s="17">
        <f t="shared" si="449"/>
        <v>12</v>
      </c>
      <c r="BX357" s="4" t="s">
        <v>234</v>
      </c>
    </row>
    <row r="358" spans="1:76" x14ac:dyDescent="0.25">
      <c r="A358" s="1" t="s">
        <v>903</v>
      </c>
      <c r="B358" s="2" t="s">
        <v>255</v>
      </c>
      <c r="C358" s="2" t="s">
        <v>235</v>
      </c>
      <c r="D358" s="83" t="s">
        <v>236</v>
      </c>
      <c r="E358" s="84"/>
      <c r="F358" s="2" t="s">
        <v>35</v>
      </c>
      <c r="G358" s="17">
        <f>'Rozpočet - vybrané sloupce'!J301</f>
        <v>24</v>
      </c>
      <c r="H358" s="17">
        <f>'Rozpočet - vybrané sloupce'!K301</f>
        <v>0</v>
      </c>
      <c r="I358" s="74">
        <v>12</v>
      </c>
      <c r="J358" s="17">
        <f t="shared" si="424"/>
        <v>0</v>
      </c>
      <c r="K358" s="17">
        <f t="shared" si="425"/>
        <v>0</v>
      </c>
      <c r="L358" s="17">
        <f t="shared" si="426"/>
        <v>0</v>
      </c>
      <c r="M358" s="17">
        <f t="shared" si="427"/>
        <v>0</v>
      </c>
      <c r="N358" s="17">
        <v>2.0000000000000002E-5</v>
      </c>
      <c r="O358" s="17">
        <f t="shared" si="428"/>
        <v>4.8000000000000007E-4</v>
      </c>
      <c r="P358" s="75" t="s">
        <v>576</v>
      </c>
      <c r="Z358" s="17">
        <f t="shared" si="429"/>
        <v>0</v>
      </c>
      <c r="AB358" s="17">
        <f t="shared" si="430"/>
        <v>0</v>
      </c>
      <c r="AC358" s="17">
        <f t="shared" si="431"/>
        <v>0</v>
      </c>
      <c r="AD358" s="17">
        <f t="shared" si="432"/>
        <v>0</v>
      </c>
      <c r="AE358" s="17">
        <f t="shared" si="433"/>
        <v>0</v>
      </c>
      <c r="AF358" s="17">
        <f t="shared" si="434"/>
        <v>0</v>
      </c>
      <c r="AG358" s="17">
        <f t="shared" si="435"/>
        <v>0</v>
      </c>
      <c r="AH358" s="17">
        <f t="shared" si="436"/>
        <v>0</v>
      </c>
      <c r="AI358" s="14" t="s">
        <v>255</v>
      </c>
      <c r="AJ358" s="17">
        <f t="shared" si="437"/>
        <v>0</v>
      </c>
      <c r="AK358" s="17">
        <f t="shared" si="438"/>
        <v>0</v>
      </c>
      <c r="AL358" s="17">
        <f t="shared" si="439"/>
        <v>0</v>
      </c>
      <c r="AN358" s="17">
        <v>12</v>
      </c>
      <c r="AO358" s="17">
        <f>H358*0.034752475</f>
        <v>0</v>
      </c>
      <c r="AP358" s="17">
        <f>H358*(1-0.034752475)</f>
        <v>0</v>
      </c>
      <c r="AQ358" s="76" t="s">
        <v>577</v>
      </c>
      <c r="AV358" s="17">
        <f t="shared" si="440"/>
        <v>0</v>
      </c>
      <c r="AW358" s="17">
        <f t="shared" si="441"/>
        <v>0</v>
      </c>
      <c r="AX358" s="17">
        <f t="shared" si="442"/>
        <v>0</v>
      </c>
      <c r="AY358" s="76" t="s">
        <v>677</v>
      </c>
      <c r="AZ358" s="76" t="s">
        <v>888</v>
      </c>
      <c r="BA358" s="14" t="s">
        <v>883</v>
      </c>
      <c r="BC358" s="17">
        <f t="shared" si="443"/>
        <v>0</v>
      </c>
      <c r="BD358" s="17">
        <f t="shared" si="444"/>
        <v>0</v>
      </c>
      <c r="BE358" s="17">
        <v>0</v>
      </c>
      <c r="BF358" s="17">
        <f t="shared" si="445"/>
        <v>4.8000000000000007E-4</v>
      </c>
      <c r="BH358" s="17">
        <f t="shared" si="446"/>
        <v>0</v>
      </c>
      <c r="BI358" s="17">
        <f t="shared" si="447"/>
        <v>0</v>
      </c>
      <c r="BJ358" s="17">
        <f t="shared" si="448"/>
        <v>0</v>
      </c>
      <c r="BK358" s="17"/>
      <c r="BL358" s="17">
        <v>722</v>
      </c>
      <c r="BW358" s="17">
        <f t="shared" si="449"/>
        <v>12</v>
      </c>
      <c r="BX358" s="4" t="s">
        <v>236</v>
      </c>
    </row>
    <row r="359" spans="1:76" x14ac:dyDescent="0.25">
      <c r="A359" s="1" t="s">
        <v>904</v>
      </c>
      <c r="B359" s="2" t="s">
        <v>255</v>
      </c>
      <c r="C359" s="2" t="s">
        <v>237</v>
      </c>
      <c r="D359" s="83" t="s">
        <v>238</v>
      </c>
      <c r="E359" s="84"/>
      <c r="F359" s="2" t="s">
        <v>35</v>
      </c>
      <c r="G359" s="17">
        <f>'Rozpočet - vybrané sloupce'!J302</f>
        <v>24</v>
      </c>
      <c r="H359" s="17">
        <f>'Rozpočet - vybrané sloupce'!K302</f>
        <v>0</v>
      </c>
      <c r="I359" s="74">
        <v>12</v>
      </c>
      <c r="J359" s="17">
        <f t="shared" si="424"/>
        <v>0</v>
      </c>
      <c r="K359" s="17">
        <f t="shared" si="425"/>
        <v>0</v>
      </c>
      <c r="L359" s="17">
        <f t="shared" si="426"/>
        <v>0</v>
      </c>
      <c r="M359" s="17">
        <f t="shared" si="427"/>
        <v>0</v>
      </c>
      <c r="N359" s="17">
        <v>0</v>
      </c>
      <c r="O359" s="17">
        <f t="shared" si="428"/>
        <v>0</v>
      </c>
      <c r="P359" s="75" t="s">
        <v>576</v>
      </c>
      <c r="Z359" s="17">
        <f t="shared" si="429"/>
        <v>0</v>
      </c>
      <c r="AB359" s="17">
        <f t="shared" si="430"/>
        <v>0</v>
      </c>
      <c r="AC359" s="17">
        <f t="shared" si="431"/>
        <v>0</v>
      </c>
      <c r="AD359" s="17">
        <f t="shared" si="432"/>
        <v>0</v>
      </c>
      <c r="AE359" s="17">
        <f t="shared" si="433"/>
        <v>0</v>
      </c>
      <c r="AF359" s="17">
        <f t="shared" si="434"/>
        <v>0</v>
      </c>
      <c r="AG359" s="17">
        <f t="shared" si="435"/>
        <v>0</v>
      </c>
      <c r="AH359" s="17">
        <f t="shared" si="436"/>
        <v>0</v>
      </c>
      <c r="AI359" s="14" t="s">
        <v>255</v>
      </c>
      <c r="AJ359" s="17">
        <f t="shared" si="437"/>
        <v>0</v>
      </c>
      <c r="AK359" s="17">
        <f t="shared" si="438"/>
        <v>0</v>
      </c>
      <c r="AL359" s="17">
        <f t="shared" si="439"/>
        <v>0</v>
      </c>
      <c r="AN359" s="17">
        <v>12</v>
      </c>
      <c r="AO359" s="17">
        <f>H359*0.166666667</f>
        <v>0</v>
      </c>
      <c r="AP359" s="17">
        <f>H359*(1-0.166666667)</f>
        <v>0</v>
      </c>
      <c r="AQ359" s="76" t="s">
        <v>577</v>
      </c>
      <c r="AV359" s="17">
        <f t="shared" si="440"/>
        <v>0</v>
      </c>
      <c r="AW359" s="17">
        <f t="shared" si="441"/>
        <v>0</v>
      </c>
      <c r="AX359" s="17">
        <f t="shared" si="442"/>
        <v>0</v>
      </c>
      <c r="AY359" s="76" t="s">
        <v>677</v>
      </c>
      <c r="AZ359" s="76" t="s">
        <v>888</v>
      </c>
      <c r="BA359" s="14" t="s">
        <v>883</v>
      </c>
      <c r="BC359" s="17">
        <f t="shared" si="443"/>
        <v>0</v>
      </c>
      <c r="BD359" s="17">
        <f t="shared" si="444"/>
        <v>0</v>
      </c>
      <c r="BE359" s="17">
        <v>0</v>
      </c>
      <c r="BF359" s="17">
        <f t="shared" si="445"/>
        <v>0</v>
      </c>
      <c r="BH359" s="17">
        <f t="shared" si="446"/>
        <v>0</v>
      </c>
      <c r="BI359" s="17">
        <f t="shared" si="447"/>
        <v>0</v>
      </c>
      <c r="BJ359" s="17">
        <f t="shared" si="448"/>
        <v>0</v>
      </c>
      <c r="BK359" s="17"/>
      <c r="BL359" s="17">
        <v>722</v>
      </c>
      <c r="BW359" s="17">
        <f t="shared" si="449"/>
        <v>12</v>
      </c>
      <c r="BX359" s="4" t="s">
        <v>238</v>
      </c>
    </row>
    <row r="360" spans="1:76" x14ac:dyDescent="0.25">
      <c r="A360" s="1" t="s">
        <v>905</v>
      </c>
      <c r="B360" s="2" t="s">
        <v>255</v>
      </c>
      <c r="C360" s="2" t="s">
        <v>186</v>
      </c>
      <c r="D360" s="83" t="s">
        <v>187</v>
      </c>
      <c r="E360" s="84"/>
      <c r="F360" s="2" t="s">
        <v>31</v>
      </c>
      <c r="G360" s="17">
        <f>'Rozpočet - vybrané sloupce'!J303</f>
        <v>118</v>
      </c>
      <c r="H360" s="17">
        <f>'Rozpočet - vybrané sloupce'!K303</f>
        <v>0</v>
      </c>
      <c r="I360" s="74">
        <v>12</v>
      </c>
      <c r="J360" s="17">
        <f t="shared" si="424"/>
        <v>0</v>
      </c>
      <c r="K360" s="17">
        <f t="shared" si="425"/>
        <v>0</v>
      </c>
      <c r="L360" s="17">
        <f t="shared" si="426"/>
        <v>0</v>
      </c>
      <c r="M360" s="17">
        <f t="shared" si="427"/>
        <v>0</v>
      </c>
      <c r="N360" s="17">
        <v>0</v>
      </c>
      <c r="O360" s="17">
        <f t="shared" si="428"/>
        <v>0</v>
      </c>
      <c r="P360" s="75" t="s">
        <v>576</v>
      </c>
      <c r="Z360" s="17">
        <f t="shared" si="429"/>
        <v>0</v>
      </c>
      <c r="AB360" s="17">
        <f t="shared" si="430"/>
        <v>0</v>
      </c>
      <c r="AC360" s="17">
        <f t="shared" si="431"/>
        <v>0</v>
      </c>
      <c r="AD360" s="17">
        <f t="shared" si="432"/>
        <v>0</v>
      </c>
      <c r="AE360" s="17">
        <f t="shared" si="433"/>
        <v>0</v>
      </c>
      <c r="AF360" s="17">
        <f t="shared" si="434"/>
        <v>0</v>
      </c>
      <c r="AG360" s="17">
        <f t="shared" si="435"/>
        <v>0</v>
      </c>
      <c r="AH360" s="17">
        <f t="shared" si="436"/>
        <v>0</v>
      </c>
      <c r="AI360" s="14" t="s">
        <v>255</v>
      </c>
      <c r="AJ360" s="17">
        <f t="shared" si="437"/>
        <v>0</v>
      </c>
      <c r="AK360" s="17">
        <f t="shared" si="438"/>
        <v>0</v>
      </c>
      <c r="AL360" s="17">
        <f t="shared" si="439"/>
        <v>0</v>
      </c>
      <c r="AN360" s="17">
        <v>12</v>
      </c>
      <c r="AO360" s="17">
        <f>H360*0.014896303</f>
        <v>0</v>
      </c>
      <c r="AP360" s="17">
        <f>H360*(1-0.014896303)</f>
        <v>0</v>
      </c>
      <c r="AQ360" s="76" t="s">
        <v>577</v>
      </c>
      <c r="AV360" s="17">
        <f t="shared" si="440"/>
        <v>0</v>
      </c>
      <c r="AW360" s="17">
        <f t="shared" si="441"/>
        <v>0</v>
      </c>
      <c r="AX360" s="17">
        <f t="shared" si="442"/>
        <v>0</v>
      </c>
      <c r="AY360" s="76" t="s">
        <v>677</v>
      </c>
      <c r="AZ360" s="76" t="s">
        <v>888</v>
      </c>
      <c r="BA360" s="14" t="s">
        <v>883</v>
      </c>
      <c r="BC360" s="17">
        <f t="shared" si="443"/>
        <v>0</v>
      </c>
      <c r="BD360" s="17">
        <f t="shared" si="444"/>
        <v>0</v>
      </c>
      <c r="BE360" s="17">
        <v>0</v>
      </c>
      <c r="BF360" s="17">
        <f t="shared" si="445"/>
        <v>0</v>
      </c>
      <c r="BH360" s="17">
        <f t="shared" si="446"/>
        <v>0</v>
      </c>
      <c r="BI360" s="17">
        <f t="shared" si="447"/>
        <v>0</v>
      </c>
      <c r="BJ360" s="17">
        <f t="shared" si="448"/>
        <v>0</v>
      </c>
      <c r="BK360" s="17"/>
      <c r="BL360" s="17">
        <v>722</v>
      </c>
      <c r="BW360" s="17">
        <f t="shared" si="449"/>
        <v>12</v>
      </c>
      <c r="BX360" s="4" t="s">
        <v>187</v>
      </c>
    </row>
    <row r="361" spans="1:76" x14ac:dyDescent="0.25">
      <c r="A361" s="1" t="s">
        <v>906</v>
      </c>
      <c r="B361" s="2" t="s">
        <v>255</v>
      </c>
      <c r="C361" s="2" t="s">
        <v>239</v>
      </c>
      <c r="D361" s="83" t="s">
        <v>240</v>
      </c>
      <c r="E361" s="84"/>
      <c r="F361" s="2" t="s">
        <v>88</v>
      </c>
      <c r="G361" s="17">
        <f>'Rozpočet - vybrané sloupce'!J304</f>
        <v>0.1</v>
      </c>
      <c r="H361" s="17">
        <f>'Rozpočet - vybrané sloupce'!K304</f>
        <v>0</v>
      </c>
      <c r="I361" s="74">
        <v>12</v>
      </c>
      <c r="J361" s="17">
        <f t="shared" si="424"/>
        <v>0</v>
      </c>
      <c r="K361" s="17">
        <f t="shared" si="425"/>
        <v>0</v>
      </c>
      <c r="L361" s="17">
        <f t="shared" si="426"/>
        <v>0</v>
      </c>
      <c r="M361" s="17">
        <f t="shared" si="427"/>
        <v>0</v>
      </c>
      <c r="N361" s="17">
        <v>0</v>
      </c>
      <c r="O361" s="17">
        <f t="shared" si="428"/>
        <v>0</v>
      </c>
      <c r="P361" s="75" t="s">
        <v>576</v>
      </c>
      <c r="Z361" s="17">
        <f t="shared" si="429"/>
        <v>0</v>
      </c>
      <c r="AB361" s="17">
        <f t="shared" si="430"/>
        <v>0</v>
      </c>
      <c r="AC361" s="17">
        <f t="shared" si="431"/>
        <v>0</v>
      </c>
      <c r="AD361" s="17">
        <f t="shared" si="432"/>
        <v>0</v>
      </c>
      <c r="AE361" s="17">
        <f t="shared" si="433"/>
        <v>0</v>
      </c>
      <c r="AF361" s="17">
        <f t="shared" si="434"/>
        <v>0</v>
      </c>
      <c r="AG361" s="17">
        <f t="shared" si="435"/>
        <v>0</v>
      </c>
      <c r="AH361" s="17">
        <f t="shared" si="436"/>
        <v>0</v>
      </c>
      <c r="AI361" s="14" t="s">
        <v>255</v>
      </c>
      <c r="AJ361" s="17">
        <f t="shared" si="437"/>
        <v>0</v>
      </c>
      <c r="AK361" s="17">
        <f t="shared" si="438"/>
        <v>0</v>
      </c>
      <c r="AL361" s="17">
        <f t="shared" si="439"/>
        <v>0</v>
      </c>
      <c r="AN361" s="17">
        <v>12</v>
      </c>
      <c r="AO361" s="17">
        <f>H361*0</f>
        <v>0</v>
      </c>
      <c r="AP361" s="17">
        <f>H361*(1-0)</f>
        <v>0</v>
      </c>
      <c r="AQ361" s="76" t="s">
        <v>577</v>
      </c>
      <c r="AV361" s="17">
        <f t="shared" si="440"/>
        <v>0</v>
      </c>
      <c r="AW361" s="17">
        <f t="shared" si="441"/>
        <v>0</v>
      </c>
      <c r="AX361" s="17">
        <f t="shared" si="442"/>
        <v>0</v>
      </c>
      <c r="AY361" s="76" t="s">
        <v>677</v>
      </c>
      <c r="AZ361" s="76" t="s">
        <v>888</v>
      </c>
      <c r="BA361" s="14" t="s">
        <v>883</v>
      </c>
      <c r="BC361" s="17">
        <f t="shared" si="443"/>
        <v>0</v>
      </c>
      <c r="BD361" s="17">
        <f t="shared" si="444"/>
        <v>0</v>
      </c>
      <c r="BE361" s="17">
        <v>0</v>
      </c>
      <c r="BF361" s="17">
        <f t="shared" si="445"/>
        <v>0</v>
      </c>
      <c r="BH361" s="17">
        <f t="shared" si="446"/>
        <v>0</v>
      </c>
      <c r="BI361" s="17">
        <f t="shared" si="447"/>
        <v>0</v>
      </c>
      <c r="BJ361" s="17">
        <f t="shared" si="448"/>
        <v>0</v>
      </c>
      <c r="BK361" s="17"/>
      <c r="BL361" s="17">
        <v>722</v>
      </c>
      <c r="BW361" s="17">
        <f t="shared" si="449"/>
        <v>12</v>
      </c>
      <c r="BX361" s="4" t="s">
        <v>240</v>
      </c>
    </row>
    <row r="362" spans="1:76" x14ac:dyDescent="0.25">
      <c r="A362" s="77"/>
      <c r="C362" s="78" t="s">
        <v>610</v>
      </c>
      <c r="D362" s="161" t="s">
        <v>624</v>
      </c>
      <c r="E362" s="162"/>
      <c r="F362" s="162"/>
      <c r="G362" s="162"/>
      <c r="H362" s="162"/>
      <c r="I362" s="162"/>
      <c r="J362" s="162"/>
      <c r="K362" s="162"/>
      <c r="L362" s="162"/>
      <c r="M362" s="162"/>
      <c r="N362" s="162"/>
      <c r="O362" s="162"/>
      <c r="P362" s="163"/>
      <c r="BX362" s="79" t="s">
        <v>624</v>
      </c>
    </row>
    <row r="363" spans="1:76" x14ac:dyDescent="0.25">
      <c r="A363" s="1" t="s">
        <v>907</v>
      </c>
      <c r="B363" s="2" t="s">
        <v>255</v>
      </c>
      <c r="C363" s="2" t="s">
        <v>194</v>
      </c>
      <c r="D363" s="83" t="s">
        <v>195</v>
      </c>
      <c r="E363" s="84"/>
      <c r="F363" s="2" t="s">
        <v>45</v>
      </c>
      <c r="G363" s="17">
        <f>'Rozpočet - vybrané sloupce'!J305</f>
        <v>0</v>
      </c>
      <c r="H363" s="17">
        <f>'Rozpočet - vybrané sloupce'!K305</f>
        <v>0</v>
      </c>
      <c r="I363" s="74">
        <v>12</v>
      </c>
      <c r="J363" s="17">
        <f>ROUND(G363*AO363,2)</f>
        <v>0</v>
      </c>
      <c r="K363" s="17">
        <f>ROUND(G363*AP363,2)</f>
        <v>0</v>
      </c>
      <c r="L363" s="17">
        <f>ROUND(G363*H363,2)</f>
        <v>0</v>
      </c>
      <c r="M363" s="17">
        <f>L363*(1+BW363/100)</f>
        <v>0</v>
      </c>
      <c r="N363" s="17">
        <v>0</v>
      </c>
      <c r="O363" s="17">
        <f>G363*N363</f>
        <v>0</v>
      </c>
      <c r="P363" s="75" t="s">
        <v>576</v>
      </c>
      <c r="Z363" s="17">
        <f>ROUND(IF(AQ363="5",BJ363,0),2)</f>
        <v>0</v>
      </c>
      <c r="AB363" s="17">
        <f>ROUND(IF(AQ363="1",BH363,0),2)</f>
        <v>0</v>
      </c>
      <c r="AC363" s="17">
        <f>ROUND(IF(AQ363="1",BI363,0),2)</f>
        <v>0</v>
      </c>
      <c r="AD363" s="17">
        <f>ROUND(IF(AQ363="7",BH363,0),2)</f>
        <v>0</v>
      </c>
      <c r="AE363" s="17">
        <f>ROUND(IF(AQ363="7",BI363,0),2)</f>
        <v>0</v>
      </c>
      <c r="AF363" s="17">
        <f>ROUND(IF(AQ363="2",BH363,0),2)</f>
        <v>0</v>
      </c>
      <c r="AG363" s="17">
        <f>ROUND(IF(AQ363="2",BI363,0),2)</f>
        <v>0</v>
      </c>
      <c r="AH363" s="17">
        <f>ROUND(IF(AQ363="0",BJ363,0),2)</f>
        <v>0</v>
      </c>
      <c r="AI363" s="14" t="s">
        <v>255</v>
      </c>
      <c r="AJ363" s="17">
        <f>IF(AN363=0,L363,0)</f>
        <v>0</v>
      </c>
      <c r="AK363" s="17">
        <f>IF(AN363=12,L363,0)</f>
        <v>0</v>
      </c>
      <c r="AL363" s="17">
        <f>IF(AN363=21,L363,0)</f>
        <v>0</v>
      </c>
      <c r="AN363" s="17">
        <v>12</v>
      </c>
      <c r="AO363" s="17">
        <f>H363*0</f>
        <v>0</v>
      </c>
      <c r="AP363" s="17">
        <f>H363*(1-0)</f>
        <v>0</v>
      </c>
      <c r="AQ363" s="76" t="s">
        <v>585</v>
      </c>
      <c r="AV363" s="17">
        <f>ROUND(AW363+AX363,2)</f>
        <v>0</v>
      </c>
      <c r="AW363" s="17">
        <f>ROUND(G363*AO363,2)</f>
        <v>0</v>
      </c>
      <c r="AX363" s="17">
        <f>ROUND(G363*AP363,2)</f>
        <v>0</v>
      </c>
      <c r="AY363" s="76" t="s">
        <v>677</v>
      </c>
      <c r="AZ363" s="76" t="s">
        <v>888</v>
      </c>
      <c r="BA363" s="14" t="s">
        <v>883</v>
      </c>
      <c r="BC363" s="17">
        <f>AW363+AX363</f>
        <v>0</v>
      </c>
      <c r="BD363" s="17">
        <f>H363/(100-BE363)*100</f>
        <v>0</v>
      </c>
      <c r="BE363" s="17">
        <v>0</v>
      </c>
      <c r="BF363" s="17">
        <f>O363</f>
        <v>0</v>
      </c>
      <c r="BH363" s="17">
        <f>G363*AO363</f>
        <v>0</v>
      </c>
      <c r="BI363" s="17">
        <f>G363*AP363</f>
        <v>0</v>
      </c>
      <c r="BJ363" s="17">
        <f>G363*H363</f>
        <v>0</v>
      </c>
      <c r="BK363" s="17"/>
      <c r="BL363" s="17">
        <v>722</v>
      </c>
      <c r="BW363" s="17">
        <f>I363</f>
        <v>12</v>
      </c>
      <c r="BX363" s="4" t="s">
        <v>195</v>
      </c>
    </row>
    <row r="364" spans="1:76" x14ac:dyDescent="0.25">
      <c r="A364" s="71" t="s">
        <v>25</v>
      </c>
      <c r="B364" s="13" t="s">
        <v>255</v>
      </c>
      <c r="C364" s="13" t="s">
        <v>241</v>
      </c>
      <c r="D364" s="135" t="s">
        <v>242</v>
      </c>
      <c r="E364" s="136"/>
      <c r="F364" s="72" t="s">
        <v>23</v>
      </c>
      <c r="G364" s="72" t="s">
        <v>23</v>
      </c>
      <c r="H364" s="72" t="s">
        <v>23</v>
      </c>
      <c r="I364" s="72" t="s">
        <v>23</v>
      </c>
      <c r="J364" s="47">
        <f>SUM(J365:J369)</f>
        <v>0</v>
      </c>
      <c r="K364" s="47">
        <f>SUM(K365:K369)</f>
        <v>0</v>
      </c>
      <c r="L364" s="47">
        <f>SUM(L365:L369)</f>
        <v>0</v>
      </c>
      <c r="M364" s="47">
        <f>SUM(M365:M369)</f>
        <v>0</v>
      </c>
      <c r="N364" s="14" t="s">
        <v>25</v>
      </c>
      <c r="O364" s="47">
        <f>SUM(O365:O369)</f>
        <v>0.18012</v>
      </c>
      <c r="P364" s="73" t="s">
        <v>25</v>
      </c>
      <c r="AI364" s="14" t="s">
        <v>255</v>
      </c>
      <c r="AS364" s="47">
        <f>SUM(AJ365:AJ369)</f>
        <v>0</v>
      </c>
      <c r="AT364" s="47">
        <f>SUM(AK365:AK369)</f>
        <v>0</v>
      </c>
      <c r="AU364" s="47">
        <f>SUM(AL365:AL369)</f>
        <v>0</v>
      </c>
    </row>
    <row r="365" spans="1:76" x14ac:dyDescent="0.25">
      <c r="A365" s="1" t="s">
        <v>908</v>
      </c>
      <c r="B365" s="2" t="s">
        <v>255</v>
      </c>
      <c r="C365" s="2" t="s">
        <v>243</v>
      </c>
      <c r="D365" s="83" t="s">
        <v>244</v>
      </c>
      <c r="E365" s="84"/>
      <c r="F365" s="2" t="s">
        <v>40</v>
      </c>
      <c r="G365" s="17">
        <f>'Rozpočet - vybrané sloupce'!J307</f>
        <v>6</v>
      </c>
      <c r="H365" s="17">
        <f>'Rozpočet - vybrané sloupce'!K307</f>
        <v>0</v>
      </c>
      <c r="I365" s="74">
        <v>12</v>
      </c>
      <c r="J365" s="17">
        <f>ROUND(G365*AO365,2)</f>
        <v>0</v>
      </c>
      <c r="K365" s="17">
        <f>ROUND(G365*AP365,2)</f>
        <v>0</v>
      </c>
      <c r="L365" s="17">
        <f>ROUND(G365*H365,2)</f>
        <v>0</v>
      </c>
      <c r="M365" s="17">
        <f>L365*(1+BW365/100)</f>
        <v>0</v>
      </c>
      <c r="N365" s="17">
        <v>1.933E-2</v>
      </c>
      <c r="O365" s="17">
        <f>G365*N365</f>
        <v>0.11598</v>
      </c>
      <c r="P365" s="75" t="s">
        <v>576</v>
      </c>
      <c r="Z365" s="17">
        <f>ROUND(IF(AQ365="5",BJ365,0),2)</f>
        <v>0</v>
      </c>
      <c r="AB365" s="17">
        <f>ROUND(IF(AQ365="1",BH365,0),2)</f>
        <v>0</v>
      </c>
      <c r="AC365" s="17">
        <f>ROUND(IF(AQ365="1",BI365,0),2)</f>
        <v>0</v>
      </c>
      <c r="AD365" s="17">
        <f>ROUND(IF(AQ365="7",BH365,0),2)</f>
        <v>0</v>
      </c>
      <c r="AE365" s="17">
        <f>ROUND(IF(AQ365="7",BI365,0),2)</f>
        <v>0</v>
      </c>
      <c r="AF365" s="17">
        <f>ROUND(IF(AQ365="2",BH365,0),2)</f>
        <v>0</v>
      </c>
      <c r="AG365" s="17">
        <f>ROUND(IF(AQ365="2",BI365,0),2)</f>
        <v>0</v>
      </c>
      <c r="AH365" s="17">
        <f>ROUND(IF(AQ365="0",BJ365,0),2)</f>
        <v>0</v>
      </c>
      <c r="AI365" s="14" t="s">
        <v>255</v>
      </c>
      <c r="AJ365" s="17">
        <f>IF(AN365=0,L365,0)</f>
        <v>0</v>
      </c>
      <c r="AK365" s="17">
        <f>IF(AN365=12,L365,0)</f>
        <v>0</v>
      </c>
      <c r="AL365" s="17">
        <f>IF(AN365=21,L365,0)</f>
        <v>0</v>
      </c>
      <c r="AN365" s="17">
        <v>12</v>
      </c>
      <c r="AO365" s="17">
        <f>H365*0</f>
        <v>0</v>
      </c>
      <c r="AP365" s="17">
        <f>H365*(1-0)</f>
        <v>0</v>
      </c>
      <c r="AQ365" s="76" t="s">
        <v>577</v>
      </c>
      <c r="AV365" s="17">
        <f>ROUND(AW365+AX365,2)</f>
        <v>0</v>
      </c>
      <c r="AW365" s="17">
        <f>ROUND(G365*AO365,2)</f>
        <v>0</v>
      </c>
      <c r="AX365" s="17">
        <f>ROUND(G365*AP365,2)</f>
        <v>0</v>
      </c>
      <c r="AY365" s="76" t="s">
        <v>844</v>
      </c>
      <c r="AZ365" s="76" t="s">
        <v>888</v>
      </c>
      <c r="BA365" s="14" t="s">
        <v>883</v>
      </c>
      <c r="BC365" s="17">
        <f>AW365+AX365</f>
        <v>0</v>
      </c>
      <c r="BD365" s="17">
        <f>H365/(100-BE365)*100</f>
        <v>0</v>
      </c>
      <c r="BE365" s="17">
        <v>0</v>
      </c>
      <c r="BF365" s="17">
        <f>O365</f>
        <v>0.11598</v>
      </c>
      <c r="BH365" s="17">
        <f>G365*AO365</f>
        <v>0</v>
      </c>
      <c r="BI365" s="17">
        <f>G365*AP365</f>
        <v>0</v>
      </c>
      <c r="BJ365" s="17">
        <f>G365*H365</f>
        <v>0</v>
      </c>
      <c r="BK365" s="17"/>
      <c r="BL365" s="17">
        <v>725</v>
      </c>
      <c r="BW365" s="17">
        <f>I365</f>
        <v>12</v>
      </c>
      <c r="BX365" s="4" t="s">
        <v>244</v>
      </c>
    </row>
    <row r="366" spans="1:76" x14ac:dyDescent="0.25">
      <c r="A366" s="1" t="s">
        <v>909</v>
      </c>
      <c r="B366" s="2" t="s">
        <v>255</v>
      </c>
      <c r="C366" s="2" t="s">
        <v>245</v>
      </c>
      <c r="D366" s="83" t="s">
        <v>246</v>
      </c>
      <c r="E366" s="84"/>
      <c r="F366" s="2" t="s">
        <v>40</v>
      </c>
      <c r="G366" s="17">
        <f>'Rozpočet - vybrané sloupce'!J308</f>
        <v>6</v>
      </c>
      <c r="H366" s="17">
        <f>'Rozpočet - vybrané sloupce'!K308</f>
        <v>0</v>
      </c>
      <c r="I366" s="74">
        <v>12</v>
      </c>
      <c r="J366" s="17">
        <f>ROUND(G366*AO366,2)</f>
        <v>0</v>
      </c>
      <c r="K366" s="17">
        <f>ROUND(G366*AP366,2)</f>
        <v>0</v>
      </c>
      <c r="L366" s="17">
        <f>ROUND(G366*H366,2)</f>
        <v>0</v>
      </c>
      <c r="M366" s="17">
        <f>L366*(1+BW366/100)</f>
        <v>0</v>
      </c>
      <c r="N366" s="17">
        <v>1.8600000000000001E-3</v>
      </c>
      <c r="O366" s="17">
        <f>G366*N366</f>
        <v>1.116E-2</v>
      </c>
      <c r="P366" s="75" t="s">
        <v>576</v>
      </c>
      <c r="Z366" s="17">
        <f>ROUND(IF(AQ366="5",BJ366,0),2)</f>
        <v>0</v>
      </c>
      <c r="AB366" s="17">
        <f>ROUND(IF(AQ366="1",BH366,0),2)</f>
        <v>0</v>
      </c>
      <c r="AC366" s="17">
        <f>ROUND(IF(AQ366="1",BI366,0),2)</f>
        <v>0</v>
      </c>
      <c r="AD366" s="17">
        <f>ROUND(IF(AQ366="7",BH366,0),2)</f>
        <v>0</v>
      </c>
      <c r="AE366" s="17">
        <f>ROUND(IF(AQ366="7",BI366,0),2)</f>
        <v>0</v>
      </c>
      <c r="AF366" s="17">
        <f>ROUND(IF(AQ366="2",BH366,0),2)</f>
        <v>0</v>
      </c>
      <c r="AG366" s="17">
        <f>ROUND(IF(AQ366="2",BI366,0),2)</f>
        <v>0</v>
      </c>
      <c r="AH366" s="17">
        <f>ROUND(IF(AQ366="0",BJ366,0),2)</f>
        <v>0</v>
      </c>
      <c r="AI366" s="14" t="s">
        <v>255</v>
      </c>
      <c r="AJ366" s="17">
        <f>IF(AN366=0,L366,0)</f>
        <v>0</v>
      </c>
      <c r="AK366" s="17">
        <f>IF(AN366=12,L366,0)</f>
        <v>0</v>
      </c>
      <c r="AL366" s="17">
        <f>IF(AN366=21,L366,0)</f>
        <v>0</v>
      </c>
      <c r="AN366" s="17">
        <v>12</v>
      </c>
      <c r="AO366" s="17">
        <f>H366*0.443490814</f>
        <v>0</v>
      </c>
      <c r="AP366" s="17">
        <f>H366*(1-0.443490814)</f>
        <v>0</v>
      </c>
      <c r="AQ366" s="76" t="s">
        <v>577</v>
      </c>
      <c r="AV366" s="17">
        <f>ROUND(AW366+AX366,2)</f>
        <v>0</v>
      </c>
      <c r="AW366" s="17">
        <f>ROUND(G366*AO366,2)</f>
        <v>0</v>
      </c>
      <c r="AX366" s="17">
        <f>ROUND(G366*AP366,2)</f>
        <v>0</v>
      </c>
      <c r="AY366" s="76" t="s">
        <v>844</v>
      </c>
      <c r="AZ366" s="76" t="s">
        <v>888</v>
      </c>
      <c r="BA366" s="14" t="s">
        <v>883</v>
      </c>
      <c r="BC366" s="17">
        <f>AW366+AX366</f>
        <v>0</v>
      </c>
      <c r="BD366" s="17">
        <f>H366/(100-BE366)*100</f>
        <v>0</v>
      </c>
      <c r="BE366" s="17">
        <v>0</v>
      </c>
      <c r="BF366" s="17">
        <f>O366</f>
        <v>1.116E-2</v>
      </c>
      <c r="BH366" s="17">
        <f>G366*AO366</f>
        <v>0</v>
      </c>
      <c r="BI366" s="17">
        <f>G366*AP366</f>
        <v>0</v>
      </c>
      <c r="BJ366" s="17">
        <f>G366*H366</f>
        <v>0</v>
      </c>
      <c r="BK366" s="17"/>
      <c r="BL366" s="17">
        <v>725</v>
      </c>
      <c r="BW366" s="17">
        <f>I366</f>
        <v>12</v>
      </c>
      <c r="BX366" s="4" t="s">
        <v>246</v>
      </c>
    </row>
    <row r="367" spans="1:76" x14ac:dyDescent="0.25">
      <c r="A367" s="1" t="s">
        <v>910</v>
      </c>
      <c r="B367" s="2" t="s">
        <v>255</v>
      </c>
      <c r="C367" s="2" t="s">
        <v>247</v>
      </c>
      <c r="D367" s="83" t="s">
        <v>248</v>
      </c>
      <c r="E367" s="84"/>
      <c r="F367" s="2" t="s">
        <v>40</v>
      </c>
      <c r="G367" s="17">
        <f>'Rozpočet - vybrané sloupce'!J309</f>
        <v>3</v>
      </c>
      <c r="H367" s="17">
        <f>'Rozpočet - vybrané sloupce'!K309</f>
        <v>0</v>
      </c>
      <c r="I367" s="74">
        <v>12</v>
      </c>
      <c r="J367" s="17">
        <f>ROUND(G367*AO367,2)</f>
        <v>0</v>
      </c>
      <c r="K367" s="17">
        <f>ROUND(G367*AP367,2)</f>
        <v>0</v>
      </c>
      <c r="L367" s="17">
        <f>ROUND(G367*H367,2)</f>
        <v>0</v>
      </c>
      <c r="M367" s="17">
        <f>L367*(1+BW367/100)</f>
        <v>0</v>
      </c>
      <c r="N367" s="17">
        <v>1.7600000000000001E-2</v>
      </c>
      <c r="O367" s="17">
        <f>G367*N367</f>
        <v>5.28E-2</v>
      </c>
      <c r="P367" s="75" t="s">
        <v>576</v>
      </c>
      <c r="Z367" s="17">
        <f>ROUND(IF(AQ367="5",BJ367,0),2)</f>
        <v>0</v>
      </c>
      <c r="AB367" s="17">
        <f>ROUND(IF(AQ367="1",BH367,0),2)</f>
        <v>0</v>
      </c>
      <c r="AC367" s="17">
        <f>ROUND(IF(AQ367="1",BI367,0),2)</f>
        <v>0</v>
      </c>
      <c r="AD367" s="17">
        <f>ROUND(IF(AQ367="7",BH367,0),2)</f>
        <v>0</v>
      </c>
      <c r="AE367" s="17">
        <f>ROUND(IF(AQ367="7",BI367,0),2)</f>
        <v>0</v>
      </c>
      <c r="AF367" s="17">
        <f>ROUND(IF(AQ367="2",BH367,0),2)</f>
        <v>0</v>
      </c>
      <c r="AG367" s="17">
        <f>ROUND(IF(AQ367="2",BI367,0),2)</f>
        <v>0</v>
      </c>
      <c r="AH367" s="17">
        <f>ROUND(IF(AQ367="0",BJ367,0),2)</f>
        <v>0</v>
      </c>
      <c r="AI367" s="14" t="s">
        <v>255</v>
      </c>
      <c r="AJ367" s="17">
        <f>IF(AN367=0,L367,0)</f>
        <v>0</v>
      </c>
      <c r="AK367" s="17">
        <f>IF(AN367=12,L367,0)</f>
        <v>0</v>
      </c>
      <c r="AL367" s="17">
        <f>IF(AN367=21,L367,0)</f>
        <v>0</v>
      </c>
      <c r="AN367" s="17">
        <v>12</v>
      </c>
      <c r="AO367" s="17">
        <f>H367*0</f>
        <v>0</v>
      </c>
      <c r="AP367" s="17">
        <f>H367*(1-0)</f>
        <v>0</v>
      </c>
      <c r="AQ367" s="76" t="s">
        <v>577</v>
      </c>
      <c r="AV367" s="17">
        <f>ROUND(AW367+AX367,2)</f>
        <v>0</v>
      </c>
      <c r="AW367" s="17">
        <f>ROUND(G367*AO367,2)</f>
        <v>0</v>
      </c>
      <c r="AX367" s="17">
        <f>ROUND(G367*AP367,2)</f>
        <v>0</v>
      </c>
      <c r="AY367" s="76" t="s">
        <v>844</v>
      </c>
      <c r="AZ367" s="76" t="s">
        <v>888</v>
      </c>
      <c r="BA367" s="14" t="s">
        <v>883</v>
      </c>
      <c r="BC367" s="17">
        <f>AW367+AX367</f>
        <v>0</v>
      </c>
      <c r="BD367" s="17">
        <f>H367/(100-BE367)*100</f>
        <v>0</v>
      </c>
      <c r="BE367" s="17">
        <v>0</v>
      </c>
      <c r="BF367" s="17">
        <f>O367</f>
        <v>5.28E-2</v>
      </c>
      <c r="BH367" s="17">
        <f>G367*AO367</f>
        <v>0</v>
      </c>
      <c r="BI367" s="17">
        <f>G367*AP367</f>
        <v>0</v>
      </c>
      <c r="BJ367" s="17">
        <f>G367*H367</f>
        <v>0</v>
      </c>
      <c r="BK367" s="17"/>
      <c r="BL367" s="17">
        <v>725</v>
      </c>
      <c r="BW367" s="17">
        <f>I367</f>
        <v>12</v>
      </c>
      <c r="BX367" s="4" t="s">
        <v>248</v>
      </c>
    </row>
    <row r="368" spans="1:76" x14ac:dyDescent="0.25">
      <c r="A368" s="1" t="s">
        <v>911</v>
      </c>
      <c r="B368" s="2" t="s">
        <v>255</v>
      </c>
      <c r="C368" s="2" t="s">
        <v>249</v>
      </c>
      <c r="D368" s="83" t="s">
        <v>250</v>
      </c>
      <c r="E368" s="84"/>
      <c r="F368" s="2" t="s">
        <v>35</v>
      </c>
      <c r="G368" s="17">
        <f>'Rozpočet - vybrané sloupce'!J310</f>
        <v>3</v>
      </c>
      <c r="H368" s="17">
        <f>'Rozpočet - vybrané sloupce'!K310</f>
        <v>0</v>
      </c>
      <c r="I368" s="74">
        <v>12</v>
      </c>
      <c r="J368" s="17">
        <f>ROUND(G368*AO368,2)</f>
        <v>0</v>
      </c>
      <c r="K368" s="17">
        <f>ROUND(G368*AP368,2)</f>
        <v>0</v>
      </c>
      <c r="L368" s="17">
        <f>ROUND(G368*H368,2)</f>
        <v>0</v>
      </c>
      <c r="M368" s="17">
        <f>L368*(1+BW368/100)</f>
        <v>0</v>
      </c>
      <c r="N368" s="17">
        <v>6.0000000000000002E-5</v>
      </c>
      <c r="O368" s="17">
        <f>G368*N368</f>
        <v>1.8000000000000001E-4</v>
      </c>
      <c r="P368" s="75" t="s">
        <v>576</v>
      </c>
      <c r="Z368" s="17">
        <f>ROUND(IF(AQ368="5",BJ368,0),2)</f>
        <v>0</v>
      </c>
      <c r="AB368" s="17">
        <f>ROUND(IF(AQ368="1",BH368,0),2)</f>
        <v>0</v>
      </c>
      <c r="AC368" s="17">
        <f>ROUND(IF(AQ368="1",BI368,0),2)</f>
        <v>0</v>
      </c>
      <c r="AD368" s="17">
        <f>ROUND(IF(AQ368="7",BH368,0),2)</f>
        <v>0</v>
      </c>
      <c r="AE368" s="17">
        <f>ROUND(IF(AQ368="7",BI368,0),2)</f>
        <v>0</v>
      </c>
      <c r="AF368" s="17">
        <f>ROUND(IF(AQ368="2",BH368,0),2)</f>
        <v>0</v>
      </c>
      <c r="AG368" s="17">
        <f>ROUND(IF(AQ368="2",BI368,0),2)</f>
        <v>0</v>
      </c>
      <c r="AH368" s="17">
        <f>ROUND(IF(AQ368="0",BJ368,0),2)</f>
        <v>0</v>
      </c>
      <c r="AI368" s="14" t="s">
        <v>255</v>
      </c>
      <c r="AJ368" s="17">
        <f>IF(AN368=0,L368,0)</f>
        <v>0</v>
      </c>
      <c r="AK368" s="17">
        <f>IF(AN368=12,L368,0)</f>
        <v>0</v>
      </c>
      <c r="AL368" s="17">
        <f>IF(AN368=21,L368,0)</f>
        <v>0</v>
      </c>
      <c r="AN368" s="17">
        <v>12</v>
      </c>
      <c r="AO368" s="17">
        <f>H368*0.055554299</f>
        <v>0</v>
      </c>
      <c r="AP368" s="17">
        <f>H368*(1-0.055554299)</f>
        <v>0</v>
      </c>
      <c r="AQ368" s="76" t="s">
        <v>577</v>
      </c>
      <c r="AV368" s="17">
        <f>ROUND(AW368+AX368,2)</f>
        <v>0</v>
      </c>
      <c r="AW368" s="17">
        <f>ROUND(G368*AO368,2)</f>
        <v>0</v>
      </c>
      <c r="AX368" s="17">
        <f>ROUND(G368*AP368,2)</f>
        <v>0</v>
      </c>
      <c r="AY368" s="76" t="s">
        <v>844</v>
      </c>
      <c r="AZ368" s="76" t="s">
        <v>888</v>
      </c>
      <c r="BA368" s="14" t="s">
        <v>883</v>
      </c>
      <c r="BC368" s="17">
        <f>AW368+AX368</f>
        <v>0</v>
      </c>
      <c r="BD368" s="17">
        <f>H368/(100-BE368)*100</f>
        <v>0</v>
      </c>
      <c r="BE368" s="17">
        <v>0</v>
      </c>
      <c r="BF368" s="17">
        <f>O368</f>
        <v>1.8000000000000001E-4</v>
      </c>
      <c r="BH368" s="17">
        <f>G368*AO368</f>
        <v>0</v>
      </c>
      <c r="BI368" s="17">
        <f>G368*AP368</f>
        <v>0</v>
      </c>
      <c r="BJ368" s="17">
        <f>G368*H368</f>
        <v>0</v>
      </c>
      <c r="BK368" s="17"/>
      <c r="BL368" s="17">
        <v>725</v>
      </c>
      <c r="BW368" s="17">
        <f>I368</f>
        <v>12</v>
      </c>
      <c r="BX368" s="4" t="s">
        <v>250</v>
      </c>
    </row>
    <row r="369" spans="1:76" x14ac:dyDescent="0.25">
      <c r="A369" s="1" t="s">
        <v>912</v>
      </c>
      <c r="B369" s="2" t="s">
        <v>255</v>
      </c>
      <c r="C369" s="2" t="s">
        <v>251</v>
      </c>
      <c r="D369" s="83" t="s">
        <v>252</v>
      </c>
      <c r="E369" s="84"/>
      <c r="F369" s="2" t="s">
        <v>45</v>
      </c>
      <c r="G369" s="17">
        <f>'Rozpočet - vybrané sloupce'!J311</f>
        <v>0</v>
      </c>
      <c r="H369" s="17">
        <f>'Rozpočet - vybrané sloupce'!K311</f>
        <v>0</v>
      </c>
      <c r="I369" s="74">
        <v>12</v>
      </c>
      <c r="J369" s="17">
        <f>ROUND(G369*AO369,2)</f>
        <v>0</v>
      </c>
      <c r="K369" s="17">
        <f>ROUND(G369*AP369,2)</f>
        <v>0</v>
      </c>
      <c r="L369" s="17">
        <f>ROUND(G369*H369,2)</f>
        <v>0</v>
      </c>
      <c r="M369" s="17">
        <f>L369*(1+BW369/100)</f>
        <v>0</v>
      </c>
      <c r="N369" s="17">
        <v>0</v>
      </c>
      <c r="O369" s="17">
        <f>G369*N369</f>
        <v>0</v>
      </c>
      <c r="P369" s="75" t="s">
        <v>576</v>
      </c>
      <c r="Z369" s="17">
        <f>ROUND(IF(AQ369="5",BJ369,0),2)</f>
        <v>0</v>
      </c>
      <c r="AB369" s="17">
        <f>ROUND(IF(AQ369="1",BH369,0),2)</f>
        <v>0</v>
      </c>
      <c r="AC369" s="17">
        <f>ROUND(IF(AQ369="1",BI369,0),2)</f>
        <v>0</v>
      </c>
      <c r="AD369" s="17">
        <f>ROUND(IF(AQ369="7",BH369,0),2)</f>
        <v>0</v>
      </c>
      <c r="AE369" s="17">
        <f>ROUND(IF(AQ369="7",BI369,0),2)</f>
        <v>0</v>
      </c>
      <c r="AF369" s="17">
        <f>ROUND(IF(AQ369="2",BH369,0),2)</f>
        <v>0</v>
      </c>
      <c r="AG369" s="17">
        <f>ROUND(IF(AQ369="2",BI369,0),2)</f>
        <v>0</v>
      </c>
      <c r="AH369" s="17">
        <f>ROUND(IF(AQ369="0",BJ369,0),2)</f>
        <v>0</v>
      </c>
      <c r="AI369" s="14" t="s">
        <v>255</v>
      </c>
      <c r="AJ369" s="17">
        <f>IF(AN369=0,L369,0)</f>
        <v>0</v>
      </c>
      <c r="AK369" s="17">
        <f>IF(AN369=12,L369,0)</f>
        <v>0</v>
      </c>
      <c r="AL369" s="17">
        <f>IF(AN369=21,L369,0)</f>
        <v>0</v>
      </c>
      <c r="AN369" s="17">
        <v>12</v>
      </c>
      <c r="AO369" s="17">
        <f>H369*0</f>
        <v>0</v>
      </c>
      <c r="AP369" s="17">
        <f>H369*(1-0)</f>
        <v>0</v>
      </c>
      <c r="AQ369" s="76" t="s">
        <v>585</v>
      </c>
      <c r="AV369" s="17">
        <f>ROUND(AW369+AX369,2)</f>
        <v>0</v>
      </c>
      <c r="AW369" s="17">
        <f>ROUND(G369*AO369,2)</f>
        <v>0</v>
      </c>
      <c r="AX369" s="17">
        <f>ROUND(G369*AP369,2)</f>
        <v>0</v>
      </c>
      <c r="AY369" s="76" t="s">
        <v>844</v>
      </c>
      <c r="AZ369" s="76" t="s">
        <v>888</v>
      </c>
      <c r="BA369" s="14" t="s">
        <v>883</v>
      </c>
      <c r="BC369" s="17">
        <f>AW369+AX369</f>
        <v>0</v>
      </c>
      <c r="BD369" s="17">
        <f>H369/(100-BE369)*100</f>
        <v>0</v>
      </c>
      <c r="BE369" s="17">
        <v>0</v>
      </c>
      <c r="BF369" s="17">
        <f>O369</f>
        <v>0</v>
      </c>
      <c r="BH369" s="17">
        <f>G369*AO369</f>
        <v>0</v>
      </c>
      <c r="BI369" s="17">
        <f>G369*AP369</f>
        <v>0</v>
      </c>
      <c r="BJ369" s="17">
        <f>G369*H369</f>
        <v>0</v>
      </c>
      <c r="BK369" s="17"/>
      <c r="BL369" s="17">
        <v>725</v>
      </c>
      <c r="BW369" s="17">
        <f>I369</f>
        <v>12</v>
      </c>
      <c r="BX369" s="4" t="s">
        <v>252</v>
      </c>
    </row>
    <row r="370" spans="1:76" x14ac:dyDescent="0.25">
      <c r="A370" s="71" t="s">
        <v>25</v>
      </c>
      <c r="B370" s="13" t="s">
        <v>257</v>
      </c>
      <c r="C370" s="13" t="s">
        <v>25</v>
      </c>
      <c r="D370" s="135" t="s">
        <v>258</v>
      </c>
      <c r="E370" s="136"/>
      <c r="F370" s="72" t="s">
        <v>23</v>
      </c>
      <c r="G370" s="72" t="s">
        <v>23</v>
      </c>
      <c r="H370" s="72" t="s">
        <v>23</v>
      </c>
      <c r="I370" s="72" t="s">
        <v>23</v>
      </c>
      <c r="J370" s="47">
        <f>J371</f>
        <v>0</v>
      </c>
      <c r="K370" s="47">
        <f>K371</f>
        <v>0</v>
      </c>
      <c r="L370" s="47">
        <f>L371</f>
        <v>0</v>
      </c>
      <c r="M370" s="47">
        <f>M371</f>
        <v>0</v>
      </c>
      <c r="N370" s="14" t="s">
        <v>25</v>
      </c>
      <c r="O370" s="47">
        <f>O371</f>
        <v>0.34675</v>
      </c>
      <c r="P370" s="73" t="s">
        <v>25</v>
      </c>
    </row>
    <row r="371" spans="1:76" x14ac:dyDescent="0.25">
      <c r="A371" s="71" t="s">
        <v>25</v>
      </c>
      <c r="B371" s="13" t="s">
        <v>257</v>
      </c>
      <c r="C371" s="13" t="s">
        <v>259</v>
      </c>
      <c r="D371" s="135" t="s">
        <v>260</v>
      </c>
      <c r="E371" s="136"/>
      <c r="F371" s="72" t="s">
        <v>23</v>
      </c>
      <c r="G371" s="72" t="s">
        <v>23</v>
      </c>
      <c r="H371" s="72" t="s">
        <v>23</v>
      </c>
      <c r="I371" s="72" t="s">
        <v>23</v>
      </c>
      <c r="J371" s="47">
        <f>SUM(J372:J397)</f>
        <v>0</v>
      </c>
      <c r="K371" s="47">
        <f>SUM(K372:K397)</f>
        <v>0</v>
      </c>
      <c r="L371" s="47">
        <f>SUM(L372:L397)</f>
        <v>0</v>
      </c>
      <c r="M371" s="47">
        <f>SUM(M372:M397)</f>
        <v>0</v>
      </c>
      <c r="N371" s="14" t="s">
        <v>25</v>
      </c>
      <c r="O371" s="47">
        <f>SUM(O372:O397)</f>
        <v>0.34675</v>
      </c>
      <c r="P371" s="73" t="s">
        <v>25</v>
      </c>
      <c r="AI371" s="14" t="s">
        <v>257</v>
      </c>
      <c r="AS371" s="47">
        <f>SUM(AJ372:AJ397)</f>
        <v>0</v>
      </c>
      <c r="AT371" s="47">
        <f>SUM(AK372:AK397)</f>
        <v>0</v>
      </c>
      <c r="AU371" s="47">
        <f>SUM(AL372:AL397)</f>
        <v>0</v>
      </c>
    </row>
    <row r="372" spans="1:76" x14ac:dyDescent="0.25">
      <c r="A372" s="1" t="s">
        <v>913</v>
      </c>
      <c r="B372" s="2" t="s">
        <v>257</v>
      </c>
      <c r="C372" s="2" t="s">
        <v>261</v>
      </c>
      <c r="D372" s="83" t="s">
        <v>262</v>
      </c>
      <c r="E372" s="84"/>
      <c r="F372" s="2" t="s">
        <v>31</v>
      </c>
      <c r="G372" s="17">
        <f>'Rozpočet - vybrané sloupce'!J314</f>
        <v>42</v>
      </c>
      <c r="H372" s="17">
        <f>'Rozpočet - vybrané sloupce'!K314</f>
        <v>0</v>
      </c>
      <c r="I372" s="74">
        <v>12</v>
      </c>
      <c r="J372" s="17">
        <f t="shared" ref="J372:J395" si="450">ROUND(G372*AO372,2)</f>
        <v>0</v>
      </c>
      <c r="K372" s="17">
        <f t="shared" ref="K372:K395" si="451">ROUND(G372*AP372,2)</f>
        <v>0</v>
      </c>
      <c r="L372" s="17">
        <f t="shared" ref="L372:L395" si="452">ROUND(G372*H372,2)</f>
        <v>0</v>
      </c>
      <c r="M372" s="17">
        <f t="shared" ref="M372:M395" si="453">L372*(1+BW372/100)</f>
        <v>0</v>
      </c>
      <c r="N372" s="17">
        <v>3.81E-3</v>
      </c>
      <c r="O372" s="17">
        <f t="shared" ref="O372:O395" si="454">G372*N372</f>
        <v>0.16002</v>
      </c>
      <c r="P372" s="75" t="s">
        <v>576</v>
      </c>
      <c r="Z372" s="17">
        <f t="shared" ref="Z372:Z395" si="455">ROUND(IF(AQ372="5",BJ372,0),2)</f>
        <v>0</v>
      </c>
      <c r="AB372" s="17">
        <f t="shared" ref="AB372:AB395" si="456">ROUND(IF(AQ372="1",BH372,0),2)</f>
        <v>0</v>
      </c>
      <c r="AC372" s="17">
        <f t="shared" ref="AC372:AC395" si="457">ROUND(IF(AQ372="1",BI372,0),2)</f>
        <v>0</v>
      </c>
      <c r="AD372" s="17">
        <f t="shared" ref="AD372:AD395" si="458">ROUND(IF(AQ372="7",BH372,0),2)</f>
        <v>0</v>
      </c>
      <c r="AE372" s="17">
        <f t="shared" ref="AE372:AE395" si="459">ROUND(IF(AQ372="7",BI372,0),2)</f>
        <v>0</v>
      </c>
      <c r="AF372" s="17">
        <f t="shared" ref="AF372:AF395" si="460">ROUND(IF(AQ372="2",BH372,0),2)</f>
        <v>0</v>
      </c>
      <c r="AG372" s="17">
        <f t="shared" ref="AG372:AG395" si="461">ROUND(IF(AQ372="2",BI372,0),2)</f>
        <v>0</v>
      </c>
      <c r="AH372" s="17">
        <f t="shared" ref="AH372:AH395" si="462">ROUND(IF(AQ372="0",BJ372,0),2)</f>
        <v>0</v>
      </c>
      <c r="AI372" s="14" t="s">
        <v>257</v>
      </c>
      <c r="AJ372" s="17">
        <f t="shared" ref="AJ372:AJ395" si="463">IF(AN372=0,L372,0)</f>
        <v>0</v>
      </c>
      <c r="AK372" s="17">
        <f t="shared" ref="AK372:AK395" si="464">IF(AN372=12,L372,0)</f>
        <v>0</v>
      </c>
      <c r="AL372" s="17">
        <f t="shared" ref="AL372:AL395" si="465">IF(AN372=21,L372,0)</f>
        <v>0</v>
      </c>
      <c r="AN372" s="17">
        <v>12</v>
      </c>
      <c r="AO372" s="17">
        <f>H372*0.884450262</f>
        <v>0</v>
      </c>
      <c r="AP372" s="17">
        <f>H372*(1-0.884450262)</f>
        <v>0</v>
      </c>
      <c r="AQ372" s="76" t="s">
        <v>577</v>
      </c>
      <c r="AV372" s="17">
        <f t="shared" ref="AV372:AV395" si="466">ROUND(AW372+AX372,2)</f>
        <v>0</v>
      </c>
      <c r="AW372" s="17">
        <f t="shared" ref="AW372:AW395" si="467">ROUND(G372*AO372,2)</f>
        <v>0</v>
      </c>
      <c r="AX372" s="17">
        <f t="shared" ref="AX372:AX395" si="468">ROUND(G372*AP372,2)</f>
        <v>0</v>
      </c>
      <c r="AY372" s="76" t="s">
        <v>914</v>
      </c>
      <c r="AZ372" s="76" t="s">
        <v>915</v>
      </c>
      <c r="BA372" s="14" t="s">
        <v>916</v>
      </c>
      <c r="BC372" s="17">
        <f t="shared" ref="BC372:BC395" si="469">AW372+AX372</f>
        <v>0</v>
      </c>
      <c r="BD372" s="17">
        <f t="shared" ref="BD372:BD395" si="470">H372/(100-BE372)*100</f>
        <v>0</v>
      </c>
      <c r="BE372" s="17">
        <v>0</v>
      </c>
      <c r="BF372" s="17">
        <f t="shared" ref="BF372:BF395" si="471">O372</f>
        <v>0.16002</v>
      </c>
      <c r="BH372" s="17">
        <f t="shared" ref="BH372:BH395" si="472">G372*AO372</f>
        <v>0</v>
      </c>
      <c r="BI372" s="17">
        <f t="shared" ref="BI372:BI395" si="473">G372*AP372</f>
        <v>0</v>
      </c>
      <c r="BJ372" s="17">
        <f t="shared" ref="BJ372:BJ395" si="474">G372*H372</f>
        <v>0</v>
      </c>
      <c r="BK372" s="17"/>
      <c r="BL372" s="17">
        <v>723</v>
      </c>
      <c r="BW372" s="17">
        <f t="shared" ref="BW372:BW395" si="475">I372</f>
        <v>12</v>
      </c>
      <c r="BX372" s="4" t="s">
        <v>262</v>
      </c>
    </row>
    <row r="373" spans="1:76" x14ac:dyDescent="0.25">
      <c r="A373" s="1" t="s">
        <v>917</v>
      </c>
      <c r="B373" s="2" t="s">
        <v>257</v>
      </c>
      <c r="C373" s="2" t="s">
        <v>263</v>
      </c>
      <c r="D373" s="83" t="s">
        <v>264</v>
      </c>
      <c r="E373" s="84"/>
      <c r="F373" s="2" t="s">
        <v>35</v>
      </c>
      <c r="G373" s="17">
        <f>'Rozpočet - vybrané sloupce'!J315</f>
        <v>1</v>
      </c>
      <c r="H373" s="17">
        <f>'Rozpočet - vybrané sloupce'!K315</f>
        <v>0</v>
      </c>
      <c r="I373" s="74">
        <v>12</v>
      </c>
      <c r="J373" s="17">
        <f t="shared" si="450"/>
        <v>0</v>
      </c>
      <c r="K373" s="17">
        <f t="shared" si="451"/>
        <v>0</v>
      </c>
      <c r="L373" s="17">
        <f t="shared" si="452"/>
        <v>0</v>
      </c>
      <c r="M373" s="17">
        <f t="shared" si="453"/>
        <v>0</v>
      </c>
      <c r="N373" s="17">
        <v>1.5E-3</v>
      </c>
      <c r="O373" s="17">
        <f t="shared" si="454"/>
        <v>1.5E-3</v>
      </c>
      <c r="P373" s="75" t="s">
        <v>576</v>
      </c>
      <c r="Z373" s="17">
        <f t="shared" si="455"/>
        <v>0</v>
      </c>
      <c r="AB373" s="17">
        <f t="shared" si="456"/>
        <v>0</v>
      </c>
      <c r="AC373" s="17">
        <f t="shared" si="457"/>
        <v>0</v>
      </c>
      <c r="AD373" s="17">
        <f t="shared" si="458"/>
        <v>0</v>
      </c>
      <c r="AE373" s="17">
        <f t="shared" si="459"/>
        <v>0</v>
      </c>
      <c r="AF373" s="17">
        <f t="shared" si="460"/>
        <v>0</v>
      </c>
      <c r="AG373" s="17">
        <f t="shared" si="461"/>
        <v>0</v>
      </c>
      <c r="AH373" s="17">
        <f t="shared" si="462"/>
        <v>0</v>
      </c>
      <c r="AI373" s="14" t="s">
        <v>257</v>
      </c>
      <c r="AJ373" s="17">
        <f t="shared" si="463"/>
        <v>0</v>
      </c>
      <c r="AK373" s="17">
        <f t="shared" si="464"/>
        <v>0</v>
      </c>
      <c r="AL373" s="17">
        <f t="shared" si="465"/>
        <v>0</v>
      </c>
      <c r="AN373" s="17">
        <v>12</v>
      </c>
      <c r="AO373" s="17">
        <f>H373*0.496760436</f>
        <v>0</v>
      </c>
      <c r="AP373" s="17">
        <f>H373*(1-0.496760436)</f>
        <v>0</v>
      </c>
      <c r="AQ373" s="76" t="s">
        <v>577</v>
      </c>
      <c r="AV373" s="17">
        <f t="shared" si="466"/>
        <v>0</v>
      </c>
      <c r="AW373" s="17">
        <f t="shared" si="467"/>
        <v>0</v>
      </c>
      <c r="AX373" s="17">
        <f t="shared" si="468"/>
        <v>0</v>
      </c>
      <c r="AY373" s="76" t="s">
        <v>914</v>
      </c>
      <c r="AZ373" s="76" t="s">
        <v>915</v>
      </c>
      <c r="BA373" s="14" t="s">
        <v>916</v>
      </c>
      <c r="BC373" s="17">
        <f t="shared" si="469"/>
        <v>0</v>
      </c>
      <c r="BD373" s="17">
        <f t="shared" si="470"/>
        <v>0</v>
      </c>
      <c r="BE373" s="17">
        <v>0</v>
      </c>
      <c r="BF373" s="17">
        <f t="shared" si="471"/>
        <v>1.5E-3</v>
      </c>
      <c r="BH373" s="17">
        <f t="shared" si="472"/>
        <v>0</v>
      </c>
      <c r="BI373" s="17">
        <f t="shared" si="473"/>
        <v>0</v>
      </c>
      <c r="BJ373" s="17">
        <f t="shared" si="474"/>
        <v>0</v>
      </c>
      <c r="BK373" s="17"/>
      <c r="BL373" s="17">
        <v>723</v>
      </c>
      <c r="BW373" s="17">
        <f t="shared" si="475"/>
        <v>12</v>
      </c>
      <c r="BX373" s="4" t="s">
        <v>264</v>
      </c>
    </row>
    <row r="374" spans="1:76" x14ac:dyDescent="0.25">
      <c r="A374" s="1" t="s">
        <v>918</v>
      </c>
      <c r="B374" s="2" t="s">
        <v>257</v>
      </c>
      <c r="C374" s="2" t="s">
        <v>265</v>
      </c>
      <c r="D374" s="83" t="s">
        <v>266</v>
      </c>
      <c r="E374" s="84"/>
      <c r="F374" s="2" t="s">
        <v>31</v>
      </c>
      <c r="G374" s="17">
        <f>'Rozpočet - vybrané sloupce'!J316</f>
        <v>42</v>
      </c>
      <c r="H374" s="17">
        <f>'Rozpočet - vybrané sloupce'!K316</f>
        <v>0</v>
      </c>
      <c r="I374" s="74">
        <v>12</v>
      </c>
      <c r="J374" s="17">
        <f t="shared" si="450"/>
        <v>0</v>
      </c>
      <c r="K374" s="17">
        <f t="shared" si="451"/>
        <v>0</v>
      </c>
      <c r="L374" s="17">
        <f t="shared" si="452"/>
        <v>0</v>
      </c>
      <c r="M374" s="17">
        <f t="shared" si="453"/>
        <v>0</v>
      </c>
      <c r="N374" s="17">
        <v>1.66E-3</v>
      </c>
      <c r="O374" s="17">
        <f t="shared" si="454"/>
        <v>6.9720000000000004E-2</v>
      </c>
      <c r="P374" s="75" t="s">
        <v>576</v>
      </c>
      <c r="Z374" s="17">
        <f t="shared" si="455"/>
        <v>0</v>
      </c>
      <c r="AB374" s="17">
        <f t="shared" si="456"/>
        <v>0</v>
      </c>
      <c r="AC374" s="17">
        <f t="shared" si="457"/>
        <v>0</v>
      </c>
      <c r="AD374" s="17">
        <f t="shared" si="458"/>
        <v>0</v>
      </c>
      <c r="AE374" s="17">
        <f t="shared" si="459"/>
        <v>0</v>
      </c>
      <c r="AF374" s="17">
        <f t="shared" si="460"/>
        <v>0</v>
      </c>
      <c r="AG374" s="17">
        <f t="shared" si="461"/>
        <v>0</v>
      </c>
      <c r="AH374" s="17">
        <f t="shared" si="462"/>
        <v>0</v>
      </c>
      <c r="AI374" s="14" t="s">
        <v>257</v>
      </c>
      <c r="AJ374" s="17">
        <f t="shared" si="463"/>
        <v>0</v>
      </c>
      <c r="AK374" s="17">
        <f t="shared" si="464"/>
        <v>0</v>
      </c>
      <c r="AL374" s="17">
        <f t="shared" si="465"/>
        <v>0</v>
      </c>
      <c r="AN374" s="17">
        <v>12</v>
      </c>
      <c r="AO374" s="17">
        <f>H374*0.758216433</f>
        <v>0</v>
      </c>
      <c r="AP374" s="17">
        <f>H374*(1-0.758216433)</f>
        <v>0</v>
      </c>
      <c r="AQ374" s="76" t="s">
        <v>577</v>
      </c>
      <c r="AV374" s="17">
        <f t="shared" si="466"/>
        <v>0</v>
      </c>
      <c r="AW374" s="17">
        <f t="shared" si="467"/>
        <v>0</v>
      </c>
      <c r="AX374" s="17">
        <f t="shared" si="468"/>
        <v>0</v>
      </c>
      <c r="AY374" s="76" t="s">
        <v>914</v>
      </c>
      <c r="AZ374" s="76" t="s">
        <v>915</v>
      </c>
      <c r="BA374" s="14" t="s">
        <v>916</v>
      </c>
      <c r="BC374" s="17">
        <f t="shared" si="469"/>
        <v>0</v>
      </c>
      <c r="BD374" s="17">
        <f t="shared" si="470"/>
        <v>0</v>
      </c>
      <c r="BE374" s="17">
        <v>0</v>
      </c>
      <c r="BF374" s="17">
        <f t="shared" si="471"/>
        <v>6.9720000000000004E-2</v>
      </c>
      <c r="BH374" s="17">
        <f t="shared" si="472"/>
        <v>0</v>
      </c>
      <c r="BI374" s="17">
        <f t="shared" si="473"/>
        <v>0</v>
      </c>
      <c r="BJ374" s="17">
        <f t="shared" si="474"/>
        <v>0</v>
      </c>
      <c r="BK374" s="17"/>
      <c r="BL374" s="17">
        <v>723</v>
      </c>
      <c r="BW374" s="17">
        <f t="shared" si="475"/>
        <v>12</v>
      </c>
      <c r="BX374" s="4" t="s">
        <v>266</v>
      </c>
    </row>
    <row r="375" spans="1:76" x14ac:dyDescent="0.25">
      <c r="A375" s="1" t="s">
        <v>919</v>
      </c>
      <c r="B375" s="2" t="s">
        <v>257</v>
      </c>
      <c r="C375" s="2" t="s">
        <v>267</v>
      </c>
      <c r="D375" s="83" t="s">
        <v>268</v>
      </c>
      <c r="E375" s="84"/>
      <c r="F375" s="2" t="s">
        <v>31</v>
      </c>
      <c r="G375" s="17">
        <f>'Rozpočet - vybrané sloupce'!J317</f>
        <v>4.5</v>
      </c>
      <c r="H375" s="17">
        <f>'Rozpočet - vybrané sloupce'!K317</f>
        <v>0</v>
      </c>
      <c r="I375" s="74">
        <v>12</v>
      </c>
      <c r="J375" s="17">
        <f t="shared" si="450"/>
        <v>0</v>
      </c>
      <c r="K375" s="17">
        <f t="shared" si="451"/>
        <v>0</v>
      </c>
      <c r="L375" s="17">
        <f t="shared" si="452"/>
        <v>0</v>
      </c>
      <c r="M375" s="17">
        <f t="shared" si="453"/>
        <v>0</v>
      </c>
      <c r="N375" s="17">
        <v>2E-3</v>
      </c>
      <c r="O375" s="17">
        <f t="shared" si="454"/>
        <v>9.0000000000000011E-3</v>
      </c>
      <c r="P375" s="75" t="s">
        <v>576</v>
      </c>
      <c r="Z375" s="17">
        <f t="shared" si="455"/>
        <v>0</v>
      </c>
      <c r="AB375" s="17">
        <f t="shared" si="456"/>
        <v>0</v>
      </c>
      <c r="AC375" s="17">
        <f t="shared" si="457"/>
        <v>0</v>
      </c>
      <c r="AD375" s="17">
        <f t="shared" si="458"/>
        <v>0</v>
      </c>
      <c r="AE375" s="17">
        <f t="shared" si="459"/>
        <v>0</v>
      </c>
      <c r="AF375" s="17">
        <f t="shared" si="460"/>
        <v>0</v>
      </c>
      <c r="AG375" s="17">
        <f t="shared" si="461"/>
        <v>0</v>
      </c>
      <c r="AH375" s="17">
        <f t="shared" si="462"/>
        <v>0</v>
      </c>
      <c r="AI375" s="14" t="s">
        <v>257</v>
      </c>
      <c r="AJ375" s="17">
        <f t="shared" si="463"/>
        <v>0</v>
      </c>
      <c r="AK375" s="17">
        <f t="shared" si="464"/>
        <v>0</v>
      </c>
      <c r="AL375" s="17">
        <f t="shared" si="465"/>
        <v>0</v>
      </c>
      <c r="AN375" s="17">
        <v>12</v>
      </c>
      <c r="AO375" s="17">
        <f>H375*0.801900685</f>
        <v>0</v>
      </c>
      <c r="AP375" s="17">
        <f>H375*(1-0.801900685)</f>
        <v>0</v>
      </c>
      <c r="AQ375" s="76" t="s">
        <v>577</v>
      </c>
      <c r="AV375" s="17">
        <f t="shared" si="466"/>
        <v>0</v>
      </c>
      <c r="AW375" s="17">
        <f t="shared" si="467"/>
        <v>0</v>
      </c>
      <c r="AX375" s="17">
        <f t="shared" si="468"/>
        <v>0</v>
      </c>
      <c r="AY375" s="76" t="s">
        <v>914</v>
      </c>
      <c r="AZ375" s="76" t="s">
        <v>915</v>
      </c>
      <c r="BA375" s="14" t="s">
        <v>916</v>
      </c>
      <c r="BC375" s="17">
        <f t="shared" si="469"/>
        <v>0</v>
      </c>
      <c r="BD375" s="17">
        <f t="shared" si="470"/>
        <v>0</v>
      </c>
      <c r="BE375" s="17">
        <v>0</v>
      </c>
      <c r="BF375" s="17">
        <f t="shared" si="471"/>
        <v>9.0000000000000011E-3</v>
      </c>
      <c r="BH375" s="17">
        <f t="shared" si="472"/>
        <v>0</v>
      </c>
      <c r="BI375" s="17">
        <f t="shared" si="473"/>
        <v>0</v>
      </c>
      <c r="BJ375" s="17">
        <f t="shared" si="474"/>
        <v>0</v>
      </c>
      <c r="BK375" s="17"/>
      <c r="BL375" s="17">
        <v>723</v>
      </c>
      <c r="BW375" s="17">
        <f t="shared" si="475"/>
        <v>12</v>
      </c>
      <c r="BX375" s="4" t="s">
        <v>268</v>
      </c>
    </row>
    <row r="376" spans="1:76" x14ac:dyDescent="0.25">
      <c r="A376" s="1" t="s">
        <v>920</v>
      </c>
      <c r="B376" s="2" t="s">
        <v>257</v>
      </c>
      <c r="C376" s="2" t="s">
        <v>269</v>
      </c>
      <c r="D376" s="83" t="s">
        <v>270</v>
      </c>
      <c r="E376" s="84"/>
      <c r="F376" s="2" t="s">
        <v>35</v>
      </c>
      <c r="G376" s="17">
        <f>'Rozpočet - vybrané sloupce'!J318</f>
        <v>7</v>
      </c>
      <c r="H376" s="17">
        <f>'Rozpočet - vybrané sloupce'!K318</f>
        <v>0</v>
      </c>
      <c r="I376" s="74">
        <v>12</v>
      </c>
      <c r="J376" s="17">
        <f t="shared" si="450"/>
        <v>0</v>
      </c>
      <c r="K376" s="17">
        <f t="shared" si="451"/>
        <v>0</v>
      </c>
      <c r="L376" s="17">
        <f t="shared" si="452"/>
        <v>0</v>
      </c>
      <c r="M376" s="17">
        <f t="shared" si="453"/>
        <v>0</v>
      </c>
      <c r="N376" s="17">
        <v>2.3000000000000001E-4</v>
      </c>
      <c r="O376" s="17">
        <f t="shared" si="454"/>
        <v>1.6100000000000001E-3</v>
      </c>
      <c r="P376" s="75" t="s">
        <v>576</v>
      </c>
      <c r="Z376" s="17">
        <f t="shared" si="455"/>
        <v>0</v>
      </c>
      <c r="AB376" s="17">
        <f t="shared" si="456"/>
        <v>0</v>
      </c>
      <c r="AC376" s="17">
        <f t="shared" si="457"/>
        <v>0</v>
      </c>
      <c r="AD376" s="17">
        <f t="shared" si="458"/>
        <v>0</v>
      </c>
      <c r="AE376" s="17">
        <f t="shared" si="459"/>
        <v>0</v>
      </c>
      <c r="AF376" s="17">
        <f t="shared" si="460"/>
        <v>0</v>
      </c>
      <c r="AG376" s="17">
        <f t="shared" si="461"/>
        <v>0</v>
      </c>
      <c r="AH376" s="17">
        <f t="shared" si="462"/>
        <v>0</v>
      </c>
      <c r="AI376" s="14" t="s">
        <v>257</v>
      </c>
      <c r="AJ376" s="17">
        <f t="shared" si="463"/>
        <v>0</v>
      </c>
      <c r="AK376" s="17">
        <f t="shared" si="464"/>
        <v>0</v>
      </c>
      <c r="AL376" s="17">
        <f t="shared" si="465"/>
        <v>0</v>
      </c>
      <c r="AN376" s="17">
        <v>12</v>
      </c>
      <c r="AO376" s="17">
        <f>H376*0.75954071</f>
        <v>0</v>
      </c>
      <c r="AP376" s="17">
        <f>H376*(1-0.75954071)</f>
        <v>0</v>
      </c>
      <c r="AQ376" s="76" t="s">
        <v>577</v>
      </c>
      <c r="AV376" s="17">
        <f t="shared" si="466"/>
        <v>0</v>
      </c>
      <c r="AW376" s="17">
        <f t="shared" si="467"/>
        <v>0</v>
      </c>
      <c r="AX376" s="17">
        <f t="shared" si="468"/>
        <v>0</v>
      </c>
      <c r="AY376" s="76" t="s">
        <v>914</v>
      </c>
      <c r="AZ376" s="76" t="s">
        <v>915</v>
      </c>
      <c r="BA376" s="14" t="s">
        <v>916</v>
      </c>
      <c r="BC376" s="17">
        <f t="shared" si="469"/>
        <v>0</v>
      </c>
      <c r="BD376" s="17">
        <f t="shared" si="470"/>
        <v>0</v>
      </c>
      <c r="BE376" s="17">
        <v>0</v>
      </c>
      <c r="BF376" s="17">
        <f t="shared" si="471"/>
        <v>1.6100000000000001E-3</v>
      </c>
      <c r="BH376" s="17">
        <f t="shared" si="472"/>
        <v>0</v>
      </c>
      <c r="BI376" s="17">
        <f t="shared" si="473"/>
        <v>0</v>
      </c>
      <c r="BJ376" s="17">
        <f t="shared" si="474"/>
        <v>0</v>
      </c>
      <c r="BK376" s="17"/>
      <c r="BL376" s="17">
        <v>723</v>
      </c>
      <c r="BW376" s="17">
        <f t="shared" si="475"/>
        <v>12</v>
      </c>
      <c r="BX376" s="4" t="s">
        <v>270</v>
      </c>
    </row>
    <row r="377" spans="1:76" x14ac:dyDescent="0.25">
      <c r="A377" s="1" t="s">
        <v>921</v>
      </c>
      <c r="B377" s="2" t="s">
        <v>257</v>
      </c>
      <c r="C377" s="2" t="s">
        <v>271</v>
      </c>
      <c r="D377" s="83" t="s">
        <v>272</v>
      </c>
      <c r="E377" s="84"/>
      <c r="F377" s="2" t="s">
        <v>35</v>
      </c>
      <c r="G377" s="17">
        <f>'Rozpočet - vybrané sloupce'!J319</f>
        <v>10</v>
      </c>
      <c r="H377" s="17">
        <f>'Rozpočet - vybrané sloupce'!K319</f>
        <v>0</v>
      </c>
      <c r="I377" s="74">
        <v>12</v>
      </c>
      <c r="J377" s="17">
        <f t="shared" si="450"/>
        <v>0</v>
      </c>
      <c r="K377" s="17">
        <f t="shared" si="451"/>
        <v>0</v>
      </c>
      <c r="L377" s="17">
        <f t="shared" si="452"/>
        <v>0</v>
      </c>
      <c r="M377" s="17">
        <f t="shared" si="453"/>
        <v>0</v>
      </c>
      <c r="N377" s="17">
        <v>6.6E-4</v>
      </c>
      <c r="O377" s="17">
        <f t="shared" si="454"/>
        <v>6.6E-3</v>
      </c>
      <c r="P377" s="75" t="s">
        <v>576</v>
      </c>
      <c r="Z377" s="17">
        <f t="shared" si="455"/>
        <v>0</v>
      </c>
      <c r="AB377" s="17">
        <f t="shared" si="456"/>
        <v>0</v>
      </c>
      <c r="AC377" s="17">
        <f t="shared" si="457"/>
        <v>0</v>
      </c>
      <c r="AD377" s="17">
        <f t="shared" si="458"/>
        <v>0</v>
      </c>
      <c r="AE377" s="17">
        <f t="shared" si="459"/>
        <v>0</v>
      </c>
      <c r="AF377" s="17">
        <f t="shared" si="460"/>
        <v>0</v>
      </c>
      <c r="AG377" s="17">
        <f t="shared" si="461"/>
        <v>0</v>
      </c>
      <c r="AH377" s="17">
        <f t="shared" si="462"/>
        <v>0</v>
      </c>
      <c r="AI377" s="14" t="s">
        <v>257</v>
      </c>
      <c r="AJ377" s="17">
        <f t="shared" si="463"/>
        <v>0</v>
      </c>
      <c r="AK377" s="17">
        <f t="shared" si="464"/>
        <v>0</v>
      </c>
      <c r="AL377" s="17">
        <f t="shared" si="465"/>
        <v>0</v>
      </c>
      <c r="AN377" s="17">
        <v>12</v>
      </c>
      <c r="AO377" s="17">
        <f>H377*0.84311753</f>
        <v>0</v>
      </c>
      <c r="AP377" s="17">
        <f>H377*(1-0.84311753)</f>
        <v>0</v>
      </c>
      <c r="AQ377" s="76" t="s">
        <v>577</v>
      </c>
      <c r="AV377" s="17">
        <f t="shared" si="466"/>
        <v>0</v>
      </c>
      <c r="AW377" s="17">
        <f t="shared" si="467"/>
        <v>0</v>
      </c>
      <c r="AX377" s="17">
        <f t="shared" si="468"/>
        <v>0</v>
      </c>
      <c r="AY377" s="76" t="s">
        <v>914</v>
      </c>
      <c r="AZ377" s="76" t="s">
        <v>915</v>
      </c>
      <c r="BA377" s="14" t="s">
        <v>916</v>
      </c>
      <c r="BC377" s="17">
        <f t="shared" si="469"/>
        <v>0</v>
      </c>
      <c r="BD377" s="17">
        <f t="shared" si="470"/>
        <v>0</v>
      </c>
      <c r="BE377" s="17">
        <v>0</v>
      </c>
      <c r="BF377" s="17">
        <f t="shared" si="471"/>
        <v>6.6E-3</v>
      </c>
      <c r="BH377" s="17">
        <f t="shared" si="472"/>
        <v>0</v>
      </c>
      <c r="BI377" s="17">
        <f t="shared" si="473"/>
        <v>0</v>
      </c>
      <c r="BJ377" s="17">
        <f t="shared" si="474"/>
        <v>0</v>
      </c>
      <c r="BK377" s="17"/>
      <c r="BL377" s="17">
        <v>723</v>
      </c>
      <c r="BW377" s="17">
        <f t="shared" si="475"/>
        <v>12</v>
      </c>
      <c r="BX377" s="4" t="s">
        <v>272</v>
      </c>
    </row>
    <row r="378" spans="1:76" x14ac:dyDescent="0.25">
      <c r="A378" s="1" t="s">
        <v>922</v>
      </c>
      <c r="B378" s="2" t="s">
        <v>257</v>
      </c>
      <c r="C378" s="2" t="s">
        <v>273</v>
      </c>
      <c r="D378" s="83" t="s">
        <v>274</v>
      </c>
      <c r="E378" s="84"/>
      <c r="F378" s="2" t="s">
        <v>35</v>
      </c>
      <c r="G378" s="17">
        <f>'Rozpočet - vybrané sloupce'!J320</f>
        <v>1</v>
      </c>
      <c r="H378" s="17">
        <f>'Rozpočet - vybrané sloupce'!K320</f>
        <v>0</v>
      </c>
      <c r="I378" s="74">
        <v>12</v>
      </c>
      <c r="J378" s="17">
        <f t="shared" si="450"/>
        <v>0</v>
      </c>
      <c r="K378" s="17">
        <f t="shared" si="451"/>
        <v>0</v>
      </c>
      <c r="L378" s="17">
        <f t="shared" si="452"/>
        <v>0</v>
      </c>
      <c r="M378" s="17">
        <f t="shared" si="453"/>
        <v>0</v>
      </c>
      <c r="N378" s="17">
        <v>2.9999999999999997E-4</v>
      </c>
      <c r="O378" s="17">
        <f t="shared" si="454"/>
        <v>2.9999999999999997E-4</v>
      </c>
      <c r="P378" s="75" t="s">
        <v>576</v>
      </c>
      <c r="Z378" s="17">
        <f t="shared" si="455"/>
        <v>0</v>
      </c>
      <c r="AB378" s="17">
        <f t="shared" si="456"/>
        <v>0</v>
      </c>
      <c r="AC378" s="17">
        <f t="shared" si="457"/>
        <v>0</v>
      </c>
      <c r="AD378" s="17">
        <f t="shared" si="458"/>
        <v>0</v>
      </c>
      <c r="AE378" s="17">
        <f t="shared" si="459"/>
        <v>0</v>
      </c>
      <c r="AF378" s="17">
        <f t="shared" si="460"/>
        <v>0</v>
      </c>
      <c r="AG378" s="17">
        <f t="shared" si="461"/>
        <v>0</v>
      </c>
      <c r="AH378" s="17">
        <f t="shared" si="462"/>
        <v>0</v>
      </c>
      <c r="AI378" s="14" t="s">
        <v>257</v>
      </c>
      <c r="AJ378" s="17">
        <f t="shared" si="463"/>
        <v>0</v>
      </c>
      <c r="AK378" s="17">
        <f t="shared" si="464"/>
        <v>0</v>
      </c>
      <c r="AL378" s="17">
        <f t="shared" si="465"/>
        <v>0</v>
      </c>
      <c r="AN378" s="17">
        <v>12</v>
      </c>
      <c r="AO378" s="17">
        <f>H378*0.886601872</f>
        <v>0</v>
      </c>
      <c r="AP378" s="17">
        <f>H378*(1-0.886601872)</f>
        <v>0</v>
      </c>
      <c r="AQ378" s="76" t="s">
        <v>577</v>
      </c>
      <c r="AV378" s="17">
        <f t="shared" si="466"/>
        <v>0</v>
      </c>
      <c r="AW378" s="17">
        <f t="shared" si="467"/>
        <v>0</v>
      </c>
      <c r="AX378" s="17">
        <f t="shared" si="468"/>
        <v>0</v>
      </c>
      <c r="AY378" s="76" t="s">
        <v>914</v>
      </c>
      <c r="AZ378" s="76" t="s">
        <v>915</v>
      </c>
      <c r="BA378" s="14" t="s">
        <v>916</v>
      </c>
      <c r="BC378" s="17">
        <f t="shared" si="469"/>
        <v>0</v>
      </c>
      <c r="BD378" s="17">
        <f t="shared" si="470"/>
        <v>0</v>
      </c>
      <c r="BE378" s="17">
        <v>0</v>
      </c>
      <c r="BF378" s="17">
        <f t="shared" si="471"/>
        <v>2.9999999999999997E-4</v>
      </c>
      <c r="BH378" s="17">
        <f t="shared" si="472"/>
        <v>0</v>
      </c>
      <c r="BI378" s="17">
        <f t="shared" si="473"/>
        <v>0</v>
      </c>
      <c r="BJ378" s="17">
        <f t="shared" si="474"/>
        <v>0</v>
      </c>
      <c r="BK378" s="17"/>
      <c r="BL378" s="17">
        <v>723</v>
      </c>
      <c r="BW378" s="17">
        <f t="shared" si="475"/>
        <v>12</v>
      </c>
      <c r="BX378" s="4" t="s">
        <v>274</v>
      </c>
    </row>
    <row r="379" spans="1:76" x14ac:dyDescent="0.25">
      <c r="A379" s="1" t="s">
        <v>923</v>
      </c>
      <c r="B379" s="2" t="s">
        <v>257</v>
      </c>
      <c r="C379" s="2" t="s">
        <v>275</v>
      </c>
      <c r="D379" s="83" t="s">
        <v>276</v>
      </c>
      <c r="E379" s="84"/>
      <c r="F379" s="2" t="s">
        <v>31</v>
      </c>
      <c r="G379" s="17">
        <f>'Rozpočet - vybrané sloupce'!J321</f>
        <v>42</v>
      </c>
      <c r="H379" s="17">
        <f>'Rozpočet - vybrané sloupce'!K321</f>
        <v>0</v>
      </c>
      <c r="I379" s="74">
        <v>12</v>
      </c>
      <c r="J379" s="17">
        <f t="shared" si="450"/>
        <v>0</v>
      </c>
      <c r="K379" s="17">
        <f t="shared" si="451"/>
        <v>0</v>
      </c>
      <c r="L379" s="17">
        <f t="shared" si="452"/>
        <v>0</v>
      </c>
      <c r="M379" s="17">
        <f t="shared" si="453"/>
        <v>0</v>
      </c>
      <c r="N379" s="17">
        <v>0</v>
      </c>
      <c r="O379" s="17">
        <f t="shared" si="454"/>
        <v>0</v>
      </c>
      <c r="P379" s="75" t="s">
        <v>576</v>
      </c>
      <c r="Z379" s="17">
        <f t="shared" si="455"/>
        <v>0</v>
      </c>
      <c r="AB379" s="17">
        <f t="shared" si="456"/>
        <v>0</v>
      </c>
      <c r="AC379" s="17">
        <f t="shared" si="457"/>
        <v>0</v>
      </c>
      <c r="AD379" s="17">
        <f t="shared" si="458"/>
        <v>0</v>
      </c>
      <c r="AE379" s="17">
        <f t="shared" si="459"/>
        <v>0</v>
      </c>
      <c r="AF379" s="17">
        <f t="shared" si="460"/>
        <v>0</v>
      </c>
      <c r="AG379" s="17">
        <f t="shared" si="461"/>
        <v>0</v>
      </c>
      <c r="AH379" s="17">
        <f t="shared" si="462"/>
        <v>0</v>
      </c>
      <c r="AI379" s="14" t="s">
        <v>257</v>
      </c>
      <c r="AJ379" s="17">
        <f t="shared" si="463"/>
        <v>0</v>
      </c>
      <c r="AK379" s="17">
        <f t="shared" si="464"/>
        <v>0</v>
      </c>
      <c r="AL379" s="17">
        <f t="shared" si="465"/>
        <v>0</v>
      </c>
      <c r="AN379" s="17">
        <v>12</v>
      </c>
      <c r="AO379" s="17">
        <f>H379*0</f>
        <v>0</v>
      </c>
      <c r="AP379" s="17">
        <f>H379*(1-0)</f>
        <v>0</v>
      </c>
      <c r="AQ379" s="76" t="s">
        <v>577</v>
      </c>
      <c r="AV379" s="17">
        <f t="shared" si="466"/>
        <v>0</v>
      </c>
      <c r="AW379" s="17">
        <f t="shared" si="467"/>
        <v>0</v>
      </c>
      <c r="AX379" s="17">
        <f t="shared" si="468"/>
        <v>0</v>
      </c>
      <c r="AY379" s="76" t="s">
        <v>914</v>
      </c>
      <c r="AZ379" s="76" t="s">
        <v>915</v>
      </c>
      <c r="BA379" s="14" t="s">
        <v>916</v>
      </c>
      <c r="BC379" s="17">
        <f t="shared" si="469"/>
        <v>0</v>
      </c>
      <c r="BD379" s="17">
        <f t="shared" si="470"/>
        <v>0</v>
      </c>
      <c r="BE379" s="17">
        <v>0</v>
      </c>
      <c r="BF379" s="17">
        <f t="shared" si="471"/>
        <v>0</v>
      </c>
      <c r="BH379" s="17">
        <f t="shared" si="472"/>
        <v>0</v>
      </c>
      <c r="BI379" s="17">
        <f t="shared" si="473"/>
        <v>0</v>
      </c>
      <c r="BJ379" s="17">
        <f t="shared" si="474"/>
        <v>0</v>
      </c>
      <c r="BK379" s="17"/>
      <c r="BL379" s="17">
        <v>723</v>
      </c>
      <c r="BW379" s="17">
        <f t="shared" si="475"/>
        <v>12</v>
      </c>
      <c r="BX379" s="4" t="s">
        <v>276</v>
      </c>
    </row>
    <row r="380" spans="1:76" x14ac:dyDescent="0.25">
      <c r="A380" s="1" t="s">
        <v>924</v>
      </c>
      <c r="B380" s="2" t="s">
        <v>257</v>
      </c>
      <c r="C380" s="2" t="s">
        <v>277</v>
      </c>
      <c r="D380" s="83" t="s">
        <v>278</v>
      </c>
      <c r="E380" s="84"/>
      <c r="F380" s="2" t="s">
        <v>35</v>
      </c>
      <c r="G380" s="17">
        <f>'Rozpočet - vybrané sloupce'!J322</f>
        <v>6</v>
      </c>
      <c r="H380" s="17">
        <f>'Rozpočet - vybrané sloupce'!K322</f>
        <v>0</v>
      </c>
      <c r="I380" s="74">
        <v>12</v>
      </c>
      <c r="J380" s="17">
        <f t="shared" si="450"/>
        <v>0</v>
      </c>
      <c r="K380" s="17">
        <f t="shared" si="451"/>
        <v>0</v>
      </c>
      <c r="L380" s="17">
        <f t="shared" si="452"/>
        <v>0</v>
      </c>
      <c r="M380" s="17">
        <f t="shared" si="453"/>
        <v>0</v>
      </c>
      <c r="N380" s="17">
        <v>0</v>
      </c>
      <c r="O380" s="17">
        <f t="shared" si="454"/>
        <v>0</v>
      </c>
      <c r="P380" s="75" t="s">
        <v>576</v>
      </c>
      <c r="Z380" s="17">
        <f t="shared" si="455"/>
        <v>0</v>
      </c>
      <c r="AB380" s="17">
        <f t="shared" si="456"/>
        <v>0</v>
      </c>
      <c r="AC380" s="17">
        <f t="shared" si="457"/>
        <v>0</v>
      </c>
      <c r="AD380" s="17">
        <f t="shared" si="458"/>
        <v>0</v>
      </c>
      <c r="AE380" s="17">
        <f t="shared" si="459"/>
        <v>0</v>
      </c>
      <c r="AF380" s="17">
        <f t="shared" si="460"/>
        <v>0</v>
      </c>
      <c r="AG380" s="17">
        <f t="shared" si="461"/>
        <v>0</v>
      </c>
      <c r="AH380" s="17">
        <f t="shared" si="462"/>
        <v>0</v>
      </c>
      <c r="AI380" s="14" t="s">
        <v>257</v>
      </c>
      <c r="AJ380" s="17">
        <f t="shared" si="463"/>
        <v>0</v>
      </c>
      <c r="AK380" s="17">
        <f t="shared" si="464"/>
        <v>0</v>
      </c>
      <c r="AL380" s="17">
        <f t="shared" si="465"/>
        <v>0</v>
      </c>
      <c r="AN380" s="17">
        <v>12</v>
      </c>
      <c r="AO380" s="17">
        <f>H380*0</f>
        <v>0</v>
      </c>
      <c r="AP380" s="17">
        <f>H380*(1-0)</f>
        <v>0</v>
      </c>
      <c r="AQ380" s="76" t="s">
        <v>577</v>
      </c>
      <c r="AV380" s="17">
        <f t="shared" si="466"/>
        <v>0</v>
      </c>
      <c r="AW380" s="17">
        <f t="shared" si="467"/>
        <v>0</v>
      </c>
      <c r="AX380" s="17">
        <f t="shared" si="468"/>
        <v>0</v>
      </c>
      <c r="AY380" s="76" t="s">
        <v>914</v>
      </c>
      <c r="AZ380" s="76" t="s">
        <v>915</v>
      </c>
      <c r="BA380" s="14" t="s">
        <v>916</v>
      </c>
      <c r="BC380" s="17">
        <f t="shared" si="469"/>
        <v>0</v>
      </c>
      <c r="BD380" s="17">
        <f t="shared" si="470"/>
        <v>0</v>
      </c>
      <c r="BE380" s="17">
        <v>0</v>
      </c>
      <c r="BF380" s="17">
        <f t="shared" si="471"/>
        <v>0</v>
      </c>
      <c r="BH380" s="17">
        <f t="shared" si="472"/>
        <v>0</v>
      </c>
      <c r="BI380" s="17">
        <f t="shared" si="473"/>
        <v>0</v>
      </c>
      <c r="BJ380" s="17">
        <f t="shared" si="474"/>
        <v>0</v>
      </c>
      <c r="BK380" s="17"/>
      <c r="BL380" s="17">
        <v>723</v>
      </c>
      <c r="BW380" s="17">
        <f t="shared" si="475"/>
        <v>12</v>
      </c>
      <c r="BX380" s="4" t="s">
        <v>278</v>
      </c>
    </row>
    <row r="381" spans="1:76" x14ac:dyDescent="0.25">
      <c r="A381" s="1" t="s">
        <v>925</v>
      </c>
      <c r="B381" s="2" t="s">
        <v>257</v>
      </c>
      <c r="C381" s="2" t="s">
        <v>279</v>
      </c>
      <c r="D381" s="83" t="s">
        <v>280</v>
      </c>
      <c r="E381" s="84"/>
      <c r="F381" s="2" t="s">
        <v>35</v>
      </c>
      <c r="G381" s="17">
        <f>'Rozpočet - vybrané sloupce'!J323</f>
        <v>3</v>
      </c>
      <c r="H381" s="17">
        <f>'Rozpočet - vybrané sloupce'!K323</f>
        <v>0</v>
      </c>
      <c r="I381" s="74">
        <v>12</v>
      </c>
      <c r="J381" s="17">
        <f t="shared" si="450"/>
        <v>0</v>
      </c>
      <c r="K381" s="17">
        <f t="shared" si="451"/>
        <v>0</v>
      </c>
      <c r="L381" s="17">
        <f t="shared" si="452"/>
        <v>0</v>
      </c>
      <c r="M381" s="17">
        <f t="shared" si="453"/>
        <v>0</v>
      </c>
      <c r="N381" s="17">
        <v>0</v>
      </c>
      <c r="O381" s="17">
        <f t="shared" si="454"/>
        <v>0</v>
      </c>
      <c r="P381" s="75" t="s">
        <v>576</v>
      </c>
      <c r="Z381" s="17">
        <f t="shared" si="455"/>
        <v>0</v>
      </c>
      <c r="AB381" s="17">
        <f t="shared" si="456"/>
        <v>0</v>
      </c>
      <c r="AC381" s="17">
        <f t="shared" si="457"/>
        <v>0</v>
      </c>
      <c r="AD381" s="17">
        <f t="shared" si="458"/>
        <v>0</v>
      </c>
      <c r="AE381" s="17">
        <f t="shared" si="459"/>
        <v>0</v>
      </c>
      <c r="AF381" s="17">
        <f t="shared" si="460"/>
        <v>0</v>
      </c>
      <c r="AG381" s="17">
        <f t="shared" si="461"/>
        <v>0</v>
      </c>
      <c r="AH381" s="17">
        <f t="shared" si="462"/>
        <v>0</v>
      </c>
      <c r="AI381" s="14" t="s">
        <v>257</v>
      </c>
      <c r="AJ381" s="17">
        <f t="shared" si="463"/>
        <v>0</v>
      </c>
      <c r="AK381" s="17">
        <f t="shared" si="464"/>
        <v>0</v>
      </c>
      <c r="AL381" s="17">
        <f t="shared" si="465"/>
        <v>0</v>
      </c>
      <c r="AN381" s="17">
        <v>12</v>
      </c>
      <c r="AO381" s="17">
        <f>H381*0</f>
        <v>0</v>
      </c>
      <c r="AP381" s="17">
        <f>H381*(1-0)</f>
        <v>0</v>
      </c>
      <c r="AQ381" s="76" t="s">
        <v>577</v>
      </c>
      <c r="AV381" s="17">
        <f t="shared" si="466"/>
        <v>0</v>
      </c>
      <c r="AW381" s="17">
        <f t="shared" si="467"/>
        <v>0</v>
      </c>
      <c r="AX381" s="17">
        <f t="shared" si="468"/>
        <v>0</v>
      </c>
      <c r="AY381" s="76" t="s">
        <v>914</v>
      </c>
      <c r="AZ381" s="76" t="s">
        <v>915</v>
      </c>
      <c r="BA381" s="14" t="s">
        <v>916</v>
      </c>
      <c r="BC381" s="17">
        <f t="shared" si="469"/>
        <v>0</v>
      </c>
      <c r="BD381" s="17">
        <f t="shared" si="470"/>
        <v>0</v>
      </c>
      <c r="BE381" s="17">
        <v>0</v>
      </c>
      <c r="BF381" s="17">
        <f t="shared" si="471"/>
        <v>0</v>
      </c>
      <c r="BH381" s="17">
        <f t="shared" si="472"/>
        <v>0</v>
      </c>
      <c r="BI381" s="17">
        <f t="shared" si="473"/>
        <v>0</v>
      </c>
      <c r="BJ381" s="17">
        <f t="shared" si="474"/>
        <v>0</v>
      </c>
      <c r="BK381" s="17"/>
      <c r="BL381" s="17">
        <v>723</v>
      </c>
      <c r="BW381" s="17">
        <f t="shared" si="475"/>
        <v>12</v>
      </c>
      <c r="BX381" s="4" t="s">
        <v>280</v>
      </c>
    </row>
    <row r="382" spans="1:76" x14ac:dyDescent="0.25">
      <c r="A382" s="1" t="s">
        <v>926</v>
      </c>
      <c r="B382" s="2" t="s">
        <v>257</v>
      </c>
      <c r="C382" s="2" t="s">
        <v>281</v>
      </c>
      <c r="D382" s="83" t="s">
        <v>282</v>
      </c>
      <c r="E382" s="84"/>
      <c r="F382" s="2" t="s">
        <v>40</v>
      </c>
      <c r="G382" s="17">
        <f>'Rozpočet - vybrané sloupce'!J324</f>
        <v>3</v>
      </c>
      <c r="H382" s="17">
        <f>'Rozpočet - vybrané sloupce'!K324</f>
        <v>0</v>
      </c>
      <c r="I382" s="74">
        <v>12</v>
      </c>
      <c r="J382" s="17">
        <f t="shared" si="450"/>
        <v>0</v>
      </c>
      <c r="K382" s="17">
        <f t="shared" si="451"/>
        <v>0</v>
      </c>
      <c r="L382" s="17">
        <f t="shared" si="452"/>
        <v>0</v>
      </c>
      <c r="M382" s="17">
        <f t="shared" si="453"/>
        <v>0</v>
      </c>
      <c r="N382" s="17">
        <v>0</v>
      </c>
      <c r="O382" s="17">
        <f t="shared" si="454"/>
        <v>0</v>
      </c>
      <c r="P382" s="75" t="s">
        <v>576</v>
      </c>
      <c r="Z382" s="17">
        <f t="shared" si="455"/>
        <v>0</v>
      </c>
      <c r="AB382" s="17">
        <f t="shared" si="456"/>
        <v>0</v>
      </c>
      <c r="AC382" s="17">
        <f t="shared" si="457"/>
        <v>0</v>
      </c>
      <c r="AD382" s="17">
        <f t="shared" si="458"/>
        <v>0</v>
      </c>
      <c r="AE382" s="17">
        <f t="shared" si="459"/>
        <v>0</v>
      </c>
      <c r="AF382" s="17">
        <f t="shared" si="460"/>
        <v>0</v>
      </c>
      <c r="AG382" s="17">
        <f t="shared" si="461"/>
        <v>0</v>
      </c>
      <c r="AH382" s="17">
        <f t="shared" si="462"/>
        <v>0</v>
      </c>
      <c r="AI382" s="14" t="s">
        <v>257</v>
      </c>
      <c r="AJ382" s="17">
        <f t="shared" si="463"/>
        <v>0</v>
      </c>
      <c r="AK382" s="17">
        <f t="shared" si="464"/>
        <v>0</v>
      </c>
      <c r="AL382" s="17">
        <f t="shared" si="465"/>
        <v>0</v>
      </c>
      <c r="AN382" s="17">
        <v>12</v>
      </c>
      <c r="AO382" s="17">
        <f>H382*0</f>
        <v>0</v>
      </c>
      <c r="AP382" s="17">
        <f>H382*(1-0)</f>
        <v>0</v>
      </c>
      <c r="AQ382" s="76" t="s">
        <v>577</v>
      </c>
      <c r="AV382" s="17">
        <f t="shared" si="466"/>
        <v>0</v>
      </c>
      <c r="AW382" s="17">
        <f t="shared" si="467"/>
        <v>0</v>
      </c>
      <c r="AX382" s="17">
        <f t="shared" si="468"/>
        <v>0</v>
      </c>
      <c r="AY382" s="76" t="s">
        <v>914</v>
      </c>
      <c r="AZ382" s="76" t="s">
        <v>915</v>
      </c>
      <c r="BA382" s="14" t="s">
        <v>916</v>
      </c>
      <c r="BC382" s="17">
        <f t="shared" si="469"/>
        <v>0</v>
      </c>
      <c r="BD382" s="17">
        <f t="shared" si="470"/>
        <v>0</v>
      </c>
      <c r="BE382" s="17">
        <v>0</v>
      </c>
      <c r="BF382" s="17">
        <f t="shared" si="471"/>
        <v>0</v>
      </c>
      <c r="BH382" s="17">
        <f t="shared" si="472"/>
        <v>0</v>
      </c>
      <c r="BI382" s="17">
        <f t="shared" si="473"/>
        <v>0</v>
      </c>
      <c r="BJ382" s="17">
        <f t="shared" si="474"/>
        <v>0</v>
      </c>
      <c r="BK382" s="17"/>
      <c r="BL382" s="17">
        <v>723</v>
      </c>
      <c r="BW382" s="17">
        <f t="shared" si="475"/>
        <v>12</v>
      </c>
      <c r="BX382" s="4" t="s">
        <v>282</v>
      </c>
    </row>
    <row r="383" spans="1:76" x14ac:dyDescent="0.25">
      <c r="A383" s="1" t="s">
        <v>927</v>
      </c>
      <c r="B383" s="2" t="s">
        <v>257</v>
      </c>
      <c r="C383" s="2" t="s">
        <v>283</v>
      </c>
      <c r="D383" s="83" t="s">
        <v>284</v>
      </c>
      <c r="E383" s="84"/>
      <c r="F383" s="2" t="s">
        <v>35</v>
      </c>
      <c r="G383" s="17">
        <f>'Rozpočet - vybrané sloupce'!J325</f>
        <v>2</v>
      </c>
      <c r="H383" s="17">
        <f>'Rozpočet - vybrané sloupce'!K325</f>
        <v>0</v>
      </c>
      <c r="I383" s="74">
        <v>12</v>
      </c>
      <c r="J383" s="17">
        <f t="shared" si="450"/>
        <v>0</v>
      </c>
      <c r="K383" s="17">
        <f t="shared" si="451"/>
        <v>0</v>
      </c>
      <c r="L383" s="17">
        <f t="shared" si="452"/>
        <v>0</v>
      </c>
      <c r="M383" s="17">
        <f t="shared" si="453"/>
        <v>0</v>
      </c>
      <c r="N383" s="17">
        <v>0</v>
      </c>
      <c r="O383" s="17">
        <f t="shared" si="454"/>
        <v>0</v>
      </c>
      <c r="P383" s="75" t="s">
        <v>576</v>
      </c>
      <c r="Z383" s="17">
        <f t="shared" si="455"/>
        <v>0</v>
      </c>
      <c r="AB383" s="17">
        <f t="shared" si="456"/>
        <v>0</v>
      </c>
      <c r="AC383" s="17">
        <f t="shared" si="457"/>
        <v>0</v>
      </c>
      <c r="AD383" s="17">
        <f t="shared" si="458"/>
        <v>0</v>
      </c>
      <c r="AE383" s="17">
        <f t="shared" si="459"/>
        <v>0</v>
      </c>
      <c r="AF383" s="17">
        <f t="shared" si="460"/>
        <v>0</v>
      </c>
      <c r="AG383" s="17">
        <f t="shared" si="461"/>
        <v>0</v>
      </c>
      <c r="AH383" s="17">
        <f t="shared" si="462"/>
        <v>0</v>
      </c>
      <c r="AI383" s="14" t="s">
        <v>257</v>
      </c>
      <c r="AJ383" s="17">
        <f t="shared" si="463"/>
        <v>0</v>
      </c>
      <c r="AK383" s="17">
        <f t="shared" si="464"/>
        <v>0</v>
      </c>
      <c r="AL383" s="17">
        <f t="shared" si="465"/>
        <v>0</v>
      </c>
      <c r="AN383" s="17">
        <v>12</v>
      </c>
      <c r="AO383" s="17">
        <f>H383*0.133333333</f>
        <v>0</v>
      </c>
      <c r="AP383" s="17">
        <f>H383*(1-0.133333333)</f>
        <v>0</v>
      </c>
      <c r="AQ383" s="76" t="s">
        <v>577</v>
      </c>
      <c r="AV383" s="17">
        <f t="shared" si="466"/>
        <v>0</v>
      </c>
      <c r="AW383" s="17">
        <f t="shared" si="467"/>
        <v>0</v>
      </c>
      <c r="AX383" s="17">
        <f t="shared" si="468"/>
        <v>0</v>
      </c>
      <c r="AY383" s="76" t="s">
        <v>914</v>
      </c>
      <c r="AZ383" s="76" t="s">
        <v>915</v>
      </c>
      <c r="BA383" s="14" t="s">
        <v>916</v>
      </c>
      <c r="BC383" s="17">
        <f t="shared" si="469"/>
        <v>0</v>
      </c>
      <c r="BD383" s="17">
        <f t="shared" si="470"/>
        <v>0</v>
      </c>
      <c r="BE383" s="17">
        <v>0</v>
      </c>
      <c r="BF383" s="17">
        <f t="shared" si="471"/>
        <v>0</v>
      </c>
      <c r="BH383" s="17">
        <f t="shared" si="472"/>
        <v>0</v>
      </c>
      <c r="BI383" s="17">
        <f t="shared" si="473"/>
        <v>0</v>
      </c>
      <c r="BJ383" s="17">
        <f t="shared" si="474"/>
        <v>0</v>
      </c>
      <c r="BK383" s="17"/>
      <c r="BL383" s="17">
        <v>723</v>
      </c>
      <c r="BW383" s="17">
        <f t="shared" si="475"/>
        <v>12</v>
      </c>
      <c r="BX383" s="4" t="s">
        <v>284</v>
      </c>
    </row>
    <row r="384" spans="1:76" x14ac:dyDescent="0.25">
      <c r="A384" s="1" t="s">
        <v>928</v>
      </c>
      <c r="B384" s="2" t="s">
        <v>257</v>
      </c>
      <c r="C384" s="2" t="s">
        <v>285</v>
      </c>
      <c r="D384" s="83" t="s">
        <v>286</v>
      </c>
      <c r="E384" s="84"/>
      <c r="F384" s="2" t="s">
        <v>35</v>
      </c>
      <c r="G384" s="17">
        <f>'Rozpočet - vybrané sloupce'!J326</f>
        <v>7</v>
      </c>
      <c r="H384" s="17">
        <f>'Rozpočet - vybrané sloupce'!K326</f>
        <v>0</v>
      </c>
      <c r="I384" s="74">
        <v>12</v>
      </c>
      <c r="J384" s="17">
        <f t="shared" si="450"/>
        <v>0</v>
      </c>
      <c r="K384" s="17">
        <f t="shared" si="451"/>
        <v>0</v>
      </c>
      <c r="L384" s="17">
        <f t="shared" si="452"/>
        <v>0</v>
      </c>
      <c r="M384" s="17">
        <f t="shared" si="453"/>
        <v>0</v>
      </c>
      <c r="N384" s="17">
        <v>8.8999999999999995E-4</v>
      </c>
      <c r="O384" s="17">
        <f t="shared" si="454"/>
        <v>6.2299999999999994E-3</v>
      </c>
      <c r="P384" s="75" t="s">
        <v>576</v>
      </c>
      <c r="Z384" s="17">
        <f t="shared" si="455"/>
        <v>0</v>
      </c>
      <c r="AB384" s="17">
        <f t="shared" si="456"/>
        <v>0</v>
      </c>
      <c r="AC384" s="17">
        <f t="shared" si="457"/>
        <v>0</v>
      </c>
      <c r="AD384" s="17">
        <f t="shared" si="458"/>
        <v>0</v>
      </c>
      <c r="AE384" s="17">
        <f t="shared" si="459"/>
        <v>0</v>
      </c>
      <c r="AF384" s="17">
        <f t="shared" si="460"/>
        <v>0</v>
      </c>
      <c r="AG384" s="17">
        <f t="shared" si="461"/>
        <v>0</v>
      </c>
      <c r="AH384" s="17">
        <f t="shared" si="462"/>
        <v>0</v>
      </c>
      <c r="AI384" s="14" t="s">
        <v>257</v>
      </c>
      <c r="AJ384" s="17">
        <f t="shared" si="463"/>
        <v>0</v>
      </c>
      <c r="AK384" s="17">
        <f t="shared" si="464"/>
        <v>0</v>
      </c>
      <c r="AL384" s="17">
        <f t="shared" si="465"/>
        <v>0</v>
      </c>
      <c r="AN384" s="17">
        <v>12</v>
      </c>
      <c r="AO384" s="17">
        <f>H384*0</f>
        <v>0</v>
      </c>
      <c r="AP384" s="17">
        <f>H384*(1-0)</f>
        <v>0</v>
      </c>
      <c r="AQ384" s="76" t="s">
        <v>577</v>
      </c>
      <c r="AV384" s="17">
        <f t="shared" si="466"/>
        <v>0</v>
      </c>
      <c r="AW384" s="17">
        <f t="shared" si="467"/>
        <v>0</v>
      </c>
      <c r="AX384" s="17">
        <f t="shared" si="468"/>
        <v>0</v>
      </c>
      <c r="AY384" s="76" t="s">
        <v>914</v>
      </c>
      <c r="AZ384" s="76" t="s">
        <v>915</v>
      </c>
      <c r="BA384" s="14" t="s">
        <v>916</v>
      </c>
      <c r="BC384" s="17">
        <f t="shared" si="469"/>
        <v>0</v>
      </c>
      <c r="BD384" s="17">
        <f t="shared" si="470"/>
        <v>0</v>
      </c>
      <c r="BE384" s="17">
        <v>0</v>
      </c>
      <c r="BF384" s="17">
        <f t="shared" si="471"/>
        <v>6.2299999999999994E-3</v>
      </c>
      <c r="BH384" s="17">
        <f t="shared" si="472"/>
        <v>0</v>
      </c>
      <c r="BI384" s="17">
        <f t="shared" si="473"/>
        <v>0</v>
      </c>
      <c r="BJ384" s="17">
        <f t="shared" si="474"/>
        <v>0</v>
      </c>
      <c r="BK384" s="17"/>
      <c r="BL384" s="17">
        <v>723</v>
      </c>
      <c r="BW384" s="17">
        <f t="shared" si="475"/>
        <v>12</v>
      </c>
      <c r="BX384" s="4" t="s">
        <v>286</v>
      </c>
    </row>
    <row r="385" spans="1:76" x14ac:dyDescent="0.25">
      <c r="A385" s="1" t="s">
        <v>929</v>
      </c>
      <c r="B385" s="2" t="s">
        <v>257</v>
      </c>
      <c r="C385" s="2" t="s">
        <v>287</v>
      </c>
      <c r="D385" s="83" t="s">
        <v>288</v>
      </c>
      <c r="E385" s="84"/>
      <c r="F385" s="2" t="s">
        <v>289</v>
      </c>
      <c r="G385" s="17">
        <f>'Rozpočet - vybrané sloupce'!J327</f>
        <v>7</v>
      </c>
      <c r="H385" s="17">
        <f>'Rozpočet - vybrané sloupce'!K327</f>
        <v>0</v>
      </c>
      <c r="I385" s="74">
        <v>12</v>
      </c>
      <c r="J385" s="17">
        <f t="shared" si="450"/>
        <v>0</v>
      </c>
      <c r="K385" s="17">
        <f t="shared" si="451"/>
        <v>0</v>
      </c>
      <c r="L385" s="17">
        <f t="shared" si="452"/>
        <v>0</v>
      </c>
      <c r="M385" s="17">
        <f t="shared" si="453"/>
        <v>0</v>
      </c>
      <c r="N385" s="17">
        <v>5.13E-3</v>
      </c>
      <c r="O385" s="17">
        <f t="shared" si="454"/>
        <v>3.5909999999999997E-2</v>
      </c>
      <c r="P385" s="75" t="s">
        <v>576</v>
      </c>
      <c r="Z385" s="17">
        <f t="shared" si="455"/>
        <v>0</v>
      </c>
      <c r="AB385" s="17">
        <f t="shared" si="456"/>
        <v>0</v>
      </c>
      <c r="AC385" s="17">
        <f t="shared" si="457"/>
        <v>0</v>
      </c>
      <c r="AD385" s="17">
        <f t="shared" si="458"/>
        <v>0</v>
      </c>
      <c r="AE385" s="17">
        <f t="shared" si="459"/>
        <v>0</v>
      </c>
      <c r="AF385" s="17">
        <f t="shared" si="460"/>
        <v>0</v>
      </c>
      <c r="AG385" s="17">
        <f t="shared" si="461"/>
        <v>0</v>
      </c>
      <c r="AH385" s="17">
        <f t="shared" si="462"/>
        <v>0</v>
      </c>
      <c r="AI385" s="14" t="s">
        <v>257</v>
      </c>
      <c r="AJ385" s="17">
        <f t="shared" si="463"/>
        <v>0</v>
      </c>
      <c r="AK385" s="17">
        <f t="shared" si="464"/>
        <v>0</v>
      </c>
      <c r="AL385" s="17">
        <f t="shared" si="465"/>
        <v>0</v>
      </c>
      <c r="AN385" s="17">
        <v>12</v>
      </c>
      <c r="AO385" s="17">
        <f>H385*0</f>
        <v>0</v>
      </c>
      <c r="AP385" s="17">
        <f>H385*(1-0)</f>
        <v>0</v>
      </c>
      <c r="AQ385" s="76" t="s">
        <v>577</v>
      </c>
      <c r="AV385" s="17">
        <f t="shared" si="466"/>
        <v>0</v>
      </c>
      <c r="AW385" s="17">
        <f t="shared" si="467"/>
        <v>0</v>
      </c>
      <c r="AX385" s="17">
        <f t="shared" si="468"/>
        <v>0</v>
      </c>
      <c r="AY385" s="76" t="s">
        <v>914</v>
      </c>
      <c r="AZ385" s="76" t="s">
        <v>915</v>
      </c>
      <c r="BA385" s="14" t="s">
        <v>916</v>
      </c>
      <c r="BC385" s="17">
        <f t="shared" si="469"/>
        <v>0</v>
      </c>
      <c r="BD385" s="17">
        <f t="shared" si="470"/>
        <v>0</v>
      </c>
      <c r="BE385" s="17">
        <v>0</v>
      </c>
      <c r="BF385" s="17">
        <f t="shared" si="471"/>
        <v>3.5909999999999997E-2</v>
      </c>
      <c r="BH385" s="17">
        <f t="shared" si="472"/>
        <v>0</v>
      </c>
      <c r="BI385" s="17">
        <f t="shared" si="473"/>
        <v>0</v>
      </c>
      <c r="BJ385" s="17">
        <f t="shared" si="474"/>
        <v>0</v>
      </c>
      <c r="BK385" s="17"/>
      <c r="BL385" s="17">
        <v>723</v>
      </c>
      <c r="BW385" s="17">
        <f t="shared" si="475"/>
        <v>12</v>
      </c>
      <c r="BX385" s="4" t="s">
        <v>288</v>
      </c>
    </row>
    <row r="386" spans="1:76" x14ac:dyDescent="0.25">
      <c r="A386" s="1" t="s">
        <v>930</v>
      </c>
      <c r="B386" s="2" t="s">
        <v>257</v>
      </c>
      <c r="C386" s="2" t="s">
        <v>290</v>
      </c>
      <c r="D386" s="83" t="s">
        <v>291</v>
      </c>
      <c r="E386" s="84"/>
      <c r="F386" s="2" t="s">
        <v>40</v>
      </c>
      <c r="G386" s="17">
        <f>'Rozpočet - vybrané sloupce'!J328</f>
        <v>7</v>
      </c>
      <c r="H386" s="17">
        <f>'Rozpočet - vybrané sloupce'!K328</f>
        <v>0</v>
      </c>
      <c r="I386" s="74">
        <v>12</v>
      </c>
      <c r="J386" s="17">
        <f t="shared" si="450"/>
        <v>0</v>
      </c>
      <c r="K386" s="17">
        <f t="shared" si="451"/>
        <v>0</v>
      </c>
      <c r="L386" s="17">
        <f t="shared" si="452"/>
        <v>0</v>
      </c>
      <c r="M386" s="17">
        <f t="shared" si="453"/>
        <v>0</v>
      </c>
      <c r="N386" s="17">
        <v>1.8000000000000001E-4</v>
      </c>
      <c r="O386" s="17">
        <f t="shared" si="454"/>
        <v>1.2600000000000001E-3</v>
      </c>
      <c r="P386" s="75" t="s">
        <v>576</v>
      </c>
      <c r="Z386" s="17">
        <f t="shared" si="455"/>
        <v>0</v>
      </c>
      <c r="AB386" s="17">
        <f t="shared" si="456"/>
        <v>0</v>
      </c>
      <c r="AC386" s="17">
        <f t="shared" si="457"/>
        <v>0</v>
      </c>
      <c r="AD386" s="17">
        <f t="shared" si="458"/>
        <v>0</v>
      </c>
      <c r="AE386" s="17">
        <f t="shared" si="459"/>
        <v>0</v>
      </c>
      <c r="AF386" s="17">
        <f t="shared" si="460"/>
        <v>0</v>
      </c>
      <c r="AG386" s="17">
        <f t="shared" si="461"/>
        <v>0</v>
      </c>
      <c r="AH386" s="17">
        <f t="shared" si="462"/>
        <v>0</v>
      </c>
      <c r="AI386" s="14" t="s">
        <v>257</v>
      </c>
      <c r="AJ386" s="17">
        <f t="shared" si="463"/>
        <v>0</v>
      </c>
      <c r="AK386" s="17">
        <f t="shared" si="464"/>
        <v>0</v>
      </c>
      <c r="AL386" s="17">
        <f t="shared" si="465"/>
        <v>0</v>
      </c>
      <c r="AN386" s="17">
        <v>12</v>
      </c>
      <c r="AO386" s="17">
        <f>H386*0.062206897</f>
        <v>0</v>
      </c>
      <c r="AP386" s="17">
        <f>H386*(1-0.062206897)</f>
        <v>0</v>
      </c>
      <c r="AQ386" s="76" t="s">
        <v>577</v>
      </c>
      <c r="AV386" s="17">
        <f t="shared" si="466"/>
        <v>0</v>
      </c>
      <c r="AW386" s="17">
        <f t="shared" si="467"/>
        <v>0</v>
      </c>
      <c r="AX386" s="17">
        <f t="shared" si="468"/>
        <v>0</v>
      </c>
      <c r="AY386" s="76" t="s">
        <v>914</v>
      </c>
      <c r="AZ386" s="76" t="s">
        <v>915</v>
      </c>
      <c r="BA386" s="14" t="s">
        <v>916</v>
      </c>
      <c r="BC386" s="17">
        <f t="shared" si="469"/>
        <v>0</v>
      </c>
      <c r="BD386" s="17">
        <f t="shared" si="470"/>
        <v>0</v>
      </c>
      <c r="BE386" s="17">
        <v>0</v>
      </c>
      <c r="BF386" s="17">
        <f t="shared" si="471"/>
        <v>1.2600000000000001E-3</v>
      </c>
      <c r="BH386" s="17">
        <f t="shared" si="472"/>
        <v>0</v>
      </c>
      <c r="BI386" s="17">
        <f t="shared" si="473"/>
        <v>0</v>
      </c>
      <c r="BJ386" s="17">
        <f t="shared" si="474"/>
        <v>0</v>
      </c>
      <c r="BK386" s="17"/>
      <c r="BL386" s="17">
        <v>723</v>
      </c>
      <c r="BW386" s="17">
        <f t="shared" si="475"/>
        <v>12</v>
      </c>
      <c r="BX386" s="4" t="s">
        <v>291</v>
      </c>
    </row>
    <row r="387" spans="1:76" x14ac:dyDescent="0.25">
      <c r="A387" s="1" t="s">
        <v>931</v>
      </c>
      <c r="B387" s="2" t="s">
        <v>257</v>
      </c>
      <c r="C387" s="2" t="s">
        <v>292</v>
      </c>
      <c r="D387" s="83" t="s">
        <v>293</v>
      </c>
      <c r="E387" s="84"/>
      <c r="F387" s="2" t="s">
        <v>40</v>
      </c>
      <c r="G387" s="17">
        <f>'Rozpočet - vybrané sloupce'!J329</f>
        <v>7</v>
      </c>
      <c r="H387" s="17">
        <f>'Rozpočet - vybrané sloupce'!K329</f>
        <v>0</v>
      </c>
      <c r="I387" s="74">
        <v>12</v>
      </c>
      <c r="J387" s="17">
        <f t="shared" si="450"/>
        <v>0</v>
      </c>
      <c r="K387" s="17">
        <f t="shared" si="451"/>
        <v>0</v>
      </c>
      <c r="L387" s="17">
        <f t="shared" si="452"/>
        <v>0</v>
      </c>
      <c r="M387" s="17">
        <f t="shared" si="453"/>
        <v>0</v>
      </c>
      <c r="N387" s="17">
        <v>3.2499999999999999E-3</v>
      </c>
      <c r="O387" s="17">
        <f t="shared" si="454"/>
        <v>2.2749999999999999E-2</v>
      </c>
      <c r="P387" s="75" t="s">
        <v>576</v>
      </c>
      <c r="Z387" s="17">
        <f t="shared" si="455"/>
        <v>0</v>
      </c>
      <c r="AB387" s="17">
        <f t="shared" si="456"/>
        <v>0</v>
      </c>
      <c r="AC387" s="17">
        <f t="shared" si="457"/>
        <v>0</v>
      </c>
      <c r="AD387" s="17">
        <f t="shared" si="458"/>
        <v>0</v>
      </c>
      <c r="AE387" s="17">
        <f t="shared" si="459"/>
        <v>0</v>
      </c>
      <c r="AF387" s="17">
        <f t="shared" si="460"/>
        <v>0</v>
      </c>
      <c r="AG387" s="17">
        <f t="shared" si="461"/>
        <v>0</v>
      </c>
      <c r="AH387" s="17">
        <f t="shared" si="462"/>
        <v>0</v>
      </c>
      <c r="AI387" s="14" t="s">
        <v>257</v>
      </c>
      <c r="AJ387" s="17">
        <f t="shared" si="463"/>
        <v>0</v>
      </c>
      <c r="AK387" s="17">
        <f t="shared" si="464"/>
        <v>0</v>
      </c>
      <c r="AL387" s="17">
        <f t="shared" si="465"/>
        <v>0</v>
      </c>
      <c r="AN387" s="17">
        <v>12</v>
      </c>
      <c r="AO387" s="17">
        <f>H387*0.474438596</f>
        <v>0</v>
      </c>
      <c r="AP387" s="17">
        <f>H387*(1-0.474438596)</f>
        <v>0</v>
      </c>
      <c r="AQ387" s="76" t="s">
        <v>577</v>
      </c>
      <c r="AV387" s="17">
        <f t="shared" si="466"/>
        <v>0</v>
      </c>
      <c r="AW387" s="17">
        <f t="shared" si="467"/>
        <v>0</v>
      </c>
      <c r="AX387" s="17">
        <f t="shared" si="468"/>
        <v>0</v>
      </c>
      <c r="AY387" s="76" t="s">
        <v>914</v>
      </c>
      <c r="AZ387" s="76" t="s">
        <v>915</v>
      </c>
      <c r="BA387" s="14" t="s">
        <v>916</v>
      </c>
      <c r="BC387" s="17">
        <f t="shared" si="469"/>
        <v>0</v>
      </c>
      <c r="BD387" s="17">
        <f t="shared" si="470"/>
        <v>0</v>
      </c>
      <c r="BE387" s="17">
        <v>0</v>
      </c>
      <c r="BF387" s="17">
        <f t="shared" si="471"/>
        <v>2.2749999999999999E-2</v>
      </c>
      <c r="BH387" s="17">
        <f t="shared" si="472"/>
        <v>0</v>
      </c>
      <c r="BI387" s="17">
        <f t="shared" si="473"/>
        <v>0</v>
      </c>
      <c r="BJ387" s="17">
        <f t="shared" si="474"/>
        <v>0</v>
      </c>
      <c r="BK387" s="17"/>
      <c r="BL387" s="17">
        <v>723</v>
      </c>
      <c r="BW387" s="17">
        <f t="shared" si="475"/>
        <v>12</v>
      </c>
      <c r="BX387" s="4" t="s">
        <v>293</v>
      </c>
    </row>
    <row r="388" spans="1:76" x14ac:dyDescent="0.25">
      <c r="A388" s="1" t="s">
        <v>932</v>
      </c>
      <c r="B388" s="2" t="s">
        <v>257</v>
      </c>
      <c r="C388" s="2" t="s">
        <v>294</v>
      </c>
      <c r="D388" s="83" t="s">
        <v>295</v>
      </c>
      <c r="E388" s="84"/>
      <c r="F388" s="2" t="s">
        <v>35</v>
      </c>
      <c r="G388" s="17">
        <f>'Rozpočet - vybrané sloupce'!J330</f>
        <v>7</v>
      </c>
      <c r="H388" s="17">
        <f>'Rozpočet - vybrané sloupce'!K330</f>
        <v>0</v>
      </c>
      <c r="I388" s="74">
        <v>12</v>
      </c>
      <c r="J388" s="17">
        <f t="shared" si="450"/>
        <v>0</v>
      </c>
      <c r="K388" s="17">
        <f t="shared" si="451"/>
        <v>0</v>
      </c>
      <c r="L388" s="17">
        <f t="shared" si="452"/>
        <v>0</v>
      </c>
      <c r="M388" s="17">
        <f t="shared" si="453"/>
        <v>0</v>
      </c>
      <c r="N388" s="17">
        <v>4.3800000000000002E-3</v>
      </c>
      <c r="O388" s="17">
        <f t="shared" si="454"/>
        <v>3.066E-2</v>
      </c>
      <c r="P388" s="75" t="s">
        <v>576</v>
      </c>
      <c r="Z388" s="17">
        <f t="shared" si="455"/>
        <v>0</v>
      </c>
      <c r="AB388" s="17">
        <f t="shared" si="456"/>
        <v>0</v>
      </c>
      <c r="AC388" s="17">
        <f t="shared" si="457"/>
        <v>0</v>
      </c>
      <c r="AD388" s="17">
        <f t="shared" si="458"/>
        <v>0</v>
      </c>
      <c r="AE388" s="17">
        <f t="shared" si="459"/>
        <v>0</v>
      </c>
      <c r="AF388" s="17">
        <f t="shared" si="460"/>
        <v>0</v>
      </c>
      <c r="AG388" s="17">
        <f t="shared" si="461"/>
        <v>0</v>
      </c>
      <c r="AH388" s="17">
        <f t="shared" si="462"/>
        <v>0</v>
      </c>
      <c r="AI388" s="14" t="s">
        <v>257</v>
      </c>
      <c r="AJ388" s="17">
        <f t="shared" si="463"/>
        <v>0</v>
      </c>
      <c r="AK388" s="17">
        <f t="shared" si="464"/>
        <v>0</v>
      </c>
      <c r="AL388" s="17">
        <f t="shared" si="465"/>
        <v>0</v>
      </c>
      <c r="AN388" s="17">
        <v>12</v>
      </c>
      <c r="AO388" s="17">
        <f>H388*0.219761905</f>
        <v>0</v>
      </c>
      <c r="AP388" s="17">
        <f>H388*(1-0.219761905)</f>
        <v>0</v>
      </c>
      <c r="AQ388" s="76" t="s">
        <v>577</v>
      </c>
      <c r="AV388" s="17">
        <f t="shared" si="466"/>
        <v>0</v>
      </c>
      <c r="AW388" s="17">
        <f t="shared" si="467"/>
        <v>0</v>
      </c>
      <c r="AX388" s="17">
        <f t="shared" si="468"/>
        <v>0</v>
      </c>
      <c r="AY388" s="76" t="s">
        <v>914</v>
      </c>
      <c r="AZ388" s="76" t="s">
        <v>915</v>
      </c>
      <c r="BA388" s="14" t="s">
        <v>916</v>
      </c>
      <c r="BC388" s="17">
        <f t="shared" si="469"/>
        <v>0</v>
      </c>
      <c r="BD388" s="17">
        <f t="shared" si="470"/>
        <v>0</v>
      </c>
      <c r="BE388" s="17">
        <v>0</v>
      </c>
      <c r="BF388" s="17">
        <f t="shared" si="471"/>
        <v>3.066E-2</v>
      </c>
      <c r="BH388" s="17">
        <f t="shared" si="472"/>
        <v>0</v>
      </c>
      <c r="BI388" s="17">
        <f t="shared" si="473"/>
        <v>0</v>
      </c>
      <c r="BJ388" s="17">
        <f t="shared" si="474"/>
        <v>0</v>
      </c>
      <c r="BK388" s="17"/>
      <c r="BL388" s="17">
        <v>723</v>
      </c>
      <c r="BW388" s="17">
        <f t="shared" si="475"/>
        <v>12</v>
      </c>
      <c r="BX388" s="4" t="s">
        <v>295</v>
      </c>
    </row>
    <row r="389" spans="1:76" x14ac:dyDescent="0.25">
      <c r="A389" s="1" t="s">
        <v>933</v>
      </c>
      <c r="B389" s="2" t="s">
        <v>257</v>
      </c>
      <c r="C389" s="2" t="s">
        <v>296</v>
      </c>
      <c r="D389" s="83" t="s">
        <v>297</v>
      </c>
      <c r="E389" s="84"/>
      <c r="F389" s="2" t="s">
        <v>35</v>
      </c>
      <c r="G389" s="17">
        <f>'Rozpočet - vybrané sloupce'!J331</f>
        <v>7</v>
      </c>
      <c r="H389" s="17">
        <f>'Rozpočet - vybrané sloupce'!K331</f>
        <v>0</v>
      </c>
      <c r="I389" s="74">
        <v>12</v>
      </c>
      <c r="J389" s="17">
        <f t="shared" si="450"/>
        <v>0</v>
      </c>
      <c r="K389" s="17">
        <f t="shared" si="451"/>
        <v>0</v>
      </c>
      <c r="L389" s="17">
        <f t="shared" si="452"/>
        <v>0</v>
      </c>
      <c r="M389" s="17">
        <f t="shared" si="453"/>
        <v>0</v>
      </c>
      <c r="N389" s="17">
        <v>1.7000000000000001E-4</v>
      </c>
      <c r="O389" s="17">
        <f t="shared" si="454"/>
        <v>1.1900000000000001E-3</v>
      </c>
      <c r="P389" s="75" t="s">
        <v>576</v>
      </c>
      <c r="Z389" s="17">
        <f t="shared" si="455"/>
        <v>0</v>
      </c>
      <c r="AB389" s="17">
        <f t="shared" si="456"/>
        <v>0</v>
      </c>
      <c r="AC389" s="17">
        <f t="shared" si="457"/>
        <v>0</v>
      </c>
      <c r="AD389" s="17">
        <f t="shared" si="458"/>
        <v>0</v>
      </c>
      <c r="AE389" s="17">
        <f t="shared" si="459"/>
        <v>0</v>
      </c>
      <c r="AF389" s="17">
        <f t="shared" si="460"/>
        <v>0</v>
      </c>
      <c r="AG389" s="17">
        <f t="shared" si="461"/>
        <v>0</v>
      </c>
      <c r="AH389" s="17">
        <f t="shared" si="462"/>
        <v>0</v>
      </c>
      <c r="AI389" s="14" t="s">
        <v>257</v>
      </c>
      <c r="AJ389" s="17">
        <f t="shared" si="463"/>
        <v>0</v>
      </c>
      <c r="AK389" s="17">
        <f t="shared" si="464"/>
        <v>0</v>
      </c>
      <c r="AL389" s="17">
        <f t="shared" si="465"/>
        <v>0</v>
      </c>
      <c r="AN389" s="17">
        <v>12</v>
      </c>
      <c r="AO389" s="17">
        <f>H389*0.249982206</f>
        <v>0</v>
      </c>
      <c r="AP389" s="17">
        <f>H389*(1-0.249982206)</f>
        <v>0</v>
      </c>
      <c r="AQ389" s="76" t="s">
        <v>577</v>
      </c>
      <c r="AV389" s="17">
        <f t="shared" si="466"/>
        <v>0</v>
      </c>
      <c r="AW389" s="17">
        <f t="shared" si="467"/>
        <v>0</v>
      </c>
      <c r="AX389" s="17">
        <f t="shared" si="468"/>
        <v>0</v>
      </c>
      <c r="AY389" s="76" t="s">
        <v>914</v>
      </c>
      <c r="AZ389" s="76" t="s">
        <v>915</v>
      </c>
      <c r="BA389" s="14" t="s">
        <v>916</v>
      </c>
      <c r="BC389" s="17">
        <f t="shared" si="469"/>
        <v>0</v>
      </c>
      <c r="BD389" s="17">
        <f t="shared" si="470"/>
        <v>0</v>
      </c>
      <c r="BE389" s="17">
        <v>0</v>
      </c>
      <c r="BF389" s="17">
        <f t="shared" si="471"/>
        <v>1.1900000000000001E-3</v>
      </c>
      <c r="BH389" s="17">
        <f t="shared" si="472"/>
        <v>0</v>
      </c>
      <c r="BI389" s="17">
        <f t="shared" si="473"/>
        <v>0</v>
      </c>
      <c r="BJ389" s="17">
        <f t="shared" si="474"/>
        <v>0</v>
      </c>
      <c r="BK389" s="17"/>
      <c r="BL389" s="17">
        <v>723</v>
      </c>
      <c r="BW389" s="17">
        <f t="shared" si="475"/>
        <v>12</v>
      </c>
      <c r="BX389" s="4" t="s">
        <v>297</v>
      </c>
    </row>
    <row r="390" spans="1:76" x14ac:dyDescent="0.25">
      <c r="A390" s="1" t="s">
        <v>934</v>
      </c>
      <c r="B390" s="2" t="s">
        <v>257</v>
      </c>
      <c r="C390" s="2" t="s">
        <v>298</v>
      </c>
      <c r="D390" s="83" t="s">
        <v>299</v>
      </c>
      <c r="E390" s="84"/>
      <c r="F390" s="2" t="s">
        <v>35</v>
      </c>
      <c r="G390" s="17">
        <f>'Rozpočet - vybrané sloupce'!J332</f>
        <v>7</v>
      </c>
      <c r="H390" s="17">
        <f>'Rozpočet - vybrané sloupce'!K332</f>
        <v>0</v>
      </c>
      <c r="I390" s="74">
        <v>12</v>
      </c>
      <c r="J390" s="17">
        <f t="shared" si="450"/>
        <v>0</v>
      </c>
      <c r="K390" s="17">
        <f t="shared" si="451"/>
        <v>0</v>
      </c>
      <c r="L390" s="17">
        <f t="shared" si="452"/>
        <v>0</v>
      </c>
      <c r="M390" s="17">
        <f t="shared" si="453"/>
        <v>0</v>
      </c>
      <c r="N390" s="17">
        <v>0</v>
      </c>
      <c r="O390" s="17">
        <f t="shared" si="454"/>
        <v>0</v>
      </c>
      <c r="P390" s="75" t="s">
        <v>576</v>
      </c>
      <c r="Z390" s="17">
        <f t="shared" si="455"/>
        <v>0</v>
      </c>
      <c r="AB390" s="17">
        <f t="shared" si="456"/>
        <v>0</v>
      </c>
      <c r="AC390" s="17">
        <f t="shared" si="457"/>
        <v>0</v>
      </c>
      <c r="AD390" s="17">
        <f t="shared" si="458"/>
        <v>0</v>
      </c>
      <c r="AE390" s="17">
        <f t="shared" si="459"/>
        <v>0</v>
      </c>
      <c r="AF390" s="17">
        <f t="shared" si="460"/>
        <v>0</v>
      </c>
      <c r="AG390" s="17">
        <f t="shared" si="461"/>
        <v>0</v>
      </c>
      <c r="AH390" s="17">
        <f t="shared" si="462"/>
        <v>0</v>
      </c>
      <c r="AI390" s="14" t="s">
        <v>257</v>
      </c>
      <c r="AJ390" s="17">
        <f t="shared" si="463"/>
        <v>0</v>
      </c>
      <c r="AK390" s="17">
        <f t="shared" si="464"/>
        <v>0</v>
      </c>
      <c r="AL390" s="17">
        <f t="shared" si="465"/>
        <v>0</v>
      </c>
      <c r="AN390" s="17">
        <v>12</v>
      </c>
      <c r="AO390" s="17">
        <f>H390*0.125</f>
        <v>0</v>
      </c>
      <c r="AP390" s="17">
        <f>H390*(1-0.125)</f>
        <v>0</v>
      </c>
      <c r="AQ390" s="76" t="s">
        <v>577</v>
      </c>
      <c r="AV390" s="17">
        <f t="shared" si="466"/>
        <v>0</v>
      </c>
      <c r="AW390" s="17">
        <f t="shared" si="467"/>
        <v>0</v>
      </c>
      <c r="AX390" s="17">
        <f t="shared" si="468"/>
        <v>0</v>
      </c>
      <c r="AY390" s="76" t="s">
        <v>914</v>
      </c>
      <c r="AZ390" s="76" t="s">
        <v>915</v>
      </c>
      <c r="BA390" s="14" t="s">
        <v>916</v>
      </c>
      <c r="BC390" s="17">
        <f t="shared" si="469"/>
        <v>0</v>
      </c>
      <c r="BD390" s="17">
        <f t="shared" si="470"/>
        <v>0</v>
      </c>
      <c r="BE390" s="17">
        <v>0</v>
      </c>
      <c r="BF390" s="17">
        <f t="shared" si="471"/>
        <v>0</v>
      </c>
      <c r="BH390" s="17">
        <f t="shared" si="472"/>
        <v>0</v>
      </c>
      <c r="BI390" s="17">
        <f t="shared" si="473"/>
        <v>0</v>
      </c>
      <c r="BJ390" s="17">
        <f t="shared" si="474"/>
        <v>0</v>
      </c>
      <c r="BK390" s="17"/>
      <c r="BL390" s="17">
        <v>723</v>
      </c>
      <c r="BW390" s="17">
        <f t="shared" si="475"/>
        <v>12</v>
      </c>
      <c r="BX390" s="4" t="s">
        <v>299</v>
      </c>
    </row>
    <row r="391" spans="1:76" x14ac:dyDescent="0.25">
      <c r="A391" s="1" t="s">
        <v>935</v>
      </c>
      <c r="B391" s="2" t="s">
        <v>257</v>
      </c>
      <c r="C391" s="2" t="s">
        <v>300</v>
      </c>
      <c r="D391" s="83" t="s">
        <v>301</v>
      </c>
      <c r="E391" s="84"/>
      <c r="F391" s="2" t="s">
        <v>40</v>
      </c>
      <c r="G391" s="17">
        <f>'Rozpočet - vybrané sloupce'!J333</f>
        <v>7</v>
      </c>
      <c r="H391" s="17">
        <f>'Rozpočet - vybrané sloupce'!K333</f>
        <v>0</v>
      </c>
      <c r="I391" s="74">
        <v>12</v>
      </c>
      <c r="J391" s="17">
        <f t="shared" si="450"/>
        <v>0</v>
      </c>
      <c r="K391" s="17">
        <f t="shared" si="451"/>
        <v>0</v>
      </c>
      <c r="L391" s="17">
        <f t="shared" si="452"/>
        <v>0</v>
      </c>
      <c r="M391" s="17">
        <f t="shared" si="453"/>
        <v>0</v>
      </c>
      <c r="N391" s="17">
        <v>0</v>
      </c>
      <c r="O391" s="17">
        <f t="shared" si="454"/>
        <v>0</v>
      </c>
      <c r="P391" s="75" t="s">
        <v>576</v>
      </c>
      <c r="Z391" s="17">
        <f t="shared" si="455"/>
        <v>0</v>
      </c>
      <c r="AB391" s="17">
        <f t="shared" si="456"/>
        <v>0</v>
      </c>
      <c r="AC391" s="17">
        <f t="shared" si="457"/>
        <v>0</v>
      </c>
      <c r="AD391" s="17">
        <f t="shared" si="458"/>
        <v>0</v>
      </c>
      <c r="AE391" s="17">
        <f t="shared" si="459"/>
        <v>0</v>
      </c>
      <c r="AF391" s="17">
        <f t="shared" si="460"/>
        <v>0</v>
      </c>
      <c r="AG391" s="17">
        <f t="shared" si="461"/>
        <v>0</v>
      </c>
      <c r="AH391" s="17">
        <f t="shared" si="462"/>
        <v>0</v>
      </c>
      <c r="AI391" s="14" t="s">
        <v>257</v>
      </c>
      <c r="AJ391" s="17">
        <f t="shared" si="463"/>
        <v>0</v>
      </c>
      <c r="AK391" s="17">
        <f t="shared" si="464"/>
        <v>0</v>
      </c>
      <c r="AL391" s="17">
        <f t="shared" si="465"/>
        <v>0</v>
      </c>
      <c r="AN391" s="17">
        <v>12</v>
      </c>
      <c r="AO391" s="17">
        <f>H391*0.692307692</f>
        <v>0</v>
      </c>
      <c r="AP391" s="17">
        <f>H391*(1-0.692307692)</f>
        <v>0</v>
      </c>
      <c r="AQ391" s="76" t="s">
        <v>577</v>
      </c>
      <c r="AV391" s="17">
        <f t="shared" si="466"/>
        <v>0</v>
      </c>
      <c r="AW391" s="17">
        <f t="shared" si="467"/>
        <v>0</v>
      </c>
      <c r="AX391" s="17">
        <f t="shared" si="468"/>
        <v>0</v>
      </c>
      <c r="AY391" s="76" t="s">
        <v>914</v>
      </c>
      <c r="AZ391" s="76" t="s">
        <v>915</v>
      </c>
      <c r="BA391" s="14" t="s">
        <v>916</v>
      </c>
      <c r="BC391" s="17">
        <f t="shared" si="469"/>
        <v>0</v>
      </c>
      <c r="BD391" s="17">
        <f t="shared" si="470"/>
        <v>0</v>
      </c>
      <c r="BE391" s="17">
        <v>0</v>
      </c>
      <c r="BF391" s="17">
        <f t="shared" si="471"/>
        <v>0</v>
      </c>
      <c r="BH391" s="17">
        <f t="shared" si="472"/>
        <v>0</v>
      </c>
      <c r="BI391" s="17">
        <f t="shared" si="473"/>
        <v>0</v>
      </c>
      <c r="BJ391" s="17">
        <f t="shared" si="474"/>
        <v>0</v>
      </c>
      <c r="BK391" s="17"/>
      <c r="BL391" s="17">
        <v>723</v>
      </c>
      <c r="BW391" s="17">
        <f t="shared" si="475"/>
        <v>12</v>
      </c>
      <c r="BX391" s="4" t="s">
        <v>301</v>
      </c>
    </row>
    <row r="392" spans="1:76" x14ac:dyDescent="0.25">
      <c r="A392" s="1" t="s">
        <v>936</v>
      </c>
      <c r="B392" s="2" t="s">
        <v>257</v>
      </c>
      <c r="C392" s="2" t="s">
        <v>302</v>
      </c>
      <c r="D392" s="83" t="s">
        <v>303</v>
      </c>
      <c r="E392" s="84"/>
      <c r="F392" s="2" t="s">
        <v>31</v>
      </c>
      <c r="G392" s="17">
        <f>'Rozpočet - vybrané sloupce'!J334</f>
        <v>42</v>
      </c>
      <c r="H392" s="17">
        <f>'Rozpočet - vybrané sloupce'!K334</f>
        <v>0</v>
      </c>
      <c r="I392" s="74">
        <v>12</v>
      </c>
      <c r="J392" s="17">
        <f t="shared" si="450"/>
        <v>0</v>
      </c>
      <c r="K392" s="17">
        <f t="shared" si="451"/>
        <v>0</v>
      </c>
      <c r="L392" s="17">
        <f t="shared" si="452"/>
        <v>0</v>
      </c>
      <c r="M392" s="17">
        <f t="shared" si="453"/>
        <v>0</v>
      </c>
      <c r="N392" s="17">
        <v>0</v>
      </c>
      <c r="O392" s="17">
        <f t="shared" si="454"/>
        <v>0</v>
      </c>
      <c r="P392" s="75" t="s">
        <v>576</v>
      </c>
      <c r="Z392" s="17">
        <f t="shared" si="455"/>
        <v>0</v>
      </c>
      <c r="AB392" s="17">
        <f t="shared" si="456"/>
        <v>0</v>
      </c>
      <c r="AC392" s="17">
        <f t="shared" si="457"/>
        <v>0</v>
      </c>
      <c r="AD392" s="17">
        <f t="shared" si="458"/>
        <v>0</v>
      </c>
      <c r="AE392" s="17">
        <f t="shared" si="459"/>
        <v>0</v>
      </c>
      <c r="AF392" s="17">
        <f t="shared" si="460"/>
        <v>0</v>
      </c>
      <c r="AG392" s="17">
        <f t="shared" si="461"/>
        <v>0</v>
      </c>
      <c r="AH392" s="17">
        <f t="shared" si="462"/>
        <v>0</v>
      </c>
      <c r="AI392" s="14" t="s">
        <v>257</v>
      </c>
      <c r="AJ392" s="17">
        <f t="shared" si="463"/>
        <v>0</v>
      </c>
      <c r="AK392" s="17">
        <f t="shared" si="464"/>
        <v>0</v>
      </c>
      <c r="AL392" s="17">
        <f t="shared" si="465"/>
        <v>0</v>
      </c>
      <c r="AN392" s="17">
        <v>12</v>
      </c>
      <c r="AO392" s="17">
        <f>H392*0.5</f>
        <v>0</v>
      </c>
      <c r="AP392" s="17">
        <f>H392*(1-0.5)</f>
        <v>0</v>
      </c>
      <c r="AQ392" s="76" t="s">
        <v>577</v>
      </c>
      <c r="AV392" s="17">
        <f t="shared" si="466"/>
        <v>0</v>
      </c>
      <c r="AW392" s="17">
        <f t="shared" si="467"/>
        <v>0</v>
      </c>
      <c r="AX392" s="17">
        <f t="shared" si="468"/>
        <v>0</v>
      </c>
      <c r="AY392" s="76" t="s">
        <v>914</v>
      </c>
      <c r="AZ392" s="76" t="s">
        <v>915</v>
      </c>
      <c r="BA392" s="14" t="s">
        <v>916</v>
      </c>
      <c r="BC392" s="17">
        <f t="shared" si="469"/>
        <v>0</v>
      </c>
      <c r="BD392" s="17">
        <f t="shared" si="470"/>
        <v>0</v>
      </c>
      <c r="BE392" s="17">
        <v>0</v>
      </c>
      <c r="BF392" s="17">
        <f t="shared" si="471"/>
        <v>0</v>
      </c>
      <c r="BH392" s="17">
        <f t="shared" si="472"/>
        <v>0</v>
      </c>
      <c r="BI392" s="17">
        <f t="shared" si="473"/>
        <v>0</v>
      </c>
      <c r="BJ392" s="17">
        <f t="shared" si="474"/>
        <v>0</v>
      </c>
      <c r="BK392" s="17"/>
      <c r="BL392" s="17">
        <v>723</v>
      </c>
      <c r="BW392" s="17">
        <f t="shared" si="475"/>
        <v>12</v>
      </c>
      <c r="BX392" s="4" t="s">
        <v>303</v>
      </c>
    </row>
    <row r="393" spans="1:76" x14ac:dyDescent="0.25">
      <c r="A393" s="1" t="s">
        <v>937</v>
      </c>
      <c r="B393" s="2" t="s">
        <v>257</v>
      </c>
      <c r="C393" s="2" t="s">
        <v>304</v>
      </c>
      <c r="D393" s="83" t="s">
        <v>305</v>
      </c>
      <c r="E393" s="84"/>
      <c r="F393" s="2" t="s">
        <v>40</v>
      </c>
      <c r="G393" s="17">
        <f>'Rozpočet - vybrané sloupce'!J335</f>
        <v>3</v>
      </c>
      <c r="H393" s="17">
        <f>'Rozpočet - vybrané sloupce'!K335</f>
        <v>0</v>
      </c>
      <c r="I393" s="74">
        <v>12</v>
      </c>
      <c r="J393" s="17">
        <f t="shared" si="450"/>
        <v>0</v>
      </c>
      <c r="K393" s="17">
        <f t="shared" si="451"/>
        <v>0</v>
      </c>
      <c r="L393" s="17">
        <f t="shared" si="452"/>
        <v>0</v>
      </c>
      <c r="M393" s="17">
        <f t="shared" si="453"/>
        <v>0</v>
      </c>
      <c r="N393" s="17">
        <v>0</v>
      </c>
      <c r="O393" s="17">
        <f t="shared" si="454"/>
        <v>0</v>
      </c>
      <c r="P393" s="75" t="s">
        <v>576</v>
      </c>
      <c r="Z393" s="17">
        <f t="shared" si="455"/>
        <v>0</v>
      </c>
      <c r="AB393" s="17">
        <f t="shared" si="456"/>
        <v>0</v>
      </c>
      <c r="AC393" s="17">
        <f t="shared" si="457"/>
        <v>0</v>
      </c>
      <c r="AD393" s="17">
        <f t="shared" si="458"/>
        <v>0</v>
      </c>
      <c r="AE393" s="17">
        <f t="shared" si="459"/>
        <v>0</v>
      </c>
      <c r="AF393" s="17">
        <f t="shared" si="460"/>
        <v>0</v>
      </c>
      <c r="AG393" s="17">
        <f t="shared" si="461"/>
        <v>0</v>
      </c>
      <c r="AH393" s="17">
        <f t="shared" si="462"/>
        <v>0</v>
      </c>
      <c r="AI393" s="14" t="s">
        <v>257</v>
      </c>
      <c r="AJ393" s="17">
        <f t="shared" si="463"/>
        <v>0</v>
      </c>
      <c r="AK393" s="17">
        <f t="shared" si="464"/>
        <v>0</v>
      </c>
      <c r="AL393" s="17">
        <f t="shared" si="465"/>
        <v>0</v>
      </c>
      <c r="AN393" s="17">
        <v>12</v>
      </c>
      <c r="AO393" s="17">
        <f>H393*0.391304348</f>
        <v>0</v>
      </c>
      <c r="AP393" s="17">
        <f>H393*(1-0.391304348)</f>
        <v>0</v>
      </c>
      <c r="AQ393" s="76" t="s">
        <v>577</v>
      </c>
      <c r="AV393" s="17">
        <f t="shared" si="466"/>
        <v>0</v>
      </c>
      <c r="AW393" s="17">
        <f t="shared" si="467"/>
        <v>0</v>
      </c>
      <c r="AX393" s="17">
        <f t="shared" si="468"/>
        <v>0</v>
      </c>
      <c r="AY393" s="76" t="s">
        <v>914</v>
      </c>
      <c r="AZ393" s="76" t="s">
        <v>915</v>
      </c>
      <c r="BA393" s="14" t="s">
        <v>916</v>
      </c>
      <c r="BC393" s="17">
        <f t="shared" si="469"/>
        <v>0</v>
      </c>
      <c r="BD393" s="17">
        <f t="shared" si="470"/>
        <v>0</v>
      </c>
      <c r="BE393" s="17">
        <v>0</v>
      </c>
      <c r="BF393" s="17">
        <f t="shared" si="471"/>
        <v>0</v>
      </c>
      <c r="BH393" s="17">
        <f t="shared" si="472"/>
        <v>0</v>
      </c>
      <c r="BI393" s="17">
        <f t="shared" si="473"/>
        <v>0</v>
      </c>
      <c r="BJ393" s="17">
        <f t="shared" si="474"/>
        <v>0</v>
      </c>
      <c r="BK393" s="17"/>
      <c r="BL393" s="17">
        <v>723</v>
      </c>
      <c r="BW393" s="17">
        <f t="shared" si="475"/>
        <v>12</v>
      </c>
      <c r="BX393" s="4" t="s">
        <v>305</v>
      </c>
    </row>
    <row r="394" spans="1:76" x14ac:dyDescent="0.25">
      <c r="A394" s="1" t="s">
        <v>938</v>
      </c>
      <c r="B394" s="2" t="s">
        <v>257</v>
      </c>
      <c r="C394" s="2" t="s">
        <v>306</v>
      </c>
      <c r="D394" s="83" t="s">
        <v>307</v>
      </c>
      <c r="E394" s="84"/>
      <c r="F394" s="2" t="s">
        <v>35</v>
      </c>
      <c r="G394" s="17">
        <f>'Rozpočet - vybrané sloupce'!J336</f>
        <v>9</v>
      </c>
      <c r="H394" s="17">
        <f>'Rozpočet - vybrané sloupce'!K336</f>
        <v>0</v>
      </c>
      <c r="I394" s="74">
        <v>12</v>
      </c>
      <c r="J394" s="17">
        <f t="shared" si="450"/>
        <v>0</v>
      </c>
      <c r="K394" s="17">
        <f t="shared" si="451"/>
        <v>0</v>
      </c>
      <c r="L394" s="17">
        <f t="shared" si="452"/>
        <v>0</v>
      </c>
      <c r="M394" s="17">
        <f t="shared" si="453"/>
        <v>0</v>
      </c>
      <c r="N394" s="17">
        <v>0</v>
      </c>
      <c r="O394" s="17">
        <f t="shared" si="454"/>
        <v>0</v>
      </c>
      <c r="P394" s="75" t="s">
        <v>576</v>
      </c>
      <c r="Z394" s="17">
        <f t="shared" si="455"/>
        <v>0</v>
      </c>
      <c r="AB394" s="17">
        <f t="shared" si="456"/>
        <v>0</v>
      </c>
      <c r="AC394" s="17">
        <f t="shared" si="457"/>
        <v>0</v>
      </c>
      <c r="AD394" s="17">
        <f t="shared" si="458"/>
        <v>0</v>
      </c>
      <c r="AE394" s="17">
        <f t="shared" si="459"/>
        <v>0</v>
      </c>
      <c r="AF394" s="17">
        <f t="shared" si="460"/>
        <v>0</v>
      </c>
      <c r="AG394" s="17">
        <f t="shared" si="461"/>
        <v>0</v>
      </c>
      <c r="AH394" s="17">
        <f t="shared" si="462"/>
        <v>0</v>
      </c>
      <c r="AI394" s="14" t="s">
        <v>257</v>
      </c>
      <c r="AJ394" s="17">
        <f t="shared" si="463"/>
        <v>0</v>
      </c>
      <c r="AK394" s="17">
        <f t="shared" si="464"/>
        <v>0</v>
      </c>
      <c r="AL394" s="17">
        <f t="shared" si="465"/>
        <v>0</v>
      </c>
      <c r="AN394" s="17">
        <v>12</v>
      </c>
      <c r="AO394" s="17">
        <f>H394*0.5</f>
        <v>0</v>
      </c>
      <c r="AP394" s="17">
        <f>H394*(1-0.5)</f>
        <v>0</v>
      </c>
      <c r="AQ394" s="76" t="s">
        <v>577</v>
      </c>
      <c r="AV394" s="17">
        <f t="shared" si="466"/>
        <v>0</v>
      </c>
      <c r="AW394" s="17">
        <f t="shared" si="467"/>
        <v>0</v>
      </c>
      <c r="AX394" s="17">
        <f t="shared" si="468"/>
        <v>0</v>
      </c>
      <c r="AY394" s="76" t="s">
        <v>914</v>
      </c>
      <c r="AZ394" s="76" t="s">
        <v>915</v>
      </c>
      <c r="BA394" s="14" t="s">
        <v>916</v>
      </c>
      <c r="BC394" s="17">
        <f t="shared" si="469"/>
        <v>0</v>
      </c>
      <c r="BD394" s="17">
        <f t="shared" si="470"/>
        <v>0</v>
      </c>
      <c r="BE394" s="17">
        <v>0</v>
      </c>
      <c r="BF394" s="17">
        <f t="shared" si="471"/>
        <v>0</v>
      </c>
      <c r="BH394" s="17">
        <f t="shared" si="472"/>
        <v>0</v>
      </c>
      <c r="BI394" s="17">
        <f t="shared" si="473"/>
        <v>0</v>
      </c>
      <c r="BJ394" s="17">
        <f t="shared" si="474"/>
        <v>0</v>
      </c>
      <c r="BK394" s="17"/>
      <c r="BL394" s="17">
        <v>723</v>
      </c>
      <c r="BW394" s="17">
        <f t="shared" si="475"/>
        <v>12</v>
      </c>
      <c r="BX394" s="4" t="s">
        <v>307</v>
      </c>
    </row>
    <row r="395" spans="1:76" x14ac:dyDescent="0.25">
      <c r="A395" s="1" t="s">
        <v>939</v>
      </c>
      <c r="B395" s="2" t="s">
        <v>257</v>
      </c>
      <c r="C395" s="2" t="s">
        <v>308</v>
      </c>
      <c r="D395" s="83" t="s">
        <v>309</v>
      </c>
      <c r="E395" s="84"/>
      <c r="F395" s="2" t="s">
        <v>88</v>
      </c>
      <c r="G395" s="17">
        <f>'Rozpočet - vybrané sloupce'!J337</f>
        <v>0.2</v>
      </c>
      <c r="H395" s="17">
        <f>'Rozpočet - vybrané sloupce'!K337</f>
        <v>0</v>
      </c>
      <c r="I395" s="74">
        <v>12</v>
      </c>
      <c r="J395" s="17">
        <f t="shared" si="450"/>
        <v>0</v>
      </c>
      <c r="K395" s="17">
        <f t="shared" si="451"/>
        <v>0</v>
      </c>
      <c r="L395" s="17">
        <f t="shared" si="452"/>
        <v>0</v>
      </c>
      <c r="M395" s="17">
        <f t="shared" si="453"/>
        <v>0</v>
      </c>
      <c r="N395" s="17">
        <v>0</v>
      </c>
      <c r="O395" s="17">
        <f t="shared" si="454"/>
        <v>0</v>
      </c>
      <c r="P395" s="75" t="s">
        <v>576</v>
      </c>
      <c r="Z395" s="17">
        <f t="shared" si="455"/>
        <v>0</v>
      </c>
      <c r="AB395" s="17">
        <f t="shared" si="456"/>
        <v>0</v>
      </c>
      <c r="AC395" s="17">
        <f t="shared" si="457"/>
        <v>0</v>
      </c>
      <c r="AD395" s="17">
        <f t="shared" si="458"/>
        <v>0</v>
      </c>
      <c r="AE395" s="17">
        <f t="shared" si="459"/>
        <v>0</v>
      </c>
      <c r="AF395" s="17">
        <f t="shared" si="460"/>
        <v>0</v>
      </c>
      <c r="AG395" s="17">
        <f t="shared" si="461"/>
        <v>0</v>
      </c>
      <c r="AH395" s="17">
        <f t="shared" si="462"/>
        <v>0</v>
      </c>
      <c r="AI395" s="14" t="s">
        <v>257</v>
      </c>
      <c r="AJ395" s="17">
        <f t="shared" si="463"/>
        <v>0</v>
      </c>
      <c r="AK395" s="17">
        <f t="shared" si="464"/>
        <v>0</v>
      </c>
      <c r="AL395" s="17">
        <f t="shared" si="465"/>
        <v>0</v>
      </c>
      <c r="AN395" s="17">
        <v>12</v>
      </c>
      <c r="AO395" s="17">
        <f>H395*0</f>
        <v>0</v>
      </c>
      <c r="AP395" s="17">
        <f>H395*(1-0)</f>
        <v>0</v>
      </c>
      <c r="AQ395" s="76" t="s">
        <v>577</v>
      </c>
      <c r="AV395" s="17">
        <f t="shared" si="466"/>
        <v>0</v>
      </c>
      <c r="AW395" s="17">
        <f t="shared" si="467"/>
        <v>0</v>
      </c>
      <c r="AX395" s="17">
        <f t="shared" si="468"/>
        <v>0</v>
      </c>
      <c r="AY395" s="76" t="s">
        <v>914</v>
      </c>
      <c r="AZ395" s="76" t="s">
        <v>915</v>
      </c>
      <c r="BA395" s="14" t="s">
        <v>916</v>
      </c>
      <c r="BC395" s="17">
        <f t="shared" si="469"/>
        <v>0</v>
      </c>
      <c r="BD395" s="17">
        <f t="shared" si="470"/>
        <v>0</v>
      </c>
      <c r="BE395" s="17">
        <v>0</v>
      </c>
      <c r="BF395" s="17">
        <f t="shared" si="471"/>
        <v>0</v>
      </c>
      <c r="BH395" s="17">
        <f t="shared" si="472"/>
        <v>0</v>
      </c>
      <c r="BI395" s="17">
        <f t="shared" si="473"/>
        <v>0</v>
      </c>
      <c r="BJ395" s="17">
        <f t="shared" si="474"/>
        <v>0</v>
      </c>
      <c r="BK395" s="17"/>
      <c r="BL395" s="17">
        <v>723</v>
      </c>
      <c r="BW395" s="17">
        <f t="shared" si="475"/>
        <v>12</v>
      </c>
      <c r="BX395" s="4" t="s">
        <v>309</v>
      </c>
    </row>
    <row r="396" spans="1:76" x14ac:dyDescent="0.25">
      <c r="A396" s="77"/>
      <c r="C396" s="78" t="s">
        <v>610</v>
      </c>
      <c r="D396" s="161" t="s">
        <v>624</v>
      </c>
      <c r="E396" s="162"/>
      <c r="F396" s="162"/>
      <c r="G396" s="162"/>
      <c r="H396" s="162"/>
      <c r="I396" s="162"/>
      <c r="J396" s="162"/>
      <c r="K396" s="162"/>
      <c r="L396" s="162"/>
      <c r="M396" s="162"/>
      <c r="N396" s="162"/>
      <c r="O396" s="162"/>
      <c r="P396" s="163"/>
      <c r="BX396" s="79" t="s">
        <v>624</v>
      </c>
    </row>
    <row r="397" spans="1:76" x14ac:dyDescent="0.25">
      <c r="A397" s="1" t="s">
        <v>940</v>
      </c>
      <c r="B397" s="2" t="s">
        <v>257</v>
      </c>
      <c r="C397" s="2" t="s">
        <v>310</v>
      </c>
      <c r="D397" s="83" t="s">
        <v>311</v>
      </c>
      <c r="E397" s="84"/>
      <c r="F397" s="2" t="s">
        <v>45</v>
      </c>
      <c r="G397" s="17">
        <f>'Rozpočet - vybrané sloupce'!J338</f>
        <v>0</v>
      </c>
      <c r="H397" s="17">
        <f>'Rozpočet - vybrané sloupce'!K338</f>
        <v>0</v>
      </c>
      <c r="I397" s="74">
        <v>12</v>
      </c>
      <c r="J397" s="17">
        <f>ROUND(G397*AO397,2)</f>
        <v>0</v>
      </c>
      <c r="K397" s="17">
        <f>ROUND(G397*AP397,2)</f>
        <v>0</v>
      </c>
      <c r="L397" s="17">
        <f>ROUND(G397*H397,2)</f>
        <v>0</v>
      </c>
      <c r="M397" s="17">
        <f>L397*(1+BW397/100)</f>
        <v>0</v>
      </c>
      <c r="N397" s="17">
        <v>0</v>
      </c>
      <c r="O397" s="17">
        <f>G397*N397</f>
        <v>0</v>
      </c>
      <c r="P397" s="75" t="s">
        <v>576</v>
      </c>
      <c r="Z397" s="17">
        <f>ROUND(IF(AQ397="5",BJ397,0),2)</f>
        <v>0</v>
      </c>
      <c r="AB397" s="17">
        <f>ROUND(IF(AQ397="1",BH397,0),2)</f>
        <v>0</v>
      </c>
      <c r="AC397" s="17">
        <f>ROUND(IF(AQ397="1",BI397,0),2)</f>
        <v>0</v>
      </c>
      <c r="AD397" s="17">
        <f>ROUND(IF(AQ397="7",BH397,0),2)</f>
        <v>0</v>
      </c>
      <c r="AE397" s="17">
        <f>ROUND(IF(AQ397="7",BI397,0),2)</f>
        <v>0</v>
      </c>
      <c r="AF397" s="17">
        <f>ROUND(IF(AQ397="2",BH397,0),2)</f>
        <v>0</v>
      </c>
      <c r="AG397" s="17">
        <f>ROUND(IF(AQ397="2",BI397,0),2)</f>
        <v>0</v>
      </c>
      <c r="AH397" s="17">
        <f>ROUND(IF(AQ397="0",BJ397,0),2)</f>
        <v>0</v>
      </c>
      <c r="AI397" s="14" t="s">
        <v>257</v>
      </c>
      <c r="AJ397" s="17">
        <f>IF(AN397=0,L397,0)</f>
        <v>0</v>
      </c>
      <c r="AK397" s="17">
        <f>IF(AN397=12,L397,0)</f>
        <v>0</v>
      </c>
      <c r="AL397" s="17">
        <f>IF(AN397=21,L397,0)</f>
        <v>0</v>
      </c>
      <c r="AN397" s="17">
        <v>12</v>
      </c>
      <c r="AO397" s="17">
        <f>H397*0</f>
        <v>0</v>
      </c>
      <c r="AP397" s="17">
        <f>H397*(1-0)</f>
        <v>0</v>
      </c>
      <c r="AQ397" s="76" t="s">
        <v>585</v>
      </c>
      <c r="AV397" s="17">
        <f>ROUND(AW397+AX397,2)</f>
        <v>0</v>
      </c>
      <c r="AW397" s="17">
        <f>ROUND(G397*AO397,2)</f>
        <v>0</v>
      </c>
      <c r="AX397" s="17">
        <f>ROUND(G397*AP397,2)</f>
        <v>0</v>
      </c>
      <c r="AY397" s="76" t="s">
        <v>914</v>
      </c>
      <c r="AZ397" s="76" t="s">
        <v>915</v>
      </c>
      <c r="BA397" s="14" t="s">
        <v>916</v>
      </c>
      <c r="BC397" s="17">
        <f>AW397+AX397</f>
        <v>0</v>
      </c>
      <c r="BD397" s="17">
        <f>H397/(100-BE397)*100</f>
        <v>0</v>
      </c>
      <c r="BE397" s="17">
        <v>0</v>
      </c>
      <c r="BF397" s="17">
        <f>O397</f>
        <v>0</v>
      </c>
      <c r="BH397" s="17">
        <f>G397*AO397</f>
        <v>0</v>
      </c>
      <c r="BI397" s="17">
        <f>G397*AP397</f>
        <v>0</v>
      </c>
      <c r="BJ397" s="17">
        <f>G397*H397</f>
        <v>0</v>
      </c>
      <c r="BK397" s="17"/>
      <c r="BL397" s="17">
        <v>723</v>
      </c>
      <c r="BW397" s="17">
        <f>I397</f>
        <v>12</v>
      </c>
      <c r="BX397" s="4" t="s">
        <v>311</v>
      </c>
    </row>
    <row r="398" spans="1:76" x14ac:dyDescent="0.25">
      <c r="A398" s="71" t="s">
        <v>25</v>
      </c>
      <c r="B398" s="13" t="s">
        <v>312</v>
      </c>
      <c r="C398" s="13" t="s">
        <v>25</v>
      </c>
      <c r="D398" s="135" t="s">
        <v>313</v>
      </c>
      <c r="E398" s="136"/>
      <c r="F398" s="72" t="s">
        <v>23</v>
      </c>
      <c r="G398" s="72" t="s">
        <v>23</v>
      </c>
      <c r="H398" s="72" t="s">
        <v>23</v>
      </c>
      <c r="I398" s="72" t="s">
        <v>23</v>
      </c>
      <c r="J398" s="47">
        <f>J399</f>
        <v>0</v>
      </c>
      <c r="K398" s="47">
        <f>K399</f>
        <v>0</v>
      </c>
      <c r="L398" s="47">
        <f>L399</f>
        <v>0</v>
      </c>
      <c r="M398" s="47">
        <f>M399</f>
        <v>0</v>
      </c>
      <c r="N398" s="14" t="s">
        <v>25</v>
      </c>
      <c r="O398" s="47">
        <f>O399</f>
        <v>0.27049000000000001</v>
      </c>
      <c r="P398" s="73" t="s">
        <v>25</v>
      </c>
    </row>
    <row r="399" spans="1:76" x14ac:dyDescent="0.25">
      <c r="A399" s="71" t="s">
        <v>25</v>
      </c>
      <c r="B399" s="13" t="s">
        <v>312</v>
      </c>
      <c r="C399" s="13" t="s">
        <v>259</v>
      </c>
      <c r="D399" s="135" t="s">
        <v>260</v>
      </c>
      <c r="E399" s="136"/>
      <c r="F399" s="72" t="s">
        <v>23</v>
      </c>
      <c r="G399" s="72" t="s">
        <v>23</v>
      </c>
      <c r="H399" s="72" t="s">
        <v>23</v>
      </c>
      <c r="I399" s="72" t="s">
        <v>23</v>
      </c>
      <c r="J399" s="47">
        <f>SUM(J400:J424)</f>
        <v>0</v>
      </c>
      <c r="K399" s="47">
        <f>SUM(K400:K424)</f>
        <v>0</v>
      </c>
      <c r="L399" s="47">
        <f>SUM(L400:L424)</f>
        <v>0</v>
      </c>
      <c r="M399" s="47">
        <f>SUM(M400:M424)</f>
        <v>0</v>
      </c>
      <c r="N399" s="14" t="s">
        <v>25</v>
      </c>
      <c r="O399" s="47">
        <f>SUM(O400:O424)</f>
        <v>0.27049000000000001</v>
      </c>
      <c r="P399" s="73" t="s">
        <v>25</v>
      </c>
      <c r="AI399" s="14" t="s">
        <v>312</v>
      </c>
      <c r="AS399" s="47">
        <f>SUM(AJ400:AJ424)</f>
        <v>0</v>
      </c>
      <c r="AT399" s="47">
        <f>SUM(AK400:AK424)</f>
        <v>0</v>
      </c>
      <c r="AU399" s="47">
        <f>SUM(AL400:AL424)</f>
        <v>0</v>
      </c>
    </row>
    <row r="400" spans="1:76" x14ac:dyDescent="0.25">
      <c r="A400" s="1" t="s">
        <v>941</v>
      </c>
      <c r="B400" s="2" t="s">
        <v>312</v>
      </c>
      <c r="C400" s="2" t="s">
        <v>261</v>
      </c>
      <c r="D400" s="83" t="s">
        <v>262</v>
      </c>
      <c r="E400" s="84"/>
      <c r="F400" s="2" t="s">
        <v>31</v>
      </c>
      <c r="G400" s="17">
        <f>'Rozpočet - vybrané sloupce'!J341</f>
        <v>31</v>
      </c>
      <c r="H400" s="17">
        <f>'Rozpočet - vybrané sloupce'!K341</f>
        <v>0</v>
      </c>
      <c r="I400" s="74">
        <v>12</v>
      </c>
      <c r="J400" s="17">
        <f t="shared" ref="J400:J424" si="476">ROUND(G400*AO400,2)</f>
        <v>0</v>
      </c>
      <c r="K400" s="17">
        <f t="shared" ref="K400:K424" si="477">ROUND(G400*AP400,2)</f>
        <v>0</v>
      </c>
      <c r="L400" s="17">
        <f t="shared" ref="L400:L424" si="478">ROUND(G400*H400,2)</f>
        <v>0</v>
      </c>
      <c r="M400" s="17">
        <f t="shared" ref="M400:M424" si="479">L400*(1+BW400/100)</f>
        <v>0</v>
      </c>
      <c r="N400" s="17">
        <v>3.81E-3</v>
      </c>
      <c r="O400" s="17">
        <f t="shared" ref="O400:O424" si="480">G400*N400</f>
        <v>0.11811000000000001</v>
      </c>
      <c r="P400" s="75" t="s">
        <v>576</v>
      </c>
      <c r="Z400" s="17">
        <f t="shared" ref="Z400:Z424" si="481">ROUND(IF(AQ400="5",BJ400,0),2)</f>
        <v>0</v>
      </c>
      <c r="AB400" s="17">
        <f t="shared" ref="AB400:AB424" si="482">ROUND(IF(AQ400="1",BH400,0),2)</f>
        <v>0</v>
      </c>
      <c r="AC400" s="17">
        <f t="shared" ref="AC400:AC424" si="483">ROUND(IF(AQ400="1",BI400,0),2)</f>
        <v>0</v>
      </c>
      <c r="AD400" s="17">
        <f t="shared" ref="AD400:AD424" si="484">ROUND(IF(AQ400="7",BH400,0),2)</f>
        <v>0</v>
      </c>
      <c r="AE400" s="17">
        <f t="shared" ref="AE400:AE424" si="485">ROUND(IF(AQ400="7",BI400,0),2)</f>
        <v>0</v>
      </c>
      <c r="AF400" s="17">
        <f t="shared" ref="AF400:AF424" si="486">ROUND(IF(AQ400="2",BH400,0),2)</f>
        <v>0</v>
      </c>
      <c r="AG400" s="17">
        <f t="shared" ref="AG400:AG424" si="487">ROUND(IF(AQ400="2",BI400,0),2)</f>
        <v>0</v>
      </c>
      <c r="AH400" s="17">
        <f t="shared" ref="AH400:AH424" si="488">ROUND(IF(AQ400="0",BJ400,0),2)</f>
        <v>0</v>
      </c>
      <c r="AI400" s="14" t="s">
        <v>312</v>
      </c>
      <c r="AJ400" s="17">
        <f t="shared" ref="AJ400:AJ424" si="489">IF(AN400=0,L400,0)</f>
        <v>0</v>
      </c>
      <c r="AK400" s="17">
        <f t="shared" ref="AK400:AK424" si="490">IF(AN400=12,L400,0)</f>
        <v>0</v>
      </c>
      <c r="AL400" s="17">
        <f t="shared" ref="AL400:AL424" si="491">IF(AN400=21,L400,0)</f>
        <v>0</v>
      </c>
      <c r="AN400" s="17">
        <v>12</v>
      </c>
      <c r="AO400" s="17">
        <f>H400*0.884450262</f>
        <v>0</v>
      </c>
      <c r="AP400" s="17">
        <f>H400*(1-0.884450262)</f>
        <v>0</v>
      </c>
      <c r="AQ400" s="76" t="s">
        <v>577</v>
      </c>
      <c r="AV400" s="17">
        <f t="shared" ref="AV400:AV424" si="492">ROUND(AW400+AX400,2)</f>
        <v>0</v>
      </c>
      <c r="AW400" s="17">
        <f t="shared" ref="AW400:AW424" si="493">ROUND(G400*AO400,2)</f>
        <v>0</v>
      </c>
      <c r="AX400" s="17">
        <f t="shared" ref="AX400:AX424" si="494">ROUND(G400*AP400,2)</f>
        <v>0</v>
      </c>
      <c r="AY400" s="76" t="s">
        <v>914</v>
      </c>
      <c r="AZ400" s="76" t="s">
        <v>942</v>
      </c>
      <c r="BA400" s="14" t="s">
        <v>943</v>
      </c>
      <c r="BC400" s="17">
        <f t="shared" ref="BC400:BC424" si="495">AW400+AX400</f>
        <v>0</v>
      </c>
      <c r="BD400" s="17">
        <f t="shared" ref="BD400:BD424" si="496">H400/(100-BE400)*100</f>
        <v>0</v>
      </c>
      <c r="BE400" s="17">
        <v>0</v>
      </c>
      <c r="BF400" s="17">
        <f t="shared" ref="BF400:BF424" si="497">O400</f>
        <v>0.11811000000000001</v>
      </c>
      <c r="BH400" s="17">
        <f t="shared" ref="BH400:BH424" si="498">G400*AO400</f>
        <v>0</v>
      </c>
      <c r="BI400" s="17">
        <f t="shared" ref="BI400:BI424" si="499">G400*AP400</f>
        <v>0</v>
      </c>
      <c r="BJ400" s="17">
        <f t="shared" ref="BJ400:BJ424" si="500">G400*H400</f>
        <v>0</v>
      </c>
      <c r="BK400" s="17"/>
      <c r="BL400" s="17">
        <v>723</v>
      </c>
      <c r="BW400" s="17">
        <f t="shared" ref="BW400:BW424" si="501">I400</f>
        <v>12</v>
      </c>
      <c r="BX400" s="4" t="s">
        <v>262</v>
      </c>
    </row>
    <row r="401" spans="1:76" x14ac:dyDescent="0.25">
      <c r="A401" s="1" t="s">
        <v>944</v>
      </c>
      <c r="B401" s="2" t="s">
        <v>312</v>
      </c>
      <c r="C401" s="2" t="s">
        <v>263</v>
      </c>
      <c r="D401" s="83" t="s">
        <v>264</v>
      </c>
      <c r="E401" s="84"/>
      <c r="F401" s="2" t="s">
        <v>35</v>
      </c>
      <c r="G401" s="17">
        <f>'Rozpočet - vybrané sloupce'!J342</f>
        <v>1</v>
      </c>
      <c r="H401" s="17">
        <f>'Rozpočet - vybrané sloupce'!K342</f>
        <v>0</v>
      </c>
      <c r="I401" s="74">
        <v>12</v>
      </c>
      <c r="J401" s="17">
        <f t="shared" si="476"/>
        <v>0</v>
      </c>
      <c r="K401" s="17">
        <f t="shared" si="477"/>
        <v>0</v>
      </c>
      <c r="L401" s="17">
        <f t="shared" si="478"/>
        <v>0</v>
      </c>
      <c r="M401" s="17">
        <f t="shared" si="479"/>
        <v>0</v>
      </c>
      <c r="N401" s="17">
        <v>1.5E-3</v>
      </c>
      <c r="O401" s="17">
        <f t="shared" si="480"/>
        <v>1.5E-3</v>
      </c>
      <c r="P401" s="75" t="s">
        <v>576</v>
      </c>
      <c r="Z401" s="17">
        <f t="shared" si="481"/>
        <v>0</v>
      </c>
      <c r="AB401" s="17">
        <f t="shared" si="482"/>
        <v>0</v>
      </c>
      <c r="AC401" s="17">
        <f t="shared" si="483"/>
        <v>0</v>
      </c>
      <c r="AD401" s="17">
        <f t="shared" si="484"/>
        <v>0</v>
      </c>
      <c r="AE401" s="17">
        <f t="shared" si="485"/>
        <v>0</v>
      </c>
      <c r="AF401" s="17">
        <f t="shared" si="486"/>
        <v>0</v>
      </c>
      <c r="AG401" s="17">
        <f t="shared" si="487"/>
        <v>0</v>
      </c>
      <c r="AH401" s="17">
        <f t="shared" si="488"/>
        <v>0</v>
      </c>
      <c r="AI401" s="14" t="s">
        <v>312</v>
      </c>
      <c r="AJ401" s="17">
        <f t="shared" si="489"/>
        <v>0</v>
      </c>
      <c r="AK401" s="17">
        <f t="shared" si="490"/>
        <v>0</v>
      </c>
      <c r="AL401" s="17">
        <f t="shared" si="491"/>
        <v>0</v>
      </c>
      <c r="AN401" s="17">
        <v>12</v>
      </c>
      <c r="AO401" s="17">
        <f>H401*0.496760436</f>
        <v>0</v>
      </c>
      <c r="AP401" s="17">
        <f>H401*(1-0.496760436)</f>
        <v>0</v>
      </c>
      <c r="AQ401" s="76" t="s">
        <v>577</v>
      </c>
      <c r="AV401" s="17">
        <f t="shared" si="492"/>
        <v>0</v>
      </c>
      <c r="AW401" s="17">
        <f t="shared" si="493"/>
        <v>0</v>
      </c>
      <c r="AX401" s="17">
        <f t="shared" si="494"/>
        <v>0</v>
      </c>
      <c r="AY401" s="76" t="s">
        <v>914</v>
      </c>
      <c r="AZ401" s="76" t="s">
        <v>942</v>
      </c>
      <c r="BA401" s="14" t="s">
        <v>943</v>
      </c>
      <c r="BC401" s="17">
        <f t="shared" si="495"/>
        <v>0</v>
      </c>
      <c r="BD401" s="17">
        <f t="shared" si="496"/>
        <v>0</v>
      </c>
      <c r="BE401" s="17">
        <v>0</v>
      </c>
      <c r="BF401" s="17">
        <f t="shared" si="497"/>
        <v>1.5E-3</v>
      </c>
      <c r="BH401" s="17">
        <f t="shared" si="498"/>
        <v>0</v>
      </c>
      <c r="BI401" s="17">
        <f t="shared" si="499"/>
        <v>0</v>
      </c>
      <c r="BJ401" s="17">
        <f t="shared" si="500"/>
        <v>0</v>
      </c>
      <c r="BK401" s="17"/>
      <c r="BL401" s="17">
        <v>723</v>
      </c>
      <c r="BW401" s="17">
        <f t="shared" si="501"/>
        <v>12</v>
      </c>
      <c r="BX401" s="4" t="s">
        <v>264</v>
      </c>
    </row>
    <row r="402" spans="1:76" x14ac:dyDescent="0.25">
      <c r="A402" s="1" t="s">
        <v>945</v>
      </c>
      <c r="B402" s="2" t="s">
        <v>312</v>
      </c>
      <c r="C402" s="2" t="s">
        <v>265</v>
      </c>
      <c r="D402" s="83" t="s">
        <v>266</v>
      </c>
      <c r="E402" s="84"/>
      <c r="F402" s="2" t="s">
        <v>31</v>
      </c>
      <c r="G402" s="17">
        <f>'Rozpočet - vybrané sloupce'!J343</f>
        <v>31</v>
      </c>
      <c r="H402" s="17">
        <f>'Rozpočet - vybrané sloupce'!K343</f>
        <v>0</v>
      </c>
      <c r="I402" s="74">
        <v>12</v>
      </c>
      <c r="J402" s="17">
        <f t="shared" si="476"/>
        <v>0</v>
      </c>
      <c r="K402" s="17">
        <f t="shared" si="477"/>
        <v>0</v>
      </c>
      <c r="L402" s="17">
        <f t="shared" si="478"/>
        <v>0</v>
      </c>
      <c r="M402" s="17">
        <f t="shared" si="479"/>
        <v>0</v>
      </c>
      <c r="N402" s="17">
        <v>1.66E-3</v>
      </c>
      <c r="O402" s="17">
        <f t="shared" si="480"/>
        <v>5.1459999999999999E-2</v>
      </c>
      <c r="P402" s="75" t="s">
        <v>576</v>
      </c>
      <c r="Z402" s="17">
        <f t="shared" si="481"/>
        <v>0</v>
      </c>
      <c r="AB402" s="17">
        <f t="shared" si="482"/>
        <v>0</v>
      </c>
      <c r="AC402" s="17">
        <f t="shared" si="483"/>
        <v>0</v>
      </c>
      <c r="AD402" s="17">
        <f t="shared" si="484"/>
        <v>0</v>
      </c>
      <c r="AE402" s="17">
        <f t="shared" si="485"/>
        <v>0</v>
      </c>
      <c r="AF402" s="17">
        <f t="shared" si="486"/>
        <v>0</v>
      </c>
      <c r="AG402" s="17">
        <f t="shared" si="487"/>
        <v>0</v>
      </c>
      <c r="AH402" s="17">
        <f t="shared" si="488"/>
        <v>0</v>
      </c>
      <c r="AI402" s="14" t="s">
        <v>312</v>
      </c>
      <c r="AJ402" s="17">
        <f t="shared" si="489"/>
        <v>0</v>
      </c>
      <c r="AK402" s="17">
        <f t="shared" si="490"/>
        <v>0</v>
      </c>
      <c r="AL402" s="17">
        <f t="shared" si="491"/>
        <v>0</v>
      </c>
      <c r="AN402" s="17">
        <v>12</v>
      </c>
      <c r="AO402" s="17">
        <f>H402*0.758216433</f>
        <v>0</v>
      </c>
      <c r="AP402" s="17">
        <f>H402*(1-0.758216433)</f>
        <v>0</v>
      </c>
      <c r="AQ402" s="76" t="s">
        <v>577</v>
      </c>
      <c r="AV402" s="17">
        <f t="shared" si="492"/>
        <v>0</v>
      </c>
      <c r="AW402" s="17">
        <f t="shared" si="493"/>
        <v>0</v>
      </c>
      <c r="AX402" s="17">
        <f t="shared" si="494"/>
        <v>0</v>
      </c>
      <c r="AY402" s="76" t="s">
        <v>914</v>
      </c>
      <c r="AZ402" s="76" t="s">
        <v>942</v>
      </c>
      <c r="BA402" s="14" t="s">
        <v>943</v>
      </c>
      <c r="BC402" s="17">
        <f t="shared" si="495"/>
        <v>0</v>
      </c>
      <c r="BD402" s="17">
        <f t="shared" si="496"/>
        <v>0</v>
      </c>
      <c r="BE402" s="17">
        <v>0</v>
      </c>
      <c r="BF402" s="17">
        <f t="shared" si="497"/>
        <v>5.1459999999999999E-2</v>
      </c>
      <c r="BH402" s="17">
        <f t="shared" si="498"/>
        <v>0</v>
      </c>
      <c r="BI402" s="17">
        <f t="shared" si="499"/>
        <v>0</v>
      </c>
      <c r="BJ402" s="17">
        <f t="shared" si="500"/>
        <v>0</v>
      </c>
      <c r="BK402" s="17"/>
      <c r="BL402" s="17">
        <v>723</v>
      </c>
      <c r="BW402" s="17">
        <f t="shared" si="501"/>
        <v>12</v>
      </c>
      <c r="BX402" s="4" t="s">
        <v>266</v>
      </c>
    </row>
    <row r="403" spans="1:76" x14ac:dyDescent="0.25">
      <c r="A403" s="1" t="s">
        <v>946</v>
      </c>
      <c r="B403" s="2" t="s">
        <v>312</v>
      </c>
      <c r="C403" s="2" t="s">
        <v>267</v>
      </c>
      <c r="D403" s="83" t="s">
        <v>268</v>
      </c>
      <c r="E403" s="84"/>
      <c r="F403" s="2" t="s">
        <v>31</v>
      </c>
      <c r="G403" s="17">
        <f>'Rozpočet - vybrané sloupce'!J344</f>
        <v>3.9</v>
      </c>
      <c r="H403" s="17">
        <f>'Rozpočet - vybrané sloupce'!K344</f>
        <v>0</v>
      </c>
      <c r="I403" s="74">
        <v>12</v>
      </c>
      <c r="J403" s="17">
        <f t="shared" si="476"/>
        <v>0</v>
      </c>
      <c r="K403" s="17">
        <f t="shared" si="477"/>
        <v>0</v>
      </c>
      <c r="L403" s="17">
        <f t="shared" si="478"/>
        <v>0</v>
      </c>
      <c r="M403" s="17">
        <f t="shared" si="479"/>
        <v>0</v>
      </c>
      <c r="N403" s="17">
        <v>2E-3</v>
      </c>
      <c r="O403" s="17">
        <f t="shared" si="480"/>
        <v>7.7999999999999996E-3</v>
      </c>
      <c r="P403" s="75" t="s">
        <v>576</v>
      </c>
      <c r="Z403" s="17">
        <f t="shared" si="481"/>
        <v>0</v>
      </c>
      <c r="AB403" s="17">
        <f t="shared" si="482"/>
        <v>0</v>
      </c>
      <c r="AC403" s="17">
        <f t="shared" si="483"/>
        <v>0</v>
      </c>
      <c r="AD403" s="17">
        <f t="shared" si="484"/>
        <v>0</v>
      </c>
      <c r="AE403" s="17">
        <f t="shared" si="485"/>
        <v>0</v>
      </c>
      <c r="AF403" s="17">
        <f t="shared" si="486"/>
        <v>0</v>
      </c>
      <c r="AG403" s="17">
        <f t="shared" si="487"/>
        <v>0</v>
      </c>
      <c r="AH403" s="17">
        <f t="shared" si="488"/>
        <v>0</v>
      </c>
      <c r="AI403" s="14" t="s">
        <v>312</v>
      </c>
      <c r="AJ403" s="17">
        <f t="shared" si="489"/>
        <v>0</v>
      </c>
      <c r="AK403" s="17">
        <f t="shared" si="490"/>
        <v>0</v>
      </c>
      <c r="AL403" s="17">
        <f t="shared" si="491"/>
        <v>0</v>
      </c>
      <c r="AN403" s="17">
        <v>12</v>
      </c>
      <c r="AO403" s="17">
        <f>H403*0.801797708</f>
        <v>0</v>
      </c>
      <c r="AP403" s="17">
        <f>H403*(1-0.801797708)</f>
        <v>0</v>
      </c>
      <c r="AQ403" s="76" t="s">
        <v>577</v>
      </c>
      <c r="AV403" s="17">
        <f t="shared" si="492"/>
        <v>0</v>
      </c>
      <c r="AW403" s="17">
        <f t="shared" si="493"/>
        <v>0</v>
      </c>
      <c r="AX403" s="17">
        <f t="shared" si="494"/>
        <v>0</v>
      </c>
      <c r="AY403" s="76" t="s">
        <v>914</v>
      </c>
      <c r="AZ403" s="76" t="s">
        <v>942</v>
      </c>
      <c r="BA403" s="14" t="s">
        <v>943</v>
      </c>
      <c r="BC403" s="17">
        <f t="shared" si="495"/>
        <v>0</v>
      </c>
      <c r="BD403" s="17">
        <f t="shared" si="496"/>
        <v>0</v>
      </c>
      <c r="BE403" s="17">
        <v>0</v>
      </c>
      <c r="BF403" s="17">
        <f t="shared" si="497"/>
        <v>7.7999999999999996E-3</v>
      </c>
      <c r="BH403" s="17">
        <f t="shared" si="498"/>
        <v>0</v>
      </c>
      <c r="BI403" s="17">
        <f t="shared" si="499"/>
        <v>0</v>
      </c>
      <c r="BJ403" s="17">
        <f t="shared" si="500"/>
        <v>0</v>
      </c>
      <c r="BK403" s="17"/>
      <c r="BL403" s="17">
        <v>723</v>
      </c>
      <c r="BW403" s="17">
        <f t="shared" si="501"/>
        <v>12</v>
      </c>
      <c r="BX403" s="4" t="s">
        <v>268</v>
      </c>
    </row>
    <row r="404" spans="1:76" x14ac:dyDescent="0.25">
      <c r="A404" s="1" t="s">
        <v>947</v>
      </c>
      <c r="B404" s="2" t="s">
        <v>312</v>
      </c>
      <c r="C404" s="2" t="s">
        <v>269</v>
      </c>
      <c r="D404" s="83" t="s">
        <v>270</v>
      </c>
      <c r="E404" s="84"/>
      <c r="F404" s="2" t="s">
        <v>35</v>
      </c>
      <c r="G404" s="17">
        <f>'Rozpočet - vybrané sloupce'!J345</f>
        <v>6</v>
      </c>
      <c r="H404" s="17">
        <f>'Rozpočet - vybrané sloupce'!K345</f>
        <v>0</v>
      </c>
      <c r="I404" s="74">
        <v>12</v>
      </c>
      <c r="J404" s="17">
        <f t="shared" si="476"/>
        <v>0</v>
      </c>
      <c r="K404" s="17">
        <f t="shared" si="477"/>
        <v>0</v>
      </c>
      <c r="L404" s="17">
        <f t="shared" si="478"/>
        <v>0</v>
      </c>
      <c r="M404" s="17">
        <f t="shared" si="479"/>
        <v>0</v>
      </c>
      <c r="N404" s="17">
        <v>2.3000000000000001E-4</v>
      </c>
      <c r="O404" s="17">
        <f t="shared" si="480"/>
        <v>1.3800000000000002E-3</v>
      </c>
      <c r="P404" s="75" t="s">
        <v>576</v>
      </c>
      <c r="Z404" s="17">
        <f t="shared" si="481"/>
        <v>0</v>
      </c>
      <c r="AB404" s="17">
        <f t="shared" si="482"/>
        <v>0</v>
      </c>
      <c r="AC404" s="17">
        <f t="shared" si="483"/>
        <v>0</v>
      </c>
      <c r="AD404" s="17">
        <f t="shared" si="484"/>
        <v>0</v>
      </c>
      <c r="AE404" s="17">
        <f t="shared" si="485"/>
        <v>0</v>
      </c>
      <c r="AF404" s="17">
        <f t="shared" si="486"/>
        <v>0</v>
      </c>
      <c r="AG404" s="17">
        <f t="shared" si="487"/>
        <v>0</v>
      </c>
      <c r="AH404" s="17">
        <f t="shared" si="488"/>
        <v>0</v>
      </c>
      <c r="AI404" s="14" t="s">
        <v>312</v>
      </c>
      <c r="AJ404" s="17">
        <f t="shared" si="489"/>
        <v>0</v>
      </c>
      <c r="AK404" s="17">
        <f t="shared" si="490"/>
        <v>0</v>
      </c>
      <c r="AL404" s="17">
        <f t="shared" si="491"/>
        <v>0</v>
      </c>
      <c r="AN404" s="17">
        <v>12</v>
      </c>
      <c r="AO404" s="17">
        <f>H404*0.75954071</f>
        <v>0</v>
      </c>
      <c r="AP404" s="17">
        <f>H404*(1-0.75954071)</f>
        <v>0</v>
      </c>
      <c r="AQ404" s="76" t="s">
        <v>577</v>
      </c>
      <c r="AV404" s="17">
        <f t="shared" si="492"/>
        <v>0</v>
      </c>
      <c r="AW404" s="17">
        <f t="shared" si="493"/>
        <v>0</v>
      </c>
      <c r="AX404" s="17">
        <f t="shared" si="494"/>
        <v>0</v>
      </c>
      <c r="AY404" s="76" t="s">
        <v>914</v>
      </c>
      <c r="AZ404" s="76" t="s">
        <v>942</v>
      </c>
      <c r="BA404" s="14" t="s">
        <v>943</v>
      </c>
      <c r="BC404" s="17">
        <f t="shared" si="495"/>
        <v>0</v>
      </c>
      <c r="BD404" s="17">
        <f t="shared" si="496"/>
        <v>0</v>
      </c>
      <c r="BE404" s="17">
        <v>0</v>
      </c>
      <c r="BF404" s="17">
        <f t="shared" si="497"/>
        <v>1.3800000000000002E-3</v>
      </c>
      <c r="BH404" s="17">
        <f t="shared" si="498"/>
        <v>0</v>
      </c>
      <c r="BI404" s="17">
        <f t="shared" si="499"/>
        <v>0</v>
      </c>
      <c r="BJ404" s="17">
        <f t="shared" si="500"/>
        <v>0</v>
      </c>
      <c r="BK404" s="17"/>
      <c r="BL404" s="17">
        <v>723</v>
      </c>
      <c r="BW404" s="17">
        <f t="shared" si="501"/>
        <v>12</v>
      </c>
      <c r="BX404" s="4" t="s">
        <v>270</v>
      </c>
    </row>
    <row r="405" spans="1:76" x14ac:dyDescent="0.25">
      <c r="A405" s="1" t="s">
        <v>948</v>
      </c>
      <c r="B405" s="2" t="s">
        <v>312</v>
      </c>
      <c r="C405" s="2" t="s">
        <v>271</v>
      </c>
      <c r="D405" s="83" t="s">
        <v>272</v>
      </c>
      <c r="E405" s="84"/>
      <c r="F405" s="2" t="s">
        <v>35</v>
      </c>
      <c r="G405" s="17">
        <f>'Rozpočet - vybrané sloupce'!J346</f>
        <v>9</v>
      </c>
      <c r="H405" s="17">
        <f>'Rozpočet - vybrané sloupce'!K346</f>
        <v>0</v>
      </c>
      <c r="I405" s="74">
        <v>12</v>
      </c>
      <c r="J405" s="17">
        <f t="shared" si="476"/>
        <v>0</v>
      </c>
      <c r="K405" s="17">
        <f t="shared" si="477"/>
        <v>0</v>
      </c>
      <c r="L405" s="17">
        <f t="shared" si="478"/>
        <v>0</v>
      </c>
      <c r="M405" s="17">
        <f t="shared" si="479"/>
        <v>0</v>
      </c>
      <c r="N405" s="17">
        <v>6.6E-4</v>
      </c>
      <c r="O405" s="17">
        <f t="shared" si="480"/>
        <v>5.94E-3</v>
      </c>
      <c r="P405" s="75" t="s">
        <v>576</v>
      </c>
      <c r="Z405" s="17">
        <f t="shared" si="481"/>
        <v>0</v>
      </c>
      <c r="AB405" s="17">
        <f t="shared" si="482"/>
        <v>0</v>
      </c>
      <c r="AC405" s="17">
        <f t="shared" si="483"/>
        <v>0</v>
      </c>
      <c r="AD405" s="17">
        <f t="shared" si="484"/>
        <v>0</v>
      </c>
      <c r="AE405" s="17">
        <f t="shared" si="485"/>
        <v>0</v>
      </c>
      <c r="AF405" s="17">
        <f t="shared" si="486"/>
        <v>0</v>
      </c>
      <c r="AG405" s="17">
        <f t="shared" si="487"/>
        <v>0</v>
      </c>
      <c r="AH405" s="17">
        <f t="shared" si="488"/>
        <v>0</v>
      </c>
      <c r="AI405" s="14" t="s">
        <v>312</v>
      </c>
      <c r="AJ405" s="17">
        <f t="shared" si="489"/>
        <v>0</v>
      </c>
      <c r="AK405" s="17">
        <f t="shared" si="490"/>
        <v>0</v>
      </c>
      <c r="AL405" s="17">
        <f t="shared" si="491"/>
        <v>0</v>
      </c>
      <c r="AN405" s="17">
        <v>12</v>
      </c>
      <c r="AO405" s="17">
        <f>H405*0.84311753</f>
        <v>0</v>
      </c>
      <c r="AP405" s="17">
        <f>H405*(1-0.84311753)</f>
        <v>0</v>
      </c>
      <c r="AQ405" s="76" t="s">
        <v>577</v>
      </c>
      <c r="AV405" s="17">
        <f t="shared" si="492"/>
        <v>0</v>
      </c>
      <c r="AW405" s="17">
        <f t="shared" si="493"/>
        <v>0</v>
      </c>
      <c r="AX405" s="17">
        <f t="shared" si="494"/>
        <v>0</v>
      </c>
      <c r="AY405" s="76" t="s">
        <v>914</v>
      </c>
      <c r="AZ405" s="76" t="s">
        <v>942</v>
      </c>
      <c r="BA405" s="14" t="s">
        <v>943</v>
      </c>
      <c r="BC405" s="17">
        <f t="shared" si="495"/>
        <v>0</v>
      </c>
      <c r="BD405" s="17">
        <f t="shared" si="496"/>
        <v>0</v>
      </c>
      <c r="BE405" s="17">
        <v>0</v>
      </c>
      <c r="BF405" s="17">
        <f t="shared" si="497"/>
        <v>5.94E-3</v>
      </c>
      <c r="BH405" s="17">
        <f t="shared" si="498"/>
        <v>0</v>
      </c>
      <c r="BI405" s="17">
        <f t="shared" si="499"/>
        <v>0</v>
      </c>
      <c r="BJ405" s="17">
        <f t="shared" si="500"/>
        <v>0</v>
      </c>
      <c r="BK405" s="17"/>
      <c r="BL405" s="17">
        <v>723</v>
      </c>
      <c r="BW405" s="17">
        <f t="shared" si="501"/>
        <v>12</v>
      </c>
      <c r="BX405" s="4" t="s">
        <v>272</v>
      </c>
    </row>
    <row r="406" spans="1:76" x14ac:dyDescent="0.25">
      <c r="A406" s="1" t="s">
        <v>949</v>
      </c>
      <c r="B406" s="2" t="s">
        <v>312</v>
      </c>
      <c r="C406" s="2" t="s">
        <v>273</v>
      </c>
      <c r="D406" s="83" t="s">
        <v>274</v>
      </c>
      <c r="E406" s="84"/>
      <c r="F406" s="2" t="s">
        <v>35</v>
      </c>
      <c r="G406" s="17">
        <f>'Rozpočet - vybrané sloupce'!J347</f>
        <v>1</v>
      </c>
      <c r="H406" s="17">
        <f>'Rozpočet - vybrané sloupce'!K347</f>
        <v>0</v>
      </c>
      <c r="I406" s="74">
        <v>12</v>
      </c>
      <c r="J406" s="17">
        <f t="shared" si="476"/>
        <v>0</v>
      </c>
      <c r="K406" s="17">
        <f t="shared" si="477"/>
        <v>0</v>
      </c>
      <c r="L406" s="17">
        <f t="shared" si="478"/>
        <v>0</v>
      </c>
      <c r="M406" s="17">
        <f t="shared" si="479"/>
        <v>0</v>
      </c>
      <c r="N406" s="17">
        <v>2.9999999999999997E-4</v>
      </c>
      <c r="O406" s="17">
        <f t="shared" si="480"/>
        <v>2.9999999999999997E-4</v>
      </c>
      <c r="P406" s="75" t="s">
        <v>576</v>
      </c>
      <c r="Z406" s="17">
        <f t="shared" si="481"/>
        <v>0</v>
      </c>
      <c r="AB406" s="17">
        <f t="shared" si="482"/>
        <v>0</v>
      </c>
      <c r="AC406" s="17">
        <f t="shared" si="483"/>
        <v>0</v>
      </c>
      <c r="AD406" s="17">
        <f t="shared" si="484"/>
        <v>0</v>
      </c>
      <c r="AE406" s="17">
        <f t="shared" si="485"/>
        <v>0</v>
      </c>
      <c r="AF406" s="17">
        <f t="shared" si="486"/>
        <v>0</v>
      </c>
      <c r="AG406" s="17">
        <f t="shared" si="487"/>
        <v>0</v>
      </c>
      <c r="AH406" s="17">
        <f t="shared" si="488"/>
        <v>0</v>
      </c>
      <c r="AI406" s="14" t="s">
        <v>312</v>
      </c>
      <c r="AJ406" s="17">
        <f t="shared" si="489"/>
        <v>0</v>
      </c>
      <c r="AK406" s="17">
        <f t="shared" si="490"/>
        <v>0</v>
      </c>
      <c r="AL406" s="17">
        <f t="shared" si="491"/>
        <v>0</v>
      </c>
      <c r="AN406" s="17">
        <v>12</v>
      </c>
      <c r="AO406" s="17">
        <f>H406*0.886601872</f>
        <v>0</v>
      </c>
      <c r="AP406" s="17">
        <f>H406*(1-0.886601872)</f>
        <v>0</v>
      </c>
      <c r="AQ406" s="76" t="s">
        <v>577</v>
      </c>
      <c r="AV406" s="17">
        <f t="shared" si="492"/>
        <v>0</v>
      </c>
      <c r="AW406" s="17">
        <f t="shared" si="493"/>
        <v>0</v>
      </c>
      <c r="AX406" s="17">
        <f t="shared" si="494"/>
        <v>0</v>
      </c>
      <c r="AY406" s="76" t="s">
        <v>914</v>
      </c>
      <c r="AZ406" s="76" t="s">
        <v>942</v>
      </c>
      <c r="BA406" s="14" t="s">
        <v>943</v>
      </c>
      <c r="BC406" s="17">
        <f t="shared" si="495"/>
        <v>0</v>
      </c>
      <c r="BD406" s="17">
        <f t="shared" si="496"/>
        <v>0</v>
      </c>
      <c r="BE406" s="17">
        <v>0</v>
      </c>
      <c r="BF406" s="17">
        <f t="shared" si="497"/>
        <v>2.9999999999999997E-4</v>
      </c>
      <c r="BH406" s="17">
        <f t="shared" si="498"/>
        <v>0</v>
      </c>
      <c r="BI406" s="17">
        <f t="shared" si="499"/>
        <v>0</v>
      </c>
      <c r="BJ406" s="17">
        <f t="shared" si="500"/>
        <v>0</v>
      </c>
      <c r="BK406" s="17"/>
      <c r="BL406" s="17">
        <v>723</v>
      </c>
      <c r="BW406" s="17">
        <f t="shared" si="501"/>
        <v>12</v>
      </c>
      <c r="BX406" s="4" t="s">
        <v>274</v>
      </c>
    </row>
    <row r="407" spans="1:76" x14ac:dyDescent="0.25">
      <c r="A407" s="1" t="s">
        <v>950</v>
      </c>
      <c r="B407" s="2" t="s">
        <v>312</v>
      </c>
      <c r="C407" s="2" t="s">
        <v>275</v>
      </c>
      <c r="D407" s="83" t="s">
        <v>276</v>
      </c>
      <c r="E407" s="84"/>
      <c r="F407" s="2" t="s">
        <v>31</v>
      </c>
      <c r="G407" s="17">
        <f>'Rozpočet - vybrané sloupce'!J348</f>
        <v>31</v>
      </c>
      <c r="H407" s="17">
        <f>'Rozpočet - vybrané sloupce'!K348</f>
        <v>0</v>
      </c>
      <c r="I407" s="74">
        <v>12</v>
      </c>
      <c r="J407" s="17">
        <f t="shared" si="476"/>
        <v>0</v>
      </c>
      <c r="K407" s="17">
        <f t="shared" si="477"/>
        <v>0</v>
      </c>
      <c r="L407" s="17">
        <f t="shared" si="478"/>
        <v>0</v>
      </c>
      <c r="M407" s="17">
        <f t="shared" si="479"/>
        <v>0</v>
      </c>
      <c r="N407" s="17">
        <v>0</v>
      </c>
      <c r="O407" s="17">
        <f t="shared" si="480"/>
        <v>0</v>
      </c>
      <c r="P407" s="75" t="s">
        <v>576</v>
      </c>
      <c r="Z407" s="17">
        <f t="shared" si="481"/>
        <v>0</v>
      </c>
      <c r="AB407" s="17">
        <f t="shared" si="482"/>
        <v>0</v>
      </c>
      <c r="AC407" s="17">
        <f t="shared" si="483"/>
        <v>0</v>
      </c>
      <c r="AD407" s="17">
        <f t="shared" si="484"/>
        <v>0</v>
      </c>
      <c r="AE407" s="17">
        <f t="shared" si="485"/>
        <v>0</v>
      </c>
      <c r="AF407" s="17">
        <f t="shared" si="486"/>
        <v>0</v>
      </c>
      <c r="AG407" s="17">
        <f t="shared" si="487"/>
        <v>0</v>
      </c>
      <c r="AH407" s="17">
        <f t="shared" si="488"/>
        <v>0</v>
      </c>
      <c r="AI407" s="14" t="s">
        <v>312</v>
      </c>
      <c r="AJ407" s="17">
        <f t="shared" si="489"/>
        <v>0</v>
      </c>
      <c r="AK407" s="17">
        <f t="shared" si="490"/>
        <v>0</v>
      </c>
      <c r="AL407" s="17">
        <f t="shared" si="491"/>
        <v>0</v>
      </c>
      <c r="AN407" s="17">
        <v>12</v>
      </c>
      <c r="AO407" s="17">
        <f>H407*0</f>
        <v>0</v>
      </c>
      <c r="AP407" s="17">
        <f>H407*(1-0)</f>
        <v>0</v>
      </c>
      <c r="AQ407" s="76" t="s">
        <v>577</v>
      </c>
      <c r="AV407" s="17">
        <f t="shared" si="492"/>
        <v>0</v>
      </c>
      <c r="AW407" s="17">
        <f t="shared" si="493"/>
        <v>0</v>
      </c>
      <c r="AX407" s="17">
        <f t="shared" si="494"/>
        <v>0</v>
      </c>
      <c r="AY407" s="76" t="s">
        <v>914</v>
      </c>
      <c r="AZ407" s="76" t="s">
        <v>942</v>
      </c>
      <c r="BA407" s="14" t="s">
        <v>943</v>
      </c>
      <c r="BC407" s="17">
        <f t="shared" si="495"/>
        <v>0</v>
      </c>
      <c r="BD407" s="17">
        <f t="shared" si="496"/>
        <v>0</v>
      </c>
      <c r="BE407" s="17">
        <v>0</v>
      </c>
      <c r="BF407" s="17">
        <f t="shared" si="497"/>
        <v>0</v>
      </c>
      <c r="BH407" s="17">
        <f t="shared" si="498"/>
        <v>0</v>
      </c>
      <c r="BI407" s="17">
        <f t="shared" si="499"/>
        <v>0</v>
      </c>
      <c r="BJ407" s="17">
        <f t="shared" si="500"/>
        <v>0</v>
      </c>
      <c r="BK407" s="17"/>
      <c r="BL407" s="17">
        <v>723</v>
      </c>
      <c r="BW407" s="17">
        <f t="shared" si="501"/>
        <v>12</v>
      </c>
      <c r="BX407" s="4" t="s">
        <v>276</v>
      </c>
    </row>
    <row r="408" spans="1:76" x14ac:dyDescent="0.25">
      <c r="A408" s="1" t="s">
        <v>951</v>
      </c>
      <c r="B408" s="2" t="s">
        <v>312</v>
      </c>
      <c r="C408" s="2" t="s">
        <v>277</v>
      </c>
      <c r="D408" s="83" t="s">
        <v>278</v>
      </c>
      <c r="E408" s="84"/>
      <c r="F408" s="2" t="s">
        <v>35</v>
      </c>
      <c r="G408" s="17">
        <f>'Rozpočet - vybrané sloupce'!J349</f>
        <v>6</v>
      </c>
      <c r="H408" s="17">
        <f>'Rozpočet - vybrané sloupce'!K349</f>
        <v>0</v>
      </c>
      <c r="I408" s="74">
        <v>12</v>
      </c>
      <c r="J408" s="17">
        <f t="shared" si="476"/>
        <v>0</v>
      </c>
      <c r="K408" s="17">
        <f t="shared" si="477"/>
        <v>0</v>
      </c>
      <c r="L408" s="17">
        <f t="shared" si="478"/>
        <v>0</v>
      </c>
      <c r="M408" s="17">
        <f t="shared" si="479"/>
        <v>0</v>
      </c>
      <c r="N408" s="17">
        <v>0</v>
      </c>
      <c r="O408" s="17">
        <f t="shared" si="480"/>
        <v>0</v>
      </c>
      <c r="P408" s="75" t="s">
        <v>576</v>
      </c>
      <c r="Z408" s="17">
        <f t="shared" si="481"/>
        <v>0</v>
      </c>
      <c r="AB408" s="17">
        <f t="shared" si="482"/>
        <v>0</v>
      </c>
      <c r="AC408" s="17">
        <f t="shared" si="483"/>
        <v>0</v>
      </c>
      <c r="AD408" s="17">
        <f t="shared" si="484"/>
        <v>0</v>
      </c>
      <c r="AE408" s="17">
        <f t="shared" si="485"/>
        <v>0</v>
      </c>
      <c r="AF408" s="17">
        <f t="shared" si="486"/>
        <v>0</v>
      </c>
      <c r="AG408" s="17">
        <f t="shared" si="487"/>
        <v>0</v>
      </c>
      <c r="AH408" s="17">
        <f t="shared" si="488"/>
        <v>0</v>
      </c>
      <c r="AI408" s="14" t="s">
        <v>312</v>
      </c>
      <c r="AJ408" s="17">
        <f t="shared" si="489"/>
        <v>0</v>
      </c>
      <c r="AK408" s="17">
        <f t="shared" si="490"/>
        <v>0</v>
      </c>
      <c r="AL408" s="17">
        <f t="shared" si="491"/>
        <v>0</v>
      </c>
      <c r="AN408" s="17">
        <v>12</v>
      </c>
      <c r="AO408" s="17">
        <f>H408*0</f>
        <v>0</v>
      </c>
      <c r="AP408" s="17">
        <f>H408*(1-0)</f>
        <v>0</v>
      </c>
      <c r="AQ408" s="76" t="s">
        <v>577</v>
      </c>
      <c r="AV408" s="17">
        <f t="shared" si="492"/>
        <v>0</v>
      </c>
      <c r="AW408" s="17">
        <f t="shared" si="493"/>
        <v>0</v>
      </c>
      <c r="AX408" s="17">
        <f t="shared" si="494"/>
        <v>0</v>
      </c>
      <c r="AY408" s="76" t="s">
        <v>914</v>
      </c>
      <c r="AZ408" s="76" t="s">
        <v>942</v>
      </c>
      <c r="BA408" s="14" t="s">
        <v>943</v>
      </c>
      <c r="BC408" s="17">
        <f t="shared" si="495"/>
        <v>0</v>
      </c>
      <c r="BD408" s="17">
        <f t="shared" si="496"/>
        <v>0</v>
      </c>
      <c r="BE408" s="17">
        <v>0</v>
      </c>
      <c r="BF408" s="17">
        <f t="shared" si="497"/>
        <v>0</v>
      </c>
      <c r="BH408" s="17">
        <f t="shared" si="498"/>
        <v>0</v>
      </c>
      <c r="BI408" s="17">
        <f t="shared" si="499"/>
        <v>0</v>
      </c>
      <c r="BJ408" s="17">
        <f t="shared" si="500"/>
        <v>0</v>
      </c>
      <c r="BK408" s="17"/>
      <c r="BL408" s="17">
        <v>723</v>
      </c>
      <c r="BW408" s="17">
        <f t="shared" si="501"/>
        <v>12</v>
      </c>
      <c r="BX408" s="4" t="s">
        <v>278</v>
      </c>
    </row>
    <row r="409" spans="1:76" x14ac:dyDescent="0.25">
      <c r="A409" s="1" t="s">
        <v>952</v>
      </c>
      <c r="B409" s="2" t="s">
        <v>312</v>
      </c>
      <c r="C409" s="2" t="s">
        <v>279</v>
      </c>
      <c r="D409" s="83" t="s">
        <v>280</v>
      </c>
      <c r="E409" s="84"/>
      <c r="F409" s="2" t="s">
        <v>35</v>
      </c>
      <c r="G409" s="17">
        <f>'Rozpočet - vybrané sloupce'!J350</f>
        <v>3</v>
      </c>
      <c r="H409" s="17">
        <f>'Rozpočet - vybrané sloupce'!K350</f>
        <v>0</v>
      </c>
      <c r="I409" s="74">
        <v>12</v>
      </c>
      <c r="J409" s="17">
        <f t="shared" si="476"/>
        <v>0</v>
      </c>
      <c r="K409" s="17">
        <f t="shared" si="477"/>
        <v>0</v>
      </c>
      <c r="L409" s="17">
        <f t="shared" si="478"/>
        <v>0</v>
      </c>
      <c r="M409" s="17">
        <f t="shared" si="479"/>
        <v>0</v>
      </c>
      <c r="N409" s="17">
        <v>0</v>
      </c>
      <c r="O409" s="17">
        <f t="shared" si="480"/>
        <v>0</v>
      </c>
      <c r="P409" s="75" t="s">
        <v>576</v>
      </c>
      <c r="Z409" s="17">
        <f t="shared" si="481"/>
        <v>0</v>
      </c>
      <c r="AB409" s="17">
        <f t="shared" si="482"/>
        <v>0</v>
      </c>
      <c r="AC409" s="17">
        <f t="shared" si="483"/>
        <v>0</v>
      </c>
      <c r="AD409" s="17">
        <f t="shared" si="484"/>
        <v>0</v>
      </c>
      <c r="AE409" s="17">
        <f t="shared" si="485"/>
        <v>0</v>
      </c>
      <c r="AF409" s="17">
        <f t="shared" si="486"/>
        <v>0</v>
      </c>
      <c r="AG409" s="17">
        <f t="shared" si="487"/>
        <v>0</v>
      </c>
      <c r="AH409" s="17">
        <f t="shared" si="488"/>
        <v>0</v>
      </c>
      <c r="AI409" s="14" t="s">
        <v>312</v>
      </c>
      <c r="AJ409" s="17">
        <f t="shared" si="489"/>
        <v>0</v>
      </c>
      <c r="AK409" s="17">
        <f t="shared" si="490"/>
        <v>0</v>
      </c>
      <c r="AL409" s="17">
        <f t="shared" si="491"/>
        <v>0</v>
      </c>
      <c r="AN409" s="17">
        <v>12</v>
      </c>
      <c r="AO409" s="17">
        <f>H409*0</f>
        <v>0</v>
      </c>
      <c r="AP409" s="17">
        <f>H409*(1-0)</f>
        <v>0</v>
      </c>
      <c r="AQ409" s="76" t="s">
        <v>577</v>
      </c>
      <c r="AV409" s="17">
        <f t="shared" si="492"/>
        <v>0</v>
      </c>
      <c r="AW409" s="17">
        <f t="shared" si="493"/>
        <v>0</v>
      </c>
      <c r="AX409" s="17">
        <f t="shared" si="494"/>
        <v>0</v>
      </c>
      <c r="AY409" s="76" t="s">
        <v>914</v>
      </c>
      <c r="AZ409" s="76" t="s">
        <v>942</v>
      </c>
      <c r="BA409" s="14" t="s">
        <v>943</v>
      </c>
      <c r="BC409" s="17">
        <f t="shared" si="495"/>
        <v>0</v>
      </c>
      <c r="BD409" s="17">
        <f t="shared" si="496"/>
        <v>0</v>
      </c>
      <c r="BE409" s="17">
        <v>0</v>
      </c>
      <c r="BF409" s="17">
        <f t="shared" si="497"/>
        <v>0</v>
      </c>
      <c r="BH409" s="17">
        <f t="shared" si="498"/>
        <v>0</v>
      </c>
      <c r="BI409" s="17">
        <f t="shared" si="499"/>
        <v>0</v>
      </c>
      <c r="BJ409" s="17">
        <f t="shared" si="500"/>
        <v>0</v>
      </c>
      <c r="BK409" s="17"/>
      <c r="BL409" s="17">
        <v>723</v>
      </c>
      <c r="BW409" s="17">
        <f t="shared" si="501"/>
        <v>12</v>
      </c>
      <c r="BX409" s="4" t="s">
        <v>280</v>
      </c>
    </row>
    <row r="410" spans="1:76" x14ac:dyDescent="0.25">
      <c r="A410" s="1" t="s">
        <v>953</v>
      </c>
      <c r="B410" s="2" t="s">
        <v>312</v>
      </c>
      <c r="C410" s="2" t="s">
        <v>281</v>
      </c>
      <c r="D410" s="83" t="s">
        <v>282</v>
      </c>
      <c r="E410" s="84"/>
      <c r="F410" s="2" t="s">
        <v>40</v>
      </c>
      <c r="G410" s="17">
        <f>'Rozpočet - vybrané sloupce'!J351</f>
        <v>3</v>
      </c>
      <c r="H410" s="17">
        <f>'Rozpočet - vybrané sloupce'!K351</f>
        <v>0</v>
      </c>
      <c r="I410" s="74">
        <v>12</v>
      </c>
      <c r="J410" s="17">
        <f t="shared" si="476"/>
        <v>0</v>
      </c>
      <c r="K410" s="17">
        <f t="shared" si="477"/>
        <v>0</v>
      </c>
      <c r="L410" s="17">
        <f t="shared" si="478"/>
        <v>0</v>
      </c>
      <c r="M410" s="17">
        <f t="shared" si="479"/>
        <v>0</v>
      </c>
      <c r="N410" s="17">
        <v>0</v>
      </c>
      <c r="O410" s="17">
        <f t="shared" si="480"/>
        <v>0</v>
      </c>
      <c r="P410" s="75" t="s">
        <v>576</v>
      </c>
      <c r="Z410" s="17">
        <f t="shared" si="481"/>
        <v>0</v>
      </c>
      <c r="AB410" s="17">
        <f t="shared" si="482"/>
        <v>0</v>
      </c>
      <c r="AC410" s="17">
        <f t="shared" si="483"/>
        <v>0</v>
      </c>
      <c r="AD410" s="17">
        <f t="shared" si="484"/>
        <v>0</v>
      </c>
      <c r="AE410" s="17">
        <f t="shared" si="485"/>
        <v>0</v>
      </c>
      <c r="AF410" s="17">
        <f t="shared" si="486"/>
        <v>0</v>
      </c>
      <c r="AG410" s="17">
        <f t="shared" si="487"/>
        <v>0</v>
      </c>
      <c r="AH410" s="17">
        <f t="shared" si="488"/>
        <v>0</v>
      </c>
      <c r="AI410" s="14" t="s">
        <v>312</v>
      </c>
      <c r="AJ410" s="17">
        <f t="shared" si="489"/>
        <v>0</v>
      </c>
      <c r="AK410" s="17">
        <f t="shared" si="490"/>
        <v>0</v>
      </c>
      <c r="AL410" s="17">
        <f t="shared" si="491"/>
        <v>0</v>
      </c>
      <c r="AN410" s="17">
        <v>12</v>
      </c>
      <c r="AO410" s="17">
        <f>H410*0</f>
        <v>0</v>
      </c>
      <c r="AP410" s="17">
        <f>H410*(1-0)</f>
        <v>0</v>
      </c>
      <c r="AQ410" s="76" t="s">
        <v>577</v>
      </c>
      <c r="AV410" s="17">
        <f t="shared" si="492"/>
        <v>0</v>
      </c>
      <c r="AW410" s="17">
        <f t="shared" si="493"/>
        <v>0</v>
      </c>
      <c r="AX410" s="17">
        <f t="shared" si="494"/>
        <v>0</v>
      </c>
      <c r="AY410" s="76" t="s">
        <v>914</v>
      </c>
      <c r="AZ410" s="76" t="s">
        <v>942</v>
      </c>
      <c r="BA410" s="14" t="s">
        <v>943</v>
      </c>
      <c r="BC410" s="17">
        <f t="shared" si="495"/>
        <v>0</v>
      </c>
      <c r="BD410" s="17">
        <f t="shared" si="496"/>
        <v>0</v>
      </c>
      <c r="BE410" s="17">
        <v>0</v>
      </c>
      <c r="BF410" s="17">
        <f t="shared" si="497"/>
        <v>0</v>
      </c>
      <c r="BH410" s="17">
        <f t="shared" si="498"/>
        <v>0</v>
      </c>
      <c r="BI410" s="17">
        <f t="shared" si="499"/>
        <v>0</v>
      </c>
      <c r="BJ410" s="17">
        <f t="shared" si="500"/>
        <v>0</v>
      </c>
      <c r="BK410" s="17"/>
      <c r="BL410" s="17">
        <v>723</v>
      </c>
      <c r="BW410" s="17">
        <f t="shared" si="501"/>
        <v>12</v>
      </c>
      <c r="BX410" s="4" t="s">
        <v>282</v>
      </c>
    </row>
    <row r="411" spans="1:76" x14ac:dyDescent="0.25">
      <c r="A411" s="1" t="s">
        <v>954</v>
      </c>
      <c r="B411" s="2" t="s">
        <v>312</v>
      </c>
      <c r="C411" s="2" t="s">
        <v>283</v>
      </c>
      <c r="D411" s="83" t="s">
        <v>284</v>
      </c>
      <c r="E411" s="84"/>
      <c r="F411" s="2" t="s">
        <v>35</v>
      </c>
      <c r="G411" s="17">
        <f>'Rozpočet - vybrané sloupce'!J352</f>
        <v>2</v>
      </c>
      <c r="H411" s="17">
        <f>'Rozpočet - vybrané sloupce'!K352</f>
        <v>0</v>
      </c>
      <c r="I411" s="74">
        <v>12</v>
      </c>
      <c r="J411" s="17">
        <f t="shared" si="476"/>
        <v>0</v>
      </c>
      <c r="K411" s="17">
        <f t="shared" si="477"/>
        <v>0</v>
      </c>
      <c r="L411" s="17">
        <f t="shared" si="478"/>
        <v>0</v>
      </c>
      <c r="M411" s="17">
        <f t="shared" si="479"/>
        <v>0</v>
      </c>
      <c r="N411" s="17">
        <v>0</v>
      </c>
      <c r="O411" s="17">
        <f t="shared" si="480"/>
        <v>0</v>
      </c>
      <c r="P411" s="75" t="s">
        <v>576</v>
      </c>
      <c r="Z411" s="17">
        <f t="shared" si="481"/>
        <v>0</v>
      </c>
      <c r="AB411" s="17">
        <f t="shared" si="482"/>
        <v>0</v>
      </c>
      <c r="AC411" s="17">
        <f t="shared" si="483"/>
        <v>0</v>
      </c>
      <c r="AD411" s="17">
        <f t="shared" si="484"/>
        <v>0</v>
      </c>
      <c r="AE411" s="17">
        <f t="shared" si="485"/>
        <v>0</v>
      </c>
      <c r="AF411" s="17">
        <f t="shared" si="486"/>
        <v>0</v>
      </c>
      <c r="AG411" s="17">
        <f t="shared" si="487"/>
        <v>0</v>
      </c>
      <c r="AH411" s="17">
        <f t="shared" si="488"/>
        <v>0</v>
      </c>
      <c r="AI411" s="14" t="s">
        <v>312</v>
      </c>
      <c r="AJ411" s="17">
        <f t="shared" si="489"/>
        <v>0</v>
      </c>
      <c r="AK411" s="17">
        <f t="shared" si="490"/>
        <v>0</v>
      </c>
      <c r="AL411" s="17">
        <f t="shared" si="491"/>
        <v>0</v>
      </c>
      <c r="AN411" s="17">
        <v>12</v>
      </c>
      <c r="AO411" s="17">
        <f>H411*0.133333333</f>
        <v>0</v>
      </c>
      <c r="AP411" s="17">
        <f>H411*(1-0.133333333)</f>
        <v>0</v>
      </c>
      <c r="AQ411" s="76" t="s">
        <v>577</v>
      </c>
      <c r="AV411" s="17">
        <f t="shared" si="492"/>
        <v>0</v>
      </c>
      <c r="AW411" s="17">
        <f t="shared" si="493"/>
        <v>0</v>
      </c>
      <c r="AX411" s="17">
        <f t="shared" si="494"/>
        <v>0</v>
      </c>
      <c r="AY411" s="76" t="s">
        <v>914</v>
      </c>
      <c r="AZ411" s="76" t="s">
        <v>942</v>
      </c>
      <c r="BA411" s="14" t="s">
        <v>943</v>
      </c>
      <c r="BC411" s="17">
        <f t="shared" si="495"/>
        <v>0</v>
      </c>
      <c r="BD411" s="17">
        <f t="shared" si="496"/>
        <v>0</v>
      </c>
      <c r="BE411" s="17">
        <v>0</v>
      </c>
      <c r="BF411" s="17">
        <f t="shared" si="497"/>
        <v>0</v>
      </c>
      <c r="BH411" s="17">
        <f t="shared" si="498"/>
        <v>0</v>
      </c>
      <c r="BI411" s="17">
        <f t="shared" si="499"/>
        <v>0</v>
      </c>
      <c r="BJ411" s="17">
        <f t="shared" si="500"/>
        <v>0</v>
      </c>
      <c r="BK411" s="17"/>
      <c r="BL411" s="17">
        <v>723</v>
      </c>
      <c r="BW411" s="17">
        <f t="shared" si="501"/>
        <v>12</v>
      </c>
      <c r="BX411" s="4" t="s">
        <v>284</v>
      </c>
    </row>
    <row r="412" spans="1:76" x14ac:dyDescent="0.25">
      <c r="A412" s="1" t="s">
        <v>955</v>
      </c>
      <c r="B412" s="2" t="s">
        <v>312</v>
      </c>
      <c r="C412" s="2" t="s">
        <v>285</v>
      </c>
      <c r="D412" s="83" t="s">
        <v>286</v>
      </c>
      <c r="E412" s="84"/>
      <c r="F412" s="2" t="s">
        <v>35</v>
      </c>
      <c r="G412" s="17">
        <f>'Rozpočet - vybrané sloupce'!J353</f>
        <v>6</v>
      </c>
      <c r="H412" s="17">
        <f>'Rozpočet - vybrané sloupce'!K353</f>
        <v>0</v>
      </c>
      <c r="I412" s="74">
        <v>12</v>
      </c>
      <c r="J412" s="17">
        <f t="shared" si="476"/>
        <v>0</v>
      </c>
      <c r="K412" s="17">
        <f t="shared" si="477"/>
        <v>0</v>
      </c>
      <c r="L412" s="17">
        <f t="shared" si="478"/>
        <v>0</v>
      </c>
      <c r="M412" s="17">
        <f t="shared" si="479"/>
        <v>0</v>
      </c>
      <c r="N412" s="17">
        <v>8.8999999999999995E-4</v>
      </c>
      <c r="O412" s="17">
        <f t="shared" si="480"/>
        <v>5.3399999999999993E-3</v>
      </c>
      <c r="P412" s="75" t="s">
        <v>576</v>
      </c>
      <c r="Z412" s="17">
        <f t="shared" si="481"/>
        <v>0</v>
      </c>
      <c r="AB412" s="17">
        <f t="shared" si="482"/>
        <v>0</v>
      </c>
      <c r="AC412" s="17">
        <f t="shared" si="483"/>
        <v>0</v>
      </c>
      <c r="AD412" s="17">
        <f t="shared" si="484"/>
        <v>0</v>
      </c>
      <c r="AE412" s="17">
        <f t="shared" si="485"/>
        <v>0</v>
      </c>
      <c r="AF412" s="17">
        <f t="shared" si="486"/>
        <v>0</v>
      </c>
      <c r="AG412" s="17">
        <f t="shared" si="487"/>
        <v>0</v>
      </c>
      <c r="AH412" s="17">
        <f t="shared" si="488"/>
        <v>0</v>
      </c>
      <c r="AI412" s="14" t="s">
        <v>312</v>
      </c>
      <c r="AJ412" s="17">
        <f t="shared" si="489"/>
        <v>0</v>
      </c>
      <c r="AK412" s="17">
        <f t="shared" si="490"/>
        <v>0</v>
      </c>
      <c r="AL412" s="17">
        <f t="shared" si="491"/>
        <v>0</v>
      </c>
      <c r="AN412" s="17">
        <v>12</v>
      </c>
      <c r="AO412" s="17">
        <f>H412*0</f>
        <v>0</v>
      </c>
      <c r="AP412" s="17">
        <f>H412*(1-0)</f>
        <v>0</v>
      </c>
      <c r="AQ412" s="76" t="s">
        <v>577</v>
      </c>
      <c r="AV412" s="17">
        <f t="shared" si="492"/>
        <v>0</v>
      </c>
      <c r="AW412" s="17">
        <f t="shared" si="493"/>
        <v>0</v>
      </c>
      <c r="AX412" s="17">
        <f t="shared" si="494"/>
        <v>0</v>
      </c>
      <c r="AY412" s="76" t="s">
        <v>914</v>
      </c>
      <c r="AZ412" s="76" t="s">
        <v>942</v>
      </c>
      <c r="BA412" s="14" t="s">
        <v>943</v>
      </c>
      <c r="BC412" s="17">
        <f t="shared" si="495"/>
        <v>0</v>
      </c>
      <c r="BD412" s="17">
        <f t="shared" si="496"/>
        <v>0</v>
      </c>
      <c r="BE412" s="17">
        <v>0</v>
      </c>
      <c r="BF412" s="17">
        <f t="shared" si="497"/>
        <v>5.3399999999999993E-3</v>
      </c>
      <c r="BH412" s="17">
        <f t="shared" si="498"/>
        <v>0</v>
      </c>
      <c r="BI412" s="17">
        <f t="shared" si="499"/>
        <v>0</v>
      </c>
      <c r="BJ412" s="17">
        <f t="shared" si="500"/>
        <v>0</v>
      </c>
      <c r="BK412" s="17"/>
      <c r="BL412" s="17">
        <v>723</v>
      </c>
      <c r="BW412" s="17">
        <f t="shared" si="501"/>
        <v>12</v>
      </c>
      <c r="BX412" s="4" t="s">
        <v>286</v>
      </c>
    </row>
    <row r="413" spans="1:76" x14ac:dyDescent="0.25">
      <c r="A413" s="1" t="s">
        <v>956</v>
      </c>
      <c r="B413" s="2" t="s">
        <v>312</v>
      </c>
      <c r="C413" s="2" t="s">
        <v>287</v>
      </c>
      <c r="D413" s="83" t="s">
        <v>288</v>
      </c>
      <c r="E413" s="84"/>
      <c r="F413" s="2" t="s">
        <v>289</v>
      </c>
      <c r="G413" s="17">
        <f>'Rozpočet - vybrané sloupce'!J354</f>
        <v>6</v>
      </c>
      <c r="H413" s="17">
        <f>'Rozpočet - vybrané sloupce'!K354</f>
        <v>0</v>
      </c>
      <c r="I413" s="74">
        <v>12</v>
      </c>
      <c r="J413" s="17">
        <f t="shared" si="476"/>
        <v>0</v>
      </c>
      <c r="K413" s="17">
        <f t="shared" si="477"/>
        <v>0</v>
      </c>
      <c r="L413" s="17">
        <f t="shared" si="478"/>
        <v>0</v>
      </c>
      <c r="M413" s="17">
        <f t="shared" si="479"/>
        <v>0</v>
      </c>
      <c r="N413" s="17">
        <v>5.13E-3</v>
      </c>
      <c r="O413" s="17">
        <f t="shared" si="480"/>
        <v>3.0780000000000002E-2</v>
      </c>
      <c r="P413" s="75" t="s">
        <v>576</v>
      </c>
      <c r="Z413" s="17">
        <f t="shared" si="481"/>
        <v>0</v>
      </c>
      <c r="AB413" s="17">
        <f t="shared" si="482"/>
        <v>0</v>
      </c>
      <c r="AC413" s="17">
        <f t="shared" si="483"/>
        <v>0</v>
      </c>
      <c r="AD413" s="17">
        <f t="shared" si="484"/>
        <v>0</v>
      </c>
      <c r="AE413" s="17">
        <f t="shared" si="485"/>
        <v>0</v>
      </c>
      <c r="AF413" s="17">
        <f t="shared" si="486"/>
        <v>0</v>
      </c>
      <c r="AG413" s="17">
        <f t="shared" si="487"/>
        <v>0</v>
      </c>
      <c r="AH413" s="17">
        <f t="shared" si="488"/>
        <v>0</v>
      </c>
      <c r="AI413" s="14" t="s">
        <v>312</v>
      </c>
      <c r="AJ413" s="17">
        <f t="shared" si="489"/>
        <v>0</v>
      </c>
      <c r="AK413" s="17">
        <f t="shared" si="490"/>
        <v>0</v>
      </c>
      <c r="AL413" s="17">
        <f t="shared" si="491"/>
        <v>0</v>
      </c>
      <c r="AN413" s="17">
        <v>12</v>
      </c>
      <c r="AO413" s="17">
        <f>H413*0</f>
        <v>0</v>
      </c>
      <c r="AP413" s="17">
        <f>H413*(1-0)</f>
        <v>0</v>
      </c>
      <c r="AQ413" s="76" t="s">
        <v>577</v>
      </c>
      <c r="AV413" s="17">
        <f t="shared" si="492"/>
        <v>0</v>
      </c>
      <c r="AW413" s="17">
        <f t="shared" si="493"/>
        <v>0</v>
      </c>
      <c r="AX413" s="17">
        <f t="shared" si="494"/>
        <v>0</v>
      </c>
      <c r="AY413" s="76" t="s">
        <v>914</v>
      </c>
      <c r="AZ413" s="76" t="s">
        <v>942</v>
      </c>
      <c r="BA413" s="14" t="s">
        <v>943</v>
      </c>
      <c r="BC413" s="17">
        <f t="shared" si="495"/>
        <v>0</v>
      </c>
      <c r="BD413" s="17">
        <f t="shared" si="496"/>
        <v>0</v>
      </c>
      <c r="BE413" s="17">
        <v>0</v>
      </c>
      <c r="BF413" s="17">
        <f t="shared" si="497"/>
        <v>3.0780000000000002E-2</v>
      </c>
      <c r="BH413" s="17">
        <f t="shared" si="498"/>
        <v>0</v>
      </c>
      <c r="BI413" s="17">
        <f t="shared" si="499"/>
        <v>0</v>
      </c>
      <c r="BJ413" s="17">
        <f t="shared" si="500"/>
        <v>0</v>
      </c>
      <c r="BK413" s="17"/>
      <c r="BL413" s="17">
        <v>723</v>
      </c>
      <c r="BW413" s="17">
        <f t="shared" si="501"/>
        <v>12</v>
      </c>
      <c r="BX413" s="4" t="s">
        <v>288</v>
      </c>
    </row>
    <row r="414" spans="1:76" x14ac:dyDescent="0.25">
      <c r="A414" s="1" t="s">
        <v>957</v>
      </c>
      <c r="B414" s="2" t="s">
        <v>312</v>
      </c>
      <c r="C414" s="2" t="s">
        <v>290</v>
      </c>
      <c r="D414" s="83" t="s">
        <v>291</v>
      </c>
      <c r="E414" s="84"/>
      <c r="F414" s="2" t="s">
        <v>40</v>
      </c>
      <c r="G414" s="17">
        <f>'Rozpočet - vybrané sloupce'!J355</f>
        <v>6</v>
      </c>
      <c r="H414" s="17">
        <f>'Rozpočet - vybrané sloupce'!K355</f>
        <v>0</v>
      </c>
      <c r="I414" s="74">
        <v>12</v>
      </c>
      <c r="J414" s="17">
        <f t="shared" si="476"/>
        <v>0</v>
      </c>
      <c r="K414" s="17">
        <f t="shared" si="477"/>
        <v>0</v>
      </c>
      <c r="L414" s="17">
        <f t="shared" si="478"/>
        <v>0</v>
      </c>
      <c r="M414" s="17">
        <f t="shared" si="479"/>
        <v>0</v>
      </c>
      <c r="N414" s="17">
        <v>1.8000000000000001E-4</v>
      </c>
      <c r="O414" s="17">
        <f t="shared" si="480"/>
        <v>1.08E-3</v>
      </c>
      <c r="P414" s="75" t="s">
        <v>576</v>
      </c>
      <c r="Z414" s="17">
        <f t="shared" si="481"/>
        <v>0</v>
      </c>
      <c r="AB414" s="17">
        <f t="shared" si="482"/>
        <v>0</v>
      </c>
      <c r="AC414" s="17">
        <f t="shared" si="483"/>
        <v>0</v>
      </c>
      <c r="AD414" s="17">
        <f t="shared" si="484"/>
        <v>0</v>
      </c>
      <c r="AE414" s="17">
        <f t="shared" si="485"/>
        <v>0</v>
      </c>
      <c r="AF414" s="17">
        <f t="shared" si="486"/>
        <v>0</v>
      </c>
      <c r="AG414" s="17">
        <f t="shared" si="487"/>
        <v>0</v>
      </c>
      <c r="AH414" s="17">
        <f t="shared" si="488"/>
        <v>0</v>
      </c>
      <c r="AI414" s="14" t="s">
        <v>312</v>
      </c>
      <c r="AJ414" s="17">
        <f t="shared" si="489"/>
        <v>0</v>
      </c>
      <c r="AK414" s="17">
        <f t="shared" si="490"/>
        <v>0</v>
      </c>
      <c r="AL414" s="17">
        <f t="shared" si="491"/>
        <v>0</v>
      </c>
      <c r="AN414" s="17">
        <v>12</v>
      </c>
      <c r="AO414" s="17">
        <f>H414*0.062206897</f>
        <v>0</v>
      </c>
      <c r="AP414" s="17">
        <f>H414*(1-0.062206897)</f>
        <v>0</v>
      </c>
      <c r="AQ414" s="76" t="s">
        <v>577</v>
      </c>
      <c r="AV414" s="17">
        <f t="shared" si="492"/>
        <v>0</v>
      </c>
      <c r="AW414" s="17">
        <f t="shared" si="493"/>
        <v>0</v>
      </c>
      <c r="AX414" s="17">
        <f t="shared" si="494"/>
        <v>0</v>
      </c>
      <c r="AY414" s="76" t="s">
        <v>914</v>
      </c>
      <c r="AZ414" s="76" t="s">
        <v>942</v>
      </c>
      <c r="BA414" s="14" t="s">
        <v>943</v>
      </c>
      <c r="BC414" s="17">
        <f t="shared" si="495"/>
        <v>0</v>
      </c>
      <c r="BD414" s="17">
        <f t="shared" si="496"/>
        <v>0</v>
      </c>
      <c r="BE414" s="17">
        <v>0</v>
      </c>
      <c r="BF414" s="17">
        <f t="shared" si="497"/>
        <v>1.08E-3</v>
      </c>
      <c r="BH414" s="17">
        <f t="shared" si="498"/>
        <v>0</v>
      </c>
      <c r="BI414" s="17">
        <f t="shared" si="499"/>
        <v>0</v>
      </c>
      <c r="BJ414" s="17">
        <f t="shared" si="500"/>
        <v>0</v>
      </c>
      <c r="BK414" s="17"/>
      <c r="BL414" s="17">
        <v>723</v>
      </c>
      <c r="BW414" s="17">
        <f t="shared" si="501"/>
        <v>12</v>
      </c>
      <c r="BX414" s="4" t="s">
        <v>291</v>
      </c>
    </row>
    <row r="415" spans="1:76" x14ac:dyDescent="0.25">
      <c r="A415" s="1" t="s">
        <v>958</v>
      </c>
      <c r="B415" s="2" t="s">
        <v>312</v>
      </c>
      <c r="C415" s="2" t="s">
        <v>292</v>
      </c>
      <c r="D415" s="83" t="s">
        <v>293</v>
      </c>
      <c r="E415" s="84"/>
      <c r="F415" s="2" t="s">
        <v>40</v>
      </c>
      <c r="G415" s="17">
        <f>'Rozpočet - vybrané sloupce'!J356</f>
        <v>6</v>
      </c>
      <c r="H415" s="17">
        <f>'Rozpočet - vybrané sloupce'!K356</f>
        <v>0</v>
      </c>
      <c r="I415" s="74">
        <v>12</v>
      </c>
      <c r="J415" s="17">
        <f t="shared" si="476"/>
        <v>0</v>
      </c>
      <c r="K415" s="17">
        <f t="shared" si="477"/>
        <v>0</v>
      </c>
      <c r="L415" s="17">
        <f t="shared" si="478"/>
        <v>0</v>
      </c>
      <c r="M415" s="17">
        <f t="shared" si="479"/>
        <v>0</v>
      </c>
      <c r="N415" s="17">
        <v>3.2499999999999999E-3</v>
      </c>
      <c r="O415" s="17">
        <f t="shared" si="480"/>
        <v>1.95E-2</v>
      </c>
      <c r="P415" s="75" t="s">
        <v>576</v>
      </c>
      <c r="Z415" s="17">
        <f t="shared" si="481"/>
        <v>0</v>
      </c>
      <c r="AB415" s="17">
        <f t="shared" si="482"/>
        <v>0</v>
      </c>
      <c r="AC415" s="17">
        <f t="shared" si="483"/>
        <v>0</v>
      </c>
      <c r="AD415" s="17">
        <f t="shared" si="484"/>
        <v>0</v>
      </c>
      <c r="AE415" s="17">
        <f t="shared" si="485"/>
        <v>0</v>
      </c>
      <c r="AF415" s="17">
        <f t="shared" si="486"/>
        <v>0</v>
      </c>
      <c r="AG415" s="17">
        <f t="shared" si="487"/>
        <v>0</v>
      </c>
      <c r="AH415" s="17">
        <f t="shared" si="488"/>
        <v>0</v>
      </c>
      <c r="AI415" s="14" t="s">
        <v>312</v>
      </c>
      <c r="AJ415" s="17">
        <f t="shared" si="489"/>
        <v>0</v>
      </c>
      <c r="AK415" s="17">
        <f t="shared" si="490"/>
        <v>0</v>
      </c>
      <c r="AL415" s="17">
        <f t="shared" si="491"/>
        <v>0</v>
      </c>
      <c r="AN415" s="17">
        <v>12</v>
      </c>
      <c r="AO415" s="17">
        <f>H415*0.474438596</f>
        <v>0</v>
      </c>
      <c r="AP415" s="17">
        <f>H415*(1-0.474438596)</f>
        <v>0</v>
      </c>
      <c r="AQ415" s="76" t="s">
        <v>577</v>
      </c>
      <c r="AV415" s="17">
        <f t="shared" si="492"/>
        <v>0</v>
      </c>
      <c r="AW415" s="17">
        <f t="shared" si="493"/>
        <v>0</v>
      </c>
      <c r="AX415" s="17">
        <f t="shared" si="494"/>
        <v>0</v>
      </c>
      <c r="AY415" s="76" t="s">
        <v>914</v>
      </c>
      <c r="AZ415" s="76" t="s">
        <v>942</v>
      </c>
      <c r="BA415" s="14" t="s">
        <v>943</v>
      </c>
      <c r="BC415" s="17">
        <f t="shared" si="495"/>
        <v>0</v>
      </c>
      <c r="BD415" s="17">
        <f t="shared" si="496"/>
        <v>0</v>
      </c>
      <c r="BE415" s="17">
        <v>0</v>
      </c>
      <c r="BF415" s="17">
        <f t="shared" si="497"/>
        <v>1.95E-2</v>
      </c>
      <c r="BH415" s="17">
        <f t="shared" si="498"/>
        <v>0</v>
      </c>
      <c r="BI415" s="17">
        <f t="shared" si="499"/>
        <v>0</v>
      </c>
      <c r="BJ415" s="17">
        <f t="shared" si="500"/>
        <v>0</v>
      </c>
      <c r="BK415" s="17"/>
      <c r="BL415" s="17">
        <v>723</v>
      </c>
      <c r="BW415" s="17">
        <f t="shared" si="501"/>
        <v>12</v>
      </c>
      <c r="BX415" s="4" t="s">
        <v>293</v>
      </c>
    </row>
    <row r="416" spans="1:76" x14ac:dyDescent="0.25">
      <c r="A416" s="1" t="s">
        <v>959</v>
      </c>
      <c r="B416" s="2" t="s">
        <v>312</v>
      </c>
      <c r="C416" s="2" t="s">
        <v>294</v>
      </c>
      <c r="D416" s="83" t="s">
        <v>295</v>
      </c>
      <c r="E416" s="84"/>
      <c r="F416" s="2" t="s">
        <v>35</v>
      </c>
      <c r="G416" s="17">
        <f>'Rozpočet - vybrané sloupce'!J357</f>
        <v>6</v>
      </c>
      <c r="H416" s="17">
        <f>'Rozpočet - vybrané sloupce'!K357</f>
        <v>0</v>
      </c>
      <c r="I416" s="74">
        <v>12</v>
      </c>
      <c r="J416" s="17">
        <f t="shared" si="476"/>
        <v>0</v>
      </c>
      <c r="K416" s="17">
        <f t="shared" si="477"/>
        <v>0</v>
      </c>
      <c r="L416" s="17">
        <f t="shared" si="478"/>
        <v>0</v>
      </c>
      <c r="M416" s="17">
        <f t="shared" si="479"/>
        <v>0</v>
      </c>
      <c r="N416" s="17">
        <v>4.3800000000000002E-3</v>
      </c>
      <c r="O416" s="17">
        <f t="shared" si="480"/>
        <v>2.6280000000000001E-2</v>
      </c>
      <c r="P416" s="75" t="s">
        <v>576</v>
      </c>
      <c r="Z416" s="17">
        <f t="shared" si="481"/>
        <v>0</v>
      </c>
      <c r="AB416" s="17">
        <f t="shared" si="482"/>
        <v>0</v>
      </c>
      <c r="AC416" s="17">
        <f t="shared" si="483"/>
        <v>0</v>
      </c>
      <c r="AD416" s="17">
        <f t="shared" si="484"/>
        <v>0</v>
      </c>
      <c r="AE416" s="17">
        <f t="shared" si="485"/>
        <v>0</v>
      </c>
      <c r="AF416" s="17">
        <f t="shared" si="486"/>
        <v>0</v>
      </c>
      <c r="AG416" s="17">
        <f t="shared" si="487"/>
        <v>0</v>
      </c>
      <c r="AH416" s="17">
        <f t="shared" si="488"/>
        <v>0</v>
      </c>
      <c r="AI416" s="14" t="s">
        <v>312</v>
      </c>
      <c r="AJ416" s="17">
        <f t="shared" si="489"/>
        <v>0</v>
      </c>
      <c r="AK416" s="17">
        <f t="shared" si="490"/>
        <v>0</v>
      </c>
      <c r="AL416" s="17">
        <f t="shared" si="491"/>
        <v>0</v>
      </c>
      <c r="AN416" s="17">
        <v>12</v>
      </c>
      <c r="AO416" s="17">
        <f>H416*0.219761905</f>
        <v>0</v>
      </c>
      <c r="AP416" s="17">
        <f>H416*(1-0.219761905)</f>
        <v>0</v>
      </c>
      <c r="AQ416" s="76" t="s">
        <v>577</v>
      </c>
      <c r="AV416" s="17">
        <f t="shared" si="492"/>
        <v>0</v>
      </c>
      <c r="AW416" s="17">
        <f t="shared" si="493"/>
        <v>0</v>
      </c>
      <c r="AX416" s="17">
        <f t="shared" si="494"/>
        <v>0</v>
      </c>
      <c r="AY416" s="76" t="s">
        <v>914</v>
      </c>
      <c r="AZ416" s="76" t="s">
        <v>942</v>
      </c>
      <c r="BA416" s="14" t="s">
        <v>943</v>
      </c>
      <c r="BC416" s="17">
        <f t="shared" si="495"/>
        <v>0</v>
      </c>
      <c r="BD416" s="17">
        <f t="shared" si="496"/>
        <v>0</v>
      </c>
      <c r="BE416" s="17">
        <v>0</v>
      </c>
      <c r="BF416" s="17">
        <f t="shared" si="497"/>
        <v>2.6280000000000001E-2</v>
      </c>
      <c r="BH416" s="17">
        <f t="shared" si="498"/>
        <v>0</v>
      </c>
      <c r="BI416" s="17">
        <f t="shared" si="499"/>
        <v>0</v>
      </c>
      <c r="BJ416" s="17">
        <f t="shared" si="500"/>
        <v>0</v>
      </c>
      <c r="BK416" s="17"/>
      <c r="BL416" s="17">
        <v>723</v>
      </c>
      <c r="BW416" s="17">
        <f t="shared" si="501"/>
        <v>12</v>
      </c>
      <c r="BX416" s="4" t="s">
        <v>295</v>
      </c>
    </row>
    <row r="417" spans="1:76" x14ac:dyDescent="0.25">
      <c r="A417" s="1" t="s">
        <v>960</v>
      </c>
      <c r="B417" s="2" t="s">
        <v>312</v>
      </c>
      <c r="C417" s="2" t="s">
        <v>296</v>
      </c>
      <c r="D417" s="83" t="s">
        <v>297</v>
      </c>
      <c r="E417" s="84"/>
      <c r="F417" s="2" t="s">
        <v>35</v>
      </c>
      <c r="G417" s="17">
        <f>'Rozpočet - vybrané sloupce'!J358</f>
        <v>6</v>
      </c>
      <c r="H417" s="17">
        <f>'Rozpočet - vybrané sloupce'!K358</f>
        <v>0</v>
      </c>
      <c r="I417" s="74">
        <v>12</v>
      </c>
      <c r="J417" s="17">
        <f t="shared" si="476"/>
        <v>0</v>
      </c>
      <c r="K417" s="17">
        <f t="shared" si="477"/>
        <v>0</v>
      </c>
      <c r="L417" s="17">
        <f t="shared" si="478"/>
        <v>0</v>
      </c>
      <c r="M417" s="17">
        <f t="shared" si="479"/>
        <v>0</v>
      </c>
      <c r="N417" s="17">
        <v>1.7000000000000001E-4</v>
      </c>
      <c r="O417" s="17">
        <f t="shared" si="480"/>
        <v>1.0200000000000001E-3</v>
      </c>
      <c r="P417" s="75" t="s">
        <v>576</v>
      </c>
      <c r="Z417" s="17">
        <f t="shared" si="481"/>
        <v>0</v>
      </c>
      <c r="AB417" s="17">
        <f t="shared" si="482"/>
        <v>0</v>
      </c>
      <c r="AC417" s="17">
        <f t="shared" si="483"/>
        <v>0</v>
      </c>
      <c r="AD417" s="17">
        <f t="shared" si="484"/>
        <v>0</v>
      </c>
      <c r="AE417" s="17">
        <f t="shared" si="485"/>
        <v>0</v>
      </c>
      <c r="AF417" s="17">
        <f t="shared" si="486"/>
        <v>0</v>
      </c>
      <c r="AG417" s="17">
        <f t="shared" si="487"/>
        <v>0</v>
      </c>
      <c r="AH417" s="17">
        <f t="shared" si="488"/>
        <v>0</v>
      </c>
      <c r="AI417" s="14" t="s">
        <v>312</v>
      </c>
      <c r="AJ417" s="17">
        <f t="shared" si="489"/>
        <v>0</v>
      </c>
      <c r="AK417" s="17">
        <f t="shared" si="490"/>
        <v>0</v>
      </c>
      <c r="AL417" s="17">
        <f t="shared" si="491"/>
        <v>0</v>
      </c>
      <c r="AN417" s="17">
        <v>12</v>
      </c>
      <c r="AO417" s="17">
        <f>H417*0.250093458</f>
        <v>0</v>
      </c>
      <c r="AP417" s="17">
        <f>H417*(1-0.250093458)</f>
        <v>0</v>
      </c>
      <c r="AQ417" s="76" t="s">
        <v>577</v>
      </c>
      <c r="AV417" s="17">
        <f t="shared" si="492"/>
        <v>0</v>
      </c>
      <c r="AW417" s="17">
        <f t="shared" si="493"/>
        <v>0</v>
      </c>
      <c r="AX417" s="17">
        <f t="shared" si="494"/>
        <v>0</v>
      </c>
      <c r="AY417" s="76" t="s">
        <v>914</v>
      </c>
      <c r="AZ417" s="76" t="s">
        <v>942</v>
      </c>
      <c r="BA417" s="14" t="s">
        <v>943</v>
      </c>
      <c r="BC417" s="17">
        <f t="shared" si="495"/>
        <v>0</v>
      </c>
      <c r="BD417" s="17">
        <f t="shared" si="496"/>
        <v>0</v>
      </c>
      <c r="BE417" s="17">
        <v>0</v>
      </c>
      <c r="BF417" s="17">
        <f t="shared" si="497"/>
        <v>1.0200000000000001E-3</v>
      </c>
      <c r="BH417" s="17">
        <f t="shared" si="498"/>
        <v>0</v>
      </c>
      <c r="BI417" s="17">
        <f t="shared" si="499"/>
        <v>0</v>
      </c>
      <c r="BJ417" s="17">
        <f t="shared" si="500"/>
        <v>0</v>
      </c>
      <c r="BK417" s="17"/>
      <c r="BL417" s="17">
        <v>723</v>
      </c>
      <c r="BW417" s="17">
        <f t="shared" si="501"/>
        <v>12</v>
      </c>
      <c r="BX417" s="4" t="s">
        <v>297</v>
      </c>
    </row>
    <row r="418" spans="1:76" x14ac:dyDescent="0.25">
      <c r="A418" s="1" t="s">
        <v>961</v>
      </c>
      <c r="B418" s="2" t="s">
        <v>312</v>
      </c>
      <c r="C418" s="2" t="s">
        <v>298</v>
      </c>
      <c r="D418" s="83" t="s">
        <v>299</v>
      </c>
      <c r="E418" s="84"/>
      <c r="F418" s="2" t="s">
        <v>35</v>
      </c>
      <c r="G418" s="17">
        <f>'Rozpočet - vybrané sloupce'!J359</f>
        <v>6</v>
      </c>
      <c r="H418" s="17">
        <f>'Rozpočet - vybrané sloupce'!K359</f>
        <v>0</v>
      </c>
      <c r="I418" s="74">
        <v>12</v>
      </c>
      <c r="J418" s="17">
        <f t="shared" si="476"/>
        <v>0</v>
      </c>
      <c r="K418" s="17">
        <f t="shared" si="477"/>
        <v>0</v>
      </c>
      <c r="L418" s="17">
        <f t="shared" si="478"/>
        <v>0</v>
      </c>
      <c r="M418" s="17">
        <f t="shared" si="479"/>
        <v>0</v>
      </c>
      <c r="N418" s="17">
        <v>0</v>
      </c>
      <c r="O418" s="17">
        <f t="shared" si="480"/>
        <v>0</v>
      </c>
      <c r="P418" s="75" t="s">
        <v>576</v>
      </c>
      <c r="Z418" s="17">
        <f t="shared" si="481"/>
        <v>0</v>
      </c>
      <c r="AB418" s="17">
        <f t="shared" si="482"/>
        <v>0</v>
      </c>
      <c r="AC418" s="17">
        <f t="shared" si="483"/>
        <v>0</v>
      </c>
      <c r="AD418" s="17">
        <f t="shared" si="484"/>
        <v>0</v>
      </c>
      <c r="AE418" s="17">
        <f t="shared" si="485"/>
        <v>0</v>
      </c>
      <c r="AF418" s="17">
        <f t="shared" si="486"/>
        <v>0</v>
      </c>
      <c r="AG418" s="17">
        <f t="shared" si="487"/>
        <v>0</v>
      </c>
      <c r="AH418" s="17">
        <f t="shared" si="488"/>
        <v>0</v>
      </c>
      <c r="AI418" s="14" t="s">
        <v>312</v>
      </c>
      <c r="AJ418" s="17">
        <f t="shared" si="489"/>
        <v>0</v>
      </c>
      <c r="AK418" s="17">
        <f t="shared" si="490"/>
        <v>0</v>
      </c>
      <c r="AL418" s="17">
        <f t="shared" si="491"/>
        <v>0</v>
      </c>
      <c r="AN418" s="17">
        <v>12</v>
      </c>
      <c r="AO418" s="17">
        <f>H418*0.125</f>
        <v>0</v>
      </c>
      <c r="AP418" s="17">
        <f>H418*(1-0.125)</f>
        <v>0</v>
      </c>
      <c r="AQ418" s="76" t="s">
        <v>577</v>
      </c>
      <c r="AV418" s="17">
        <f t="shared" si="492"/>
        <v>0</v>
      </c>
      <c r="AW418" s="17">
        <f t="shared" si="493"/>
        <v>0</v>
      </c>
      <c r="AX418" s="17">
        <f t="shared" si="494"/>
        <v>0</v>
      </c>
      <c r="AY418" s="76" t="s">
        <v>914</v>
      </c>
      <c r="AZ418" s="76" t="s">
        <v>942</v>
      </c>
      <c r="BA418" s="14" t="s">
        <v>943</v>
      </c>
      <c r="BC418" s="17">
        <f t="shared" si="495"/>
        <v>0</v>
      </c>
      <c r="BD418" s="17">
        <f t="shared" si="496"/>
        <v>0</v>
      </c>
      <c r="BE418" s="17">
        <v>0</v>
      </c>
      <c r="BF418" s="17">
        <f t="shared" si="497"/>
        <v>0</v>
      </c>
      <c r="BH418" s="17">
        <f t="shared" si="498"/>
        <v>0</v>
      </c>
      <c r="BI418" s="17">
        <f t="shared" si="499"/>
        <v>0</v>
      </c>
      <c r="BJ418" s="17">
        <f t="shared" si="500"/>
        <v>0</v>
      </c>
      <c r="BK418" s="17"/>
      <c r="BL418" s="17">
        <v>723</v>
      </c>
      <c r="BW418" s="17">
        <f t="shared" si="501"/>
        <v>12</v>
      </c>
      <c r="BX418" s="4" t="s">
        <v>299</v>
      </c>
    </row>
    <row r="419" spans="1:76" x14ac:dyDescent="0.25">
      <c r="A419" s="1" t="s">
        <v>962</v>
      </c>
      <c r="B419" s="2" t="s">
        <v>312</v>
      </c>
      <c r="C419" s="2" t="s">
        <v>300</v>
      </c>
      <c r="D419" s="83" t="s">
        <v>301</v>
      </c>
      <c r="E419" s="84"/>
      <c r="F419" s="2" t="s">
        <v>40</v>
      </c>
      <c r="G419" s="17">
        <f>'Rozpočet - vybrané sloupce'!J360</f>
        <v>6</v>
      </c>
      <c r="H419" s="17">
        <f>'Rozpočet - vybrané sloupce'!K360</f>
        <v>0</v>
      </c>
      <c r="I419" s="74">
        <v>12</v>
      </c>
      <c r="J419" s="17">
        <f t="shared" si="476"/>
        <v>0</v>
      </c>
      <c r="K419" s="17">
        <f t="shared" si="477"/>
        <v>0</v>
      </c>
      <c r="L419" s="17">
        <f t="shared" si="478"/>
        <v>0</v>
      </c>
      <c r="M419" s="17">
        <f t="shared" si="479"/>
        <v>0</v>
      </c>
      <c r="N419" s="17">
        <v>0</v>
      </c>
      <c r="O419" s="17">
        <f t="shared" si="480"/>
        <v>0</v>
      </c>
      <c r="P419" s="75" t="s">
        <v>576</v>
      </c>
      <c r="Z419" s="17">
        <f t="shared" si="481"/>
        <v>0</v>
      </c>
      <c r="AB419" s="17">
        <f t="shared" si="482"/>
        <v>0</v>
      </c>
      <c r="AC419" s="17">
        <f t="shared" si="483"/>
        <v>0</v>
      </c>
      <c r="AD419" s="17">
        <f t="shared" si="484"/>
        <v>0</v>
      </c>
      <c r="AE419" s="17">
        <f t="shared" si="485"/>
        <v>0</v>
      </c>
      <c r="AF419" s="17">
        <f t="shared" si="486"/>
        <v>0</v>
      </c>
      <c r="AG419" s="17">
        <f t="shared" si="487"/>
        <v>0</v>
      </c>
      <c r="AH419" s="17">
        <f t="shared" si="488"/>
        <v>0</v>
      </c>
      <c r="AI419" s="14" t="s">
        <v>312</v>
      </c>
      <c r="AJ419" s="17">
        <f t="shared" si="489"/>
        <v>0</v>
      </c>
      <c r="AK419" s="17">
        <f t="shared" si="490"/>
        <v>0</v>
      </c>
      <c r="AL419" s="17">
        <f t="shared" si="491"/>
        <v>0</v>
      </c>
      <c r="AN419" s="17">
        <v>12</v>
      </c>
      <c r="AO419" s="17">
        <f>H419*0.692307692</f>
        <v>0</v>
      </c>
      <c r="AP419" s="17">
        <f>H419*(1-0.692307692)</f>
        <v>0</v>
      </c>
      <c r="AQ419" s="76" t="s">
        <v>577</v>
      </c>
      <c r="AV419" s="17">
        <f t="shared" si="492"/>
        <v>0</v>
      </c>
      <c r="AW419" s="17">
        <f t="shared" si="493"/>
        <v>0</v>
      </c>
      <c r="AX419" s="17">
        <f t="shared" si="494"/>
        <v>0</v>
      </c>
      <c r="AY419" s="76" t="s">
        <v>914</v>
      </c>
      <c r="AZ419" s="76" t="s">
        <v>942</v>
      </c>
      <c r="BA419" s="14" t="s">
        <v>943</v>
      </c>
      <c r="BC419" s="17">
        <f t="shared" si="495"/>
        <v>0</v>
      </c>
      <c r="BD419" s="17">
        <f t="shared" si="496"/>
        <v>0</v>
      </c>
      <c r="BE419" s="17">
        <v>0</v>
      </c>
      <c r="BF419" s="17">
        <f t="shared" si="497"/>
        <v>0</v>
      </c>
      <c r="BH419" s="17">
        <f t="shared" si="498"/>
        <v>0</v>
      </c>
      <c r="BI419" s="17">
        <f t="shared" si="499"/>
        <v>0</v>
      </c>
      <c r="BJ419" s="17">
        <f t="shared" si="500"/>
        <v>0</v>
      </c>
      <c r="BK419" s="17"/>
      <c r="BL419" s="17">
        <v>723</v>
      </c>
      <c r="BW419" s="17">
        <f t="shared" si="501"/>
        <v>12</v>
      </c>
      <c r="BX419" s="4" t="s">
        <v>301</v>
      </c>
    </row>
    <row r="420" spans="1:76" x14ac:dyDescent="0.25">
      <c r="A420" s="1" t="s">
        <v>963</v>
      </c>
      <c r="B420" s="2" t="s">
        <v>312</v>
      </c>
      <c r="C420" s="2" t="s">
        <v>302</v>
      </c>
      <c r="D420" s="83" t="s">
        <v>303</v>
      </c>
      <c r="E420" s="84"/>
      <c r="F420" s="2" t="s">
        <v>31</v>
      </c>
      <c r="G420" s="17">
        <f>'Rozpočet - vybrané sloupce'!J361</f>
        <v>31</v>
      </c>
      <c r="H420" s="17">
        <f>'Rozpočet - vybrané sloupce'!K361</f>
        <v>0</v>
      </c>
      <c r="I420" s="74">
        <v>12</v>
      </c>
      <c r="J420" s="17">
        <f t="shared" si="476"/>
        <v>0</v>
      </c>
      <c r="K420" s="17">
        <f t="shared" si="477"/>
        <v>0</v>
      </c>
      <c r="L420" s="17">
        <f t="shared" si="478"/>
        <v>0</v>
      </c>
      <c r="M420" s="17">
        <f t="shared" si="479"/>
        <v>0</v>
      </c>
      <c r="N420" s="17">
        <v>0</v>
      </c>
      <c r="O420" s="17">
        <f t="shared" si="480"/>
        <v>0</v>
      </c>
      <c r="P420" s="75" t="s">
        <v>576</v>
      </c>
      <c r="Z420" s="17">
        <f t="shared" si="481"/>
        <v>0</v>
      </c>
      <c r="AB420" s="17">
        <f t="shared" si="482"/>
        <v>0</v>
      </c>
      <c r="AC420" s="17">
        <f t="shared" si="483"/>
        <v>0</v>
      </c>
      <c r="AD420" s="17">
        <f t="shared" si="484"/>
        <v>0</v>
      </c>
      <c r="AE420" s="17">
        <f t="shared" si="485"/>
        <v>0</v>
      </c>
      <c r="AF420" s="17">
        <f t="shared" si="486"/>
        <v>0</v>
      </c>
      <c r="AG420" s="17">
        <f t="shared" si="487"/>
        <v>0</v>
      </c>
      <c r="AH420" s="17">
        <f t="shared" si="488"/>
        <v>0</v>
      </c>
      <c r="AI420" s="14" t="s">
        <v>312</v>
      </c>
      <c r="AJ420" s="17">
        <f t="shared" si="489"/>
        <v>0</v>
      </c>
      <c r="AK420" s="17">
        <f t="shared" si="490"/>
        <v>0</v>
      </c>
      <c r="AL420" s="17">
        <f t="shared" si="491"/>
        <v>0</v>
      </c>
      <c r="AN420" s="17">
        <v>12</v>
      </c>
      <c r="AO420" s="17">
        <f>H420*0.5</f>
        <v>0</v>
      </c>
      <c r="AP420" s="17">
        <f>H420*(1-0.5)</f>
        <v>0</v>
      </c>
      <c r="AQ420" s="76" t="s">
        <v>577</v>
      </c>
      <c r="AV420" s="17">
        <f t="shared" si="492"/>
        <v>0</v>
      </c>
      <c r="AW420" s="17">
        <f t="shared" si="493"/>
        <v>0</v>
      </c>
      <c r="AX420" s="17">
        <f t="shared" si="494"/>
        <v>0</v>
      </c>
      <c r="AY420" s="76" t="s">
        <v>914</v>
      </c>
      <c r="AZ420" s="76" t="s">
        <v>942</v>
      </c>
      <c r="BA420" s="14" t="s">
        <v>943</v>
      </c>
      <c r="BC420" s="17">
        <f t="shared" si="495"/>
        <v>0</v>
      </c>
      <c r="BD420" s="17">
        <f t="shared" si="496"/>
        <v>0</v>
      </c>
      <c r="BE420" s="17">
        <v>0</v>
      </c>
      <c r="BF420" s="17">
        <f t="shared" si="497"/>
        <v>0</v>
      </c>
      <c r="BH420" s="17">
        <f t="shared" si="498"/>
        <v>0</v>
      </c>
      <c r="BI420" s="17">
        <f t="shared" si="499"/>
        <v>0</v>
      </c>
      <c r="BJ420" s="17">
        <f t="shared" si="500"/>
        <v>0</v>
      </c>
      <c r="BK420" s="17"/>
      <c r="BL420" s="17">
        <v>723</v>
      </c>
      <c r="BW420" s="17">
        <f t="shared" si="501"/>
        <v>12</v>
      </c>
      <c r="BX420" s="4" t="s">
        <v>303</v>
      </c>
    </row>
    <row r="421" spans="1:76" x14ac:dyDescent="0.25">
      <c r="A421" s="1" t="s">
        <v>964</v>
      </c>
      <c r="B421" s="2" t="s">
        <v>312</v>
      </c>
      <c r="C421" s="2" t="s">
        <v>304</v>
      </c>
      <c r="D421" s="83" t="s">
        <v>305</v>
      </c>
      <c r="E421" s="84"/>
      <c r="F421" s="2" t="s">
        <v>40</v>
      </c>
      <c r="G421" s="17">
        <f>'Rozpočet - vybrané sloupce'!J362</f>
        <v>3</v>
      </c>
      <c r="H421" s="17">
        <f>'Rozpočet - vybrané sloupce'!K362</f>
        <v>0</v>
      </c>
      <c r="I421" s="74">
        <v>12</v>
      </c>
      <c r="J421" s="17">
        <f t="shared" si="476"/>
        <v>0</v>
      </c>
      <c r="K421" s="17">
        <f t="shared" si="477"/>
        <v>0</v>
      </c>
      <c r="L421" s="17">
        <f t="shared" si="478"/>
        <v>0</v>
      </c>
      <c r="M421" s="17">
        <f t="shared" si="479"/>
        <v>0</v>
      </c>
      <c r="N421" s="17">
        <v>0</v>
      </c>
      <c r="O421" s="17">
        <f t="shared" si="480"/>
        <v>0</v>
      </c>
      <c r="P421" s="75" t="s">
        <v>576</v>
      </c>
      <c r="Z421" s="17">
        <f t="shared" si="481"/>
        <v>0</v>
      </c>
      <c r="AB421" s="17">
        <f t="shared" si="482"/>
        <v>0</v>
      </c>
      <c r="AC421" s="17">
        <f t="shared" si="483"/>
        <v>0</v>
      </c>
      <c r="AD421" s="17">
        <f t="shared" si="484"/>
        <v>0</v>
      </c>
      <c r="AE421" s="17">
        <f t="shared" si="485"/>
        <v>0</v>
      </c>
      <c r="AF421" s="17">
        <f t="shared" si="486"/>
        <v>0</v>
      </c>
      <c r="AG421" s="17">
        <f t="shared" si="487"/>
        <v>0</v>
      </c>
      <c r="AH421" s="17">
        <f t="shared" si="488"/>
        <v>0</v>
      </c>
      <c r="AI421" s="14" t="s">
        <v>312</v>
      </c>
      <c r="AJ421" s="17">
        <f t="shared" si="489"/>
        <v>0</v>
      </c>
      <c r="AK421" s="17">
        <f t="shared" si="490"/>
        <v>0</v>
      </c>
      <c r="AL421" s="17">
        <f t="shared" si="491"/>
        <v>0</v>
      </c>
      <c r="AN421" s="17">
        <v>12</v>
      </c>
      <c r="AO421" s="17">
        <f>H421*0.391304348</f>
        <v>0</v>
      </c>
      <c r="AP421" s="17">
        <f>H421*(1-0.391304348)</f>
        <v>0</v>
      </c>
      <c r="AQ421" s="76" t="s">
        <v>577</v>
      </c>
      <c r="AV421" s="17">
        <f t="shared" si="492"/>
        <v>0</v>
      </c>
      <c r="AW421" s="17">
        <f t="shared" si="493"/>
        <v>0</v>
      </c>
      <c r="AX421" s="17">
        <f t="shared" si="494"/>
        <v>0</v>
      </c>
      <c r="AY421" s="76" t="s">
        <v>914</v>
      </c>
      <c r="AZ421" s="76" t="s">
        <v>942</v>
      </c>
      <c r="BA421" s="14" t="s">
        <v>943</v>
      </c>
      <c r="BC421" s="17">
        <f t="shared" si="495"/>
        <v>0</v>
      </c>
      <c r="BD421" s="17">
        <f t="shared" si="496"/>
        <v>0</v>
      </c>
      <c r="BE421" s="17">
        <v>0</v>
      </c>
      <c r="BF421" s="17">
        <f t="shared" si="497"/>
        <v>0</v>
      </c>
      <c r="BH421" s="17">
        <f t="shared" si="498"/>
        <v>0</v>
      </c>
      <c r="BI421" s="17">
        <f t="shared" si="499"/>
        <v>0</v>
      </c>
      <c r="BJ421" s="17">
        <f t="shared" si="500"/>
        <v>0</v>
      </c>
      <c r="BK421" s="17"/>
      <c r="BL421" s="17">
        <v>723</v>
      </c>
      <c r="BW421" s="17">
        <f t="shared" si="501"/>
        <v>12</v>
      </c>
      <c r="BX421" s="4" t="s">
        <v>305</v>
      </c>
    </row>
    <row r="422" spans="1:76" x14ac:dyDescent="0.25">
      <c r="A422" s="1" t="s">
        <v>965</v>
      </c>
      <c r="B422" s="2" t="s">
        <v>312</v>
      </c>
      <c r="C422" s="2" t="s">
        <v>306</v>
      </c>
      <c r="D422" s="83" t="s">
        <v>307</v>
      </c>
      <c r="E422" s="84"/>
      <c r="F422" s="2" t="s">
        <v>35</v>
      </c>
      <c r="G422" s="17">
        <f>'Rozpočet - vybrané sloupce'!J363</f>
        <v>8</v>
      </c>
      <c r="H422" s="17">
        <f>'Rozpočet - vybrané sloupce'!K363</f>
        <v>0</v>
      </c>
      <c r="I422" s="74">
        <v>12</v>
      </c>
      <c r="J422" s="17">
        <f t="shared" si="476"/>
        <v>0</v>
      </c>
      <c r="K422" s="17">
        <f t="shared" si="477"/>
        <v>0</v>
      </c>
      <c r="L422" s="17">
        <f t="shared" si="478"/>
        <v>0</v>
      </c>
      <c r="M422" s="17">
        <f t="shared" si="479"/>
        <v>0</v>
      </c>
      <c r="N422" s="17">
        <v>0</v>
      </c>
      <c r="O422" s="17">
        <f t="shared" si="480"/>
        <v>0</v>
      </c>
      <c r="P422" s="75" t="s">
        <v>576</v>
      </c>
      <c r="Z422" s="17">
        <f t="shared" si="481"/>
        <v>0</v>
      </c>
      <c r="AB422" s="17">
        <f t="shared" si="482"/>
        <v>0</v>
      </c>
      <c r="AC422" s="17">
        <f t="shared" si="483"/>
        <v>0</v>
      </c>
      <c r="AD422" s="17">
        <f t="shared" si="484"/>
        <v>0</v>
      </c>
      <c r="AE422" s="17">
        <f t="shared" si="485"/>
        <v>0</v>
      </c>
      <c r="AF422" s="17">
        <f t="shared" si="486"/>
        <v>0</v>
      </c>
      <c r="AG422" s="17">
        <f t="shared" si="487"/>
        <v>0</v>
      </c>
      <c r="AH422" s="17">
        <f t="shared" si="488"/>
        <v>0</v>
      </c>
      <c r="AI422" s="14" t="s">
        <v>312</v>
      </c>
      <c r="AJ422" s="17">
        <f t="shared" si="489"/>
        <v>0</v>
      </c>
      <c r="AK422" s="17">
        <f t="shared" si="490"/>
        <v>0</v>
      </c>
      <c r="AL422" s="17">
        <f t="shared" si="491"/>
        <v>0</v>
      </c>
      <c r="AN422" s="17">
        <v>12</v>
      </c>
      <c r="AO422" s="17">
        <f>H422*0.5</f>
        <v>0</v>
      </c>
      <c r="AP422" s="17">
        <f>H422*(1-0.5)</f>
        <v>0</v>
      </c>
      <c r="AQ422" s="76" t="s">
        <v>577</v>
      </c>
      <c r="AV422" s="17">
        <f t="shared" si="492"/>
        <v>0</v>
      </c>
      <c r="AW422" s="17">
        <f t="shared" si="493"/>
        <v>0</v>
      </c>
      <c r="AX422" s="17">
        <f t="shared" si="494"/>
        <v>0</v>
      </c>
      <c r="AY422" s="76" t="s">
        <v>914</v>
      </c>
      <c r="AZ422" s="76" t="s">
        <v>942</v>
      </c>
      <c r="BA422" s="14" t="s">
        <v>943</v>
      </c>
      <c r="BC422" s="17">
        <f t="shared" si="495"/>
        <v>0</v>
      </c>
      <c r="BD422" s="17">
        <f t="shared" si="496"/>
        <v>0</v>
      </c>
      <c r="BE422" s="17">
        <v>0</v>
      </c>
      <c r="BF422" s="17">
        <f t="shared" si="497"/>
        <v>0</v>
      </c>
      <c r="BH422" s="17">
        <f t="shared" si="498"/>
        <v>0</v>
      </c>
      <c r="BI422" s="17">
        <f t="shared" si="499"/>
        <v>0</v>
      </c>
      <c r="BJ422" s="17">
        <f t="shared" si="500"/>
        <v>0</v>
      </c>
      <c r="BK422" s="17"/>
      <c r="BL422" s="17">
        <v>723</v>
      </c>
      <c r="BW422" s="17">
        <f t="shared" si="501"/>
        <v>12</v>
      </c>
      <c r="BX422" s="4" t="s">
        <v>307</v>
      </c>
    </row>
    <row r="423" spans="1:76" x14ac:dyDescent="0.25">
      <c r="A423" s="1" t="s">
        <v>966</v>
      </c>
      <c r="B423" s="2" t="s">
        <v>312</v>
      </c>
      <c r="C423" s="2" t="s">
        <v>308</v>
      </c>
      <c r="D423" s="83" t="s">
        <v>309</v>
      </c>
      <c r="E423" s="84"/>
      <c r="F423" s="2" t="s">
        <v>88</v>
      </c>
      <c r="G423" s="17">
        <f>'Rozpočet - vybrané sloupce'!J364</f>
        <v>0.2</v>
      </c>
      <c r="H423" s="17">
        <f>'Rozpočet - vybrané sloupce'!K364</f>
        <v>0</v>
      </c>
      <c r="I423" s="74">
        <v>12</v>
      </c>
      <c r="J423" s="17">
        <f t="shared" si="476"/>
        <v>0</v>
      </c>
      <c r="K423" s="17">
        <f t="shared" si="477"/>
        <v>0</v>
      </c>
      <c r="L423" s="17">
        <f t="shared" si="478"/>
        <v>0</v>
      </c>
      <c r="M423" s="17">
        <f t="shared" si="479"/>
        <v>0</v>
      </c>
      <c r="N423" s="17">
        <v>0</v>
      </c>
      <c r="O423" s="17">
        <f t="shared" si="480"/>
        <v>0</v>
      </c>
      <c r="P423" s="75" t="s">
        <v>576</v>
      </c>
      <c r="Z423" s="17">
        <f t="shared" si="481"/>
        <v>0</v>
      </c>
      <c r="AB423" s="17">
        <f t="shared" si="482"/>
        <v>0</v>
      </c>
      <c r="AC423" s="17">
        <f t="shared" si="483"/>
        <v>0</v>
      </c>
      <c r="AD423" s="17">
        <f t="shared" si="484"/>
        <v>0</v>
      </c>
      <c r="AE423" s="17">
        <f t="shared" si="485"/>
        <v>0</v>
      </c>
      <c r="AF423" s="17">
        <f t="shared" si="486"/>
        <v>0</v>
      </c>
      <c r="AG423" s="17">
        <f t="shared" si="487"/>
        <v>0</v>
      </c>
      <c r="AH423" s="17">
        <f t="shared" si="488"/>
        <v>0</v>
      </c>
      <c r="AI423" s="14" t="s">
        <v>312</v>
      </c>
      <c r="AJ423" s="17">
        <f t="shared" si="489"/>
        <v>0</v>
      </c>
      <c r="AK423" s="17">
        <f t="shared" si="490"/>
        <v>0</v>
      </c>
      <c r="AL423" s="17">
        <f t="shared" si="491"/>
        <v>0</v>
      </c>
      <c r="AN423" s="17">
        <v>12</v>
      </c>
      <c r="AO423" s="17">
        <f>H423*0</f>
        <v>0</v>
      </c>
      <c r="AP423" s="17">
        <f>H423*(1-0)</f>
        <v>0</v>
      </c>
      <c r="AQ423" s="76" t="s">
        <v>577</v>
      </c>
      <c r="AV423" s="17">
        <f t="shared" si="492"/>
        <v>0</v>
      </c>
      <c r="AW423" s="17">
        <f t="shared" si="493"/>
        <v>0</v>
      </c>
      <c r="AX423" s="17">
        <f t="shared" si="494"/>
        <v>0</v>
      </c>
      <c r="AY423" s="76" t="s">
        <v>914</v>
      </c>
      <c r="AZ423" s="76" t="s">
        <v>942</v>
      </c>
      <c r="BA423" s="14" t="s">
        <v>943</v>
      </c>
      <c r="BC423" s="17">
        <f t="shared" si="495"/>
        <v>0</v>
      </c>
      <c r="BD423" s="17">
        <f t="shared" si="496"/>
        <v>0</v>
      </c>
      <c r="BE423" s="17">
        <v>0</v>
      </c>
      <c r="BF423" s="17">
        <f t="shared" si="497"/>
        <v>0</v>
      </c>
      <c r="BH423" s="17">
        <f t="shared" si="498"/>
        <v>0</v>
      </c>
      <c r="BI423" s="17">
        <f t="shared" si="499"/>
        <v>0</v>
      </c>
      <c r="BJ423" s="17">
        <f t="shared" si="500"/>
        <v>0</v>
      </c>
      <c r="BK423" s="17"/>
      <c r="BL423" s="17">
        <v>723</v>
      </c>
      <c r="BW423" s="17">
        <f t="shared" si="501"/>
        <v>12</v>
      </c>
      <c r="BX423" s="4" t="s">
        <v>309</v>
      </c>
    </row>
    <row r="424" spans="1:76" x14ac:dyDescent="0.25">
      <c r="A424" s="1" t="s">
        <v>967</v>
      </c>
      <c r="B424" s="2" t="s">
        <v>312</v>
      </c>
      <c r="C424" s="2" t="s">
        <v>310</v>
      </c>
      <c r="D424" s="83" t="s">
        <v>311</v>
      </c>
      <c r="E424" s="84"/>
      <c r="F424" s="2" t="s">
        <v>45</v>
      </c>
      <c r="G424" s="17">
        <f>'Rozpočet - vybrané sloupce'!J365</f>
        <v>0</v>
      </c>
      <c r="H424" s="17">
        <f>'Rozpočet - vybrané sloupce'!K365</f>
        <v>0</v>
      </c>
      <c r="I424" s="74">
        <v>12</v>
      </c>
      <c r="J424" s="17">
        <f t="shared" si="476"/>
        <v>0</v>
      </c>
      <c r="K424" s="17">
        <f t="shared" si="477"/>
        <v>0</v>
      </c>
      <c r="L424" s="17">
        <f t="shared" si="478"/>
        <v>0</v>
      </c>
      <c r="M424" s="17">
        <f t="shared" si="479"/>
        <v>0</v>
      </c>
      <c r="N424" s="17">
        <v>0</v>
      </c>
      <c r="O424" s="17">
        <f t="shared" si="480"/>
        <v>0</v>
      </c>
      <c r="P424" s="75" t="s">
        <v>576</v>
      </c>
      <c r="Z424" s="17">
        <f t="shared" si="481"/>
        <v>0</v>
      </c>
      <c r="AB424" s="17">
        <f t="shared" si="482"/>
        <v>0</v>
      </c>
      <c r="AC424" s="17">
        <f t="shared" si="483"/>
        <v>0</v>
      </c>
      <c r="AD424" s="17">
        <f t="shared" si="484"/>
        <v>0</v>
      </c>
      <c r="AE424" s="17">
        <f t="shared" si="485"/>
        <v>0</v>
      </c>
      <c r="AF424" s="17">
        <f t="shared" si="486"/>
        <v>0</v>
      </c>
      <c r="AG424" s="17">
        <f t="shared" si="487"/>
        <v>0</v>
      </c>
      <c r="AH424" s="17">
        <f t="shared" si="488"/>
        <v>0</v>
      </c>
      <c r="AI424" s="14" t="s">
        <v>312</v>
      </c>
      <c r="AJ424" s="17">
        <f t="shared" si="489"/>
        <v>0</v>
      </c>
      <c r="AK424" s="17">
        <f t="shared" si="490"/>
        <v>0</v>
      </c>
      <c r="AL424" s="17">
        <f t="shared" si="491"/>
        <v>0</v>
      </c>
      <c r="AN424" s="17">
        <v>12</v>
      </c>
      <c r="AO424" s="17">
        <f>H424*0</f>
        <v>0</v>
      </c>
      <c r="AP424" s="17">
        <f>H424*(1-0)</f>
        <v>0</v>
      </c>
      <c r="AQ424" s="76" t="s">
        <v>585</v>
      </c>
      <c r="AV424" s="17">
        <f t="shared" si="492"/>
        <v>0</v>
      </c>
      <c r="AW424" s="17">
        <f t="shared" si="493"/>
        <v>0</v>
      </c>
      <c r="AX424" s="17">
        <f t="shared" si="494"/>
        <v>0</v>
      </c>
      <c r="AY424" s="76" t="s">
        <v>914</v>
      </c>
      <c r="AZ424" s="76" t="s">
        <v>942</v>
      </c>
      <c r="BA424" s="14" t="s">
        <v>943</v>
      </c>
      <c r="BC424" s="17">
        <f t="shared" si="495"/>
        <v>0</v>
      </c>
      <c r="BD424" s="17">
        <f t="shared" si="496"/>
        <v>0</v>
      </c>
      <c r="BE424" s="17">
        <v>0</v>
      </c>
      <c r="BF424" s="17">
        <f t="shared" si="497"/>
        <v>0</v>
      </c>
      <c r="BH424" s="17">
        <f t="shared" si="498"/>
        <v>0</v>
      </c>
      <c r="BI424" s="17">
        <f t="shared" si="499"/>
        <v>0</v>
      </c>
      <c r="BJ424" s="17">
        <f t="shared" si="500"/>
        <v>0</v>
      </c>
      <c r="BK424" s="17"/>
      <c r="BL424" s="17">
        <v>723</v>
      </c>
      <c r="BW424" s="17">
        <f t="shared" si="501"/>
        <v>12</v>
      </c>
      <c r="BX424" s="4" t="s">
        <v>311</v>
      </c>
    </row>
    <row r="425" spans="1:76" x14ac:dyDescent="0.25">
      <c r="A425" s="71" t="s">
        <v>25</v>
      </c>
      <c r="B425" s="13" t="s">
        <v>314</v>
      </c>
      <c r="C425" s="13" t="s">
        <v>25</v>
      </c>
      <c r="D425" s="135" t="s">
        <v>315</v>
      </c>
      <c r="E425" s="136"/>
      <c r="F425" s="72" t="s">
        <v>23</v>
      </c>
      <c r="G425" s="72" t="s">
        <v>23</v>
      </c>
      <c r="H425" s="72" t="s">
        <v>23</v>
      </c>
      <c r="I425" s="72" t="s">
        <v>23</v>
      </c>
      <c r="J425" s="47">
        <f>J426</f>
        <v>0</v>
      </c>
      <c r="K425" s="47">
        <f>K426</f>
        <v>0</v>
      </c>
      <c r="L425" s="47">
        <f>L426</f>
        <v>0</v>
      </c>
      <c r="M425" s="47">
        <f>M426</f>
        <v>0</v>
      </c>
      <c r="N425" s="14" t="s">
        <v>25</v>
      </c>
      <c r="O425" s="47">
        <f>O426</f>
        <v>0.32914000000000004</v>
      </c>
      <c r="P425" s="73" t="s">
        <v>25</v>
      </c>
    </row>
    <row r="426" spans="1:76" x14ac:dyDescent="0.25">
      <c r="A426" s="71" t="s">
        <v>25</v>
      </c>
      <c r="B426" s="13" t="s">
        <v>314</v>
      </c>
      <c r="C426" s="13" t="s">
        <v>259</v>
      </c>
      <c r="D426" s="135" t="s">
        <v>260</v>
      </c>
      <c r="E426" s="136"/>
      <c r="F426" s="72" t="s">
        <v>23</v>
      </c>
      <c r="G426" s="72" t="s">
        <v>23</v>
      </c>
      <c r="H426" s="72" t="s">
        <v>23</v>
      </c>
      <c r="I426" s="72" t="s">
        <v>23</v>
      </c>
      <c r="J426" s="47">
        <f>SUM(J427:J451)</f>
        <v>0</v>
      </c>
      <c r="K426" s="47">
        <f>SUM(K427:K451)</f>
        <v>0</v>
      </c>
      <c r="L426" s="47">
        <f>SUM(L427:L451)</f>
        <v>0</v>
      </c>
      <c r="M426" s="47">
        <f>SUM(M427:M451)</f>
        <v>0</v>
      </c>
      <c r="N426" s="14" t="s">
        <v>25</v>
      </c>
      <c r="O426" s="47">
        <f>SUM(O427:O451)</f>
        <v>0.32914000000000004</v>
      </c>
      <c r="P426" s="73" t="s">
        <v>25</v>
      </c>
      <c r="AI426" s="14" t="s">
        <v>314</v>
      </c>
      <c r="AS426" s="47">
        <f>SUM(AJ427:AJ451)</f>
        <v>0</v>
      </c>
      <c r="AT426" s="47">
        <f>SUM(AK427:AK451)</f>
        <v>0</v>
      </c>
      <c r="AU426" s="47">
        <f>SUM(AL427:AL451)</f>
        <v>0</v>
      </c>
    </row>
    <row r="427" spans="1:76" x14ac:dyDescent="0.25">
      <c r="A427" s="1" t="s">
        <v>968</v>
      </c>
      <c r="B427" s="2" t="s">
        <v>314</v>
      </c>
      <c r="C427" s="2" t="s">
        <v>261</v>
      </c>
      <c r="D427" s="83" t="s">
        <v>262</v>
      </c>
      <c r="E427" s="84"/>
      <c r="F427" s="2" t="s">
        <v>31</v>
      </c>
      <c r="G427" s="17">
        <f>'Rozpočet - vybrané sloupce'!J368</f>
        <v>39</v>
      </c>
      <c r="H427" s="17">
        <f>'Rozpočet - vybrané sloupce'!K368</f>
        <v>0</v>
      </c>
      <c r="I427" s="74">
        <v>12</v>
      </c>
      <c r="J427" s="17">
        <f t="shared" ref="J427:J451" si="502">ROUND(G427*AO427,2)</f>
        <v>0</v>
      </c>
      <c r="K427" s="17">
        <f t="shared" ref="K427:K451" si="503">ROUND(G427*AP427,2)</f>
        <v>0</v>
      </c>
      <c r="L427" s="17">
        <f t="shared" ref="L427:L451" si="504">ROUND(G427*H427,2)</f>
        <v>0</v>
      </c>
      <c r="M427" s="17">
        <f t="shared" ref="M427:M451" si="505">L427*(1+BW427/100)</f>
        <v>0</v>
      </c>
      <c r="N427" s="17">
        <v>3.81E-3</v>
      </c>
      <c r="O427" s="17">
        <f t="shared" ref="O427:O451" si="506">G427*N427</f>
        <v>0.14859</v>
      </c>
      <c r="P427" s="75" t="s">
        <v>576</v>
      </c>
      <c r="Z427" s="17">
        <f t="shared" ref="Z427:Z451" si="507">ROUND(IF(AQ427="5",BJ427,0),2)</f>
        <v>0</v>
      </c>
      <c r="AB427" s="17">
        <f t="shared" ref="AB427:AB451" si="508">ROUND(IF(AQ427="1",BH427,0),2)</f>
        <v>0</v>
      </c>
      <c r="AC427" s="17">
        <f t="shared" ref="AC427:AC451" si="509">ROUND(IF(AQ427="1",BI427,0),2)</f>
        <v>0</v>
      </c>
      <c r="AD427" s="17">
        <f t="shared" ref="AD427:AD451" si="510">ROUND(IF(AQ427="7",BH427,0),2)</f>
        <v>0</v>
      </c>
      <c r="AE427" s="17">
        <f t="shared" ref="AE427:AE451" si="511">ROUND(IF(AQ427="7",BI427,0),2)</f>
        <v>0</v>
      </c>
      <c r="AF427" s="17">
        <f t="shared" ref="AF427:AF451" si="512">ROUND(IF(AQ427="2",BH427,0),2)</f>
        <v>0</v>
      </c>
      <c r="AG427" s="17">
        <f t="shared" ref="AG427:AG451" si="513">ROUND(IF(AQ427="2",BI427,0),2)</f>
        <v>0</v>
      </c>
      <c r="AH427" s="17">
        <f t="shared" ref="AH427:AH451" si="514">ROUND(IF(AQ427="0",BJ427,0),2)</f>
        <v>0</v>
      </c>
      <c r="AI427" s="14" t="s">
        <v>314</v>
      </c>
      <c r="AJ427" s="17">
        <f t="shared" ref="AJ427:AJ451" si="515">IF(AN427=0,L427,0)</f>
        <v>0</v>
      </c>
      <c r="AK427" s="17">
        <f t="shared" ref="AK427:AK451" si="516">IF(AN427=12,L427,0)</f>
        <v>0</v>
      </c>
      <c r="AL427" s="17">
        <f t="shared" ref="AL427:AL451" si="517">IF(AN427=21,L427,0)</f>
        <v>0</v>
      </c>
      <c r="AN427" s="17">
        <v>12</v>
      </c>
      <c r="AO427" s="17">
        <f>H427*0.884450262</f>
        <v>0</v>
      </c>
      <c r="AP427" s="17">
        <f>H427*(1-0.884450262)</f>
        <v>0</v>
      </c>
      <c r="AQ427" s="76" t="s">
        <v>577</v>
      </c>
      <c r="AV427" s="17">
        <f t="shared" ref="AV427:AV451" si="518">ROUND(AW427+AX427,2)</f>
        <v>0</v>
      </c>
      <c r="AW427" s="17">
        <f t="shared" ref="AW427:AW451" si="519">ROUND(G427*AO427,2)</f>
        <v>0</v>
      </c>
      <c r="AX427" s="17">
        <f t="shared" ref="AX427:AX451" si="520">ROUND(G427*AP427,2)</f>
        <v>0</v>
      </c>
      <c r="AY427" s="76" t="s">
        <v>914</v>
      </c>
      <c r="AZ427" s="76" t="s">
        <v>969</v>
      </c>
      <c r="BA427" s="14" t="s">
        <v>970</v>
      </c>
      <c r="BC427" s="17">
        <f t="shared" ref="BC427:BC451" si="521">AW427+AX427</f>
        <v>0</v>
      </c>
      <c r="BD427" s="17">
        <f t="shared" ref="BD427:BD451" si="522">H427/(100-BE427)*100</f>
        <v>0</v>
      </c>
      <c r="BE427" s="17">
        <v>0</v>
      </c>
      <c r="BF427" s="17">
        <f t="shared" ref="BF427:BF451" si="523">O427</f>
        <v>0.14859</v>
      </c>
      <c r="BH427" s="17">
        <f t="shared" ref="BH427:BH451" si="524">G427*AO427</f>
        <v>0</v>
      </c>
      <c r="BI427" s="17">
        <f t="shared" ref="BI427:BI451" si="525">G427*AP427</f>
        <v>0</v>
      </c>
      <c r="BJ427" s="17">
        <f t="shared" ref="BJ427:BJ451" si="526">G427*H427</f>
        <v>0</v>
      </c>
      <c r="BK427" s="17"/>
      <c r="BL427" s="17">
        <v>723</v>
      </c>
      <c r="BW427" s="17">
        <f t="shared" ref="BW427:BW451" si="527">I427</f>
        <v>12</v>
      </c>
      <c r="BX427" s="4" t="s">
        <v>262</v>
      </c>
    </row>
    <row r="428" spans="1:76" x14ac:dyDescent="0.25">
      <c r="A428" s="1" t="s">
        <v>971</v>
      </c>
      <c r="B428" s="2" t="s">
        <v>314</v>
      </c>
      <c r="C428" s="2" t="s">
        <v>263</v>
      </c>
      <c r="D428" s="83" t="s">
        <v>264</v>
      </c>
      <c r="E428" s="84"/>
      <c r="F428" s="2" t="s">
        <v>35</v>
      </c>
      <c r="G428" s="17">
        <f>'Rozpočet - vybrané sloupce'!J369</f>
        <v>1</v>
      </c>
      <c r="H428" s="17">
        <f>'Rozpočet - vybrané sloupce'!K369</f>
        <v>0</v>
      </c>
      <c r="I428" s="74">
        <v>12</v>
      </c>
      <c r="J428" s="17">
        <f t="shared" si="502"/>
        <v>0</v>
      </c>
      <c r="K428" s="17">
        <f t="shared" si="503"/>
        <v>0</v>
      </c>
      <c r="L428" s="17">
        <f t="shared" si="504"/>
        <v>0</v>
      </c>
      <c r="M428" s="17">
        <f t="shared" si="505"/>
        <v>0</v>
      </c>
      <c r="N428" s="17">
        <v>1.5E-3</v>
      </c>
      <c r="O428" s="17">
        <f t="shared" si="506"/>
        <v>1.5E-3</v>
      </c>
      <c r="P428" s="75" t="s">
        <v>576</v>
      </c>
      <c r="Z428" s="17">
        <f t="shared" si="507"/>
        <v>0</v>
      </c>
      <c r="AB428" s="17">
        <f t="shared" si="508"/>
        <v>0</v>
      </c>
      <c r="AC428" s="17">
        <f t="shared" si="509"/>
        <v>0</v>
      </c>
      <c r="AD428" s="17">
        <f t="shared" si="510"/>
        <v>0</v>
      </c>
      <c r="AE428" s="17">
        <f t="shared" si="511"/>
        <v>0</v>
      </c>
      <c r="AF428" s="17">
        <f t="shared" si="512"/>
        <v>0</v>
      </c>
      <c r="AG428" s="17">
        <f t="shared" si="513"/>
        <v>0</v>
      </c>
      <c r="AH428" s="17">
        <f t="shared" si="514"/>
        <v>0</v>
      </c>
      <c r="AI428" s="14" t="s">
        <v>314</v>
      </c>
      <c r="AJ428" s="17">
        <f t="shared" si="515"/>
        <v>0</v>
      </c>
      <c r="AK428" s="17">
        <f t="shared" si="516"/>
        <v>0</v>
      </c>
      <c r="AL428" s="17">
        <f t="shared" si="517"/>
        <v>0</v>
      </c>
      <c r="AN428" s="17">
        <v>12</v>
      </c>
      <c r="AO428" s="17">
        <f>H428*0.496760436</f>
        <v>0</v>
      </c>
      <c r="AP428" s="17">
        <f>H428*(1-0.496760436)</f>
        <v>0</v>
      </c>
      <c r="AQ428" s="76" t="s">
        <v>577</v>
      </c>
      <c r="AV428" s="17">
        <f t="shared" si="518"/>
        <v>0</v>
      </c>
      <c r="AW428" s="17">
        <f t="shared" si="519"/>
        <v>0</v>
      </c>
      <c r="AX428" s="17">
        <f t="shared" si="520"/>
        <v>0</v>
      </c>
      <c r="AY428" s="76" t="s">
        <v>914</v>
      </c>
      <c r="AZ428" s="76" t="s">
        <v>969</v>
      </c>
      <c r="BA428" s="14" t="s">
        <v>970</v>
      </c>
      <c r="BC428" s="17">
        <f t="shared" si="521"/>
        <v>0</v>
      </c>
      <c r="BD428" s="17">
        <f t="shared" si="522"/>
        <v>0</v>
      </c>
      <c r="BE428" s="17">
        <v>0</v>
      </c>
      <c r="BF428" s="17">
        <f t="shared" si="523"/>
        <v>1.5E-3</v>
      </c>
      <c r="BH428" s="17">
        <f t="shared" si="524"/>
        <v>0</v>
      </c>
      <c r="BI428" s="17">
        <f t="shared" si="525"/>
        <v>0</v>
      </c>
      <c r="BJ428" s="17">
        <f t="shared" si="526"/>
        <v>0</v>
      </c>
      <c r="BK428" s="17"/>
      <c r="BL428" s="17">
        <v>723</v>
      </c>
      <c r="BW428" s="17">
        <f t="shared" si="527"/>
        <v>12</v>
      </c>
      <c r="BX428" s="4" t="s">
        <v>264</v>
      </c>
    </row>
    <row r="429" spans="1:76" x14ac:dyDescent="0.25">
      <c r="A429" s="1" t="s">
        <v>972</v>
      </c>
      <c r="B429" s="2" t="s">
        <v>314</v>
      </c>
      <c r="C429" s="2" t="s">
        <v>265</v>
      </c>
      <c r="D429" s="83" t="s">
        <v>266</v>
      </c>
      <c r="E429" s="84"/>
      <c r="F429" s="2" t="s">
        <v>31</v>
      </c>
      <c r="G429" s="17">
        <f>'Rozpočet - vybrané sloupce'!J370</f>
        <v>39</v>
      </c>
      <c r="H429" s="17">
        <f>'Rozpočet - vybrané sloupce'!K370</f>
        <v>0</v>
      </c>
      <c r="I429" s="74">
        <v>12</v>
      </c>
      <c r="J429" s="17">
        <f t="shared" si="502"/>
        <v>0</v>
      </c>
      <c r="K429" s="17">
        <f t="shared" si="503"/>
        <v>0</v>
      </c>
      <c r="L429" s="17">
        <f t="shared" si="504"/>
        <v>0</v>
      </c>
      <c r="M429" s="17">
        <f t="shared" si="505"/>
        <v>0</v>
      </c>
      <c r="N429" s="17">
        <v>1.66E-3</v>
      </c>
      <c r="O429" s="17">
        <f t="shared" si="506"/>
        <v>6.4740000000000006E-2</v>
      </c>
      <c r="P429" s="75" t="s">
        <v>576</v>
      </c>
      <c r="Z429" s="17">
        <f t="shared" si="507"/>
        <v>0</v>
      </c>
      <c r="AB429" s="17">
        <f t="shared" si="508"/>
        <v>0</v>
      </c>
      <c r="AC429" s="17">
        <f t="shared" si="509"/>
        <v>0</v>
      </c>
      <c r="AD429" s="17">
        <f t="shared" si="510"/>
        <v>0</v>
      </c>
      <c r="AE429" s="17">
        <f t="shared" si="511"/>
        <v>0</v>
      </c>
      <c r="AF429" s="17">
        <f t="shared" si="512"/>
        <v>0</v>
      </c>
      <c r="AG429" s="17">
        <f t="shared" si="513"/>
        <v>0</v>
      </c>
      <c r="AH429" s="17">
        <f t="shared" si="514"/>
        <v>0</v>
      </c>
      <c r="AI429" s="14" t="s">
        <v>314</v>
      </c>
      <c r="AJ429" s="17">
        <f t="shared" si="515"/>
        <v>0</v>
      </c>
      <c r="AK429" s="17">
        <f t="shared" si="516"/>
        <v>0</v>
      </c>
      <c r="AL429" s="17">
        <f t="shared" si="517"/>
        <v>0</v>
      </c>
      <c r="AN429" s="17">
        <v>12</v>
      </c>
      <c r="AO429" s="17">
        <f>H429*0.758216433</f>
        <v>0</v>
      </c>
      <c r="AP429" s="17">
        <f>H429*(1-0.758216433)</f>
        <v>0</v>
      </c>
      <c r="AQ429" s="76" t="s">
        <v>577</v>
      </c>
      <c r="AV429" s="17">
        <f t="shared" si="518"/>
        <v>0</v>
      </c>
      <c r="AW429" s="17">
        <f t="shared" si="519"/>
        <v>0</v>
      </c>
      <c r="AX429" s="17">
        <f t="shared" si="520"/>
        <v>0</v>
      </c>
      <c r="AY429" s="76" t="s">
        <v>914</v>
      </c>
      <c r="AZ429" s="76" t="s">
        <v>969</v>
      </c>
      <c r="BA429" s="14" t="s">
        <v>970</v>
      </c>
      <c r="BC429" s="17">
        <f t="shared" si="521"/>
        <v>0</v>
      </c>
      <c r="BD429" s="17">
        <f t="shared" si="522"/>
        <v>0</v>
      </c>
      <c r="BE429" s="17">
        <v>0</v>
      </c>
      <c r="BF429" s="17">
        <f t="shared" si="523"/>
        <v>6.4740000000000006E-2</v>
      </c>
      <c r="BH429" s="17">
        <f t="shared" si="524"/>
        <v>0</v>
      </c>
      <c r="BI429" s="17">
        <f t="shared" si="525"/>
        <v>0</v>
      </c>
      <c r="BJ429" s="17">
        <f t="shared" si="526"/>
        <v>0</v>
      </c>
      <c r="BK429" s="17"/>
      <c r="BL429" s="17">
        <v>723</v>
      </c>
      <c r="BW429" s="17">
        <f t="shared" si="527"/>
        <v>12</v>
      </c>
      <c r="BX429" s="4" t="s">
        <v>266</v>
      </c>
    </row>
    <row r="430" spans="1:76" x14ac:dyDescent="0.25">
      <c r="A430" s="1" t="s">
        <v>973</v>
      </c>
      <c r="B430" s="2" t="s">
        <v>314</v>
      </c>
      <c r="C430" s="2" t="s">
        <v>267</v>
      </c>
      <c r="D430" s="83" t="s">
        <v>268</v>
      </c>
      <c r="E430" s="84"/>
      <c r="F430" s="2" t="s">
        <v>31</v>
      </c>
      <c r="G430" s="17">
        <f>'Rozpočet - vybrané sloupce'!J371</f>
        <v>3.9</v>
      </c>
      <c r="H430" s="17">
        <f>'Rozpočet - vybrané sloupce'!K371</f>
        <v>0</v>
      </c>
      <c r="I430" s="74">
        <v>12</v>
      </c>
      <c r="J430" s="17">
        <f t="shared" si="502"/>
        <v>0</v>
      </c>
      <c r="K430" s="17">
        <f t="shared" si="503"/>
        <v>0</v>
      </c>
      <c r="L430" s="17">
        <f t="shared" si="504"/>
        <v>0</v>
      </c>
      <c r="M430" s="17">
        <f t="shared" si="505"/>
        <v>0</v>
      </c>
      <c r="N430" s="17">
        <v>2E-3</v>
      </c>
      <c r="O430" s="17">
        <f t="shared" si="506"/>
        <v>7.7999999999999996E-3</v>
      </c>
      <c r="P430" s="75" t="s">
        <v>576</v>
      </c>
      <c r="Z430" s="17">
        <f t="shared" si="507"/>
        <v>0</v>
      </c>
      <c r="AB430" s="17">
        <f t="shared" si="508"/>
        <v>0</v>
      </c>
      <c r="AC430" s="17">
        <f t="shared" si="509"/>
        <v>0</v>
      </c>
      <c r="AD430" s="17">
        <f t="shared" si="510"/>
        <v>0</v>
      </c>
      <c r="AE430" s="17">
        <f t="shared" si="511"/>
        <v>0</v>
      </c>
      <c r="AF430" s="17">
        <f t="shared" si="512"/>
        <v>0</v>
      </c>
      <c r="AG430" s="17">
        <f t="shared" si="513"/>
        <v>0</v>
      </c>
      <c r="AH430" s="17">
        <f t="shared" si="514"/>
        <v>0</v>
      </c>
      <c r="AI430" s="14" t="s">
        <v>314</v>
      </c>
      <c r="AJ430" s="17">
        <f t="shared" si="515"/>
        <v>0</v>
      </c>
      <c r="AK430" s="17">
        <f t="shared" si="516"/>
        <v>0</v>
      </c>
      <c r="AL430" s="17">
        <f t="shared" si="517"/>
        <v>0</v>
      </c>
      <c r="AN430" s="17">
        <v>12</v>
      </c>
      <c r="AO430" s="17">
        <f>H430*0.801797708</f>
        <v>0</v>
      </c>
      <c r="AP430" s="17">
        <f>H430*(1-0.801797708)</f>
        <v>0</v>
      </c>
      <c r="AQ430" s="76" t="s">
        <v>577</v>
      </c>
      <c r="AV430" s="17">
        <f t="shared" si="518"/>
        <v>0</v>
      </c>
      <c r="AW430" s="17">
        <f t="shared" si="519"/>
        <v>0</v>
      </c>
      <c r="AX430" s="17">
        <f t="shared" si="520"/>
        <v>0</v>
      </c>
      <c r="AY430" s="76" t="s">
        <v>914</v>
      </c>
      <c r="AZ430" s="76" t="s">
        <v>969</v>
      </c>
      <c r="BA430" s="14" t="s">
        <v>970</v>
      </c>
      <c r="BC430" s="17">
        <f t="shared" si="521"/>
        <v>0</v>
      </c>
      <c r="BD430" s="17">
        <f t="shared" si="522"/>
        <v>0</v>
      </c>
      <c r="BE430" s="17">
        <v>0</v>
      </c>
      <c r="BF430" s="17">
        <f t="shared" si="523"/>
        <v>7.7999999999999996E-3</v>
      </c>
      <c r="BH430" s="17">
        <f t="shared" si="524"/>
        <v>0</v>
      </c>
      <c r="BI430" s="17">
        <f t="shared" si="525"/>
        <v>0</v>
      </c>
      <c r="BJ430" s="17">
        <f t="shared" si="526"/>
        <v>0</v>
      </c>
      <c r="BK430" s="17"/>
      <c r="BL430" s="17">
        <v>723</v>
      </c>
      <c r="BW430" s="17">
        <f t="shared" si="527"/>
        <v>12</v>
      </c>
      <c r="BX430" s="4" t="s">
        <v>268</v>
      </c>
    </row>
    <row r="431" spans="1:76" x14ac:dyDescent="0.25">
      <c r="A431" s="1" t="s">
        <v>974</v>
      </c>
      <c r="B431" s="2" t="s">
        <v>314</v>
      </c>
      <c r="C431" s="2" t="s">
        <v>269</v>
      </c>
      <c r="D431" s="83" t="s">
        <v>270</v>
      </c>
      <c r="E431" s="84"/>
      <c r="F431" s="2" t="s">
        <v>35</v>
      </c>
      <c r="G431" s="17">
        <f>'Rozpočet - vybrané sloupce'!J372</f>
        <v>7</v>
      </c>
      <c r="H431" s="17">
        <f>'Rozpočet - vybrané sloupce'!K372</f>
        <v>0</v>
      </c>
      <c r="I431" s="74">
        <v>12</v>
      </c>
      <c r="J431" s="17">
        <f t="shared" si="502"/>
        <v>0</v>
      </c>
      <c r="K431" s="17">
        <f t="shared" si="503"/>
        <v>0</v>
      </c>
      <c r="L431" s="17">
        <f t="shared" si="504"/>
        <v>0</v>
      </c>
      <c r="M431" s="17">
        <f t="shared" si="505"/>
        <v>0</v>
      </c>
      <c r="N431" s="17">
        <v>2.3000000000000001E-4</v>
      </c>
      <c r="O431" s="17">
        <f t="shared" si="506"/>
        <v>1.6100000000000001E-3</v>
      </c>
      <c r="P431" s="75" t="s">
        <v>576</v>
      </c>
      <c r="Z431" s="17">
        <f t="shared" si="507"/>
        <v>0</v>
      </c>
      <c r="AB431" s="17">
        <f t="shared" si="508"/>
        <v>0</v>
      </c>
      <c r="AC431" s="17">
        <f t="shared" si="509"/>
        <v>0</v>
      </c>
      <c r="AD431" s="17">
        <f t="shared" si="510"/>
        <v>0</v>
      </c>
      <c r="AE431" s="17">
        <f t="shared" si="511"/>
        <v>0</v>
      </c>
      <c r="AF431" s="17">
        <f t="shared" si="512"/>
        <v>0</v>
      </c>
      <c r="AG431" s="17">
        <f t="shared" si="513"/>
        <v>0</v>
      </c>
      <c r="AH431" s="17">
        <f t="shared" si="514"/>
        <v>0</v>
      </c>
      <c r="AI431" s="14" t="s">
        <v>314</v>
      </c>
      <c r="AJ431" s="17">
        <f t="shared" si="515"/>
        <v>0</v>
      </c>
      <c r="AK431" s="17">
        <f t="shared" si="516"/>
        <v>0</v>
      </c>
      <c r="AL431" s="17">
        <f t="shared" si="517"/>
        <v>0</v>
      </c>
      <c r="AN431" s="17">
        <v>12</v>
      </c>
      <c r="AO431" s="17">
        <f>H431*0.75954071</f>
        <v>0</v>
      </c>
      <c r="AP431" s="17">
        <f>H431*(1-0.75954071)</f>
        <v>0</v>
      </c>
      <c r="AQ431" s="76" t="s">
        <v>577</v>
      </c>
      <c r="AV431" s="17">
        <f t="shared" si="518"/>
        <v>0</v>
      </c>
      <c r="AW431" s="17">
        <f t="shared" si="519"/>
        <v>0</v>
      </c>
      <c r="AX431" s="17">
        <f t="shared" si="520"/>
        <v>0</v>
      </c>
      <c r="AY431" s="76" t="s">
        <v>914</v>
      </c>
      <c r="AZ431" s="76" t="s">
        <v>969</v>
      </c>
      <c r="BA431" s="14" t="s">
        <v>970</v>
      </c>
      <c r="BC431" s="17">
        <f t="shared" si="521"/>
        <v>0</v>
      </c>
      <c r="BD431" s="17">
        <f t="shared" si="522"/>
        <v>0</v>
      </c>
      <c r="BE431" s="17">
        <v>0</v>
      </c>
      <c r="BF431" s="17">
        <f t="shared" si="523"/>
        <v>1.6100000000000001E-3</v>
      </c>
      <c r="BH431" s="17">
        <f t="shared" si="524"/>
        <v>0</v>
      </c>
      <c r="BI431" s="17">
        <f t="shared" si="525"/>
        <v>0</v>
      </c>
      <c r="BJ431" s="17">
        <f t="shared" si="526"/>
        <v>0</v>
      </c>
      <c r="BK431" s="17"/>
      <c r="BL431" s="17">
        <v>723</v>
      </c>
      <c r="BW431" s="17">
        <f t="shared" si="527"/>
        <v>12</v>
      </c>
      <c r="BX431" s="4" t="s">
        <v>270</v>
      </c>
    </row>
    <row r="432" spans="1:76" x14ac:dyDescent="0.25">
      <c r="A432" s="1" t="s">
        <v>975</v>
      </c>
      <c r="B432" s="2" t="s">
        <v>314</v>
      </c>
      <c r="C432" s="2" t="s">
        <v>271</v>
      </c>
      <c r="D432" s="83" t="s">
        <v>272</v>
      </c>
      <c r="E432" s="84"/>
      <c r="F432" s="2" t="s">
        <v>35</v>
      </c>
      <c r="G432" s="17">
        <f>'Rozpočet - vybrané sloupce'!J373</f>
        <v>10</v>
      </c>
      <c r="H432" s="17">
        <f>'Rozpočet - vybrané sloupce'!K373</f>
        <v>0</v>
      </c>
      <c r="I432" s="74">
        <v>12</v>
      </c>
      <c r="J432" s="17">
        <f t="shared" si="502"/>
        <v>0</v>
      </c>
      <c r="K432" s="17">
        <f t="shared" si="503"/>
        <v>0</v>
      </c>
      <c r="L432" s="17">
        <f t="shared" si="504"/>
        <v>0</v>
      </c>
      <c r="M432" s="17">
        <f t="shared" si="505"/>
        <v>0</v>
      </c>
      <c r="N432" s="17">
        <v>6.6E-4</v>
      </c>
      <c r="O432" s="17">
        <f t="shared" si="506"/>
        <v>6.6E-3</v>
      </c>
      <c r="P432" s="75" t="s">
        <v>576</v>
      </c>
      <c r="Z432" s="17">
        <f t="shared" si="507"/>
        <v>0</v>
      </c>
      <c r="AB432" s="17">
        <f t="shared" si="508"/>
        <v>0</v>
      </c>
      <c r="AC432" s="17">
        <f t="shared" si="509"/>
        <v>0</v>
      </c>
      <c r="AD432" s="17">
        <f t="shared" si="510"/>
        <v>0</v>
      </c>
      <c r="AE432" s="17">
        <f t="shared" si="511"/>
        <v>0</v>
      </c>
      <c r="AF432" s="17">
        <f t="shared" si="512"/>
        <v>0</v>
      </c>
      <c r="AG432" s="17">
        <f t="shared" si="513"/>
        <v>0</v>
      </c>
      <c r="AH432" s="17">
        <f t="shared" si="514"/>
        <v>0</v>
      </c>
      <c r="AI432" s="14" t="s">
        <v>314</v>
      </c>
      <c r="AJ432" s="17">
        <f t="shared" si="515"/>
        <v>0</v>
      </c>
      <c r="AK432" s="17">
        <f t="shared" si="516"/>
        <v>0</v>
      </c>
      <c r="AL432" s="17">
        <f t="shared" si="517"/>
        <v>0</v>
      </c>
      <c r="AN432" s="17">
        <v>12</v>
      </c>
      <c r="AO432" s="17">
        <f>H432*0.84311753</f>
        <v>0</v>
      </c>
      <c r="AP432" s="17">
        <f>H432*(1-0.84311753)</f>
        <v>0</v>
      </c>
      <c r="AQ432" s="76" t="s">
        <v>577</v>
      </c>
      <c r="AV432" s="17">
        <f t="shared" si="518"/>
        <v>0</v>
      </c>
      <c r="AW432" s="17">
        <f t="shared" si="519"/>
        <v>0</v>
      </c>
      <c r="AX432" s="17">
        <f t="shared" si="520"/>
        <v>0</v>
      </c>
      <c r="AY432" s="76" t="s">
        <v>914</v>
      </c>
      <c r="AZ432" s="76" t="s">
        <v>969</v>
      </c>
      <c r="BA432" s="14" t="s">
        <v>970</v>
      </c>
      <c r="BC432" s="17">
        <f t="shared" si="521"/>
        <v>0</v>
      </c>
      <c r="BD432" s="17">
        <f t="shared" si="522"/>
        <v>0</v>
      </c>
      <c r="BE432" s="17">
        <v>0</v>
      </c>
      <c r="BF432" s="17">
        <f t="shared" si="523"/>
        <v>6.6E-3</v>
      </c>
      <c r="BH432" s="17">
        <f t="shared" si="524"/>
        <v>0</v>
      </c>
      <c r="BI432" s="17">
        <f t="shared" si="525"/>
        <v>0</v>
      </c>
      <c r="BJ432" s="17">
        <f t="shared" si="526"/>
        <v>0</v>
      </c>
      <c r="BK432" s="17"/>
      <c r="BL432" s="17">
        <v>723</v>
      </c>
      <c r="BW432" s="17">
        <f t="shared" si="527"/>
        <v>12</v>
      </c>
      <c r="BX432" s="4" t="s">
        <v>272</v>
      </c>
    </row>
    <row r="433" spans="1:76" x14ac:dyDescent="0.25">
      <c r="A433" s="1" t="s">
        <v>976</v>
      </c>
      <c r="B433" s="2" t="s">
        <v>314</v>
      </c>
      <c r="C433" s="2" t="s">
        <v>273</v>
      </c>
      <c r="D433" s="83" t="s">
        <v>274</v>
      </c>
      <c r="E433" s="84"/>
      <c r="F433" s="2" t="s">
        <v>35</v>
      </c>
      <c r="G433" s="17">
        <f>'Rozpočet - vybrané sloupce'!J374</f>
        <v>1</v>
      </c>
      <c r="H433" s="17">
        <f>'Rozpočet - vybrané sloupce'!K374</f>
        <v>0</v>
      </c>
      <c r="I433" s="74">
        <v>12</v>
      </c>
      <c r="J433" s="17">
        <f t="shared" si="502"/>
        <v>0</v>
      </c>
      <c r="K433" s="17">
        <f t="shared" si="503"/>
        <v>0</v>
      </c>
      <c r="L433" s="17">
        <f t="shared" si="504"/>
        <v>0</v>
      </c>
      <c r="M433" s="17">
        <f t="shared" si="505"/>
        <v>0</v>
      </c>
      <c r="N433" s="17">
        <v>2.9999999999999997E-4</v>
      </c>
      <c r="O433" s="17">
        <f t="shared" si="506"/>
        <v>2.9999999999999997E-4</v>
      </c>
      <c r="P433" s="75" t="s">
        <v>576</v>
      </c>
      <c r="Z433" s="17">
        <f t="shared" si="507"/>
        <v>0</v>
      </c>
      <c r="AB433" s="17">
        <f t="shared" si="508"/>
        <v>0</v>
      </c>
      <c r="AC433" s="17">
        <f t="shared" si="509"/>
        <v>0</v>
      </c>
      <c r="AD433" s="17">
        <f t="shared" si="510"/>
        <v>0</v>
      </c>
      <c r="AE433" s="17">
        <f t="shared" si="511"/>
        <v>0</v>
      </c>
      <c r="AF433" s="17">
        <f t="shared" si="512"/>
        <v>0</v>
      </c>
      <c r="AG433" s="17">
        <f t="shared" si="513"/>
        <v>0</v>
      </c>
      <c r="AH433" s="17">
        <f t="shared" si="514"/>
        <v>0</v>
      </c>
      <c r="AI433" s="14" t="s">
        <v>314</v>
      </c>
      <c r="AJ433" s="17">
        <f t="shared" si="515"/>
        <v>0</v>
      </c>
      <c r="AK433" s="17">
        <f t="shared" si="516"/>
        <v>0</v>
      </c>
      <c r="AL433" s="17">
        <f t="shared" si="517"/>
        <v>0</v>
      </c>
      <c r="AN433" s="17">
        <v>12</v>
      </c>
      <c r="AO433" s="17">
        <f>H433*0.886601872</f>
        <v>0</v>
      </c>
      <c r="AP433" s="17">
        <f>H433*(1-0.886601872)</f>
        <v>0</v>
      </c>
      <c r="AQ433" s="76" t="s">
        <v>577</v>
      </c>
      <c r="AV433" s="17">
        <f t="shared" si="518"/>
        <v>0</v>
      </c>
      <c r="AW433" s="17">
        <f t="shared" si="519"/>
        <v>0</v>
      </c>
      <c r="AX433" s="17">
        <f t="shared" si="520"/>
        <v>0</v>
      </c>
      <c r="AY433" s="76" t="s">
        <v>914</v>
      </c>
      <c r="AZ433" s="76" t="s">
        <v>969</v>
      </c>
      <c r="BA433" s="14" t="s">
        <v>970</v>
      </c>
      <c r="BC433" s="17">
        <f t="shared" si="521"/>
        <v>0</v>
      </c>
      <c r="BD433" s="17">
        <f t="shared" si="522"/>
        <v>0</v>
      </c>
      <c r="BE433" s="17">
        <v>0</v>
      </c>
      <c r="BF433" s="17">
        <f t="shared" si="523"/>
        <v>2.9999999999999997E-4</v>
      </c>
      <c r="BH433" s="17">
        <f t="shared" si="524"/>
        <v>0</v>
      </c>
      <c r="BI433" s="17">
        <f t="shared" si="525"/>
        <v>0</v>
      </c>
      <c r="BJ433" s="17">
        <f t="shared" si="526"/>
        <v>0</v>
      </c>
      <c r="BK433" s="17"/>
      <c r="BL433" s="17">
        <v>723</v>
      </c>
      <c r="BW433" s="17">
        <f t="shared" si="527"/>
        <v>12</v>
      </c>
      <c r="BX433" s="4" t="s">
        <v>274</v>
      </c>
    </row>
    <row r="434" spans="1:76" x14ac:dyDescent="0.25">
      <c r="A434" s="1" t="s">
        <v>977</v>
      </c>
      <c r="B434" s="2" t="s">
        <v>314</v>
      </c>
      <c r="C434" s="2" t="s">
        <v>275</v>
      </c>
      <c r="D434" s="83" t="s">
        <v>276</v>
      </c>
      <c r="E434" s="84"/>
      <c r="F434" s="2" t="s">
        <v>31</v>
      </c>
      <c r="G434" s="17">
        <f>'Rozpočet - vybrané sloupce'!J375</f>
        <v>39</v>
      </c>
      <c r="H434" s="17">
        <f>'Rozpočet - vybrané sloupce'!K375</f>
        <v>0</v>
      </c>
      <c r="I434" s="74">
        <v>12</v>
      </c>
      <c r="J434" s="17">
        <f t="shared" si="502"/>
        <v>0</v>
      </c>
      <c r="K434" s="17">
        <f t="shared" si="503"/>
        <v>0</v>
      </c>
      <c r="L434" s="17">
        <f t="shared" si="504"/>
        <v>0</v>
      </c>
      <c r="M434" s="17">
        <f t="shared" si="505"/>
        <v>0</v>
      </c>
      <c r="N434" s="17">
        <v>0</v>
      </c>
      <c r="O434" s="17">
        <f t="shared" si="506"/>
        <v>0</v>
      </c>
      <c r="P434" s="75" t="s">
        <v>576</v>
      </c>
      <c r="Z434" s="17">
        <f t="shared" si="507"/>
        <v>0</v>
      </c>
      <c r="AB434" s="17">
        <f t="shared" si="508"/>
        <v>0</v>
      </c>
      <c r="AC434" s="17">
        <f t="shared" si="509"/>
        <v>0</v>
      </c>
      <c r="AD434" s="17">
        <f t="shared" si="510"/>
        <v>0</v>
      </c>
      <c r="AE434" s="17">
        <f t="shared" si="511"/>
        <v>0</v>
      </c>
      <c r="AF434" s="17">
        <f t="shared" si="512"/>
        <v>0</v>
      </c>
      <c r="AG434" s="17">
        <f t="shared" si="513"/>
        <v>0</v>
      </c>
      <c r="AH434" s="17">
        <f t="shared" si="514"/>
        <v>0</v>
      </c>
      <c r="AI434" s="14" t="s">
        <v>314</v>
      </c>
      <c r="AJ434" s="17">
        <f t="shared" si="515"/>
        <v>0</v>
      </c>
      <c r="AK434" s="17">
        <f t="shared" si="516"/>
        <v>0</v>
      </c>
      <c r="AL434" s="17">
        <f t="shared" si="517"/>
        <v>0</v>
      </c>
      <c r="AN434" s="17">
        <v>12</v>
      </c>
      <c r="AO434" s="17">
        <f>H434*0</f>
        <v>0</v>
      </c>
      <c r="AP434" s="17">
        <f>H434*(1-0)</f>
        <v>0</v>
      </c>
      <c r="AQ434" s="76" t="s">
        <v>577</v>
      </c>
      <c r="AV434" s="17">
        <f t="shared" si="518"/>
        <v>0</v>
      </c>
      <c r="AW434" s="17">
        <f t="shared" si="519"/>
        <v>0</v>
      </c>
      <c r="AX434" s="17">
        <f t="shared" si="520"/>
        <v>0</v>
      </c>
      <c r="AY434" s="76" t="s">
        <v>914</v>
      </c>
      <c r="AZ434" s="76" t="s">
        <v>969</v>
      </c>
      <c r="BA434" s="14" t="s">
        <v>970</v>
      </c>
      <c r="BC434" s="17">
        <f t="shared" si="521"/>
        <v>0</v>
      </c>
      <c r="BD434" s="17">
        <f t="shared" si="522"/>
        <v>0</v>
      </c>
      <c r="BE434" s="17">
        <v>0</v>
      </c>
      <c r="BF434" s="17">
        <f t="shared" si="523"/>
        <v>0</v>
      </c>
      <c r="BH434" s="17">
        <f t="shared" si="524"/>
        <v>0</v>
      </c>
      <c r="BI434" s="17">
        <f t="shared" si="525"/>
        <v>0</v>
      </c>
      <c r="BJ434" s="17">
        <f t="shared" si="526"/>
        <v>0</v>
      </c>
      <c r="BK434" s="17"/>
      <c r="BL434" s="17">
        <v>723</v>
      </c>
      <c r="BW434" s="17">
        <f t="shared" si="527"/>
        <v>12</v>
      </c>
      <c r="BX434" s="4" t="s">
        <v>276</v>
      </c>
    </row>
    <row r="435" spans="1:76" x14ac:dyDescent="0.25">
      <c r="A435" s="1" t="s">
        <v>978</v>
      </c>
      <c r="B435" s="2" t="s">
        <v>314</v>
      </c>
      <c r="C435" s="2" t="s">
        <v>277</v>
      </c>
      <c r="D435" s="83" t="s">
        <v>278</v>
      </c>
      <c r="E435" s="84"/>
      <c r="F435" s="2" t="s">
        <v>35</v>
      </c>
      <c r="G435" s="17">
        <f>'Rozpočet - vybrané sloupce'!J376</f>
        <v>6</v>
      </c>
      <c r="H435" s="17">
        <f>'Rozpočet - vybrané sloupce'!K376</f>
        <v>0</v>
      </c>
      <c r="I435" s="74">
        <v>12</v>
      </c>
      <c r="J435" s="17">
        <f t="shared" si="502"/>
        <v>0</v>
      </c>
      <c r="K435" s="17">
        <f t="shared" si="503"/>
        <v>0</v>
      </c>
      <c r="L435" s="17">
        <f t="shared" si="504"/>
        <v>0</v>
      </c>
      <c r="M435" s="17">
        <f t="shared" si="505"/>
        <v>0</v>
      </c>
      <c r="N435" s="17">
        <v>0</v>
      </c>
      <c r="O435" s="17">
        <f t="shared" si="506"/>
        <v>0</v>
      </c>
      <c r="P435" s="75" t="s">
        <v>576</v>
      </c>
      <c r="Z435" s="17">
        <f t="shared" si="507"/>
        <v>0</v>
      </c>
      <c r="AB435" s="17">
        <f t="shared" si="508"/>
        <v>0</v>
      </c>
      <c r="AC435" s="17">
        <f t="shared" si="509"/>
        <v>0</v>
      </c>
      <c r="AD435" s="17">
        <f t="shared" si="510"/>
        <v>0</v>
      </c>
      <c r="AE435" s="17">
        <f t="shared" si="511"/>
        <v>0</v>
      </c>
      <c r="AF435" s="17">
        <f t="shared" si="512"/>
        <v>0</v>
      </c>
      <c r="AG435" s="17">
        <f t="shared" si="513"/>
        <v>0</v>
      </c>
      <c r="AH435" s="17">
        <f t="shared" si="514"/>
        <v>0</v>
      </c>
      <c r="AI435" s="14" t="s">
        <v>314</v>
      </c>
      <c r="AJ435" s="17">
        <f t="shared" si="515"/>
        <v>0</v>
      </c>
      <c r="AK435" s="17">
        <f t="shared" si="516"/>
        <v>0</v>
      </c>
      <c r="AL435" s="17">
        <f t="shared" si="517"/>
        <v>0</v>
      </c>
      <c r="AN435" s="17">
        <v>12</v>
      </c>
      <c r="AO435" s="17">
        <f>H435*0</f>
        <v>0</v>
      </c>
      <c r="AP435" s="17">
        <f>H435*(1-0)</f>
        <v>0</v>
      </c>
      <c r="AQ435" s="76" t="s">
        <v>577</v>
      </c>
      <c r="AV435" s="17">
        <f t="shared" si="518"/>
        <v>0</v>
      </c>
      <c r="AW435" s="17">
        <f t="shared" si="519"/>
        <v>0</v>
      </c>
      <c r="AX435" s="17">
        <f t="shared" si="520"/>
        <v>0</v>
      </c>
      <c r="AY435" s="76" t="s">
        <v>914</v>
      </c>
      <c r="AZ435" s="76" t="s">
        <v>969</v>
      </c>
      <c r="BA435" s="14" t="s">
        <v>970</v>
      </c>
      <c r="BC435" s="17">
        <f t="shared" si="521"/>
        <v>0</v>
      </c>
      <c r="BD435" s="17">
        <f t="shared" si="522"/>
        <v>0</v>
      </c>
      <c r="BE435" s="17">
        <v>0</v>
      </c>
      <c r="BF435" s="17">
        <f t="shared" si="523"/>
        <v>0</v>
      </c>
      <c r="BH435" s="17">
        <f t="shared" si="524"/>
        <v>0</v>
      </c>
      <c r="BI435" s="17">
        <f t="shared" si="525"/>
        <v>0</v>
      </c>
      <c r="BJ435" s="17">
        <f t="shared" si="526"/>
        <v>0</v>
      </c>
      <c r="BK435" s="17"/>
      <c r="BL435" s="17">
        <v>723</v>
      </c>
      <c r="BW435" s="17">
        <f t="shared" si="527"/>
        <v>12</v>
      </c>
      <c r="BX435" s="4" t="s">
        <v>278</v>
      </c>
    </row>
    <row r="436" spans="1:76" x14ac:dyDescent="0.25">
      <c r="A436" s="1" t="s">
        <v>979</v>
      </c>
      <c r="B436" s="2" t="s">
        <v>314</v>
      </c>
      <c r="C436" s="2" t="s">
        <v>279</v>
      </c>
      <c r="D436" s="83" t="s">
        <v>280</v>
      </c>
      <c r="E436" s="84"/>
      <c r="F436" s="2" t="s">
        <v>35</v>
      </c>
      <c r="G436" s="17">
        <f>'Rozpočet - vybrané sloupce'!J377</f>
        <v>3</v>
      </c>
      <c r="H436" s="17">
        <f>'Rozpočet - vybrané sloupce'!K377</f>
        <v>0</v>
      </c>
      <c r="I436" s="74">
        <v>12</v>
      </c>
      <c r="J436" s="17">
        <f t="shared" si="502"/>
        <v>0</v>
      </c>
      <c r="K436" s="17">
        <f t="shared" si="503"/>
        <v>0</v>
      </c>
      <c r="L436" s="17">
        <f t="shared" si="504"/>
        <v>0</v>
      </c>
      <c r="M436" s="17">
        <f t="shared" si="505"/>
        <v>0</v>
      </c>
      <c r="N436" s="17">
        <v>0</v>
      </c>
      <c r="O436" s="17">
        <f t="shared" si="506"/>
        <v>0</v>
      </c>
      <c r="P436" s="75" t="s">
        <v>576</v>
      </c>
      <c r="Z436" s="17">
        <f t="shared" si="507"/>
        <v>0</v>
      </c>
      <c r="AB436" s="17">
        <f t="shared" si="508"/>
        <v>0</v>
      </c>
      <c r="AC436" s="17">
        <f t="shared" si="509"/>
        <v>0</v>
      </c>
      <c r="AD436" s="17">
        <f t="shared" si="510"/>
        <v>0</v>
      </c>
      <c r="AE436" s="17">
        <f t="shared" si="511"/>
        <v>0</v>
      </c>
      <c r="AF436" s="17">
        <f t="shared" si="512"/>
        <v>0</v>
      </c>
      <c r="AG436" s="17">
        <f t="shared" si="513"/>
        <v>0</v>
      </c>
      <c r="AH436" s="17">
        <f t="shared" si="514"/>
        <v>0</v>
      </c>
      <c r="AI436" s="14" t="s">
        <v>314</v>
      </c>
      <c r="AJ436" s="17">
        <f t="shared" si="515"/>
        <v>0</v>
      </c>
      <c r="AK436" s="17">
        <f t="shared" si="516"/>
        <v>0</v>
      </c>
      <c r="AL436" s="17">
        <f t="shared" si="517"/>
        <v>0</v>
      </c>
      <c r="AN436" s="17">
        <v>12</v>
      </c>
      <c r="AO436" s="17">
        <f>H436*0</f>
        <v>0</v>
      </c>
      <c r="AP436" s="17">
        <f>H436*(1-0)</f>
        <v>0</v>
      </c>
      <c r="AQ436" s="76" t="s">
        <v>577</v>
      </c>
      <c r="AV436" s="17">
        <f t="shared" si="518"/>
        <v>0</v>
      </c>
      <c r="AW436" s="17">
        <f t="shared" si="519"/>
        <v>0</v>
      </c>
      <c r="AX436" s="17">
        <f t="shared" si="520"/>
        <v>0</v>
      </c>
      <c r="AY436" s="76" t="s">
        <v>914</v>
      </c>
      <c r="AZ436" s="76" t="s">
        <v>969</v>
      </c>
      <c r="BA436" s="14" t="s">
        <v>970</v>
      </c>
      <c r="BC436" s="17">
        <f t="shared" si="521"/>
        <v>0</v>
      </c>
      <c r="BD436" s="17">
        <f t="shared" si="522"/>
        <v>0</v>
      </c>
      <c r="BE436" s="17">
        <v>0</v>
      </c>
      <c r="BF436" s="17">
        <f t="shared" si="523"/>
        <v>0</v>
      </c>
      <c r="BH436" s="17">
        <f t="shared" si="524"/>
        <v>0</v>
      </c>
      <c r="BI436" s="17">
        <f t="shared" si="525"/>
        <v>0</v>
      </c>
      <c r="BJ436" s="17">
        <f t="shared" si="526"/>
        <v>0</v>
      </c>
      <c r="BK436" s="17"/>
      <c r="BL436" s="17">
        <v>723</v>
      </c>
      <c r="BW436" s="17">
        <f t="shared" si="527"/>
        <v>12</v>
      </c>
      <c r="BX436" s="4" t="s">
        <v>280</v>
      </c>
    </row>
    <row r="437" spans="1:76" x14ac:dyDescent="0.25">
      <c r="A437" s="1" t="s">
        <v>980</v>
      </c>
      <c r="B437" s="2" t="s">
        <v>314</v>
      </c>
      <c r="C437" s="2" t="s">
        <v>281</v>
      </c>
      <c r="D437" s="83" t="s">
        <v>282</v>
      </c>
      <c r="E437" s="84"/>
      <c r="F437" s="2" t="s">
        <v>40</v>
      </c>
      <c r="G437" s="17">
        <f>'Rozpočet - vybrané sloupce'!J378</f>
        <v>3</v>
      </c>
      <c r="H437" s="17">
        <f>'Rozpočet - vybrané sloupce'!K378</f>
        <v>0</v>
      </c>
      <c r="I437" s="74">
        <v>12</v>
      </c>
      <c r="J437" s="17">
        <f t="shared" si="502"/>
        <v>0</v>
      </c>
      <c r="K437" s="17">
        <f t="shared" si="503"/>
        <v>0</v>
      </c>
      <c r="L437" s="17">
        <f t="shared" si="504"/>
        <v>0</v>
      </c>
      <c r="M437" s="17">
        <f t="shared" si="505"/>
        <v>0</v>
      </c>
      <c r="N437" s="17">
        <v>0</v>
      </c>
      <c r="O437" s="17">
        <f t="shared" si="506"/>
        <v>0</v>
      </c>
      <c r="P437" s="75" t="s">
        <v>576</v>
      </c>
      <c r="Z437" s="17">
        <f t="shared" si="507"/>
        <v>0</v>
      </c>
      <c r="AB437" s="17">
        <f t="shared" si="508"/>
        <v>0</v>
      </c>
      <c r="AC437" s="17">
        <f t="shared" si="509"/>
        <v>0</v>
      </c>
      <c r="AD437" s="17">
        <f t="shared" si="510"/>
        <v>0</v>
      </c>
      <c r="AE437" s="17">
        <f t="shared" si="511"/>
        <v>0</v>
      </c>
      <c r="AF437" s="17">
        <f t="shared" si="512"/>
        <v>0</v>
      </c>
      <c r="AG437" s="17">
        <f t="shared" si="513"/>
        <v>0</v>
      </c>
      <c r="AH437" s="17">
        <f t="shared" si="514"/>
        <v>0</v>
      </c>
      <c r="AI437" s="14" t="s">
        <v>314</v>
      </c>
      <c r="AJ437" s="17">
        <f t="shared" si="515"/>
        <v>0</v>
      </c>
      <c r="AK437" s="17">
        <f t="shared" si="516"/>
        <v>0</v>
      </c>
      <c r="AL437" s="17">
        <f t="shared" si="517"/>
        <v>0</v>
      </c>
      <c r="AN437" s="17">
        <v>12</v>
      </c>
      <c r="AO437" s="17">
        <f>H437*0</f>
        <v>0</v>
      </c>
      <c r="AP437" s="17">
        <f>H437*(1-0)</f>
        <v>0</v>
      </c>
      <c r="AQ437" s="76" t="s">
        <v>577</v>
      </c>
      <c r="AV437" s="17">
        <f t="shared" si="518"/>
        <v>0</v>
      </c>
      <c r="AW437" s="17">
        <f t="shared" si="519"/>
        <v>0</v>
      </c>
      <c r="AX437" s="17">
        <f t="shared" si="520"/>
        <v>0</v>
      </c>
      <c r="AY437" s="76" t="s">
        <v>914</v>
      </c>
      <c r="AZ437" s="76" t="s">
        <v>969</v>
      </c>
      <c r="BA437" s="14" t="s">
        <v>970</v>
      </c>
      <c r="BC437" s="17">
        <f t="shared" si="521"/>
        <v>0</v>
      </c>
      <c r="BD437" s="17">
        <f t="shared" si="522"/>
        <v>0</v>
      </c>
      <c r="BE437" s="17">
        <v>0</v>
      </c>
      <c r="BF437" s="17">
        <f t="shared" si="523"/>
        <v>0</v>
      </c>
      <c r="BH437" s="17">
        <f t="shared" si="524"/>
        <v>0</v>
      </c>
      <c r="BI437" s="17">
        <f t="shared" si="525"/>
        <v>0</v>
      </c>
      <c r="BJ437" s="17">
        <f t="shared" si="526"/>
        <v>0</v>
      </c>
      <c r="BK437" s="17"/>
      <c r="BL437" s="17">
        <v>723</v>
      </c>
      <c r="BW437" s="17">
        <f t="shared" si="527"/>
        <v>12</v>
      </c>
      <c r="BX437" s="4" t="s">
        <v>282</v>
      </c>
    </row>
    <row r="438" spans="1:76" x14ac:dyDescent="0.25">
      <c r="A438" s="1" t="s">
        <v>981</v>
      </c>
      <c r="B438" s="2" t="s">
        <v>314</v>
      </c>
      <c r="C438" s="2" t="s">
        <v>283</v>
      </c>
      <c r="D438" s="83" t="s">
        <v>284</v>
      </c>
      <c r="E438" s="84"/>
      <c r="F438" s="2" t="s">
        <v>35</v>
      </c>
      <c r="G438" s="17">
        <f>'Rozpočet - vybrané sloupce'!J379</f>
        <v>2</v>
      </c>
      <c r="H438" s="17">
        <f>'Rozpočet - vybrané sloupce'!K379</f>
        <v>0</v>
      </c>
      <c r="I438" s="74">
        <v>12</v>
      </c>
      <c r="J438" s="17">
        <f t="shared" si="502"/>
        <v>0</v>
      </c>
      <c r="K438" s="17">
        <f t="shared" si="503"/>
        <v>0</v>
      </c>
      <c r="L438" s="17">
        <f t="shared" si="504"/>
        <v>0</v>
      </c>
      <c r="M438" s="17">
        <f t="shared" si="505"/>
        <v>0</v>
      </c>
      <c r="N438" s="17">
        <v>0</v>
      </c>
      <c r="O438" s="17">
        <f t="shared" si="506"/>
        <v>0</v>
      </c>
      <c r="P438" s="75" t="s">
        <v>576</v>
      </c>
      <c r="Z438" s="17">
        <f t="shared" si="507"/>
        <v>0</v>
      </c>
      <c r="AB438" s="17">
        <f t="shared" si="508"/>
        <v>0</v>
      </c>
      <c r="AC438" s="17">
        <f t="shared" si="509"/>
        <v>0</v>
      </c>
      <c r="AD438" s="17">
        <f t="shared" si="510"/>
        <v>0</v>
      </c>
      <c r="AE438" s="17">
        <f t="shared" si="511"/>
        <v>0</v>
      </c>
      <c r="AF438" s="17">
        <f t="shared" si="512"/>
        <v>0</v>
      </c>
      <c r="AG438" s="17">
        <f t="shared" si="513"/>
        <v>0</v>
      </c>
      <c r="AH438" s="17">
        <f t="shared" si="514"/>
        <v>0</v>
      </c>
      <c r="AI438" s="14" t="s">
        <v>314</v>
      </c>
      <c r="AJ438" s="17">
        <f t="shared" si="515"/>
        <v>0</v>
      </c>
      <c r="AK438" s="17">
        <f t="shared" si="516"/>
        <v>0</v>
      </c>
      <c r="AL438" s="17">
        <f t="shared" si="517"/>
        <v>0</v>
      </c>
      <c r="AN438" s="17">
        <v>12</v>
      </c>
      <c r="AO438" s="17">
        <f>H438*0.133333333</f>
        <v>0</v>
      </c>
      <c r="AP438" s="17">
        <f>H438*(1-0.133333333)</f>
        <v>0</v>
      </c>
      <c r="AQ438" s="76" t="s">
        <v>577</v>
      </c>
      <c r="AV438" s="17">
        <f t="shared" si="518"/>
        <v>0</v>
      </c>
      <c r="AW438" s="17">
        <f t="shared" si="519"/>
        <v>0</v>
      </c>
      <c r="AX438" s="17">
        <f t="shared" si="520"/>
        <v>0</v>
      </c>
      <c r="AY438" s="76" t="s">
        <v>914</v>
      </c>
      <c r="AZ438" s="76" t="s">
        <v>969</v>
      </c>
      <c r="BA438" s="14" t="s">
        <v>970</v>
      </c>
      <c r="BC438" s="17">
        <f t="shared" si="521"/>
        <v>0</v>
      </c>
      <c r="BD438" s="17">
        <f t="shared" si="522"/>
        <v>0</v>
      </c>
      <c r="BE438" s="17">
        <v>0</v>
      </c>
      <c r="BF438" s="17">
        <f t="shared" si="523"/>
        <v>0</v>
      </c>
      <c r="BH438" s="17">
        <f t="shared" si="524"/>
        <v>0</v>
      </c>
      <c r="BI438" s="17">
        <f t="shared" si="525"/>
        <v>0</v>
      </c>
      <c r="BJ438" s="17">
        <f t="shared" si="526"/>
        <v>0</v>
      </c>
      <c r="BK438" s="17"/>
      <c r="BL438" s="17">
        <v>723</v>
      </c>
      <c r="BW438" s="17">
        <f t="shared" si="527"/>
        <v>12</v>
      </c>
      <c r="BX438" s="4" t="s">
        <v>284</v>
      </c>
    </row>
    <row r="439" spans="1:76" x14ac:dyDescent="0.25">
      <c r="A439" s="1" t="s">
        <v>982</v>
      </c>
      <c r="B439" s="2" t="s">
        <v>314</v>
      </c>
      <c r="C439" s="2" t="s">
        <v>285</v>
      </c>
      <c r="D439" s="83" t="s">
        <v>286</v>
      </c>
      <c r="E439" s="84"/>
      <c r="F439" s="2" t="s">
        <v>35</v>
      </c>
      <c r="G439" s="17">
        <f>'Rozpočet - vybrané sloupce'!J380</f>
        <v>7</v>
      </c>
      <c r="H439" s="17">
        <f>'Rozpočet - vybrané sloupce'!K380</f>
        <v>0</v>
      </c>
      <c r="I439" s="74">
        <v>12</v>
      </c>
      <c r="J439" s="17">
        <f t="shared" si="502"/>
        <v>0</v>
      </c>
      <c r="K439" s="17">
        <f t="shared" si="503"/>
        <v>0</v>
      </c>
      <c r="L439" s="17">
        <f t="shared" si="504"/>
        <v>0</v>
      </c>
      <c r="M439" s="17">
        <f t="shared" si="505"/>
        <v>0</v>
      </c>
      <c r="N439" s="17">
        <v>8.8999999999999995E-4</v>
      </c>
      <c r="O439" s="17">
        <f t="shared" si="506"/>
        <v>6.2299999999999994E-3</v>
      </c>
      <c r="P439" s="75" t="s">
        <v>576</v>
      </c>
      <c r="Z439" s="17">
        <f t="shared" si="507"/>
        <v>0</v>
      </c>
      <c r="AB439" s="17">
        <f t="shared" si="508"/>
        <v>0</v>
      </c>
      <c r="AC439" s="17">
        <f t="shared" si="509"/>
        <v>0</v>
      </c>
      <c r="AD439" s="17">
        <f t="shared" si="510"/>
        <v>0</v>
      </c>
      <c r="AE439" s="17">
        <f t="shared" si="511"/>
        <v>0</v>
      </c>
      <c r="AF439" s="17">
        <f t="shared" si="512"/>
        <v>0</v>
      </c>
      <c r="AG439" s="17">
        <f t="shared" si="513"/>
        <v>0</v>
      </c>
      <c r="AH439" s="17">
        <f t="shared" si="514"/>
        <v>0</v>
      </c>
      <c r="AI439" s="14" t="s">
        <v>314</v>
      </c>
      <c r="AJ439" s="17">
        <f t="shared" si="515"/>
        <v>0</v>
      </c>
      <c r="AK439" s="17">
        <f t="shared" si="516"/>
        <v>0</v>
      </c>
      <c r="AL439" s="17">
        <f t="shared" si="517"/>
        <v>0</v>
      </c>
      <c r="AN439" s="17">
        <v>12</v>
      </c>
      <c r="AO439" s="17">
        <f>H439*0</f>
        <v>0</v>
      </c>
      <c r="AP439" s="17">
        <f>H439*(1-0)</f>
        <v>0</v>
      </c>
      <c r="AQ439" s="76" t="s">
        <v>577</v>
      </c>
      <c r="AV439" s="17">
        <f t="shared" si="518"/>
        <v>0</v>
      </c>
      <c r="AW439" s="17">
        <f t="shared" si="519"/>
        <v>0</v>
      </c>
      <c r="AX439" s="17">
        <f t="shared" si="520"/>
        <v>0</v>
      </c>
      <c r="AY439" s="76" t="s">
        <v>914</v>
      </c>
      <c r="AZ439" s="76" t="s">
        <v>969</v>
      </c>
      <c r="BA439" s="14" t="s">
        <v>970</v>
      </c>
      <c r="BC439" s="17">
        <f t="shared" si="521"/>
        <v>0</v>
      </c>
      <c r="BD439" s="17">
        <f t="shared" si="522"/>
        <v>0</v>
      </c>
      <c r="BE439" s="17">
        <v>0</v>
      </c>
      <c r="BF439" s="17">
        <f t="shared" si="523"/>
        <v>6.2299999999999994E-3</v>
      </c>
      <c r="BH439" s="17">
        <f t="shared" si="524"/>
        <v>0</v>
      </c>
      <c r="BI439" s="17">
        <f t="shared" si="525"/>
        <v>0</v>
      </c>
      <c r="BJ439" s="17">
        <f t="shared" si="526"/>
        <v>0</v>
      </c>
      <c r="BK439" s="17"/>
      <c r="BL439" s="17">
        <v>723</v>
      </c>
      <c r="BW439" s="17">
        <f t="shared" si="527"/>
        <v>12</v>
      </c>
      <c r="BX439" s="4" t="s">
        <v>286</v>
      </c>
    </row>
    <row r="440" spans="1:76" x14ac:dyDescent="0.25">
      <c r="A440" s="1" t="s">
        <v>983</v>
      </c>
      <c r="B440" s="2" t="s">
        <v>314</v>
      </c>
      <c r="C440" s="2" t="s">
        <v>287</v>
      </c>
      <c r="D440" s="83" t="s">
        <v>288</v>
      </c>
      <c r="E440" s="84"/>
      <c r="F440" s="2" t="s">
        <v>289</v>
      </c>
      <c r="G440" s="17">
        <f>'Rozpočet - vybrané sloupce'!J381</f>
        <v>7</v>
      </c>
      <c r="H440" s="17">
        <f>'Rozpočet - vybrané sloupce'!K381</f>
        <v>0</v>
      </c>
      <c r="I440" s="74">
        <v>12</v>
      </c>
      <c r="J440" s="17">
        <f t="shared" si="502"/>
        <v>0</v>
      </c>
      <c r="K440" s="17">
        <f t="shared" si="503"/>
        <v>0</v>
      </c>
      <c r="L440" s="17">
        <f t="shared" si="504"/>
        <v>0</v>
      </c>
      <c r="M440" s="17">
        <f t="shared" si="505"/>
        <v>0</v>
      </c>
      <c r="N440" s="17">
        <v>5.13E-3</v>
      </c>
      <c r="O440" s="17">
        <f t="shared" si="506"/>
        <v>3.5909999999999997E-2</v>
      </c>
      <c r="P440" s="75" t="s">
        <v>576</v>
      </c>
      <c r="Z440" s="17">
        <f t="shared" si="507"/>
        <v>0</v>
      </c>
      <c r="AB440" s="17">
        <f t="shared" si="508"/>
        <v>0</v>
      </c>
      <c r="AC440" s="17">
        <f t="shared" si="509"/>
        <v>0</v>
      </c>
      <c r="AD440" s="17">
        <f t="shared" si="510"/>
        <v>0</v>
      </c>
      <c r="AE440" s="17">
        <f t="shared" si="511"/>
        <v>0</v>
      </c>
      <c r="AF440" s="17">
        <f t="shared" si="512"/>
        <v>0</v>
      </c>
      <c r="AG440" s="17">
        <f t="shared" si="513"/>
        <v>0</v>
      </c>
      <c r="AH440" s="17">
        <f t="shared" si="514"/>
        <v>0</v>
      </c>
      <c r="AI440" s="14" t="s">
        <v>314</v>
      </c>
      <c r="AJ440" s="17">
        <f t="shared" si="515"/>
        <v>0</v>
      </c>
      <c r="AK440" s="17">
        <f t="shared" si="516"/>
        <v>0</v>
      </c>
      <c r="AL440" s="17">
        <f t="shared" si="517"/>
        <v>0</v>
      </c>
      <c r="AN440" s="17">
        <v>12</v>
      </c>
      <c r="AO440" s="17">
        <f>H440*0</f>
        <v>0</v>
      </c>
      <c r="AP440" s="17">
        <f>H440*(1-0)</f>
        <v>0</v>
      </c>
      <c r="AQ440" s="76" t="s">
        <v>577</v>
      </c>
      <c r="AV440" s="17">
        <f t="shared" si="518"/>
        <v>0</v>
      </c>
      <c r="AW440" s="17">
        <f t="shared" si="519"/>
        <v>0</v>
      </c>
      <c r="AX440" s="17">
        <f t="shared" si="520"/>
        <v>0</v>
      </c>
      <c r="AY440" s="76" t="s">
        <v>914</v>
      </c>
      <c r="AZ440" s="76" t="s">
        <v>969</v>
      </c>
      <c r="BA440" s="14" t="s">
        <v>970</v>
      </c>
      <c r="BC440" s="17">
        <f t="shared" si="521"/>
        <v>0</v>
      </c>
      <c r="BD440" s="17">
        <f t="shared" si="522"/>
        <v>0</v>
      </c>
      <c r="BE440" s="17">
        <v>0</v>
      </c>
      <c r="BF440" s="17">
        <f t="shared" si="523"/>
        <v>3.5909999999999997E-2</v>
      </c>
      <c r="BH440" s="17">
        <f t="shared" si="524"/>
        <v>0</v>
      </c>
      <c r="BI440" s="17">
        <f t="shared" si="525"/>
        <v>0</v>
      </c>
      <c r="BJ440" s="17">
        <f t="shared" si="526"/>
        <v>0</v>
      </c>
      <c r="BK440" s="17"/>
      <c r="BL440" s="17">
        <v>723</v>
      </c>
      <c r="BW440" s="17">
        <f t="shared" si="527"/>
        <v>12</v>
      </c>
      <c r="BX440" s="4" t="s">
        <v>288</v>
      </c>
    </row>
    <row r="441" spans="1:76" x14ac:dyDescent="0.25">
      <c r="A441" s="1" t="s">
        <v>984</v>
      </c>
      <c r="B441" s="2" t="s">
        <v>314</v>
      </c>
      <c r="C441" s="2" t="s">
        <v>290</v>
      </c>
      <c r="D441" s="83" t="s">
        <v>291</v>
      </c>
      <c r="E441" s="84"/>
      <c r="F441" s="2" t="s">
        <v>40</v>
      </c>
      <c r="G441" s="17">
        <f>'Rozpočet - vybrané sloupce'!J382</f>
        <v>7</v>
      </c>
      <c r="H441" s="17">
        <f>'Rozpočet - vybrané sloupce'!K382</f>
        <v>0</v>
      </c>
      <c r="I441" s="74">
        <v>12</v>
      </c>
      <c r="J441" s="17">
        <f t="shared" si="502"/>
        <v>0</v>
      </c>
      <c r="K441" s="17">
        <f t="shared" si="503"/>
        <v>0</v>
      </c>
      <c r="L441" s="17">
        <f t="shared" si="504"/>
        <v>0</v>
      </c>
      <c r="M441" s="17">
        <f t="shared" si="505"/>
        <v>0</v>
      </c>
      <c r="N441" s="17">
        <v>1.8000000000000001E-4</v>
      </c>
      <c r="O441" s="17">
        <f t="shared" si="506"/>
        <v>1.2600000000000001E-3</v>
      </c>
      <c r="P441" s="75" t="s">
        <v>576</v>
      </c>
      <c r="Z441" s="17">
        <f t="shared" si="507"/>
        <v>0</v>
      </c>
      <c r="AB441" s="17">
        <f t="shared" si="508"/>
        <v>0</v>
      </c>
      <c r="AC441" s="17">
        <f t="shared" si="509"/>
        <v>0</v>
      </c>
      <c r="AD441" s="17">
        <f t="shared" si="510"/>
        <v>0</v>
      </c>
      <c r="AE441" s="17">
        <f t="shared" si="511"/>
        <v>0</v>
      </c>
      <c r="AF441" s="17">
        <f t="shared" si="512"/>
        <v>0</v>
      </c>
      <c r="AG441" s="17">
        <f t="shared" si="513"/>
        <v>0</v>
      </c>
      <c r="AH441" s="17">
        <f t="shared" si="514"/>
        <v>0</v>
      </c>
      <c r="AI441" s="14" t="s">
        <v>314</v>
      </c>
      <c r="AJ441" s="17">
        <f t="shared" si="515"/>
        <v>0</v>
      </c>
      <c r="AK441" s="17">
        <f t="shared" si="516"/>
        <v>0</v>
      </c>
      <c r="AL441" s="17">
        <f t="shared" si="517"/>
        <v>0</v>
      </c>
      <c r="AN441" s="17">
        <v>12</v>
      </c>
      <c r="AO441" s="17">
        <f>H441*0.062206897</f>
        <v>0</v>
      </c>
      <c r="AP441" s="17">
        <f>H441*(1-0.062206897)</f>
        <v>0</v>
      </c>
      <c r="AQ441" s="76" t="s">
        <v>577</v>
      </c>
      <c r="AV441" s="17">
        <f t="shared" si="518"/>
        <v>0</v>
      </c>
      <c r="AW441" s="17">
        <f t="shared" si="519"/>
        <v>0</v>
      </c>
      <c r="AX441" s="17">
        <f t="shared" si="520"/>
        <v>0</v>
      </c>
      <c r="AY441" s="76" t="s">
        <v>914</v>
      </c>
      <c r="AZ441" s="76" t="s">
        <v>969</v>
      </c>
      <c r="BA441" s="14" t="s">
        <v>970</v>
      </c>
      <c r="BC441" s="17">
        <f t="shared" si="521"/>
        <v>0</v>
      </c>
      <c r="BD441" s="17">
        <f t="shared" si="522"/>
        <v>0</v>
      </c>
      <c r="BE441" s="17">
        <v>0</v>
      </c>
      <c r="BF441" s="17">
        <f t="shared" si="523"/>
        <v>1.2600000000000001E-3</v>
      </c>
      <c r="BH441" s="17">
        <f t="shared" si="524"/>
        <v>0</v>
      </c>
      <c r="BI441" s="17">
        <f t="shared" si="525"/>
        <v>0</v>
      </c>
      <c r="BJ441" s="17">
        <f t="shared" si="526"/>
        <v>0</v>
      </c>
      <c r="BK441" s="17"/>
      <c r="BL441" s="17">
        <v>723</v>
      </c>
      <c r="BW441" s="17">
        <f t="shared" si="527"/>
        <v>12</v>
      </c>
      <c r="BX441" s="4" t="s">
        <v>291</v>
      </c>
    </row>
    <row r="442" spans="1:76" x14ac:dyDescent="0.25">
      <c r="A442" s="1" t="s">
        <v>985</v>
      </c>
      <c r="B442" s="2" t="s">
        <v>314</v>
      </c>
      <c r="C442" s="2" t="s">
        <v>292</v>
      </c>
      <c r="D442" s="83" t="s">
        <v>293</v>
      </c>
      <c r="E442" s="84"/>
      <c r="F442" s="2" t="s">
        <v>40</v>
      </c>
      <c r="G442" s="17">
        <f>'Rozpočet - vybrané sloupce'!J383</f>
        <v>7</v>
      </c>
      <c r="H442" s="17">
        <f>'Rozpočet - vybrané sloupce'!K383</f>
        <v>0</v>
      </c>
      <c r="I442" s="74">
        <v>12</v>
      </c>
      <c r="J442" s="17">
        <f t="shared" si="502"/>
        <v>0</v>
      </c>
      <c r="K442" s="17">
        <f t="shared" si="503"/>
        <v>0</v>
      </c>
      <c r="L442" s="17">
        <f t="shared" si="504"/>
        <v>0</v>
      </c>
      <c r="M442" s="17">
        <f t="shared" si="505"/>
        <v>0</v>
      </c>
      <c r="N442" s="17">
        <v>3.2499999999999999E-3</v>
      </c>
      <c r="O442" s="17">
        <f t="shared" si="506"/>
        <v>2.2749999999999999E-2</v>
      </c>
      <c r="P442" s="75" t="s">
        <v>576</v>
      </c>
      <c r="Z442" s="17">
        <f t="shared" si="507"/>
        <v>0</v>
      </c>
      <c r="AB442" s="17">
        <f t="shared" si="508"/>
        <v>0</v>
      </c>
      <c r="AC442" s="17">
        <f t="shared" si="509"/>
        <v>0</v>
      </c>
      <c r="AD442" s="17">
        <f t="shared" si="510"/>
        <v>0</v>
      </c>
      <c r="AE442" s="17">
        <f t="shared" si="511"/>
        <v>0</v>
      </c>
      <c r="AF442" s="17">
        <f t="shared" si="512"/>
        <v>0</v>
      </c>
      <c r="AG442" s="17">
        <f t="shared" si="513"/>
        <v>0</v>
      </c>
      <c r="AH442" s="17">
        <f t="shared" si="514"/>
        <v>0</v>
      </c>
      <c r="AI442" s="14" t="s">
        <v>314</v>
      </c>
      <c r="AJ442" s="17">
        <f t="shared" si="515"/>
        <v>0</v>
      </c>
      <c r="AK442" s="17">
        <f t="shared" si="516"/>
        <v>0</v>
      </c>
      <c r="AL442" s="17">
        <f t="shared" si="517"/>
        <v>0</v>
      </c>
      <c r="AN442" s="17">
        <v>12</v>
      </c>
      <c r="AO442" s="17">
        <f>H442*0.474438596</f>
        <v>0</v>
      </c>
      <c r="AP442" s="17">
        <f>H442*(1-0.474438596)</f>
        <v>0</v>
      </c>
      <c r="AQ442" s="76" t="s">
        <v>577</v>
      </c>
      <c r="AV442" s="17">
        <f t="shared" si="518"/>
        <v>0</v>
      </c>
      <c r="AW442" s="17">
        <f t="shared" si="519"/>
        <v>0</v>
      </c>
      <c r="AX442" s="17">
        <f t="shared" si="520"/>
        <v>0</v>
      </c>
      <c r="AY442" s="76" t="s">
        <v>914</v>
      </c>
      <c r="AZ442" s="76" t="s">
        <v>969</v>
      </c>
      <c r="BA442" s="14" t="s">
        <v>970</v>
      </c>
      <c r="BC442" s="17">
        <f t="shared" si="521"/>
        <v>0</v>
      </c>
      <c r="BD442" s="17">
        <f t="shared" si="522"/>
        <v>0</v>
      </c>
      <c r="BE442" s="17">
        <v>0</v>
      </c>
      <c r="BF442" s="17">
        <f t="shared" si="523"/>
        <v>2.2749999999999999E-2</v>
      </c>
      <c r="BH442" s="17">
        <f t="shared" si="524"/>
        <v>0</v>
      </c>
      <c r="BI442" s="17">
        <f t="shared" si="525"/>
        <v>0</v>
      </c>
      <c r="BJ442" s="17">
        <f t="shared" si="526"/>
        <v>0</v>
      </c>
      <c r="BK442" s="17"/>
      <c r="BL442" s="17">
        <v>723</v>
      </c>
      <c r="BW442" s="17">
        <f t="shared" si="527"/>
        <v>12</v>
      </c>
      <c r="BX442" s="4" t="s">
        <v>293</v>
      </c>
    </row>
    <row r="443" spans="1:76" x14ac:dyDescent="0.25">
      <c r="A443" s="1" t="s">
        <v>986</v>
      </c>
      <c r="B443" s="2" t="s">
        <v>314</v>
      </c>
      <c r="C443" s="2" t="s">
        <v>294</v>
      </c>
      <c r="D443" s="83" t="s">
        <v>295</v>
      </c>
      <c r="E443" s="84"/>
      <c r="F443" s="2" t="s">
        <v>35</v>
      </c>
      <c r="G443" s="17">
        <f>'Rozpočet - vybrané sloupce'!J384</f>
        <v>7</v>
      </c>
      <c r="H443" s="17">
        <f>'Rozpočet - vybrané sloupce'!K384</f>
        <v>0</v>
      </c>
      <c r="I443" s="74">
        <v>12</v>
      </c>
      <c r="J443" s="17">
        <f t="shared" si="502"/>
        <v>0</v>
      </c>
      <c r="K443" s="17">
        <f t="shared" si="503"/>
        <v>0</v>
      </c>
      <c r="L443" s="17">
        <f t="shared" si="504"/>
        <v>0</v>
      </c>
      <c r="M443" s="17">
        <f t="shared" si="505"/>
        <v>0</v>
      </c>
      <c r="N443" s="17">
        <v>4.3800000000000002E-3</v>
      </c>
      <c r="O443" s="17">
        <f t="shared" si="506"/>
        <v>3.066E-2</v>
      </c>
      <c r="P443" s="75" t="s">
        <v>576</v>
      </c>
      <c r="Z443" s="17">
        <f t="shared" si="507"/>
        <v>0</v>
      </c>
      <c r="AB443" s="17">
        <f t="shared" si="508"/>
        <v>0</v>
      </c>
      <c r="AC443" s="17">
        <f t="shared" si="509"/>
        <v>0</v>
      </c>
      <c r="AD443" s="17">
        <f t="shared" si="510"/>
        <v>0</v>
      </c>
      <c r="AE443" s="17">
        <f t="shared" si="511"/>
        <v>0</v>
      </c>
      <c r="AF443" s="17">
        <f t="shared" si="512"/>
        <v>0</v>
      </c>
      <c r="AG443" s="17">
        <f t="shared" si="513"/>
        <v>0</v>
      </c>
      <c r="AH443" s="17">
        <f t="shared" si="514"/>
        <v>0</v>
      </c>
      <c r="AI443" s="14" t="s">
        <v>314</v>
      </c>
      <c r="AJ443" s="17">
        <f t="shared" si="515"/>
        <v>0</v>
      </c>
      <c r="AK443" s="17">
        <f t="shared" si="516"/>
        <v>0</v>
      </c>
      <c r="AL443" s="17">
        <f t="shared" si="517"/>
        <v>0</v>
      </c>
      <c r="AN443" s="17">
        <v>12</v>
      </c>
      <c r="AO443" s="17">
        <f>H443*0.219761905</f>
        <v>0</v>
      </c>
      <c r="AP443" s="17">
        <f>H443*(1-0.219761905)</f>
        <v>0</v>
      </c>
      <c r="AQ443" s="76" t="s">
        <v>577</v>
      </c>
      <c r="AV443" s="17">
        <f t="shared" si="518"/>
        <v>0</v>
      </c>
      <c r="AW443" s="17">
        <f t="shared" si="519"/>
        <v>0</v>
      </c>
      <c r="AX443" s="17">
        <f t="shared" si="520"/>
        <v>0</v>
      </c>
      <c r="AY443" s="76" t="s">
        <v>914</v>
      </c>
      <c r="AZ443" s="76" t="s">
        <v>969</v>
      </c>
      <c r="BA443" s="14" t="s">
        <v>970</v>
      </c>
      <c r="BC443" s="17">
        <f t="shared" si="521"/>
        <v>0</v>
      </c>
      <c r="BD443" s="17">
        <f t="shared" si="522"/>
        <v>0</v>
      </c>
      <c r="BE443" s="17">
        <v>0</v>
      </c>
      <c r="BF443" s="17">
        <f t="shared" si="523"/>
        <v>3.066E-2</v>
      </c>
      <c r="BH443" s="17">
        <f t="shared" si="524"/>
        <v>0</v>
      </c>
      <c r="BI443" s="17">
        <f t="shared" si="525"/>
        <v>0</v>
      </c>
      <c r="BJ443" s="17">
        <f t="shared" si="526"/>
        <v>0</v>
      </c>
      <c r="BK443" s="17"/>
      <c r="BL443" s="17">
        <v>723</v>
      </c>
      <c r="BW443" s="17">
        <f t="shared" si="527"/>
        <v>12</v>
      </c>
      <c r="BX443" s="4" t="s">
        <v>295</v>
      </c>
    </row>
    <row r="444" spans="1:76" x14ac:dyDescent="0.25">
      <c r="A444" s="1" t="s">
        <v>987</v>
      </c>
      <c r="B444" s="2" t="s">
        <v>314</v>
      </c>
      <c r="C444" s="2" t="s">
        <v>296</v>
      </c>
      <c r="D444" s="83" t="s">
        <v>297</v>
      </c>
      <c r="E444" s="84"/>
      <c r="F444" s="2" t="s">
        <v>35</v>
      </c>
      <c r="G444" s="17">
        <f>'Rozpočet - vybrané sloupce'!J385</f>
        <v>7</v>
      </c>
      <c r="H444" s="17">
        <f>'Rozpočet - vybrané sloupce'!K385</f>
        <v>0</v>
      </c>
      <c r="I444" s="74">
        <v>12</v>
      </c>
      <c r="J444" s="17">
        <f t="shared" si="502"/>
        <v>0</v>
      </c>
      <c r="K444" s="17">
        <f t="shared" si="503"/>
        <v>0</v>
      </c>
      <c r="L444" s="17">
        <f t="shared" si="504"/>
        <v>0</v>
      </c>
      <c r="M444" s="17">
        <f t="shared" si="505"/>
        <v>0</v>
      </c>
      <c r="N444" s="17">
        <v>1.7000000000000001E-4</v>
      </c>
      <c r="O444" s="17">
        <f t="shared" si="506"/>
        <v>1.1900000000000001E-3</v>
      </c>
      <c r="P444" s="75" t="s">
        <v>576</v>
      </c>
      <c r="Z444" s="17">
        <f t="shared" si="507"/>
        <v>0</v>
      </c>
      <c r="AB444" s="17">
        <f t="shared" si="508"/>
        <v>0</v>
      </c>
      <c r="AC444" s="17">
        <f t="shared" si="509"/>
        <v>0</v>
      </c>
      <c r="AD444" s="17">
        <f t="shared" si="510"/>
        <v>0</v>
      </c>
      <c r="AE444" s="17">
        <f t="shared" si="511"/>
        <v>0</v>
      </c>
      <c r="AF444" s="17">
        <f t="shared" si="512"/>
        <v>0</v>
      </c>
      <c r="AG444" s="17">
        <f t="shared" si="513"/>
        <v>0</v>
      </c>
      <c r="AH444" s="17">
        <f t="shared" si="514"/>
        <v>0</v>
      </c>
      <c r="AI444" s="14" t="s">
        <v>314</v>
      </c>
      <c r="AJ444" s="17">
        <f t="shared" si="515"/>
        <v>0</v>
      </c>
      <c r="AK444" s="17">
        <f t="shared" si="516"/>
        <v>0</v>
      </c>
      <c r="AL444" s="17">
        <f t="shared" si="517"/>
        <v>0</v>
      </c>
      <c r="AN444" s="17">
        <v>12</v>
      </c>
      <c r="AO444" s="17">
        <f>H444*0.249982206</f>
        <v>0</v>
      </c>
      <c r="AP444" s="17">
        <f>H444*(1-0.249982206)</f>
        <v>0</v>
      </c>
      <c r="AQ444" s="76" t="s">
        <v>577</v>
      </c>
      <c r="AV444" s="17">
        <f t="shared" si="518"/>
        <v>0</v>
      </c>
      <c r="AW444" s="17">
        <f t="shared" si="519"/>
        <v>0</v>
      </c>
      <c r="AX444" s="17">
        <f t="shared" si="520"/>
        <v>0</v>
      </c>
      <c r="AY444" s="76" t="s">
        <v>914</v>
      </c>
      <c r="AZ444" s="76" t="s">
        <v>969</v>
      </c>
      <c r="BA444" s="14" t="s">
        <v>970</v>
      </c>
      <c r="BC444" s="17">
        <f t="shared" si="521"/>
        <v>0</v>
      </c>
      <c r="BD444" s="17">
        <f t="shared" si="522"/>
        <v>0</v>
      </c>
      <c r="BE444" s="17">
        <v>0</v>
      </c>
      <c r="BF444" s="17">
        <f t="shared" si="523"/>
        <v>1.1900000000000001E-3</v>
      </c>
      <c r="BH444" s="17">
        <f t="shared" si="524"/>
        <v>0</v>
      </c>
      <c r="BI444" s="17">
        <f t="shared" si="525"/>
        <v>0</v>
      </c>
      <c r="BJ444" s="17">
        <f t="shared" si="526"/>
        <v>0</v>
      </c>
      <c r="BK444" s="17"/>
      <c r="BL444" s="17">
        <v>723</v>
      </c>
      <c r="BW444" s="17">
        <f t="shared" si="527"/>
        <v>12</v>
      </c>
      <c r="BX444" s="4" t="s">
        <v>297</v>
      </c>
    </row>
    <row r="445" spans="1:76" x14ac:dyDescent="0.25">
      <c r="A445" s="1" t="s">
        <v>988</v>
      </c>
      <c r="B445" s="2" t="s">
        <v>314</v>
      </c>
      <c r="C445" s="2" t="s">
        <v>298</v>
      </c>
      <c r="D445" s="83" t="s">
        <v>299</v>
      </c>
      <c r="E445" s="84"/>
      <c r="F445" s="2" t="s">
        <v>35</v>
      </c>
      <c r="G445" s="17">
        <f>'Rozpočet - vybrané sloupce'!J386</f>
        <v>7</v>
      </c>
      <c r="H445" s="17">
        <f>'Rozpočet - vybrané sloupce'!K386</f>
        <v>0</v>
      </c>
      <c r="I445" s="74">
        <v>12</v>
      </c>
      <c r="J445" s="17">
        <f t="shared" si="502"/>
        <v>0</v>
      </c>
      <c r="K445" s="17">
        <f t="shared" si="503"/>
        <v>0</v>
      </c>
      <c r="L445" s="17">
        <f t="shared" si="504"/>
        <v>0</v>
      </c>
      <c r="M445" s="17">
        <f t="shared" si="505"/>
        <v>0</v>
      </c>
      <c r="N445" s="17">
        <v>0</v>
      </c>
      <c r="O445" s="17">
        <f t="shared" si="506"/>
        <v>0</v>
      </c>
      <c r="P445" s="75" t="s">
        <v>576</v>
      </c>
      <c r="Z445" s="17">
        <f t="shared" si="507"/>
        <v>0</v>
      </c>
      <c r="AB445" s="17">
        <f t="shared" si="508"/>
        <v>0</v>
      </c>
      <c r="AC445" s="17">
        <f t="shared" si="509"/>
        <v>0</v>
      </c>
      <c r="AD445" s="17">
        <f t="shared" si="510"/>
        <v>0</v>
      </c>
      <c r="AE445" s="17">
        <f t="shared" si="511"/>
        <v>0</v>
      </c>
      <c r="AF445" s="17">
        <f t="shared" si="512"/>
        <v>0</v>
      </c>
      <c r="AG445" s="17">
        <f t="shared" si="513"/>
        <v>0</v>
      </c>
      <c r="AH445" s="17">
        <f t="shared" si="514"/>
        <v>0</v>
      </c>
      <c r="AI445" s="14" t="s">
        <v>314</v>
      </c>
      <c r="AJ445" s="17">
        <f t="shared" si="515"/>
        <v>0</v>
      </c>
      <c r="AK445" s="17">
        <f t="shared" si="516"/>
        <v>0</v>
      </c>
      <c r="AL445" s="17">
        <f t="shared" si="517"/>
        <v>0</v>
      </c>
      <c r="AN445" s="17">
        <v>12</v>
      </c>
      <c r="AO445" s="17">
        <f>H445*0.125</f>
        <v>0</v>
      </c>
      <c r="AP445" s="17">
        <f>H445*(1-0.125)</f>
        <v>0</v>
      </c>
      <c r="AQ445" s="76" t="s">
        <v>577</v>
      </c>
      <c r="AV445" s="17">
        <f t="shared" si="518"/>
        <v>0</v>
      </c>
      <c r="AW445" s="17">
        <f t="shared" si="519"/>
        <v>0</v>
      </c>
      <c r="AX445" s="17">
        <f t="shared" si="520"/>
        <v>0</v>
      </c>
      <c r="AY445" s="76" t="s">
        <v>914</v>
      </c>
      <c r="AZ445" s="76" t="s">
        <v>969</v>
      </c>
      <c r="BA445" s="14" t="s">
        <v>970</v>
      </c>
      <c r="BC445" s="17">
        <f t="shared" si="521"/>
        <v>0</v>
      </c>
      <c r="BD445" s="17">
        <f t="shared" si="522"/>
        <v>0</v>
      </c>
      <c r="BE445" s="17">
        <v>0</v>
      </c>
      <c r="BF445" s="17">
        <f t="shared" si="523"/>
        <v>0</v>
      </c>
      <c r="BH445" s="17">
        <f t="shared" si="524"/>
        <v>0</v>
      </c>
      <c r="BI445" s="17">
        <f t="shared" si="525"/>
        <v>0</v>
      </c>
      <c r="BJ445" s="17">
        <f t="shared" si="526"/>
        <v>0</v>
      </c>
      <c r="BK445" s="17"/>
      <c r="BL445" s="17">
        <v>723</v>
      </c>
      <c r="BW445" s="17">
        <f t="shared" si="527"/>
        <v>12</v>
      </c>
      <c r="BX445" s="4" t="s">
        <v>299</v>
      </c>
    </row>
    <row r="446" spans="1:76" x14ac:dyDescent="0.25">
      <c r="A446" s="1" t="s">
        <v>989</v>
      </c>
      <c r="B446" s="2" t="s">
        <v>314</v>
      </c>
      <c r="C446" s="2" t="s">
        <v>300</v>
      </c>
      <c r="D446" s="83" t="s">
        <v>301</v>
      </c>
      <c r="E446" s="84"/>
      <c r="F446" s="2" t="s">
        <v>40</v>
      </c>
      <c r="G446" s="17">
        <f>'Rozpočet - vybrané sloupce'!J387</f>
        <v>7</v>
      </c>
      <c r="H446" s="17">
        <f>'Rozpočet - vybrané sloupce'!K387</f>
        <v>0</v>
      </c>
      <c r="I446" s="74">
        <v>12</v>
      </c>
      <c r="J446" s="17">
        <f t="shared" si="502"/>
        <v>0</v>
      </c>
      <c r="K446" s="17">
        <f t="shared" si="503"/>
        <v>0</v>
      </c>
      <c r="L446" s="17">
        <f t="shared" si="504"/>
        <v>0</v>
      </c>
      <c r="M446" s="17">
        <f t="shared" si="505"/>
        <v>0</v>
      </c>
      <c r="N446" s="17">
        <v>0</v>
      </c>
      <c r="O446" s="17">
        <f t="shared" si="506"/>
        <v>0</v>
      </c>
      <c r="P446" s="75" t="s">
        <v>576</v>
      </c>
      <c r="Z446" s="17">
        <f t="shared" si="507"/>
        <v>0</v>
      </c>
      <c r="AB446" s="17">
        <f t="shared" si="508"/>
        <v>0</v>
      </c>
      <c r="AC446" s="17">
        <f t="shared" si="509"/>
        <v>0</v>
      </c>
      <c r="AD446" s="17">
        <f t="shared" si="510"/>
        <v>0</v>
      </c>
      <c r="AE446" s="17">
        <f t="shared" si="511"/>
        <v>0</v>
      </c>
      <c r="AF446" s="17">
        <f t="shared" si="512"/>
        <v>0</v>
      </c>
      <c r="AG446" s="17">
        <f t="shared" si="513"/>
        <v>0</v>
      </c>
      <c r="AH446" s="17">
        <f t="shared" si="514"/>
        <v>0</v>
      </c>
      <c r="AI446" s="14" t="s">
        <v>314</v>
      </c>
      <c r="AJ446" s="17">
        <f t="shared" si="515"/>
        <v>0</v>
      </c>
      <c r="AK446" s="17">
        <f t="shared" si="516"/>
        <v>0</v>
      </c>
      <c r="AL446" s="17">
        <f t="shared" si="517"/>
        <v>0</v>
      </c>
      <c r="AN446" s="17">
        <v>12</v>
      </c>
      <c r="AO446" s="17">
        <f>H446*0.692307692</f>
        <v>0</v>
      </c>
      <c r="AP446" s="17">
        <f>H446*(1-0.692307692)</f>
        <v>0</v>
      </c>
      <c r="AQ446" s="76" t="s">
        <v>577</v>
      </c>
      <c r="AV446" s="17">
        <f t="shared" si="518"/>
        <v>0</v>
      </c>
      <c r="AW446" s="17">
        <f t="shared" si="519"/>
        <v>0</v>
      </c>
      <c r="AX446" s="17">
        <f t="shared" si="520"/>
        <v>0</v>
      </c>
      <c r="AY446" s="76" t="s">
        <v>914</v>
      </c>
      <c r="AZ446" s="76" t="s">
        <v>969</v>
      </c>
      <c r="BA446" s="14" t="s">
        <v>970</v>
      </c>
      <c r="BC446" s="17">
        <f t="shared" si="521"/>
        <v>0</v>
      </c>
      <c r="BD446" s="17">
        <f t="shared" si="522"/>
        <v>0</v>
      </c>
      <c r="BE446" s="17">
        <v>0</v>
      </c>
      <c r="BF446" s="17">
        <f t="shared" si="523"/>
        <v>0</v>
      </c>
      <c r="BH446" s="17">
        <f t="shared" si="524"/>
        <v>0</v>
      </c>
      <c r="BI446" s="17">
        <f t="shared" si="525"/>
        <v>0</v>
      </c>
      <c r="BJ446" s="17">
        <f t="shared" si="526"/>
        <v>0</v>
      </c>
      <c r="BK446" s="17"/>
      <c r="BL446" s="17">
        <v>723</v>
      </c>
      <c r="BW446" s="17">
        <f t="shared" si="527"/>
        <v>12</v>
      </c>
      <c r="BX446" s="4" t="s">
        <v>301</v>
      </c>
    </row>
    <row r="447" spans="1:76" x14ac:dyDescent="0.25">
      <c r="A447" s="1" t="s">
        <v>990</v>
      </c>
      <c r="B447" s="2" t="s">
        <v>314</v>
      </c>
      <c r="C447" s="2" t="s">
        <v>302</v>
      </c>
      <c r="D447" s="83" t="s">
        <v>303</v>
      </c>
      <c r="E447" s="84"/>
      <c r="F447" s="2" t="s">
        <v>31</v>
      </c>
      <c r="G447" s="17">
        <f>'Rozpočet - vybrané sloupce'!J388</f>
        <v>39</v>
      </c>
      <c r="H447" s="17">
        <f>'Rozpočet - vybrané sloupce'!K388</f>
        <v>0</v>
      </c>
      <c r="I447" s="74">
        <v>12</v>
      </c>
      <c r="J447" s="17">
        <f t="shared" si="502"/>
        <v>0</v>
      </c>
      <c r="K447" s="17">
        <f t="shared" si="503"/>
        <v>0</v>
      </c>
      <c r="L447" s="17">
        <f t="shared" si="504"/>
        <v>0</v>
      </c>
      <c r="M447" s="17">
        <f t="shared" si="505"/>
        <v>0</v>
      </c>
      <c r="N447" s="17">
        <v>0</v>
      </c>
      <c r="O447" s="17">
        <f t="shared" si="506"/>
        <v>0</v>
      </c>
      <c r="P447" s="75" t="s">
        <v>576</v>
      </c>
      <c r="Z447" s="17">
        <f t="shared" si="507"/>
        <v>0</v>
      </c>
      <c r="AB447" s="17">
        <f t="shared" si="508"/>
        <v>0</v>
      </c>
      <c r="AC447" s="17">
        <f t="shared" si="509"/>
        <v>0</v>
      </c>
      <c r="AD447" s="17">
        <f t="shared" si="510"/>
        <v>0</v>
      </c>
      <c r="AE447" s="17">
        <f t="shared" si="511"/>
        <v>0</v>
      </c>
      <c r="AF447" s="17">
        <f t="shared" si="512"/>
        <v>0</v>
      </c>
      <c r="AG447" s="17">
        <f t="shared" si="513"/>
        <v>0</v>
      </c>
      <c r="AH447" s="17">
        <f t="shared" si="514"/>
        <v>0</v>
      </c>
      <c r="AI447" s="14" t="s">
        <v>314</v>
      </c>
      <c r="AJ447" s="17">
        <f t="shared" si="515"/>
        <v>0</v>
      </c>
      <c r="AK447" s="17">
        <f t="shared" si="516"/>
        <v>0</v>
      </c>
      <c r="AL447" s="17">
        <f t="shared" si="517"/>
        <v>0</v>
      </c>
      <c r="AN447" s="17">
        <v>12</v>
      </c>
      <c r="AO447" s="17">
        <f>H447*0.5</f>
        <v>0</v>
      </c>
      <c r="AP447" s="17">
        <f>H447*(1-0.5)</f>
        <v>0</v>
      </c>
      <c r="AQ447" s="76" t="s">
        <v>577</v>
      </c>
      <c r="AV447" s="17">
        <f t="shared" si="518"/>
        <v>0</v>
      </c>
      <c r="AW447" s="17">
        <f t="shared" si="519"/>
        <v>0</v>
      </c>
      <c r="AX447" s="17">
        <f t="shared" si="520"/>
        <v>0</v>
      </c>
      <c r="AY447" s="76" t="s">
        <v>914</v>
      </c>
      <c r="AZ447" s="76" t="s">
        <v>969</v>
      </c>
      <c r="BA447" s="14" t="s">
        <v>970</v>
      </c>
      <c r="BC447" s="17">
        <f t="shared" si="521"/>
        <v>0</v>
      </c>
      <c r="BD447" s="17">
        <f t="shared" si="522"/>
        <v>0</v>
      </c>
      <c r="BE447" s="17">
        <v>0</v>
      </c>
      <c r="BF447" s="17">
        <f t="shared" si="523"/>
        <v>0</v>
      </c>
      <c r="BH447" s="17">
        <f t="shared" si="524"/>
        <v>0</v>
      </c>
      <c r="BI447" s="17">
        <f t="shared" si="525"/>
        <v>0</v>
      </c>
      <c r="BJ447" s="17">
        <f t="shared" si="526"/>
        <v>0</v>
      </c>
      <c r="BK447" s="17"/>
      <c r="BL447" s="17">
        <v>723</v>
      </c>
      <c r="BW447" s="17">
        <f t="shared" si="527"/>
        <v>12</v>
      </c>
      <c r="BX447" s="4" t="s">
        <v>303</v>
      </c>
    </row>
    <row r="448" spans="1:76" x14ac:dyDescent="0.25">
      <c r="A448" s="1" t="s">
        <v>991</v>
      </c>
      <c r="B448" s="2" t="s">
        <v>314</v>
      </c>
      <c r="C448" s="2" t="s">
        <v>304</v>
      </c>
      <c r="D448" s="83" t="s">
        <v>305</v>
      </c>
      <c r="E448" s="84"/>
      <c r="F448" s="2" t="s">
        <v>40</v>
      </c>
      <c r="G448" s="17">
        <f>'Rozpočet - vybrané sloupce'!J389</f>
        <v>3</v>
      </c>
      <c r="H448" s="17">
        <f>'Rozpočet - vybrané sloupce'!K389</f>
        <v>0</v>
      </c>
      <c r="I448" s="74">
        <v>12</v>
      </c>
      <c r="J448" s="17">
        <f t="shared" si="502"/>
        <v>0</v>
      </c>
      <c r="K448" s="17">
        <f t="shared" si="503"/>
        <v>0</v>
      </c>
      <c r="L448" s="17">
        <f t="shared" si="504"/>
        <v>0</v>
      </c>
      <c r="M448" s="17">
        <f t="shared" si="505"/>
        <v>0</v>
      </c>
      <c r="N448" s="17">
        <v>0</v>
      </c>
      <c r="O448" s="17">
        <f t="shared" si="506"/>
        <v>0</v>
      </c>
      <c r="P448" s="75" t="s">
        <v>576</v>
      </c>
      <c r="Z448" s="17">
        <f t="shared" si="507"/>
        <v>0</v>
      </c>
      <c r="AB448" s="17">
        <f t="shared" si="508"/>
        <v>0</v>
      </c>
      <c r="AC448" s="17">
        <f t="shared" si="509"/>
        <v>0</v>
      </c>
      <c r="AD448" s="17">
        <f t="shared" si="510"/>
        <v>0</v>
      </c>
      <c r="AE448" s="17">
        <f t="shared" si="511"/>
        <v>0</v>
      </c>
      <c r="AF448" s="17">
        <f t="shared" si="512"/>
        <v>0</v>
      </c>
      <c r="AG448" s="17">
        <f t="shared" si="513"/>
        <v>0</v>
      </c>
      <c r="AH448" s="17">
        <f t="shared" si="514"/>
        <v>0</v>
      </c>
      <c r="AI448" s="14" t="s">
        <v>314</v>
      </c>
      <c r="AJ448" s="17">
        <f t="shared" si="515"/>
        <v>0</v>
      </c>
      <c r="AK448" s="17">
        <f t="shared" si="516"/>
        <v>0</v>
      </c>
      <c r="AL448" s="17">
        <f t="shared" si="517"/>
        <v>0</v>
      </c>
      <c r="AN448" s="17">
        <v>12</v>
      </c>
      <c r="AO448" s="17">
        <f>H448*0.391304348</f>
        <v>0</v>
      </c>
      <c r="AP448" s="17">
        <f>H448*(1-0.391304348)</f>
        <v>0</v>
      </c>
      <c r="AQ448" s="76" t="s">
        <v>577</v>
      </c>
      <c r="AV448" s="17">
        <f t="shared" si="518"/>
        <v>0</v>
      </c>
      <c r="AW448" s="17">
        <f t="shared" si="519"/>
        <v>0</v>
      </c>
      <c r="AX448" s="17">
        <f t="shared" si="520"/>
        <v>0</v>
      </c>
      <c r="AY448" s="76" t="s">
        <v>914</v>
      </c>
      <c r="AZ448" s="76" t="s">
        <v>969</v>
      </c>
      <c r="BA448" s="14" t="s">
        <v>970</v>
      </c>
      <c r="BC448" s="17">
        <f t="shared" si="521"/>
        <v>0</v>
      </c>
      <c r="BD448" s="17">
        <f t="shared" si="522"/>
        <v>0</v>
      </c>
      <c r="BE448" s="17">
        <v>0</v>
      </c>
      <c r="BF448" s="17">
        <f t="shared" si="523"/>
        <v>0</v>
      </c>
      <c r="BH448" s="17">
        <f t="shared" si="524"/>
        <v>0</v>
      </c>
      <c r="BI448" s="17">
        <f t="shared" si="525"/>
        <v>0</v>
      </c>
      <c r="BJ448" s="17">
        <f t="shared" si="526"/>
        <v>0</v>
      </c>
      <c r="BK448" s="17"/>
      <c r="BL448" s="17">
        <v>723</v>
      </c>
      <c r="BW448" s="17">
        <f t="shared" si="527"/>
        <v>12</v>
      </c>
      <c r="BX448" s="4" t="s">
        <v>305</v>
      </c>
    </row>
    <row r="449" spans="1:76" x14ac:dyDescent="0.25">
      <c r="A449" s="1" t="s">
        <v>992</v>
      </c>
      <c r="B449" s="2" t="s">
        <v>314</v>
      </c>
      <c r="C449" s="2" t="s">
        <v>306</v>
      </c>
      <c r="D449" s="83" t="s">
        <v>307</v>
      </c>
      <c r="E449" s="84"/>
      <c r="F449" s="2" t="s">
        <v>35</v>
      </c>
      <c r="G449" s="17">
        <f>'Rozpočet - vybrané sloupce'!J390</f>
        <v>8</v>
      </c>
      <c r="H449" s="17">
        <f>'Rozpočet - vybrané sloupce'!K390</f>
        <v>0</v>
      </c>
      <c r="I449" s="74">
        <v>12</v>
      </c>
      <c r="J449" s="17">
        <f t="shared" si="502"/>
        <v>0</v>
      </c>
      <c r="K449" s="17">
        <f t="shared" si="503"/>
        <v>0</v>
      </c>
      <c r="L449" s="17">
        <f t="shared" si="504"/>
        <v>0</v>
      </c>
      <c r="M449" s="17">
        <f t="shared" si="505"/>
        <v>0</v>
      </c>
      <c r="N449" s="17">
        <v>0</v>
      </c>
      <c r="O449" s="17">
        <f t="shared" si="506"/>
        <v>0</v>
      </c>
      <c r="P449" s="75" t="s">
        <v>576</v>
      </c>
      <c r="Z449" s="17">
        <f t="shared" si="507"/>
        <v>0</v>
      </c>
      <c r="AB449" s="17">
        <f t="shared" si="508"/>
        <v>0</v>
      </c>
      <c r="AC449" s="17">
        <f t="shared" si="509"/>
        <v>0</v>
      </c>
      <c r="AD449" s="17">
        <f t="shared" si="510"/>
        <v>0</v>
      </c>
      <c r="AE449" s="17">
        <f t="shared" si="511"/>
        <v>0</v>
      </c>
      <c r="AF449" s="17">
        <f t="shared" si="512"/>
        <v>0</v>
      </c>
      <c r="AG449" s="17">
        <f t="shared" si="513"/>
        <v>0</v>
      </c>
      <c r="AH449" s="17">
        <f t="shared" si="514"/>
        <v>0</v>
      </c>
      <c r="AI449" s="14" t="s">
        <v>314</v>
      </c>
      <c r="AJ449" s="17">
        <f t="shared" si="515"/>
        <v>0</v>
      </c>
      <c r="AK449" s="17">
        <f t="shared" si="516"/>
        <v>0</v>
      </c>
      <c r="AL449" s="17">
        <f t="shared" si="517"/>
        <v>0</v>
      </c>
      <c r="AN449" s="17">
        <v>12</v>
      </c>
      <c r="AO449" s="17">
        <f>H449*0.5</f>
        <v>0</v>
      </c>
      <c r="AP449" s="17">
        <f>H449*(1-0.5)</f>
        <v>0</v>
      </c>
      <c r="AQ449" s="76" t="s">
        <v>577</v>
      </c>
      <c r="AV449" s="17">
        <f t="shared" si="518"/>
        <v>0</v>
      </c>
      <c r="AW449" s="17">
        <f t="shared" si="519"/>
        <v>0</v>
      </c>
      <c r="AX449" s="17">
        <f t="shared" si="520"/>
        <v>0</v>
      </c>
      <c r="AY449" s="76" t="s">
        <v>914</v>
      </c>
      <c r="AZ449" s="76" t="s">
        <v>969</v>
      </c>
      <c r="BA449" s="14" t="s">
        <v>970</v>
      </c>
      <c r="BC449" s="17">
        <f t="shared" si="521"/>
        <v>0</v>
      </c>
      <c r="BD449" s="17">
        <f t="shared" si="522"/>
        <v>0</v>
      </c>
      <c r="BE449" s="17">
        <v>0</v>
      </c>
      <c r="BF449" s="17">
        <f t="shared" si="523"/>
        <v>0</v>
      </c>
      <c r="BH449" s="17">
        <f t="shared" si="524"/>
        <v>0</v>
      </c>
      <c r="BI449" s="17">
        <f t="shared" si="525"/>
        <v>0</v>
      </c>
      <c r="BJ449" s="17">
        <f t="shared" si="526"/>
        <v>0</v>
      </c>
      <c r="BK449" s="17"/>
      <c r="BL449" s="17">
        <v>723</v>
      </c>
      <c r="BW449" s="17">
        <f t="shared" si="527"/>
        <v>12</v>
      </c>
      <c r="BX449" s="4" t="s">
        <v>307</v>
      </c>
    </row>
    <row r="450" spans="1:76" x14ac:dyDescent="0.25">
      <c r="A450" s="1" t="s">
        <v>993</v>
      </c>
      <c r="B450" s="2" t="s">
        <v>314</v>
      </c>
      <c r="C450" s="2" t="s">
        <v>308</v>
      </c>
      <c r="D450" s="83" t="s">
        <v>309</v>
      </c>
      <c r="E450" s="84"/>
      <c r="F450" s="2" t="s">
        <v>88</v>
      </c>
      <c r="G450" s="17">
        <f>'Rozpočet - vybrané sloupce'!J391</f>
        <v>0.2</v>
      </c>
      <c r="H450" s="17">
        <f>'Rozpočet - vybrané sloupce'!K391</f>
        <v>0</v>
      </c>
      <c r="I450" s="74">
        <v>12</v>
      </c>
      <c r="J450" s="17">
        <f t="shared" si="502"/>
        <v>0</v>
      </c>
      <c r="K450" s="17">
        <f t="shared" si="503"/>
        <v>0</v>
      </c>
      <c r="L450" s="17">
        <f t="shared" si="504"/>
        <v>0</v>
      </c>
      <c r="M450" s="17">
        <f t="shared" si="505"/>
        <v>0</v>
      </c>
      <c r="N450" s="17">
        <v>0</v>
      </c>
      <c r="O450" s="17">
        <f t="shared" si="506"/>
        <v>0</v>
      </c>
      <c r="P450" s="75" t="s">
        <v>576</v>
      </c>
      <c r="Z450" s="17">
        <f t="shared" si="507"/>
        <v>0</v>
      </c>
      <c r="AB450" s="17">
        <f t="shared" si="508"/>
        <v>0</v>
      </c>
      <c r="AC450" s="17">
        <f t="shared" si="509"/>
        <v>0</v>
      </c>
      <c r="AD450" s="17">
        <f t="shared" si="510"/>
        <v>0</v>
      </c>
      <c r="AE450" s="17">
        <f t="shared" si="511"/>
        <v>0</v>
      </c>
      <c r="AF450" s="17">
        <f t="shared" si="512"/>
        <v>0</v>
      </c>
      <c r="AG450" s="17">
        <f t="shared" si="513"/>
        <v>0</v>
      </c>
      <c r="AH450" s="17">
        <f t="shared" si="514"/>
        <v>0</v>
      </c>
      <c r="AI450" s="14" t="s">
        <v>314</v>
      </c>
      <c r="AJ450" s="17">
        <f t="shared" si="515"/>
        <v>0</v>
      </c>
      <c r="AK450" s="17">
        <f t="shared" si="516"/>
        <v>0</v>
      </c>
      <c r="AL450" s="17">
        <f t="shared" si="517"/>
        <v>0</v>
      </c>
      <c r="AN450" s="17">
        <v>12</v>
      </c>
      <c r="AO450" s="17">
        <f>H450*0</f>
        <v>0</v>
      </c>
      <c r="AP450" s="17">
        <f>H450*(1-0)</f>
        <v>0</v>
      </c>
      <c r="AQ450" s="76" t="s">
        <v>577</v>
      </c>
      <c r="AV450" s="17">
        <f t="shared" si="518"/>
        <v>0</v>
      </c>
      <c r="AW450" s="17">
        <f t="shared" si="519"/>
        <v>0</v>
      </c>
      <c r="AX450" s="17">
        <f t="shared" si="520"/>
        <v>0</v>
      </c>
      <c r="AY450" s="76" t="s">
        <v>914</v>
      </c>
      <c r="AZ450" s="76" t="s">
        <v>969</v>
      </c>
      <c r="BA450" s="14" t="s">
        <v>970</v>
      </c>
      <c r="BC450" s="17">
        <f t="shared" si="521"/>
        <v>0</v>
      </c>
      <c r="BD450" s="17">
        <f t="shared" si="522"/>
        <v>0</v>
      </c>
      <c r="BE450" s="17">
        <v>0</v>
      </c>
      <c r="BF450" s="17">
        <f t="shared" si="523"/>
        <v>0</v>
      </c>
      <c r="BH450" s="17">
        <f t="shared" si="524"/>
        <v>0</v>
      </c>
      <c r="BI450" s="17">
        <f t="shared" si="525"/>
        <v>0</v>
      </c>
      <c r="BJ450" s="17">
        <f t="shared" si="526"/>
        <v>0</v>
      </c>
      <c r="BK450" s="17"/>
      <c r="BL450" s="17">
        <v>723</v>
      </c>
      <c r="BW450" s="17">
        <f t="shared" si="527"/>
        <v>12</v>
      </c>
      <c r="BX450" s="4" t="s">
        <v>309</v>
      </c>
    </row>
    <row r="451" spans="1:76" x14ac:dyDescent="0.25">
      <c r="A451" s="1" t="s">
        <v>994</v>
      </c>
      <c r="B451" s="2" t="s">
        <v>314</v>
      </c>
      <c r="C451" s="2" t="s">
        <v>310</v>
      </c>
      <c r="D451" s="83" t="s">
        <v>311</v>
      </c>
      <c r="E451" s="84"/>
      <c r="F451" s="2" t="s">
        <v>45</v>
      </c>
      <c r="G451" s="17">
        <f>'Rozpočet - vybrané sloupce'!J392</f>
        <v>0</v>
      </c>
      <c r="H451" s="17">
        <f>'Rozpočet - vybrané sloupce'!K392</f>
        <v>0</v>
      </c>
      <c r="I451" s="74">
        <v>12</v>
      </c>
      <c r="J451" s="17">
        <f t="shared" si="502"/>
        <v>0</v>
      </c>
      <c r="K451" s="17">
        <f t="shared" si="503"/>
        <v>0</v>
      </c>
      <c r="L451" s="17">
        <f t="shared" si="504"/>
        <v>0</v>
      </c>
      <c r="M451" s="17">
        <f t="shared" si="505"/>
        <v>0</v>
      </c>
      <c r="N451" s="17">
        <v>0</v>
      </c>
      <c r="O451" s="17">
        <f t="shared" si="506"/>
        <v>0</v>
      </c>
      <c r="P451" s="75" t="s">
        <v>576</v>
      </c>
      <c r="Z451" s="17">
        <f t="shared" si="507"/>
        <v>0</v>
      </c>
      <c r="AB451" s="17">
        <f t="shared" si="508"/>
        <v>0</v>
      </c>
      <c r="AC451" s="17">
        <f t="shared" si="509"/>
        <v>0</v>
      </c>
      <c r="AD451" s="17">
        <f t="shared" si="510"/>
        <v>0</v>
      </c>
      <c r="AE451" s="17">
        <f t="shared" si="511"/>
        <v>0</v>
      </c>
      <c r="AF451" s="17">
        <f t="shared" si="512"/>
        <v>0</v>
      </c>
      <c r="AG451" s="17">
        <f t="shared" si="513"/>
        <v>0</v>
      </c>
      <c r="AH451" s="17">
        <f t="shared" si="514"/>
        <v>0</v>
      </c>
      <c r="AI451" s="14" t="s">
        <v>314</v>
      </c>
      <c r="AJ451" s="17">
        <f t="shared" si="515"/>
        <v>0</v>
      </c>
      <c r="AK451" s="17">
        <f t="shared" si="516"/>
        <v>0</v>
      </c>
      <c r="AL451" s="17">
        <f t="shared" si="517"/>
        <v>0</v>
      </c>
      <c r="AN451" s="17">
        <v>12</v>
      </c>
      <c r="AO451" s="17">
        <f>H451*0</f>
        <v>0</v>
      </c>
      <c r="AP451" s="17">
        <f>H451*(1-0)</f>
        <v>0</v>
      </c>
      <c r="AQ451" s="76" t="s">
        <v>585</v>
      </c>
      <c r="AV451" s="17">
        <f t="shared" si="518"/>
        <v>0</v>
      </c>
      <c r="AW451" s="17">
        <f t="shared" si="519"/>
        <v>0</v>
      </c>
      <c r="AX451" s="17">
        <f t="shared" si="520"/>
        <v>0</v>
      </c>
      <c r="AY451" s="76" t="s">
        <v>914</v>
      </c>
      <c r="AZ451" s="76" t="s">
        <v>969</v>
      </c>
      <c r="BA451" s="14" t="s">
        <v>970</v>
      </c>
      <c r="BC451" s="17">
        <f t="shared" si="521"/>
        <v>0</v>
      </c>
      <c r="BD451" s="17">
        <f t="shared" si="522"/>
        <v>0</v>
      </c>
      <c r="BE451" s="17">
        <v>0</v>
      </c>
      <c r="BF451" s="17">
        <f t="shared" si="523"/>
        <v>0</v>
      </c>
      <c r="BH451" s="17">
        <f t="shared" si="524"/>
        <v>0</v>
      </c>
      <c r="BI451" s="17">
        <f t="shared" si="525"/>
        <v>0</v>
      </c>
      <c r="BJ451" s="17">
        <f t="shared" si="526"/>
        <v>0</v>
      </c>
      <c r="BK451" s="17"/>
      <c r="BL451" s="17">
        <v>723</v>
      </c>
      <c r="BW451" s="17">
        <f t="shared" si="527"/>
        <v>12</v>
      </c>
      <c r="BX451" s="4" t="s">
        <v>311</v>
      </c>
    </row>
    <row r="452" spans="1:76" x14ac:dyDescent="0.25">
      <c r="A452" s="71" t="s">
        <v>25</v>
      </c>
      <c r="B452" s="13" t="s">
        <v>316</v>
      </c>
      <c r="C452" s="13" t="s">
        <v>25</v>
      </c>
      <c r="D452" s="135" t="s">
        <v>317</v>
      </c>
      <c r="E452" s="136"/>
      <c r="F452" s="72" t="s">
        <v>23</v>
      </c>
      <c r="G452" s="72" t="s">
        <v>23</v>
      </c>
      <c r="H452" s="72" t="s">
        <v>23</v>
      </c>
      <c r="I452" s="72" t="s">
        <v>23</v>
      </c>
      <c r="J452" s="47">
        <f>J453</f>
        <v>0</v>
      </c>
      <c r="K452" s="47">
        <f>K453</f>
        <v>0</v>
      </c>
      <c r="L452" s="47">
        <f>L453</f>
        <v>0</v>
      </c>
      <c r="M452" s="47">
        <f>M453</f>
        <v>0</v>
      </c>
      <c r="N452" s="14" t="s">
        <v>25</v>
      </c>
      <c r="O452" s="47">
        <f>O453</f>
        <v>0.58846100000000001</v>
      </c>
      <c r="P452" s="73" t="s">
        <v>25</v>
      </c>
    </row>
    <row r="453" spans="1:76" x14ac:dyDescent="0.25">
      <c r="A453" s="71" t="s">
        <v>25</v>
      </c>
      <c r="B453" s="13" t="s">
        <v>316</v>
      </c>
      <c r="C453" s="13" t="s">
        <v>259</v>
      </c>
      <c r="D453" s="135" t="s">
        <v>260</v>
      </c>
      <c r="E453" s="136"/>
      <c r="F453" s="72" t="s">
        <v>23</v>
      </c>
      <c r="G453" s="72" t="s">
        <v>23</v>
      </c>
      <c r="H453" s="72" t="s">
        <v>23</v>
      </c>
      <c r="I453" s="72" t="s">
        <v>23</v>
      </c>
      <c r="J453" s="47">
        <f>SUM(J454:J467)</f>
        <v>0</v>
      </c>
      <c r="K453" s="47">
        <f>SUM(K454:K467)</f>
        <v>0</v>
      </c>
      <c r="L453" s="47">
        <f>SUM(L454:L467)</f>
        <v>0</v>
      </c>
      <c r="M453" s="47">
        <f>SUM(M454:M467)</f>
        <v>0</v>
      </c>
      <c r="N453" s="14" t="s">
        <v>25</v>
      </c>
      <c r="O453" s="47">
        <f>SUM(O454:O467)</f>
        <v>0.58846100000000001</v>
      </c>
      <c r="P453" s="73" t="s">
        <v>25</v>
      </c>
      <c r="AI453" s="14" t="s">
        <v>316</v>
      </c>
      <c r="AS453" s="47">
        <f>SUM(AJ454:AJ467)</f>
        <v>0</v>
      </c>
      <c r="AT453" s="47">
        <f>SUM(AK454:AK467)</f>
        <v>0</v>
      </c>
      <c r="AU453" s="47">
        <f>SUM(AL454:AL467)</f>
        <v>0</v>
      </c>
    </row>
    <row r="454" spans="1:76" x14ac:dyDescent="0.25">
      <c r="A454" s="1" t="s">
        <v>995</v>
      </c>
      <c r="B454" s="2" t="s">
        <v>316</v>
      </c>
      <c r="C454" s="2" t="s">
        <v>318</v>
      </c>
      <c r="D454" s="83" t="s">
        <v>319</v>
      </c>
      <c r="E454" s="84"/>
      <c r="F454" s="2" t="s">
        <v>31</v>
      </c>
      <c r="G454" s="17">
        <f>'Rozpočet - vybrané sloupce'!J395</f>
        <v>32</v>
      </c>
      <c r="H454" s="17">
        <f>'Rozpočet - vybrané sloupce'!K395</f>
        <v>0</v>
      </c>
      <c r="I454" s="74">
        <v>12</v>
      </c>
      <c r="J454" s="17">
        <f t="shared" ref="J454:J465" si="528">ROUND(G454*AO454,2)</f>
        <v>0</v>
      </c>
      <c r="K454" s="17">
        <f t="shared" ref="K454:K465" si="529">ROUND(G454*AP454,2)</f>
        <v>0</v>
      </c>
      <c r="L454" s="17">
        <f t="shared" ref="L454:L465" si="530">ROUND(G454*H454,2)</f>
        <v>0</v>
      </c>
      <c r="M454" s="17">
        <f t="shared" ref="M454:M465" si="531">L454*(1+BW454/100)</f>
        <v>0</v>
      </c>
      <c r="N454" s="17">
        <v>2.2599999999999999E-3</v>
      </c>
      <c r="O454" s="17">
        <f t="shared" ref="O454:O465" si="532">G454*N454</f>
        <v>7.2319999999999995E-2</v>
      </c>
      <c r="P454" s="75" t="s">
        <v>576</v>
      </c>
      <c r="Z454" s="17">
        <f t="shared" ref="Z454:Z465" si="533">ROUND(IF(AQ454="5",BJ454,0),2)</f>
        <v>0</v>
      </c>
      <c r="AB454" s="17">
        <f t="shared" ref="AB454:AB465" si="534">ROUND(IF(AQ454="1",BH454,0),2)</f>
        <v>0</v>
      </c>
      <c r="AC454" s="17">
        <f t="shared" ref="AC454:AC465" si="535">ROUND(IF(AQ454="1",BI454,0),2)</f>
        <v>0</v>
      </c>
      <c r="AD454" s="17">
        <f t="shared" ref="AD454:AD465" si="536">ROUND(IF(AQ454="7",BH454,0),2)</f>
        <v>0</v>
      </c>
      <c r="AE454" s="17">
        <f t="shared" ref="AE454:AE465" si="537">ROUND(IF(AQ454="7",BI454,0),2)</f>
        <v>0</v>
      </c>
      <c r="AF454" s="17">
        <f t="shared" ref="AF454:AF465" si="538">ROUND(IF(AQ454="2",BH454,0),2)</f>
        <v>0</v>
      </c>
      <c r="AG454" s="17">
        <f t="shared" ref="AG454:AG465" si="539">ROUND(IF(AQ454="2",BI454,0),2)</f>
        <v>0</v>
      </c>
      <c r="AH454" s="17">
        <f t="shared" ref="AH454:AH465" si="540">ROUND(IF(AQ454="0",BJ454,0),2)</f>
        <v>0</v>
      </c>
      <c r="AI454" s="14" t="s">
        <v>316</v>
      </c>
      <c r="AJ454" s="17">
        <f t="shared" ref="AJ454:AJ465" si="541">IF(AN454=0,L454,0)</f>
        <v>0</v>
      </c>
      <c r="AK454" s="17">
        <f t="shared" ref="AK454:AK465" si="542">IF(AN454=12,L454,0)</f>
        <v>0</v>
      </c>
      <c r="AL454" s="17">
        <f t="shared" ref="AL454:AL465" si="543">IF(AN454=21,L454,0)</f>
        <v>0</v>
      </c>
      <c r="AN454" s="17">
        <v>12</v>
      </c>
      <c r="AO454" s="17">
        <f>H454*0.767256894</f>
        <v>0</v>
      </c>
      <c r="AP454" s="17">
        <f>H454*(1-0.767256894)</f>
        <v>0</v>
      </c>
      <c r="AQ454" s="76" t="s">
        <v>577</v>
      </c>
      <c r="AV454" s="17">
        <f t="shared" ref="AV454:AV465" si="544">ROUND(AW454+AX454,2)</f>
        <v>0</v>
      </c>
      <c r="AW454" s="17">
        <f t="shared" ref="AW454:AW465" si="545">ROUND(G454*AO454,2)</f>
        <v>0</v>
      </c>
      <c r="AX454" s="17">
        <f t="shared" ref="AX454:AX465" si="546">ROUND(G454*AP454,2)</f>
        <v>0</v>
      </c>
      <c r="AY454" s="76" t="s">
        <v>914</v>
      </c>
      <c r="AZ454" s="76" t="s">
        <v>996</v>
      </c>
      <c r="BA454" s="14" t="s">
        <v>997</v>
      </c>
      <c r="BC454" s="17">
        <f t="shared" ref="BC454:BC465" si="547">AW454+AX454</f>
        <v>0</v>
      </c>
      <c r="BD454" s="17">
        <f t="shared" ref="BD454:BD465" si="548">H454/(100-BE454)*100</f>
        <v>0</v>
      </c>
      <c r="BE454" s="17">
        <v>0</v>
      </c>
      <c r="BF454" s="17">
        <f t="shared" ref="BF454:BF465" si="549">O454</f>
        <v>7.2319999999999995E-2</v>
      </c>
      <c r="BH454" s="17">
        <f t="shared" ref="BH454:BH465" si="550">G454*AO454</f>
        <v>0</v>
      </c>
      <c r="BI454" s="17">
        <f t="shared" ref="BI454:BI465" si="551">G454*AP454</f>
        <v>0</v>
      </c>
      <c r="BJ454" s="17">
        <f t="shared" ref="BJ454:BJ465" si="552">G454*H454</f>
        <v>0</v>
      </c>
      <c r="BK454" s="17"/>
      <c r="BL454" s="17">
        <v>723</v>
      </c>
      <c r="BW454" s="17">
        <f t="shared" ref="BW454:BW465" si="553">I454</f>
        <v>12</v>
      </c>
      <c r="BX454" s="4" t="s">
        <v>319</v>
      </c>
    </row>
    <row r="455" spans="1:76" x14ac:dyDescent="0.25">
      <c r="A455" s="1" t="s">
        <v>998</v>
      </c>
      <c r="B455" s="2" t="s">
        <v>316</v>
      </c>
      <c r="C455" s="2" t="s">
        <v>320</v>
      </c>
      <c r="D455" s="83" t="s">
        <v>321</v>
      </c>
      <c r="E455" s="84"/>
      <c r="F455" s="2" t="s">
        <v>31</v>
      </c>
      <c r="G455" s="17">
        <f>'Rozpočet - vybrané sloupce'!J396</f>
        <v>32</v>
      </c>
      <c r="H455" s="17">
        <f>'Rozpočet - vybrané sloupce'!K396</f>
        <v>0</v>
      </c>
      <c r="I455" s="74">
        <v>12</v>
      </c>
      <c r="J455" s="17">
        <f t="shared" si="528"/>
        <v>0</v>
      </c>
      <c r="K455" s="17">
        <f t="shared" si="529"/>
        <v>0</v>
      </c>
      <c r="L455" s="17">
        <f t="shared" si="530"/>
        <v>0</v>
      </c>
      <c r="M455" s="17">
        <f t="shared" si="531"/>
        <v>0</v>
      </c>
      <c r="N455" s="17">
        <v>7.9000000000000001E-4</v>
      </c>
      <c r="O455" s="17">
        <f t="shared" si="532"/>
        <v>2.528E-2</v>
      </c>
      <c r="P455" s="75" t="s">
        <v>576</v>
      </c>
      <c r="Z455" s="17">
        <f t="shared" si="533"/>
        <v>0</v>
      </c>
      <c r="AB455" s="17">
        <f t="shared" si="534"/>
        <v>0</v>
      </c>
      <c r="AC455" s="17">
        <f t="shared" si="535"/>
        <v>0</v>
      </c>
      <c r="AD455" s="17">
        <f t="shared" si="536"/>
        <v>0</v>
      </c>
      <c r="AE455" s="17">
        <f t="shared" si="537"/>
        <v>0</v>
      </c>
      <c r="AF455" s="17">
        <f t="shared" si="538"/>
        <v>0</v>
      </c>
      <c r="AG455" s="17">
        <f t="shared" si="539"/>
        <v>0</v>
      </c>
      <c r="AH455" s="17">
        <f t="shared" si="540"/>
        <v>0</v>
      </c>
      <c r="AI455" s="14" t="s">
        <v>316</v>
      </c>
      <c r="AJ455" s="17">
        <f t="shared" si="541"/>
        <v>0</v>
      </c>
      <c r="AK455" s="17">
        <f t="shared" si="542"/>
        <v>0</v>
      </c>
      <c r="AL455" s="17">
        <f t="shared" si="543"/>
        <v>0</v>
      </c>
      <c r="AN455" s="17">
        <v>12</v>
      </c>
      <c r="AO455" s="17">
        <f>H455*0.600590476</f>
        <v>0</v>
      </c>
      <c r="AP455" s="17">
        <f>H455*(1-0.600590476)</f>
        <v>0</v>
      </c>
      <c r="AQ455" s="76" t="s">
        <v>577</v>
      </c>
      <c r="AV455" s="17">
        <f t="shared" si="544"/>
        <v>0</v>
      </c>
      <c r="AW455" s="17">
        <f t="shared" si="545"/>
        <v>0</v>
      </c>
      <c r="AX455" s="17">
        <f t="shared" si="546"/>
        <v>0</v>
      </c>
      <c r="AY455" s="76" t="s">
        <v>914</v>
      </c>
      <c r="AZ455" s="76" t="s">
        <v>996</v>
      </c>
      <c r="BA455" s="14" t="s">
        <v>997</v>
      </c>
      <c r="BC455" s="17">
        <f t="shared" si="547"/>
        <v>0</v>
      </c>
      <c r="BD455" s="17">
        <f t="shared" si="548"/>
        <v>0</v>
      </c>
      <c r="BE455" s="17">
        <v>0</v>
      </c>
      <c r="BF455" s="17">
        <f t="shared" si="549"/>
        <v>2.528E-2</v>
      </c>
      <c r="BH455" s="17">
        <f t="shared" si="550"/>
        <v>0</v>
      </c>
      <c r="BI455" s="17">
        <f t="shared" si="551"/>
        <v>0</v>
      </c>
      <c r="BJ455" s="17">
        <f t="shared" si="552"/>
        <v>0</v>
      </c>
      <c r="BK455" s="17"/>
      <c r="BL455" s="17">
        <v>723</v>
      </c>
      <c r="BW455" s="17">
        <f t="shared" si="553"/>
        <v>12</v>
      </c>
      <c r="BX455" s="4" t="s">
        <v>321</v>
      </c>
    </row>
    <row r="456" spans="1:76" x14ac:dyDescent="0.25">
      <c r="A456" s="1" t="s">
        <v>999</v>
      </c>
      <c r="B456" s="2" t="s">
        <v>316</v>
      </c>
      <c r="C456" s="2" t="s">
        <v>322</v>
      </c>
      <c r="D456" s="83" t="s">
        <v>323</v>
      </c>
      <c r="E456" s="84"/>
      <c r="F456" s="2" t="s">
        <v>31</v>
      </c>
      <c r="G456" s="17">
        <f>'Rozpočet - vybrané sloupce'!J397</f>
        <v>1.1000000000000001</v>
      </c>
      <c r="H456" s="17">
        <f>'Rozpočet - vybrané sloupce'!K397</f>
        <v>0</v>
      </c>
      <c r="I456" s="74">
        <v>12</v>
      </c>
      <c r="J456" s="17">
        <f t="shared" si="528"/>
        <v>0</v>
      </c>
      <c r="K456" s="17">
        <f t="shared" si="529"/>
        <v>0</v>
      </c>
      <c r="L456" s="17">
        <f t="shared" si="530"/>
        <v>0</v>
      </c>
      <c r="M456" s="17">
        <f t="shared" si="531"/>
        <v>0</v>
      </c>
      <c r="N456" s="17">
        <v>9.1E-4</v>
      </c>
      <c r="O456" s="17">
        <f t="shared" si="532"/>
        <v>1.0010000000000002E-3</v>
      </c>
      <c r="P456" s="75" t="s">
        <v>576</v>
      </c>
      <c r="Z456" s="17">
        <f t="shared" si="533"/>
        <v>0</v>
      </c>
      <c r="AB456" s="17">
        <f t="shared" si="534"/>
        <v>0</v>
      </c>
      <c r="AC456" s="17">
        <f t="shared" si="535"/>
        <v>0</v>
      </c>
      <c r="AD456" s="17">
        <f t="shared" si="536"/>
        <v>0</v>
      </c>
      <c r="AE456" s="17">
        <f t="shared" si="537"/>
        <v>0</v>
      </c>
      <c r="AF456" s="17">
        <f t="shared" si="538"/>
        <v>0</v>
      </c>
      <c r="AG456" s="17">
        <f t="shared" si="539"/>
        <v>0</v>
      </c>
      <c r="AH456" s="17">
        <f t="shared" si="540"/>
        <v>0</v>
      </c>
      <c r="AI456" s="14" t="s">
        <v>316</v>
      </c>
      <c r="AJ456" s="17">
        <f t="shared" si="541"/>
        <v>0</v>
      </c>
      <c r="AK456" s="17">
        <f t="shared" si="542"/>
        <v>0</v>
      </c>
      <c r="AL456" s="17">
        <f t="shared" si="543"/>
        <v>0</v>
      </c>
      <c r="AN456" s="17">
        <v>12</v>
      </c>
      <c r="AO456" s="17">
        <f>H456*0.646687117</f>
        <v>0</v>
      </c>
      <c r="AP456" s="17">
        <f>H456*(1-0.646687117)</f>
        <v>0</v>
      </c>
      <c r="AQ456" s="76" t="s">
        <v>577</v>
      </c>
      <c r="AV456" s="17">
        <f t="shared" si="544"/>
        <v>0</v>
      </c>
      <c r="AW456" s="17">
        <f t="shared" si="545"/>
        <v>0</v>
      </c>
      <c r="AX456" s="17">
        <f t="shared" si="546"/>
        <v>0</v>
      </c>
      <c r="AY456" s="76" t="s">
        <v>914</v>
      </c>
      <c r="AZ456" s="76" t="s">
        <v>996</v>
      </c>
      <c r="BA456" s="14" t="s">
        <v>997</v>
      </c>
      <c r="BC456" s="17">
        <f t="shared" si="547"/>
        <v>0</v>
      </c>
      <c r="BD456" s="17">
        <f t="shared" si="548"/>
        <v>0</v>
      </c>
      <c r="BE456" s="17">
        <v>0</v>
      </c>
      <c r="BF456" s="17">
        <f t="shared" si="549"/>
        <v>1.0010000000000002E-3</v>
      </c>
      <c r="BH456" s="17">
        <f t="shared" si="550"/>
        <v>0</v>
      </c>
      <c r="BI456" s="17">
        <f t="shared" si="551"/>
        <v>0</v>
      </c>
      <c r="BJ456" s="17">
        <f t="shared" si="552"/>
        <v>0</v>
      </c>
      <c r="BK456" s="17"/>
      <c r="BL456" s="17">
        <v>723</v>
      </c>
      <c r="BW456" s="17">
        <f t="shared" si="553"/>
        <v>12</v>
      </c>
      <c r="BX456" s="4" t="s">
        <v>323</v>
      </c>
    </row>
    <row r="457" spans="1:76" x14ac:dyDescent="0.25">
      <c r="A457" s="1" t="s">
        <v>1000</v>
      </c>
      <c r="B457" s="2" t="s">
        <v>316</v>
      </c>
      <c r="C457" s="2" t="s">
        <v>324</v>
      </c>
      <c r="D457" s="83" t="s">
        <v>325</v>
      </c>
      <c r="E457" s="84"/>
      <c r="F457" s="2" t="s">
        <v>35</v>
      </c>
      <c r="G457" s="17">
        <f>'Rozpočet - vybrané sloupce'!J398</f>
        <v>7</v>
      </c>
      <c r="H457" s="17">
        <f>'Rozpočet - vybrané sloupce'!K398</f>
        <v>0</v>
      </c>
      <c r="I457" s="74">
        <v>12</v>
      </c>
      <c r="J457" s="17">
        <f t="shared" si="528"/>
        <v>0</v>
      </c>
      <c r="K457" s="17">
        <f t="shared" si="529"/>
        <v>0</v>
      </c>
      <c r="L457" s="17">
        <f t="shared" si="530"/>
        <v>0</v>
      </c>
      <c r="M457" s="17">
        <f t="shared" si="531"/>
        <v>0</v>
      </c>
      <c r="N457" s="17">
        <v>9.3000000000000005E-4</v>
      </c>
      <c r="O457" s="17">
        <f t="shared" si="532"/>
        <v>6.5100000000000002E-3</v>
      </c>
      <c r="P457" s="75" t="s">
        <v>576</v>
      </c>
      <c r="Z457" s="17">
        <f t="shared" si="533"/>
        <v>0</v>
      </c>
      <c r="AB457" s="17">
        <f t="shared" si="534"/>
        <v>0</v>
      </c>
      <c r="AC457" s="17">
        <f t="shared" si="535"/>
        <v>0</v>
      </c>
      <c r="AD457" s="17">
        <f t="shared" si="536"/>
        <v>0</v>
      </c>
      <c r="AE457" s="17">
        <f t="shared" si="537"/>
        <v>0</v>
      </c>
      <c r="AF457" s="17">
        <f t="shared" si="538"/>
        <v>0</v>
      </c>
      <c r="AG457" s="17">
        <f t="shared" si="539"/>
        <v>0</v>
      </c>
      <c r="AH457" s="17">
        <f t="shared" si="540"/>
        <v>0</v>
      </c>
      <c r="AI457" s="14" t="s">
        <v>316</v>
      </c>
      <c r="AJ457" s="17">
        <f t="shared" si="541"/>
        <v>0</v>
      </c>
      <c r="AK457" s="17">
        <f t="shared" si="542"/>
        <v>0</v>
      </c>
      <c r="AL457" s="17">
        <f t="shared" si="543"/>
        <v>0</v>
      </c>
      <c r="AN457" s="17">
        <v>12</v>
      </c>
      <c r="AO457" s="17">
        <f>H457*0.3735108</f>
        <v>0</v>
      </c>
      <c r="AP457" s="17">
        <f>H457*(1-0.3735108)</f>
        <v>0</v>
      </c>
      <c r="AQ457" s="76" t="s">
        <v>577</v>
      </c>
      <c r="AV457" s="17">
        <f t="shared" si="544"/>
        <v>0</v>
      </c>
      <c r="AW457" s="17">
        <f t="shared" si="545"/>
        <v>0</v>
      </c>
      <c r="AX457" s="17">
        <f t="shared" si="546"/>
        <v>0</v>
      </c>
      <c r="AY457" s="76" t="s">
        <v>914</v>
      </c>
      <c r="AZ457" s="76" t="s">
        <v>996</v>
      </c>
      <c r="BA457" s="14" t="s">
        <v>997</v>
      </c>
      <c r="BC457" s="17">
        <f t="shared" si="547"/>
        <v>0</v>
      </c>
      <c r="BD457" s="17">
        <f t="shared" si="548"/>
        <v>0</v>
      </c>
      <c r="BE457" s="17">
        <v>0</v>
      </c>
      <c r="BF457" s="17">
        <f t="shared" si="549"/>
        <v>6.5100000000000002E-3</v>
      </c>
      <c r="BH457" s="17">
        <f t="shared" si="550"/>
        <v>0</v>
      </c>
      <c r="BI457" s="17">
        <f t="shared" si="551"/>
        <v>0</v>
      </c>
      <c r="BJ457" s="17">
        <f t="shared" si="552"/>
        <v>0</v>
      </c>
      <c r="BK457" s="17"/>
      <c r="BL457" s="17">
        <v>723</v>
      </c>
      <c r="BW457" s="17">
        <f t="shared" si="553"/>
        <v>12</v>
      </c>
      <c r="BX457" s="4" t="s">
        <v>325</v>
      </c>
    </row>
    <row r="458" spans="1:76" x14ac:dyDescent="0.25">
      <c r="A458" s="1" t="s">
        <v>1001</v>
      </c>
      <c r="B458" s="2" t="s">
        <v>316</v>
      </c>
      <c r="C458" s="2" t="s">
        <v>277</v>
      </c>
      <c r="D458" s="83" t="s">
        <v>278</v>
      </c>
      <c r="E458" s="84"/>
      <c r="F458" s="2" t="s">
        <v>35</v>
      </c>
      <c r="G458" s="17">
        <f>'Rozpočet - vybrané sloupce'!J399</f>
        <v>7</v>
      </c>
      <c r="H458" s="17">
        <f>'Rozpočet - vybrané sloupce'!K399</f>
        <v>0</v>
      </c>
      <c r="I458" s="74">
        <v>12</v>
      </c>
      <c r="J458" s="17">
        <f t="shared" si="528"/>
        <v>0</v>
      </c>
      <c r="K458" s="17">
        <f t="shared" si="529"/>
        <v>0</v>
      </c>
      <c r="L458" s="17">
        <f t="shared" si="530"/>
        <v>0</v>
      </c>
      <c r="M458" s="17">
        <f t="shared" si="531"/>
        <v>0</v>
      </c>
      <c r="N458" s="17">
        <v>0</v>
      </c>
      <c r="O458" s="17">
        <f t="shared" si="532"/>
        <v>0</v>
      </c>
      <c r="P458" s="75" t="s">
        <v>576</v>
      </c>
      <c r="Z458" s="17">
        <f t="shared" si="533"/>
        <v>0</v>
      </c>
      <c r="AB458" s="17">
        <f t="shared" si="534"/>
        <v>0</v>
      </c>
      <c r="AC458" s="17">
        <f t="shared" si="535"/>
        <v>0</v>
      </c>
      <c r="AD458" s="17">
        <f t="shared" si="536"/>
        <v>0</v>
      </c>
      <c r="AE458" s="17">
        <f t="shared" si="537"/>
        <v>0</v>
      </c>
      <c r="AF458" s="17">
        <f t="shared" si="538"/>
        <v>0</v>
      </c>
      <c r="AG458" s="17">
        <f t="shared" si="539"/>
        <v>0</v>
      </c>
      <c r="AH458" s="17">
        <f t="shared" si="540"/>
        <v>0</v>
      </c>
      <c r="AI458" s="14" t="s">
        <v>316</v>
      </c>
      <c r="AJ458" s="17">
        <f t="shared" si="541"/>
        <v>0</v>
      </c>
      <c r="AK458" s="17">
        <f t="shared" si="542"/>
        <v>0</v>
      </c>
      <c r="AL458" s="17">
        <f t="shared" si="543"/>
        <v>0</v>
      </c>
      <c r="AN458" s="17">
        <v>12</v>
      </c>
      <c r="AO458" s="17">
        <f>H458*0</f>
        <v>0</v>
      </c>
      <c r="AP458" s="17">
        <f>H458*(1-0)</f>
        <v>0</v>
      </c>
      <c r="AQ458" s="76" t="s">
        <v>577</v>
      </c>
      <c r="AV458" s="17">
        <f t="shared" si="544"/>
        <v>0</v>
      </c>
      <c r="AW458" s="17">
        <f t="shared" si="545"/>
        <v>0</v>
      </c>
      <c r="AX458" s="17">
        <f t="shared" si="546"/>
        <v>0</v>
      </c>
      <c r="AY458" s="76" t="s">
        <v>914</v>
      </c>
      <c r="AZ458" s="76" t="s">
        <v>996</v>
      </c>
      <c r="BA458" s="14" t="s">
        <v>997</v>
      </c>
      <c r="BC458" s="17">
        <f t="shared" si="547"/>
        <v>0</v>
      </c>
      <c r="BD458" s="17">
        <f t="shared" si="548"/>
        <v>0</v>
      </c>
      <c r="BE458" s="17">
        <v>0</v>
      </c>
      <c r="BF458" s="17">
        <f t="shared" si="549"/>
        <v>0</v>
      </c>
      <c r="BH458" s="17">
        <f t="shared" si="550"/>
        <v>0</v>
      </c>
      <c r="BI458" s="17">
        <f t="shared" si="551"/>
        <v>0</v>
      </c>
      <c r="BJ458" s="17">
        <f t="shared" si="552"/>
        <v>0</v>
      </c>
      <c r="BK458" s="17"/>
      <c r="BL458" s="17">
        <v>723</v>
      </c>
      <c r="BW458" s="17">
        <f t="shared" si="553"/>
        <v>12</v>
      </c>
      <c r="BX458" s="4" t="s">
        <v>278</v>
      </c>
    </row>
    <row r="459" spans="1:76" x14ac:dyDescent="0.25">
      <c r="A459" s="1" t="s">
        <v>1002</v>
      </c>
      <c r="B459" s="2" t="s">
        <v>316</v>
      </c>
      <c r="C459" s="2" t="s">
        <v>275</v>
      </c>
      <c r="D459" s="83" t="s">
        <v>276</v>
      </c>
      <c r="E459" s="84"/>
      <c r="F459" s="2" t="s">
        <v>31</v>
      </c>
      <c r="G459" s="17">
        <f>'Rozpočet - vybrané sloupce'!J400</f>
        <v>33</v>
      </c>
      <c r="H459" s="17">
        <f>'Rozpočet - vybrané sloupce'!K400</f>
        <v>0</v>
      </c>
      <c r="I459" s="74">
        <v>12</v>
      </c>
      <c r="J459" s="17">
        <f t="shared" si="528"/>
        <v>0</v>
      </c>
      <c r="K459" s="17">
        <f t="shared" si="529"/>
        <v>0</v>
      </c>
      <c r="L459" s="17">
        <f t="shared" si="530"/>
        <v>0</v>
      </c>
      <c r="M459" s="17">
        <f t="shared" si="531"/>
        <v>0</v>
      </c>
      <c r="N459" s="17">
        <v>0</v>
      </c>
      <c r="O459" s="17">
        <f t="shared" si="532"/>
        <v>0</v>
      </c>
      <c r="P459" s="75" t="s">
        <v>576</v>
      </c>
      <c r="Z459" s="17">
        <f t="shared" si="533"/>
        <v>0</v>
      </c>
      <c r="AB459" s="17">
        <f t="shared" si="534"/>
        <v>0</v>
      </c>
      <c r="AC459" s="17">
        <f t="shared" si="535"/>
        <v>0</v>
      </c>
      <c r="AD459" s="17">
        <f t="shared" si="536"/>
        <v>0</v>
      </c>
      <c r="AE459" s="17">
        <f t="shared" si="537"/>
        <v>0</v>
      </c>
      <c r="AF459" s="17">
        <f t="shared" si="538"/>
        <v>0</v>
      </c>
      <c r="AG459" s="17">
        <f t="shared" si="539"/>
        <v>0</v>
      </c>
      <c r="AH459" s="17">
        <f t="shared" si="540"/>
        <v>0</v>
      </c>
      <c r="AI459" s="14" t="s">
        <v>316</v>
      </c>
      <c r="AJ459" s="17">
        <f t="shared" si="541"/>
        <v>0</v>
      </c>
      <c r="AK459" s="17">
        <f t="shared" si="542"/>
        <v>0</v>
      </c>
      <c r="AL459" s="17">
        <f t="shared" si="543"/>
        <v>0</v>
      </c>
      <c r="AN459" s="17">
        <v>12</v>
      </c>
      <c r="AO459" s="17">
        <f>H459*0</f>
        <v>0</v>
      </c>
      <c r="AP459" s="17">
        <f>H459*(1-0)</f>
        <v>0</v>
      </c>
      <c r="AQ459" s="76" t="s">
        <v>577</v>
      </c>
      <c r="AV459" s="17">
        <f t="shared" si="544"/>
        <v>0</v>
      </c>
      <c r="AW459" s="17">
        <f t="shared" si="545"/>
        <v>0</v>
      </c>
      <c r="AX459" s="17">
        <f t="shared" si="546"/>
        <v>0</v>
      </c>
      <c r="AY459" s="76" t="s">
        <v>914</v>
      </c>
      <c r="AZ459" s="76" t="s">
        <v>996</v>
      </c>
      <c r="BA459" s="14" t="s">
        <v>997</v>
      </c>
      <c r="BC459" s="17">
        <f t="shared" si="547"/>
        <v>0</v>
      </c>
      <c r="BD459" s="17">
        <f t="shared" si="548"/>
        <v>0</v>
      </c>
      <c r="BE459" s="17">
        <v>0</v>
      </c>
      <c r="BF459" s="17">
        <f t="shared" si="549"/>
        <v>0</v>
      </c>
      <c r="BH459" s="17">
        <f t="shared" si="550"/>
        <v>0</v>
      </c>
      <c r="BI459" s="17">
        <f t="shared" si="551"/>
        <v>0</v>
      </c>
      <c r="BJ459" s="17">
        <f t="shared" si="552"/>
        <v>0</v>
      </c>
      <c r="BK459" s="17"/>
      <c r="BL459" s="17">
        <v>723</v>
      </c>
      <c r="BW459" s="17">
        <f t="shared" si="553"/>
        <v>12</v>
      </c>
      <c r="BX459" s="4" t="s">
        <v>276</v>
      </c>
    </row>
    <row r="460" spans="1:76" x14ac:dyDescent="0.25">
      <c r="A460" s="1" t="s">
        <v>1003</v>
      </c>
      <c r="B460" s="2" t="s">
        <v>316</v>
      </c>
      <c r="C460" s="2" t="s">
        <v>279</v>
      </c>
      <c r="D460" s="83" t="s">
        <v>280</v>
      </c>
      <c r="E460" s="84"/>
      <c r="F460" s="2" t="s">
        <v>35</v>
      </c>
      <c r="G460" s="17">
        <f>'Rozpočet - vybrané sloupce'!J401</f>
        <v>7</v>
      </c>
      <c r="H460" s="17">
        <f>'Rozpočet - vybrané sloupce'!K401</f>
        <v>0</v>
      </c>
      <c r="I460" s="74">
        <v>12</v>
      </c>
      <c r="J460" s="17">
        <f t="shared" si="528"/>
        <v>0</v>
      </c>
      <c r="K460" s="17">
        <f t="shared" si="529"/>
        <v>0</v>
      </c>
      <c r="L460" s="17">
        <f t="shared" si="530"/>
        <v>0</v>
      </c>
      <c r="M460" s="17">
        <f t="shared" si="531"/>
        <v>0</v>
      </c>
      <c r="N460" s="17">
        <v>0</v>
      </c>
      <c r="O460" s="17">
        <f t="shared" si="532"/>
        <v>0</v>
      </c>
      <c r="P460" s="75" t="s">
        <v>576</v>
      </c>
      <c r="Z460" s="17">
        <f t="shared" si="533"/>
        <v>0</v>
      </c>
      <c r="AB460" s="17">
        <f t="shared" si="534"/>
        <v>0</v>
      </c>
      <c r="AC460" s="17">
        <f t="shared" si="535"/>
        <v>0</v>
      </c>
      <c r="AD460" s="17">
        <f t="shared" si="536"/>
        <v>0</v>
      </c>
      <c r="AE460" s="17">
        <f t="shared" si="537"/>
        <v>0</v>
      </c>
      <c r="AF460" s="17">
        <f t="shared" si="538"/>
        <v>0</v>
      </c>
      <c r="AG460" s="17">
        <f t="shared" si="539"/>
        <v>0</v>
      </c>
      <c r="AH460" s="17">
        <f t="shared" si="540"/>
        <v>0</v>
      </c>
      <c r="AI460" s="14" t="s">
        <v>316</v>
      </c>
      <c r="AJ460" s="17">
        <f t="shared" si="541"/>
        <v>0</v>
      </c>
      <c r="AK460" s="17">
        <f t="shared" si="542"/>
        <v>0</v>
      </c>
      <c r="AL460" s="17">
        <f t="shared" si="543"/>
        <v>0</v>
      </c>
      <c r="AN460" s="17">
        <v>12</v>
      </c>
      <c r="AO460" s="17">
        <f>H460*0</f>
        <v>0</v>
      </c>
      <c r="AP460" s="17">
        <f>H460*(1-0)</f>
        <v>0</v>
      </c>
      <c r="AQ460" s="76" t="s">
        <v>577</v>
      </c>
      <c r="AV460" s="17">
        <f t="shared" si="544"/>
        <v>0</v>
      </c>
      <c r="AW460" s="17">
        <f t="shared" si="545"/>
        <v>0</v>
      </c>
      <c r="AX460" s="17">
        <f t="shared" si="546"/>
        <v>0</v>
      </c>
      <c r="AY460" s="76" t="s">
        <v>914</v>
      </c>
      <c r="AZ460" s="76" t="s">
        <v>996</v>
      </c>
      <c r="BA460" s="14" t="s">
        <v>997</v>
      </c>
      <c r="BC460" s="17">
        <f t="shared" si="547"/>
        <v>0</v>
      </c>
      <c r="BD460" s="17">
        <f t="shared" si="548"/>
        <v>0</v>
      </c>
      <c r="BE460" s="17">
        <v>0</v>
      </c>
      <c r="BF460" s="17">
        <f t="shared" si="549"/>
        <v>0</v>
      </c>
      <c r="BH460" s="17">
        <f t="shared" si="550"/>
        <v>0</v>
      </c>
      <c r="BI460" s="17">
        <f t="shared" si="551"/>
        <v>0</v>
      </c>
      <c r="BJ460" s="17">
        <f t="shared" si="552"/>
        <v>0</v>
      </c>
      <c r="BK460" s="17"/>
      <c r="BL460" s="17">
        <v>723</v>
      </c>
      <c r="BW460" s="17">
        <f t="shared" si="553"/>
        <v>12</v>
      </c>
      <c r="BX460" s="4" t="s">
        <v>280</v>
      </c>
    </row>
    <row r="461" spans="1:76" x14ac:dyDescent="0.25">
      <c r="A461" s="1" t="s">
        <v>1004</v>
      </c>
      <c r="B461" s="2" t="s">
        <v>316</v>
      </c>
      <c r="C461" s="2" t="s">
        <v>326</v>
      </c>
      <c r="D461" s="83" t="s">
        <v>327</v>
      </c>
      <c r="E461" s="84"/>
      <c r="F461" s="2" t="s">
        <v>40</v>
      </c>
      <c r="G461" s="17">
        <f>'Rozpočet - vybrané sloupce'!J402</f>
        <v>7</v>
      </c>
      <c r="H461" s="17">
        <f>'Rozpočet - vybrané sloupce'!K402</f>
        <v>0</v>
      </c>
      <c r="I461" s="74">
        <v>12</v>
      </c>
      <c r="J461" s="17">
        <f t="shared" si="528"/>
        <v>0</v>
      </c>
      <c r="K461" s="17">
        <f t="shared" si="529"/>
        <v>0</v>
      </c>
      <c r="L461" s="17">
        <f t="shared" si="530"/>
        <v>0</v>
      </c>
      <c r="M461" s="17">
        <f t="shared" si="531"/>
        <v>0</v>
      </c>
      <c r="N461" s="17">
        <v>6.7000000000000004E-2</v>
      </c>
      <c r="O461" s="17">
        <f t="shared" si="532"/>
        <v>0.46900000000000003</v>
      </c>
      <c r="P461" s="75" t="s">
        <v>576</v>
      </c>
      <c r="Z461" s="17">
        <f t="shared" si="533"/>
        <v>0</v>
      </c>
      <c r="AB461" s="17">
        <f t="shared" si="534"/>
        <v>0</v>
      </c>
      <c r="AC461" s="17">
        <f t="shared" si="535"/>
        <v>0</v>
      </c>
      <c r="AD461" s="17">
        <f t="shared" si="536"/>
        <v>0</v>
      </c>
      <c r="AE461" s="17">
        <f t="shared" si="537"/>
        <v>0</v>
      </c>
      <c r="AF461" s="17">
        <f t="shared" si="538"/>
        <v>0</v>
      </c>
      <c r="AG461" s="17">
        <f t="shared" si="539"/>
        <v>0</v>
      </c>
      <c r="AH461" s="17">
        <f t="shared" si="540"/>
        <v>0</v>
      </c>
      <c r="AI461" s="14" t="s">
        <v>316</v>
      </c>
      <c r="AJ461" s="17">
        <f t="shared" si="541"/>
        <v>0</v>
      </c>
      <c r="AK461" s="17">
        <f t="shared" si="542"/>
        <v>0</v>
      </c>
      <c r="AL461" s="17">
        <f t="shared" si="543"/>
        <v>0</v>
      </c>
      <c r="AN461" s="17">
        <v>12</v>
      </c>
      <c r="AO461" s="17">
        <f>H461*0</f>
        <v>0</v>
      </c>
      <c r="AP461" s="17">
        <f>H461*(1-0)</f>
        <v>0</v>
      </c>
      <c r="AQ461" s="76" t="s">
        <v>577</v>
      </c>
      <c r="AV461" s="17">
        <f t="shared" si="544"/>
        <v>0</v>
      </c>
      <c r="AW461" s="17">
        <f t="shared" si="545"/>
        <v>0</v>
      </c>
      <c r="AX461" s="17">
        <f t="shared" si="546"/>
        <v>0</v>
      </c>
      <c r="AY461" s="76" t="s">
        <v>914</v>
      </c>
      <c r="AZ461" s="76" t="s">
        <v>996</v>
      </c>
      <c r="BA461" s="14" t="s">
        <v>997</v>
      </c>
      <c r="BC461" s="17">
        <f t="shared" si="547"/>
        <v>0</v>
      </c>
      <c r="BD461" s="17">
        <f t="shared" si="548"/>
        <v>0</v>
      </c>
      <c r="BE461" s="17">
        <v>0</v>
      </c>
      <c r="BF461" s="17">
        <f t="shared" si="549"/>
        <v>0.46900000000000003</v>
      </c>
      <c r="BH461" s="17">
        <f t="shared" si="550"/>
        <v>0</v>
      </c>
      <c r="BI461" s="17">
        <f t="shared" si="551"/>
        <v>0</v>
      </c>
      <c r="BJ461" s="17">
        <f t="shared" si="552"/>
        <v>0</v>
      </c>
      <c r="BK461" s="17"/>
      <c r="BL461" s="17">
        <v>723</v>
      </c>
      <c r="BW461" s="17">
        <f t="shared" si="553"/>
        <v>12</v>
      </c>
      <c r="BX461" s="4" t="s">
        <v>327</v>
      </c>
    </row>
    <row r="462" spans="1:76" x14ac:dyDescent="0.25">
      <c r="A462" s="1" t="s">
        <v>1005</v>
      </c>
      <c r="B462" s="2" t="s">
        <v>316</v>
      </c>
      <c r="C462" s="2" t="s">
        <v>328</v>
      </c>
      <c r="D462" s="83" t="s">
        <v>329</v>
      </c>
      <c r="E462" s="84"/>
      <c r="F462" s="2" t="s">
        <v>35</v>
      </c>
      <c r="G462" s="17">
        <f>'Rozpočet - vybrané sloupce'!J403</f>
        <v>7</v>
      </c>
      <c r="H462" s="17">
        <f>'Rozpočet - vybrané sloupce'!K403</f>
        <v>0</v>
      </c>
      <c r="I462" s="74">
        <v>12</v>
      </c>
      <c r="J462" s="17">
        <f t="shared" si="528"/>
        <v>0</v>
      </c>
      <c r="K462" s="17">
        <f t="shared" si="529"/>
        <v>0</v>
      </c>
      <c r="L462" s="17">
        <f t="shared" si="530"/>
        <v>0</v>
      </c>
      <c r="M462" s="17">
        <f t="shared" si="531"/>
        <v>0</v>
      </c>
      <c r="N462" s="17">
        <v>5.0000000000000002E-5</v>
      </c>
      <c r="O462" s="17">
        <f t="shared" si="532"/>
        <v>3.5E-4</v>
      </c>
      <c r="P462" s="75" t="s">
        <v>576</v>
      </c>
      <c r="Z462" s="17">
        <f t="shared" si="533"/>
        <v>0</v>
      </c>
      <c r="AB462" s="17">
        <f t="shared" si="534"/>
        <v>0</v>
      </c>
      <c r="AC462" s="17">
        <f t="shared" si="535"/>
        <v>0</v>
      </c>
      <c r="AD462" s="17">
        <f t="shared" si="536"/>
        <v>0</v>
      </c>
      <c r="AE462" s="17">
        <f t="shared" si="537"/>
        <v>0</v>
      </c>
      <c r="AF462" s="17">
        <f t="shared" si="538"/>
        <v>0</v>
      </c>
      <c r="AG462" s="17">
        <f t="shared" si="539"/>
        <v>0</v>
      </c>
      <c r="AH462" s="17">
        <f t="shared" si="540"/>
        <v>0</v>
      </c>
      <c r="AI462" s="14" t="s">
        <v>316</v>
      </c>
      <c r="AJ462" s="17">
        <f t="shared" si="541"/>
        <v>0</v>
      </c>
      <c r="AK462" s="17">
        <f t="shared" si="542"/>
        <v>0</v>
      </c>
      <c r="AL462" s="17">
        <f t="shared" si="543"/>
        <v>0</v>
      </c>
      <c r="AN462" s="17">
        <v>12</v>
      </c>
      <c r="AO462" s="17">
        <f>H462*0.039516129</f>
        <v>0</v>
      </c>
      <c r="AP462" s="17">
        <f>H462*(1-0.039516129)</f>
        <v>0</v>
      </c>
      <c r="AQ462" s="76" t="s">
        <v>577</v>
      </c>
      <c r="AV462" s="17">
        <f t="shared" si="544"/>
        <v>0</v>
      </c>
      <c r="AW462" s="17">
        <f t="shared" si="545"/>
        <v>0</v>
      </c>
      <c r="AX462" s="17">
        <f t="shared" si="546"/>
        <v>0</v>
      </c>
      <c r="AY462" s="76" t="s">
        <v>914</v>
      </c>
      <c r="AZ462" s="76" t="s">
        <v>996</v>
      </c>
      <c r="BA462" s="14" t="s">
        <v>997</v>
      </c>
      <c r="BC462" s="17">
        <f t="shared" si="547"/>
        <v>0</v>
      </c>
      <c r="BD462" s="17">
        <f t="shared" si="548"/>
        <v>0</v>
      </c>
      <c r="BE462" s="17">
        <v>0</v>
      </c>
      <c r="BF462" s="17">
        <f t="shared" si="549"/>
        <v>3.5E-4</v>
      </c>
      <c r="BH462" s="17">
        <f t="shared" si="550"/>
        <v>0</v>
      </c>
      <c r="BI462" s="17">
        <f t="shared" si="551"/>
        <v>0</v>
      </c>
      <c r="BJ462" s="17">
        <f t="shared" si="552"/>
        <v>0</v>
      </c>
      <c r="BK462" s="17"/>
      <c r="BL462" s="17">
        <v>723</v>
      </c>
      <c r="BW462" s="17">
        <f t="shared" si="553"/>
        <v>12</v>
      </c>
      <c r="BX462" s="4" t="s">
        <v>329</v>
      </c>
    </row>
    <row r="463" spans="1:76" x14ac:dyDescent="0.25">
      <c r="A463" s="1" t="s">
        <v>1006</v>
      </c>
      <c r="B463" s="2" t="s">
        <v>316</v>
      </c>
      <c r="C463" s="2" t="s">
        <v>330</v>
      </c>
      <c r="D463" s="83" t="s">
        <v>331</v>
      </c>
      <c r="E463" s="84"/>
      <c r="F463" s="2" t="s">
        <v>40</v>
      </c>
      <c r="G463" s="17">
        <f>'Rozpočet - vybrané sloupce'!J404</f>
        <v>7</v>
      </c>
      <c r="H463" s="17">
        <f>'Rozpočet - vybrané sloupce'!K404</f>
        <v>0</v>
      </c>
      <c r="I463" s="74">
        <v>12</v>
      </c>
      <c r="J463" s="17">
        <f t="shared" si="528"/>
        <v>0</v>
      </c>
      <c r="K463" s="17">
        <f t="shared" si="529"/>
        <v>0</v>
      </c>
      <c r="L463" s="17">
        <f t="shared" si="530"/>
        <v>0</v>
      </c>
      <c r="M463" s="17">
        <f t="shared" si="531"/>
        <v>0</v>
      </c>
      <c r="N463" s="17">
        <v>2E-3</v>
      </c>
      <c r="O463" s="17">
        <f t="shared" si="532"/>
        <v>1.4E-2</v>
      </c>
      <c r="P463" s="75" t="s">
        <v>576</v>
      </c>
      <c r="Z463" s="17">
        <f t="shared" si="533"/>
        <v>0</v>
      </c>
      <c r="AB463" s="17">
        <f t="shared" si="534"/>
        <v>0</v>
      </c>
      <c r="AC463" s="17">
        <f t="shared" si="535"/>
        <v>0</v>
      </c>
      <c r="AD463" s="17">
        <f t="shared" si="536"/>
        <v>0</v>
      </c>
      <c r="AE463" s="17">
        <f t="shared" si="537"/>
        <v>0</v>
      </c>
      <c r="AF463" s="17">
        <f t="shared" si="538"/>
        <v>0</v>
      </c>
      <c r="AG463" s="17">
        <f t="shared" si="539"/>
        <v>0</v>
      </c>
      <c r="AH463" s="17">
        <f t="shared" si="540"/>
        <v>0</v>
      </c>
      <c r="AI463" s="14" t="s">
        <v>316</v>
      </c>
      <c r="AJ463" s="17">
        <f t="shared" si="541"/>
        <v>0</v>
      </c>
      <c r="AK463" s="17">
        <f t="shared" si="542"/>
        <v>0</v>
      </c>
      <c r="AL463" s="17">
        <f t="shared" si="543"/>
        <v>0</v>
      </c>
      <c r="AN463" s="17">
        <v>12</v>
      </c>
      <c r="AO463" s="17">
        <f>H463*1</f>
        <v>0</v>
      </c>
      <c r="AP463" s="17">
        <f>H463*(1-1)</f>
        <v>0</v>
      </c>
      <c r="AQ463" s="76" t="s">
        <v>577</v>
      </c>
      <c r="AV463" s="17">
        <f t="shared" si="544"/>
        <v>0</v>
      </c>
      <c r="AW463" s="17">
        <f t="shared" si="545"/>
        <v>0</v>
      </c>
      <c r="AX463" s="17">
        <f t="shared" si="546"/>
        <v>0</v>
      </c>
      <c r="AY463" s="76" t="s">
        <v>914</v>
      </c>
      <c r="AZ463" s="76" t="s">
        <v>996</v>
      </c>
      <c r="BA463" s="14" t="s">
        <v>997</v>
      </c>
      <c r="BC463" s="17">
        <f t="shared" si="547"/>
        <v>0</v>
      </c>
      <c r="BD463" s="17">
        <f t="shared" si="548"/>
        <v>0</v>
      </c>
      <c r="BE463" s="17">
        <v>0</v>
      </c>
      <c r="BF463" s="17">
        <f t="shared" si="549"/>
        <v>1.4E-2</v>
      </c>
      <c r="BH463" s="17">
        <f t="shared" si="550"/>
        <v>0</v>
      </c>
      <c r="BI463" s="17">
        <f t="shared" si="551"/>
        <v>0</v>
      </c>
      <c r="BJ463" s="17">
        <f t="shared" si="552"/>
        <v>0</v>
      </c>
      <c r="BK463" s="17"/>
      <c r="BL463" s="17">
        <v>723</v>
      </c>
      <c r="BW463" s="17">
        <f t="shared" si="553"/>
        <v>12</v>
      </c>
      <c r="BX463" s="4" t="s">
        <v>331</v>
      </c>
    </row>
    <row r="464" spans="1:76" x14ac:dyDescent="0.25">
      <c r="A464" s="1" t="s">
        <v>1007</v>
      </c>
      <c r="B464" s="2" t="s">
        <v>316</v>
      </c>
      <c r="C464" s="2" t="s">
        <v>332</v>
      </c>
      <c r="D464" s="83" t="s">
        <v>333</v>
      </c>
      <c r="E464" s="84"/>
      <c r="F464" s="2" t="s">
        <v>40</v>
      </c>
      <c r="G464" s="17">
        <f>'Rozpočet - vybrané sloupce'!J405</f>
        <v>7</v>
      </c>
      <c r="H464" s="17">
        <f>'Rozpočet - vybrané sloupce'!K405</f>
        <v>0</v>
      </c>
      <c r="I464" s="74">
        <v>12</v>
      </c>
      <c r="J464" s="17">
        <f t="shared" si="528"/>
        <v>0</v>
      </c>
      <c r="K464" s="17">
        <f t="shared" si="529"/>
        <v>0</v>
      </c>
      <c r="L464" s="17">
        <f t="shared" si="530"/>
        <v>0</v>
      </c>
      <c r="M464" s="17">
        <f t="shared" si="531"/>
        <v>0</v>
      </c>
      <c r="N464" s="17">
        <v>0</v>
      </c>
      <c r="O464" s="17">
        <f t="shared" si="532"/>
        <v>0</v>
      </c>
      <c r="P464" s="75" t="s">
        <v>576</v>
      </c>
      <c r="Z464" s="17">
        <f t="shared" si="533"/>
        <v>0</v>
      </c>
      <c r="AB464" s="17">
        <f t="shared" si="534"/>
        <v>0</v>
      </c>
      <c r="AC464" s="17">
        <f t="shared" si="535"/>
        <v>0</v>
      </c>
      <c r="AD464" s="17">
        <f t="shared" si="536"/>
        <v>0</v>
      </c>
      <c r="AE464" s="17">
        <f t="shared" si="537"/>
        <v>0</v>
      </c>
      <c r="AF464" s="17">
        <f t="shared" si="538"/>
        <v>0</v>
      </c>
      <c r="AG464" s="17">
        <f t="shared" si="539"/>
        <v>0</v>
      </c>
      <c r="AH464" s="17">
        <f t="shared" si="540"/>
        <v>0</v>
      </c>
      <c r="AI464" s="14" t="s">
        <v>316</v>
      </c>
      <c r="AJ464" s="17">
        <f t="shared" si="541"/>
        <v>0</v>
      </c>
      <c r="AK464" s="17">
        <f t="shared" si="542"/>
        <v>0</v>
      </c>
      <c r="AL464" s="17">
        <f t="shared" si="543"/>
        <v>0</v>
      </c>
      <c r="AN464" s="17">
        <v>12</v>
      </c>
      <c r="AO464" s="17">
        <f>H464*0</f>
        <v>0</v>
      </c>
      <c r="AP464" s="17">
        <f>H464*(1-0)</f>
        <v>0</v>
      </c>
      <c r="AQ464" s="76" t="s">
        <v>577</v>
      </c>
      <c r="AV464" s="17">
        <f t="shared" si="544"/>
        <v>0</v>
      </c>
      <c r="AW464" s="17">
        <f t="shared" si="545"/>
        <v>0</v>
      </c>
      <c r="AX464" s="17">
        <f t="shared" si="546"/>
        <v>0</v>
      </c>
      <c r="AY464" s="76" t="s">
        <v>914</v>
      </c>
      <c r="AZ464" s="76" t="s">
        <v>996</v>
      </c>
      <c r="BA464" s="14" t="s">
        <v>997</v>
      </c>
      <c r="BC464" s="17">
        <f t="shared" si="547"/>
        <v>0</v>
      </c>
      <c r="BD464" s="17">
        <f t="shared" si="548"/>
        <v>0</v>
      </c>
      <c r="BE464" s="17">
        <v>0</v>
      </c>
      <c r="BF464" s="17">
        <f t="shared" si="549"/>
        <v>0</v>
      </c>
      <c r="BH464" s="17">
        <f t="shared" si="550"/>
        <v>0</v>
      </c>
      <c r="BI464" s="17">
        <f t="shared" si="551"/>
        <v>0</v>
      </c>
      <c r="BJ464" s="17">
        <f t="shared" si="552"/>
        <v>0</v>
      </c>
      <c r="BK464" s="17"/>
      <c r="BL464" s="17">
        <v>723</v>
      </c>
      <c r="BW464" s="17">
        <f t="shared" si="553"/>
        <v>12</v>
      </c>
      <c r="BX464" s="4" t="s">
        <v>333</v>
      </c>
    </row>
    <row r="465" spans="1:76" x14ac:dyDescent="0.25">
      <c r="A465" s="1" t="s">
        <v>1008</v>
      </c>
      <c r="B465" s="2" t="s">
        <v>316</v>
      </c>
      <c r="C465" s="2" t="s">
        <v>308</v>
      </c>
      <c r="D465" s="83" t="s">
        <v>309</v>
      </c>
      <c r="E465" s="84"/>
      <c r="F465" s="2" t="s">
        <v>88</v>
      </c>
      <c r="G465" s="17">
        <f>'Rozpočet - vybrané sloupce'!J406</f>
        <v>0.1</v>
      </c>
      <c r="H465" s="17">
        <f>'Rozpočet - vybrané sloupce'!K406</f>
        <v>0</v>
      </c>
      <c r="I465" s="74">
        <v>12</v>
      </c>
      <c r="J465" s="17">
        <f t="shared" si="528"/>
        <v>0</v>
      </c>
      <c r="K465" s="17">
        <f t="shared" si="529"/>
        <v>0</v>
      </c>
      <c r="L465" s="17">
        <f t="shared" si="530"/>
        <v>0</v>
      </c>
      <c r="M465" s="17">
        <f t="shared" si="531"/>
        <v>0</v>
      </c>
      <c r="N465" s="17">
        <v>0</v>
      </c>
      <c r="O465" s="17">
        <f t="shared" si="532"/>
        <v>0</v>
      </c>
      <c r="P465" s="75" t="s">
        <v>576</v>
      </c>
      <c r="Z465" s="17">
        <f t="shared" si="533"/>
        <v>0</v>
      </c>
      <c r="AB465" s="17">
        <f t="shared" si="534"/>
        <v>0</v>
      </c>
      <c r="AC465" s="17">
        <f t="shared" si="535"/>
        <v>0</v>
      </c>
      <c r="AD465" s="17">
        <f t="shared" si="536"/>
        <v>0</v>
      </c>
      <c r="AE465" s="17">
        <f t="shared" si="537"/>
        <v>0</v>
      </c>
      <c r="AF465" s="17">
        <f t="shared" si="538"/>
        <v>0</v>
      </c>
      <c r="AG465" s="17">
        <f t="shared" si="539"/>
        <v>0</v>
      </c>
      <c r="AH465" s="17">
        <f t="shared" si="540"/>
        <v>0</v>
      </c>
      <c r="AI465" s="14" t="s">
        <v>316</v>
      </c>
      <c r="AJ465" s="17">
        <f t="shared" si="541"/>
        <v>0</v>
      </c>
      <c r="AK465" s="17">
        <f t="shared" si="542"/>
        <v>0</v>
      </c>
      <c r="AL465" s="17">
        <f t="shared" si="543"/>
        <v>0</v>
      </c>
      <c r="AN465" s="17">
        <v>12</v>
      </c>
      <c r="AO465" s="17">
        <f>H465*0</f>
        <v>0</v>
      </c>
      <c r="AP465" s="17">
        <f>H465*(1-0)</f>
        <v>0</v>
      </c>
      <c r="AQ465" s="76" t="s">
        <v>577</v>
      </c>
      <c r="AV465" s="17">
        <f t="shared" si="544"/>
        <v>0</v>
      </c>
      <c r="AW465" s="17">
        <f t="shared" si="545"/>
        <v>0</v>
      </c>
      <c r="AX465" s="17">
        <f t="shared" si="546"/>
        <v>0</v>
      </c>
      <c r="AY465" s="76" t="s">
        <v>914</v>
      </c>
      <c r="AZ465" s="76" t="s">
        <v>996</v>
      </c>
      <c r="BA465" s="14" t="s">
        <v>997</v>
      </c>
      <c r="BC465" s="17">
        <f t="shared" si="547"/>
        <v>0</v>
      </c>
      <c r="BD465" s="17">
        <f t="shared" si="548"/>
        <v>0</v>
      </c>
      <c r="BE465" s="17">
        <v>0</v>
      </c>
      <c r="BF465" s="17">
        <f t="shared" si="549"/>
        <v>0</v>
      </c>
      <c r="BH465" s="17">
        <f t="shared" si="550"/>
        <v>0</v>
      </c>
      <c r="BI465" s="17">
        <f t="shared" si="551"/>
        <v>0</v>
      </c>
      <c r="BJ465" s="17">
        <f t="shared" si="552"/>
        <v>0</v>
      </c>
      <c r="BK465" s="17"/>
      <c r="BL465" s="17">
        <v>723</v>
      </c>
      <c r="BW465" s="17">
        <f t="shared" si="553"/>
        <v>12</v>
      </c>
      <c r="BX465" s="4" t="s">
        <v>309</v>
      </c>
    </row>
    <row r="466" spans="1:76" x14ac:dyDescent="0.25">
      <c r="A466" s="77"/>
      <c r="C466" s="78" t="s">
        <v>610</v>
      </c>
      <c r="D466" s="161" t="s">
        <v>624</v>
      </c>
      <c r="E466" s="162"/>
      <c r="F466" s="162"/>
      <c r="G466" s="162"/>
      <c r="H466" s="162"/>
      <c r="I466" s="162"/>
      <c r="J466" s="162"/>
      <c r="K466" s="162"/>
      <c r="L466" s="162"/>
      <c r="M466" s="162"/>
      <c r="N466" s="162"/>
      <c r="O466" s="162"/>
      <c r="P466" s="163"/>
      <c r="BX466" s="79" t="s">
        <v>624</v>
      </c>
    </row>
    <row r="467" spans="1:76" x14ac:dyDescent="0.25">
      <c r="A467" s="1" t="s">
        <v>1009</v>
      </c>
      <c r="B467" s="2" t="s">
        <v>316</v>
      </c>
      <c r="C467" s="2" t="s">
        <v>310</v>
      </c>
      <c r="D467" s="83" t="s">
        <v>311</v>
      </c>
      <c r="E467" s="84"/>
      <c r="F467" s="2" t="s">
        <v>45</v>
      </c>
      <c r="G467" s="17">
        <f>'Rozpočet - vybrané sloupce'!J407</f>
        <v>0</v>
      </c>
      <c r="H467" s="17">
        <f>'Rozpočet - vybrané sloupce'!K407</f>
        <v>0</v>
      </c>
      <c r="I467" s="74">
        <v>12</v>
      </c>
      <c r="J467" s="17">
        <f>ROUND(G467*AO467,2)</f>
        <v>0</v>
      </c>
      <c r="K467" s="17">
        <f>ROUND(G467*AP467,2)</f>
        <v>0</v>
      </c>
      <c r="L467" s="17">
        <f>ROUND(G467*H467,2)</f>
        <v>0</v>
      </c>
      <c r="M467" s="17">
        <f>L467*(1+BW467/100)</f>
        <v>0</v>
      </c>
      <c r="N467" s="17">
        <v>0</v>
      </c>
      <c r="O467" s="17">
        <f>G467*N467</f>
        <v>0</v>
      </c>
      <c r="P467" s="75" t="s">
        <v>576</v>
      </c>
      <c r="Z467" s="17">
        <f>ROUND(IF(AQ467="5",BJ467,0),2)</f>
        <v>0</v>
      </c>
      <c r="AB467" s="17">
        <f>ROUND(IF(AQ467="1",BH467,0),2)</f>
        <v>0</v>
      </c>
      <c r="AC467" s="17">
        <f>ROUND(IF(AQ467="1",BI467,0),2)</f>
        <v>0</v>
      </c>
      <c r="AD467" s="17">
        <f>ROUND(IF(AQ467="7",BH467,0),2)</f>
        <v>0</v>
      </c>
      <c r="AE467" s="17">
        <f>ROUND(IF(AQ467="7",BI467,0),2)</f>
        <v>0</v>
      </c>
      <c r="AF467" s="17">
        <f>ROUND(IF(AQ467="2",BH467,0),2)</f>
        <v>0</v>
      </c>
      <c r="AG467" s="17">
        <f>ROUND(IF(AQ467="2",BI467,0),2)</f>
        <v>0</v>
      </c>
      <c r="AH467" s="17">
        <f>ROUND(IF(AQ467="0",BJ467,0),2)</f>
        <v>0</v>
      </c>
      <c r="AI467" s="14" t="s">
        <v>316</v>
      </c>
      <c r="AJ467" s="17">
        <f>IF(AN467=0,L467,0)</f>
        <v>0</v>
      </c>
      <c r="AK467" s="17">
        <f>IF(AN467=12,L467,0)</f>
        <v>0</v>
      </c>
      <c r="AL467" s="17">
        <f>IF(AN467=21,L467,0)</f>
        <v>0</v>
      </c>
      <c r="AN467" s="17">
        <v>12</v>
      </c>
      <c r="AO467" s="17">
        <f>H467*0</f>
        <v>0</v>
      </c>
      <c r="AP467" s="17">
        <f>H467*(1-0)</f>
        <v>0</v>
      </c>
      <c r="AQ467" s="76" t="s">
        <v>585</v>
      </c>
      <c r="AV467" s="17">
        <f>ROUND(AW467+AX467,2)</f>
        <v>0</v>
      </c>
      <c r="AW467" s="17">
        <f>ROUND(G467*AO467,2)</f>
        <v>0</v>
      </c>
      <c r="AX467" s="17">
        <f>ROUND(G467*AP467,2)</f>
        <v>0</v>
      </c>
      <c r="AY467" s="76" t="s">
        <v>914</v>
      </c>
      <c r="AZ467" s="76" t="s">
        <v>996</v>
      </c>
      <c r="BA467" s="14" t="s">
        <v>997</v>
      </c>
      <c r="BC467" s="17">
        <f>AW467+AX467</f>
        <v>0</v>
      </c>
      <c r="BD467" s="17">
        <f>H467/(100-BE467)*100</f>
        <v>0</v>
      </c>
      <c r="BE467" s="17">
        <v>0</v>
      </c>
      <c r="BF467" s="17">
        <f>O467</f>
        <v>0</v>
      </c>
      <c r="BH467" s="17">
        <f>G467*AO467</f>
        <v>0</v>
      </c>
      <c r="BI467" s="17">
        <f>G467*AP467</f>
        <v>0</v>
      </c>
      <c r="BJ467" s="17">
        <f>G467*H467</f>
        <v>0</v>
      </c>
      <c r="BK467" s="17"/>
      <c r="BL467" s="17">
        <v>723</v>
      </c>
      <c r="BW467" s="17">
        <f>I467</f>
        <v>12</v>
      </c>
      <c r="BX467" s="4" t="s">
        <v>311</v>
      </c>
    </row>
    <row r="468" spans="1:76" x14ac:dyDescent="0.25">
      <c r="A468" s="71" t="s">
        <v>25</v>
      </c>
      <c r="B468" s="13" t="s">
        <v>334</v>
      </c>
      <c r="C468" s="13" t="s">
        <v>25</v>
      </c>
      <c r="D468" s="135" t="s">
        <v>335</v>
      </c>
      <c r="E468" s="136"/>
      <c r="F468" s="72" t="s">
        <v>23</v>
      </c>
      <c r="G468" s="72" t="s">
        <v>23</v>
      </c>
      <c r="H468" s="72" t="s">
        <v>23</v>
      </c>
      <c r="I468" s="72" t="s">
        <v>23</v>
      </c>
      <c r="J468" s="47">
        <f>J469</f>
        <v>0</v>
      </c>
      <c r="K468" s="47">
        <f>K469</f>
        <v>0</v>
      </c>
      <c r="L468" s="47">
        <f>L469</f>
        <v>0</v>
      </c>
      <c r="M468" s="47">
        <f>M469</f>
        <v>0</v>
      </c>
      <c r="N468" s="14" t="s">
        <v>25</v>
      </c>
      <c r="O468" s="47">
        <f>O469</f>
        <v>0.48474900000000004</v>
      </c>
      <c r="P468" s="73" t="s">
        <v>25</v>
      </c>
    </row>
    <row r="469" spans="1:76" x14ac:dyDescent="0.25">
      <c r="A469" s="71" t="s">
        <v>25</v>
      </c>
      <c r="B469" s="13" t="s">
        <v>334</v>
      </c>
      <c r="C469" s="13" t="s">
        <v>259</v>
      </c>
      <c r="D469" s="135" t="s">
        <v>260</v>
      </c>
      <c r="E469" s="136"/>
      <c r="F469" s="72" t="s">
        <v>23</v>
      </c>
      <c r="G469" s="72" t="s">
        <v>23</v>
      </c>
      <c r="H469" s="72" t="s">
        <v>23</v>
      </c>
      <c r="I469" s="72" t="s">
        <v>23</v>
      </c>
      <c r="J469" s="47">
        <f>SUM(J470:J482)</f>
        <v>0</v>
      </c>
      <c r="K469" s="47">
        <f>SUM(K470:K482)</f>
        <v>0</v>
      </c>
      <c r="L469" s="47">
        <f>SUM(L470:L482)</f>
        <v>0</v>
      </c>
      <c r="M469" s="47">
        <f>SUM(M470:M482)</f>
        <v>0</v>
      </c>
      <c r="N469" s="14" t="s">
        <v>25</v>
      </c>
      <c r="O469" s="47">
        <f>SUM(O470:O482)</f>
        <v>0.48474900000000004</v>
      </c>
      <c r="P469" s="73" t="s">
        <v>25</v>
      </c>
      <c r="AI469" s="14" t="s">
        <v>334</v>
      </c>
      <c r="AS469" s="47">
        <f>SUM(AJ470:AJ482)</f>
        <v>0</v>
      </c>
      <c r="AT469" s="47">
        <f>SUM(AK470:AK482)</f>
        <v>0</v>
      </c>
      <c r="AU469" s="47">
        <f>SUM(AL470:AL482)</f>
        <v>0</v>
      </c>
    </row>
    <row r="470" spans="1:76" x14ac:dyDescent="0.25">
      <c r="A470" s="1" t="s">
        <v>1010</v>
      </c>
      <c r="B470" s="2" t="s">
        <v>334</v>
      </c>
      <c r="C470" s="2" t="s">
        <v>318</v>
      </c>
      <c r="D470" s="83" t="s">
        <v>319</v>
      </c>
      <c r="E470" s="84"/>
      <c r="F470" s="2" t="s">
        <v>31</v>
      </c>
      <c r="G470" s="17">
        <f>'Rozpočet - vybrané sloupce'!J410</f>
        <v>21</v>
      </c>
      <c r="H470" s="17">
        <f>'Rozpočet - vybrané sloupce'!K410</f>
        <v>0</v>
      </c>
      <c r="I470" s="74">
        <v>12</v>
      </c>
      <c r="J470" s="17">
        <f t="shared" ref="J470:J482" si="554">ROUND(G470*AO470,2)</f>
        <v>0</v>
      </c>
      <c r="K470" s="17">
        <f t="shared" ref="K470:K482" si="555">ROUND(G470*AP470,2)</f>
        <v>0</v>
      </c>
      <c r="L470" s="17">
        <f t="shared" ref="L470:L482" si="556">ROUND(G470*H470,2)</f>
        <v>0</v>
      </c>
      <c r="M470" s="17">
        <f t="shared" ref="M470:M482" si="557">L470*(1+BW470/100)</f>
        <v>0</v>
      </c>
      <c r="N470" s="17">
        <v>2.2599999999999999E-3</v>
      </c>
      <c r="O470" s="17">
        <f t="shared" ref="O470:O482" si="558">G470*N470</f>
        <v>4.7459999999999995E-2</v>
      </c>
      <c r="P470" s="75" t="s">
        <v>576</v>
      </c>
      <c r="Z470" s="17">
        <f t="shared" ref="Z470:Z482" si="559">ROUND(IF(AQ470="5",BJ470,0),2)</f>
        <v>0</v>
      </c>
      <c r="AB470" s="17">
        <f t="shared" ref="AB470:AB482" si="560">ROUND(IF(AQ470="1",BH470,0),2)</f>
        <v>0</v>
      </c>
      <c r="AC470" s="17">
        <f t="shared" ref="AC470:AC482" si="561">ROUND(IF(AQ470="1",BI470,0),2)</f>
        <v>0</v>
      </c>
      <c r="AD470" s="17">
        <f t="shared" ref="AD470:AD482" si="562">ROUND(IF(AQ470="7",BH470,0),2)</f>
        <v>0</v>
      </c>
      <c r="AE470" s="17">
        <f t="shared" ref="AE470:AE482" si="563">ROUND(IF(AQ470="7",BI470,0),2)</f>
        <v>0</v>
      </c>
      <c r="AF470" s="17">
        <f t="shared" ref="AF470:AF482" si="564">ROUND(IF(AQ470="2",BH470,0),2)</f>
        <v>0</v>
      </c>
      <c r="AG470" s="17">
        <f t="shared" ref="AG470:AG482" si="565">ROUND(IF(AQ470="2",BI470,0),2)</f>
        <v>0</v>
      </c>
      <c r="AH470" s="17">
        <f t="shared" ref="AH470:AH482" si="566">ROUND(IF(AQ470="0",BJ470,0),2)</f>
        <v>0</v>
      </c>
      <c r="AI470" s="14" t="s">
        <v>334</v>
      </c>
      <c r="AJ470" s="17">
        <f t="shared" ref="AJ470:AJ482" si="567">IF(AN470=0,L470,0)</f>
        <v>0</v>
      </c>
      <c r="AK470" s="17">
        <f t="shared" ref="AK470:AK482" si="568">IF(AN470=12,L470,0)</f>
        <v>0</v>
      </c>
      <c r="AL470" s="17">
        <f t="shared" ref="AL470:AL482" si="569">IF(AN470=21,L470,0)</f>
        <v>0</v>
      </c>
      <c r="AN470" s="17">
        <v>12</v>
      </c>
      <c r="AO470" s="17">
        <f>H470*0.766956522</f>
        <v>0</v>
      </c>
      <c r="AP470" s="17">
        <f>H470*(1-0.766956522)</f>
        <v>0</v>
      </c>
      <c r="AQ470" s="76" t="s">
        <v>577</v>
      </c>
      <c r="AV470" s="17">
        <f t="shared" ref="AV470:AV482" si="570">ROUND(AW470+AX470,2)</f>
        <v>0</v>
      </c>
      <c r="AW470" s="17">
        <f t="shared" ref="AW470:AW482" si="571">ROUND(G470*AO470,2)</f>
        <v>0</v>
      </c>
      <c r="AX470" s="17">
        <f t="shared" ref="AX470:AX482" si="572">ROUND(G470*AP470,2)</f>
        <v>0</v>
      </c>
      <c r="AY470" s="76" t="s">
        <v>914</v>
      </c>
      <c r="AZ470" s="76" t="s">
        <v>1011</v>
      </c>
      <c r="BA470" s="14" t="s">
        <v>1012</v>
      </c>
      <c r="BC470" s="17">
        <f t="shared" ref="BC470:BC482" si="573">AW470+AX470</f>
        <v>0</v>
      </c>
      <c r="BD470" s="17">
        <f t="shared" ref="BD470:BD482" si="574">H470/(100-BE470)*100</f>
        <v>0</v>
      </c>
      <c r="BE470" s="17">
        <v>0</v>
      </c>
      <c r="BF470" s="17">
        <f t="shared" ref="BF470:BF482" si="575">O470</f>
        <v>4.7459999999999995E-2</v>
      </c>
      <c r="BH470" s="17">
        <f t="shared" ref="BH470:BH482" si="576">G470*AO470</f>
        <v>0</v>
      </c>
      <c r="BI470" s="17">
        <f t="shared" ref="BI470:BI482" si="577">G470*AP470</f>
        <v>0</v>
      </c>
      <c r="BJ470" s="17">
        <f t="shared" ref="BJ470:BJ482" si="578">G470*H470</f>
        <v>0</v>
      </c>
      <c r="BK470" s="17"/>
      <c r="BL470" s="17">
        <v>723</v>
      </c>
      <c r="BW470" s="17">
        <f t="shared" ref="BW470:BW482" si="579">I470</f>
        <v>12</v>
      </c>
      <c r="BX470" s="4" t="s">
        <v>319</v>
      </c>
    </row>
    <row r="471" spans="1:76" x14ac:dyDescent="0.25">
      <c r="A471" s="1" t="s">
        <v>1013</v>
      </c>
      <c r="B471" s="2" t="s">
        <v>334</v>
      </c>
      <c r="C471" s="2" t="s">
        <v>320</v>
      </c>
      <c r="D471" s="83" t="s">
        <v>321</v>
      </c>
      <c r="E471" s="84"/>
      <c r="F471" s="2" t="s">
        <v>31</v>
      </c>
      <c r="G471" s="17">
        <f>'Rozpočet - vybrané sloupce'!J411</f>
        <v>21</v>
      </c>
      <c r="H471" s="17">
        <f>'Rozpočet - vybrané sloupce'!K411</f>
        <v>0</v>
      </c>
      <c r="I471" s="74">
        <v>12</v>
      </c>
      <c r="J471" s="17">
        <f t="shared" si="554"/>
        <v>0</v>
      </c>
      <c r="K471" s="17">
        <f t="shared" si="555"/>
        <v>0</v>
      </c>
      <c r="L471" s="17">
        <f t="shared" si="556"/>
        <v>0</v>
      </c>
      <c r="M471" s="17">
        <f t="shared" si="557"/>
        <v>0</v>
      </c>
      <c r="N471" s="17">
        <v>7.9000000000000001E-4</v>
      </c>
      <c r="O471" s="17">
        <f t="shared" si="558"/>
        <v>1.6590000000000001E-2</v>
      </c>
      <c r="P471" s="75" t="s">
        <v>576</v>
      </c>
      <c r="Z471" s="17">
        <f t="shared" si="559"/>
        <v>0</v>
      </c>
      <c r="AB471" s="17">
        <f t="shared" si="560"/>
        <v>0</v>
      </c>
      <c r="AC471" s="17">
        <f t="shared" si="561"/>
        <v>0</v>
      </c>
      <c r="AD471" s="17">
        <f t="shared" si="562"/>
        <v>0</v>
      </c>
      <c r="AE471" s="17">
        <f t="shared" si="563"/>
        <v>0</v>
      </c>
      <c r="AF471" s="17">
        <f t="shared" si="564"/>
        <v>0</v>
      </c>
      <c r="AG471" s="17">
        <f t="shared" si="565"/>
        <v>0</v>
      </c>
      <c r="AH471" s="17">
        <f t="shared" si="566"/>
        <v>0</v>
      </c>
      <c r="AI471" s="14" t="s">
        <v>334</v>
      </c>
      <c r="AJ471" s="17">
        <f t="shared" si="567"/>
        <v>0</v>
      </c>
      <c r="AK471" s="17">
        <f t="shared" si="568"/>
        <v>0</v>
      </c>
      <c r="AL471" s="17">
        <f t="shared" si="569"/>
        <v>0</v>
      </c>
      <c r="AN471" s="17">
        <v>12</v>
      </c>
      <c r="AO471" s="17">
        <f>H471*0.600590476</f>
        <v>0</v>
      </c>
      <c r="AP471" s="17">
        <f>H471*(1-0.600590476)</f>
        <v>0</v>
      </c>
      <c r="AQ471" s="76" t="s">
        <v>577</v>
      </c>
      <c r="AV471" s="17">
        <f t="shared" si="570"/>
        <v>0</v>
      </c>
      <c r="AW471" s="17">
        <f t="shared" si="571"/>
        <v>0</v>
      </c>
      <c r="AX471" s="17">
        <f t="shared" si="572"/>
        <v>0</v>
      </c>
      <c r="AY471" s="76" t="s">
        <v>914</v>
      </c>
      <c r="AZ471" s="76" t="s">
        <v>1011</v>
      </c>
      <c r="BA471" s="14" t="s">
        <v>1012</v>
      </c>
      <c r="BC471" s="17">
        <f t="shared" si="573"/>
        <v>0</v>
      </c>
      <c r="BD471" s="17">
        <f t="shared" si="574"/>
        <v>0</v>
      </c>
      <c r="BE471" s="17">
        <v>0</v>
      </c>
      <c r="BF471" s="17">
        <f t="shared" si="575"/>
        <v>1.6590000000000001E-2</v>
      </c>
      <c r="BH471" s="17">
        <f t="shared" si="576"/>
        <v>0</v>
      </c>
      <c r="BI471" s="17">
        <f t="shared" si="577"/>
        <v>0</v>
      </c>
      <c r="BJ471" s="17">
        <f t="shared" si="578"/>
        <v>0</v>
      </c>
      <c r="BK471" s="17"/>
      <c r="BL471" s="17">
        <v>723</v>
      </c>
      <c r="BW471" s="17">
        <f t="shared" si="579"/>
        <v>12</v>
      </c>
      <c r="BX471" s="4" t="s">
        <v>321</v>
      </c>
    </row>
    <row r="472" spans="1:76" x14ac:dyDescent="0.25">
      <c r="A472" s="1" t="s">
        <v>1014</v>
      </c>
      <c r="B472" s="2" t="s">
        <v>334</v>
      </c>
      <c r="C472" s="2" t="s">
        <v>322</v>
      </c>
      <c r="D472" s="83" t="s">
        <v>323</v>
      </c>
      <c r="E472" s="84"/>
      <c r="F472" s="2" t="s">
        <v>31</v>
      </c>
      <c r="G472" s="17">
        <f>'Rozpočet - vybrané sloupce'!J412</f>
        <v>0.9</v>
      </c>
      <c r="H472" s="17">
        <f>'Rozpočet - vybrané sloupce'!K412</f>
        <v>0</v>
      </c>
      <c r="I472" s="74">
        <v>12</v>
      </c>
      <c r="J472" s="17">
        <f t="shared" si="554"/>
        <v>0</v>
      </c>
      <c r="K472" s="17">
        <f t="shared" si="555"/>
        <v>0</v>
      </c>
      <c r="L472" s="17">
        <f t="shared" si="556"/>
        <v>0</v>
      </c>
      <c r="M472" s="17">
        <f t="shared" si="557"/>
        <v>0</v>
      </c>
      <c r="N472" s="17">
        <v>9.1E-4</v>
      </c>
      <c r="O472" s="17">
        <f t="shared" si="558"/>
        <v>8.1900000000000007E-4</v>
      </c>
      <c r="P472" s="75" t="s">
        <v>576</v>
      </c>
      <c r="Z472" s="17">
        <f t="shared" si="559"/>
        <v>0</v>
      </c>
      <c r="AB472" s="17">
        <f t="shared" si="560"/>
        <v>0</v>
      </c>
      <c r="AC472" s="17">
        <f t="shared" si="561"/>
        <v>0</v>
      </c>
      <c r="AD472" s="17">
        <f t="shared" si="562"/>
        <v>0</v>
      </c>
      <c r="AE472" s="17">
        <f t="shared" si="563"/>
        <v>0</v>
      </c>
      <c r="AF472" s="17">
        <f t="shared" si="564"/>
        <v>0</v>
      </c>
      <c r="AG472" s="17">
        <f t="shared" si="565"/>
        <v>0</v>
      </c>
      <c r="AH472" s="17">
        <f t="shared" si="566"/>
        <v>0</v>
      </c>
      <c r="AI472" s="14" t="s">
        <v>334</v>
      </c>
      <c r="AJ472" s="17">
        <f t="shared" si="567"/>
        <v>0</v>
      </c>
      <c r="AK472" s="17">
        <f t="shared" si="568"/>
        <v>0</v>
      </c>
      <c r="AL472" s="17">
        <f t="shared" si="569"/>
        <v>0</v>
      </c>
      <c r="AN472" s="17">
        <v>12</v>
      </c>
      <c r="AO472" s="17">
        <f>H472*0.648496241</f>
        <v>0</v>
      </c>
      <c r="AP472" s="17">
        <f>H472*(1-0.648496241)</f>
        <v>0</v>
      </c>
      <c r="AQ472" s="76" t="s">
        <v>577</v>
      </c>
      <c r="AV472" s="17">
        <f t="shared" si="570"/>
        <v>0</v>
      </c>
      <c r="AW472" s="17">
        <f t="shared" si="571"/>
        <v>0</v>
      </c>
      <c r="AX472" s="17">
        <f t="shared" si="572"/>
        <v>0</v>
      </c>
      <c r="AY472" s="76" t="s">
        <v>914</v>
      </c>
      <c r="AZ472" s="76" t="s">
        <v>1011</v>
      </c>
      <c r="BA472" s="14" t="s">
        <v>1012</v>
      </c>
      <c r="BC472" s="17">
        <f t="shared" si="573"/>
        <v>0</v>
      </c>
      <c r="BD472" s="17">
        <f t="shared" si="574"/>
        <v>0</v>
      </c>
      <c r="BE472" s="17">
        <v>0</v>
      </c>
      <c r="BF472" s="17">
        <f t="shared" si="575"/>
        <v>8.1900000000000007E-4</v>
      </c>
      <c r="BH472" s="17">
        <f t="shared" si="576"/>
        <v>0</v>
      </c>
      <c r="BI472" s="17">
        <f t="shared" si="577"/>
        <v>0</v>
      </c>
      <c r="BJ472" s="17">
        <f t="shared" si="578"/>
        <v>0</v>
      </c>
      <c r="BK472" s="17"/>
      <c r="BL472" s="17">
        <v>723</v>
      </c>
      <c r="BW472" s="17">
        <f t="shared" si="579"/>
        <v>12</v>
      </c>
      <c r="BX472" s="4" t="s">
        <v>323</v>
      </c>
    </row>
    <row r="473" spans="1:76" x14ac:dyDescent="0.25">
      <c r="A473" s="1" t="s">
        <v>1015</v>
      </c>
      <c r="B473" s="2" t="s">
        <v>334</v>
      </c>
      <c r="C473" s="2" t="s">
        <v>324</v>
      </c>
      <c r="D473" s="83" t="s">
        <v>325</v>
      </c>
      <c r="E473" s="84"/>
      <c r="F473" s="2" t="s">
        <v>35</v>
      </c>
      <c r="G473" s="17">
        <f>'Rozpočet - vybrané sloupce'!J413</f>
        <v>6</v>
      </c>
      <c r="H473" s="17">
        <f>'Rozpočet - vybrané sloupce'!K413</f>
        <v>0</v>
      </c>
      <c r="I473" s="74">
        <v>12</v>
      </c>
      <c r="J473" s="17">
        <f t="shared" si="554"/>
        <v>0</v>
      </c>
      <c r="K473" s="17">
        <f t="shared" si="555"/>
        <v>0</v>
      </c>
      <c r="L473" s="17">
        <f t="shared" si="556"/>
        <v>0</v>
      </c>
      <c r="M473" s="17">
        <f t="shared" si="557"/>
        <v>0</v>
      </c>
      <c r="N473" s="17">
        <v>9.3000000000000005E-4</v>
      </c>
      <c r="O473" s="17">
        <f t="shared" si="558"/>
        <v>5.5799999999999999E-3</v>
      </c>
      <c r="P473" s="75" t="s">
        <v>576</v>
      </c>
      <c r="Z473" s="17">
        <f t="shared" si="559"/>
        <v>0</v>
      </c>
      <c r="AB473" s="17">
        <f t="shared" si="560"/>
        <v>0</v>
      </c>
      <c r="AC473" s="17">
        <f t="shared" si="561"/>
        <v>0</v>
      </c>
      <c r="AD473" s="17">
        <f t="shared" si="562"/>
        <v>0</v>
      </c>
      <c r="AE473" s="17">
        <f t="shared" si="563"/>
        <v>0</v>
      </c>
      <c r="AF473" s="17">
        <f t="shared" si="564"/>
        <v>0</v>
      </c>
      <c r="AG473" s="17">
        <f t="shared" si="565"/>
        <v>0</v>
      </c>
      <c r="AH473" s="17">
        <f t="shared" si="566"/>
        <v>0</v>
      </c>
      <c r="AI473" s="14" t="s">
        <v>334</v>
      </c>
      <c r="AJ473" s="17">
        <f t="shared" si="567"/>
        <v>0</v>
      </c>
      <c r="AK473" s="17">
        <f t="shared" si="568"/>
        <v>0</v>
      </c>
      <c r="AL473" s="17">
        <f t="shared" si="569"/>
        <v>0</v>
      </c>
      <c r="AN473" s="17">
        <v>12</v>
      </c>
      <c r="AO473" s="17">
        <f>H473*0.373567625</f>
        <v>0</v>
      </c>
      <c r="AP473" s="17">
        <f>H473*(1-0.373567625)</f>
        <v>0</v>
      </c>
      <c r="AQ473" s="76" t="s">
        <v>577</v>
      </c>
      <c r="AV473" s="17">
        <f t="shared" si="570"/>
        <v>0</v>
      </c>
      <c r="AW473" s="17">
        <f t="shared" si="571"/>
        <v>0</v>
      </c>
      <c r="AX473" s="17">
        <f t="shared" si="572"/>
        <v>0</v>
      </c>
      <c r="AY473" s="76" t="s">
        <v>914</v>
      </c>
      <c r="AZ473" s="76" t="s">
        <v>1011</v>
      </c>
      <c r="BA473" s="14" t="s">
        <v>1012</v>
      </c>
      <c r="BC473" s="17">
        <f t="shared" si="573"/>
        <v>0</v>
      </c>
      <c r="BD473" s="17">
        <f t="shared" si="574"/>
        <v>0</v>
      </c>
      <c r="BE473" s="17">
        <v>0</v>
      </c>
      <c r="BF473" s="17">
        <f t="shared" si="575"/>
        <v>5.5799999999999999E-3</v>
      </c>
      <c r="BH473" s="17">
        <f t="shared" si="576"/>
        <v>0</v>
      </c>
      <c r="BI473" s="17">
        <f t="shared" si="577"/>
        <v>0</v>
      </c>
      <c r="BJ473" s="17">
        <f t="shared" si="578"/>
        <v>0</v>
      </c>
      <c r="BK473" s="17"/>
      <c r="BL473" s="17">
        <v>723</v>
      </c>
      <c r="BW473" s="17">
        <f t="shared" si="579"/>
        <v>12</v>
      </c>
      <c r="BX473" s="4" t="s">
        <v>325</v>
      </c>
    </row>
    <row r="474" spans="1:76" x14ac:dyDescent="0.25">
      <c r="A474" s="1" t="s">
        <v>1016</v>
      </c>
      <c r="B474" s="2" t="s">
        <v>334</v>
      </c>
      <c r="C474" s="2" t="s">
        <v>277</v>
      </c>
      <c r="D474" s="83" t="s">
        <v>278</v>
      </c>
      <c r="E474" s="84"/>
      <c r="F474" s="2" t="s">
        <v>35</v>
      </c>
      <c r="G474" s="17">
        <f>'Rozpočet - vybrané sloupce'!J414</f>
        <v>6</v>
      </c>
      <c r="H474" s="17">
        <f>'Rozpočet - vybrané sloupce'!K414</f>
        <v>0</v>
      </c>
      <c r="I474" s="74">
        <v>12</v>
      </c>
      <c r="J474" s="17">
        <f t="shared" si="554"/>
        <v>0</v>
      </c>
      <c r="K474" s="17">
        <f t="shared" si="555"/>
        <v>0</v>
      </c>
      <c r="L474" s="17">
        <f t="shared" si="556"/>
        <v>0</v>
      </c>
      <c r="M474" s="17">
        <f t="shared" si="557"/>
        <v>0</v>
      </c>
      <c r="N474" s="17">
        <v>0</v>
      </c>
      <c r="O474" s="17">
        <f t="shared" si="558"/>
        <v>0</v>
      </c>
      <c r="P474" s="75" t="s">
        <v>576</v>
      </c>
      <c r="Z474" s="17">
        <f t="shared" si="559"/>
        <v>0</v>
      </c>
      <c r="AB474" s="17">
        <f t="shared" si="560"/>
        <v>0</v>
      </c>
      <c r="AC474" s="17">
        <f t="shared" si="561"/>
        <v>0</v>
      </c>
      <c r="AD474" s="17">
        <f t="shared" si="562"/>
        <v>0</v>
      </c>
      <c r="AE474" s="17">
        <f t="shared" si="563"/>
        <v>0</v>
      </c>
      <c r="AF474" s="17">
        <f t="shared" si="564"/>
        <v>0</v>
      </c>
      <c r="AG474" s="17">
        <f t="shared" si="565"/>
        <v>0</v>
      </c>
      <c r="AH474" s="17">
        <f t="shared" si="566"/>
        <v>0</v>
      </c>
      <c r="AI474" s="14" t="s">
        <v>334</v>
      </c>
      <c r="AJ474" s="17">
        <f t="shared" si="567"/>
        <v>0</v>
      </c>
      <c r="AK474" s="17">
        <f t="shared" si="568"/>
        <v>0</v>
      </c>
      <c r="AL474" s="17">
        <f t="shared" si="569"/>
        <v>0</v>
      </c>
      <c r="AN474" s="17">
        <v>12</v>
      </c>
      <c r="AO474" s="17">
        <f>H474*0</f>
        <v>0</v>
      </c>
      <c r="AP474" s="17">
        <f>H474*(1-0)</f>
        <v>0</v>
      </c>
      <c r="AQ474" s="76" t="s">
        <v>577</v>
      </c>
      <c r="AV474" s="17">
        <f t="shared" si="570"/>
        <v>0</v>
      </c>
      <c r="AW474" s="17">
        <f t="shared" si="571"/>
        <v>0</v>
      </c>
      <c r="AX474" s="17">
        <f t="shared" si="572"/>
        <v>0</v>
      </c>
      <c r="AY474" s="76" t="s">
        <v>914</v>
      </c>
      <c r="AZ474" s="76" t="s">
        <v>1011</v>
      </c>
      <c r="BA474" s="14" t="s">
        <v>1012</v>
      </c>
      <c r="BC474" s="17">
        <f t="shared" si="573"/>
        <v>0</v>
      </c>
      <c r="BD474" s="17">
        <f t="shared" si="574"/>
        <v>0</v>
      </c>
      <c r="BE474" s="17">
        <v>0</v>
      </c>
      <c r="BF474" s="17">
        <f t="shared" si="575"/>
        <v>0</v>
      </c>
      <c r="BH474" s="17">
        <f t="shared" si="576"/>
        <v>0</v>
      </c>
      <c r="BI474" s="17">
        <f t="shared" si="577"/>
        <v>0</v>
      </c>
      <c r="BJ474" s="17">
        <f t="shared" si="578"/>
        <v>0</v>
      </c>
      <c r="BK474" s="17"/>
      <c r="BL474" s="17">
        <v>723</v>
      </c>
      <c r="BW474" s="17">
        <f t="shared" si="579"/>
        <v>12</v>
      </c>
      <c r="BX474" s="4" t="s">
        <v>278</v>
      </c>
    </row>
    <row r="475" spans="1:76" x14ac:dyDescent="0.25">
      <c r="A475" s="1" t="s">
        <v>1017</v>
      </c>
      <c r="B475" s="2" t="s">
        <v>334</v>
      </c>
      <c r="C475" s="2" t="s">
        <v>275</v>
      </c>
      <c r="D475" s="83" t="s">
        <v>276</v>
      </c>
      <c r="E475" s="84"/>
      <c r="F475" s="2" t="s">
        <v>31</v>
      </c>
      <c r="G475" s="17">
        <f>'Rozpočet - vybrané sloupce'!J415</f>
        <v>21</v>
      </c>
      <c r="H475" s="17">
        <f>'Rozpočet - vybrané sloupce'!K415</f>
        <v>0</v>
      </c>
      <c r="I475" s="74">
        <v>12</v>
      </c>
      <c r="J475" s="17">
        <f t="shared" si="554"/>
        <v>0</v>
      </c>
      <c r="K475" s="17">
        <f t="shared" si="555"/>
        <v>0</v>
      </c>
      <c r="L475" s="17">
        <f t="shared" si="556"/>
        <v>0</v>
      </c>
      <c r="M475" s="17">
        <f t="shared" si="557"/>
        <v>0</v>
      </c>
      <c r="N475" s="17">
        <v>0</v>
      </c>
      <c r="O475" s="17">
        <f t="shared" si="558"/>
        <v>0</v>
      </c>
      <c r="P475" s="75" t="s">
        <v>576</v>
      </c>
      <c r="Z475" s="17">
        <f t="shared" si="559"/>
        <v>0</v>
      </c>
      <c r="AB475" s="17">
        <f t="shared" si="560"/>
        <v>0</v>
      </c>
      <c r="AC475" s="17">
        <f t="shared" si="561"/>
        <v>0</v>
      </c>
      <c r="AD475" s="17">
        <f t="shared" si="562"/>
        <v>0</v>
      </c>
      <c r="AE475" s="17">
        <f t="shared" si="563"/>
        <v>0</v>
      </c>
      <c r="AF475" s="17">
        <f t="shared" si="564"/>
        <v>0</v>
      </c>
      <c r="AG475" s="17">
        <f t="shared" si="565"/>
        <v>0</v>
      </c>
      <c r="AH475" s="17">
        <f t="shared" si="566"/>
        <v>0</v>
      </c>
      <c r="AI475" s="14" t="s">
        <v>334</v>
      </c>
      <c r="AJ475" s="17">
        <f t="shared" si="567"/>
        <v>0</v>
      </c>
      <c r="AK475" s="17">
        <f t="shared" si="568"/>
        <v>0</v>
      </c>
      <c r="AL475" s="17">
        <f t="shared" si="569"/>
        <v>0</v>
      </c>
      <c r="AN475" s="17">
        <v>12</v>
      </c>
      <c r="AO475" s="17">
        <f>H475*0</f>
        <v>0</v>
      </c>
      <c r="AP475" s="17">
        <f>H475*(1-0)</f>
        <v>0</v>
      </c>
      <c r="AQ475" s="76" t="s">
        <v>577</v>
      </c>
      <c r="AV475" s="17">
        <f t="shared" si="570"/>
        <v>0</v>
      </c>
      <c r="AW475" s="17">
        <f t="shared" si="571"/>
        <v>0</v>
      </c>
      <c r="AX475" s="17">
        <f t="shared" si="572"/>
        <v>0</v>
      </c>
      <c r="AY475" s="76" t="s">
        <v>914</v>
      </c>
      <c r="AZ475" s="76" t="s">
        <v>1011</v>
      </c>
      <c r="BA475" s="14" t="s">
        <v>1012</v>
      </c>
      <c r="BC475" s="17">
        <f t="shared" si="573"/>
        <v>0</v>
      </c>
      <c r="BD475" s="17">
        <f t="shared" si="574"/>
        <v>0</v>
      </c>
      <c r="BE475" s="17">
        <v>0</v>
      </c>
      <c r="BF475" s="17">
        <f t="shared" si="575"/>
        <v>0</v>
      </c>
      <c r="BH475" s="17">
        <f t="shared" si="576"/>
        <v>0</v>
      </c>
      <c r="BI475" s="17">
        <f t="shared" si="577"/>
        <v>0</v>
      </c>
      <c r="BJ475" s="17">
        <f t="shared" si="578"/>
        <v>0</v>
      </c>
      <c r="BK475" s="17"/>
      <c r="BL475" s="17">
        <v>723</v>
      </c>
      <c r="BW475" s="17">
        <f t="shared" si="579"/>
        <v>12</v>
      </c>
      <c r="BX475" s="4" t="s">
        <v>276</v>
      </c>
    </row>
    <row r="476" spans="1:76" x14ac:dyDescent="0.25">
      <c r="A476" s="1" t="s">
        <v>1018</v>
      </c>
      <c r="B476" s="2" t="s">
        <v>334</v>
      </c>
      <c r="C476" s="2" t="s">
        <v>279</v>
      </c>
      <c r="D476" s="83" t="s">
        <v>280</v>
      </c>
      <c r="E476" s="84"/>
      <c r="F476" s="2" t="s">
        <v>35</v>
      </c>
      <c r="G476" s="17">
        <f>'Rozpočet - vybrané sloupce'!J416</f>
        <v>6</v>
      </c>
      <c r="H476" s="17">
        <f>'Rozpočet - vybrané sloupce'!K416</f>
        <v>0</v>
      </c>
      <c r="I476" s="74">
        <v>12</v>
      </c>
      <c r="J476" s="17">
        <f t="shared" si="554"/>
        <v>0</v>
      </c>
      <c r="K476" s="17">
        <f t="shared" si="555"/>
        <v>0</v>
      </c>
      <c r="L476" s="17">
        <f t="shared" si="556"/>
        <v>0</v>
      </c>
      <c r="M476" s="17">
        <f t="shared" si="557"/>
        <v>0</v>
      </c>
      <c r="N476" s="17">
        <v>0</v>
      </c>
      <c r="O476" s="17">
        <f t="shared" si="558"/>
        <v>0</v>
      </c>
      <c r="P476" s="75" t="s">
        <v>576</v>
      </c>
      <c r="Z476" s="17">
        <f t="shared" si="559"/>
        <v>0</v>
      </c>
      <c r="AB476" s="17">
        <f t="shared" si="560"/>
        <v>0</v>
      </c>
      <c r="AC476" s="17">
        <f t="shared" si="561"/>
        <v>0</v>
      </c>
      <c r="AD476" s="17">
        <f t="shared" si="562"/>
        <v>0</v>
      </c>
      <c r="AE476" s="17">
        <f t="shared" si="563"/>
        <v>0</v>
      </c>
      <c r="AF476" s="17">
        <f t="shared" si="564"/>
        <v>0</v>
      </c>
      <c r="AG476" s="17">
        <f t="shared" si="565"/>
        <v>0</v>
      </c>
      <c r="AH476" s="17">
        <f t="shared" si="566"/>
        <v>0</v>
      </c>
      <c r="AI476" s="14" t="s">
        <v>334</v>
      </c>
      <c r="AJ476" s="17">
        <f t="shared" si="567"/>
        <v>0</v>
      </c>
      <c r="AK476" s="17">
        <f t="shared" si="568"/>
        <v>0</v>
      </c>
      <c r="AL476" s="17">
        <f t="shared" si="569"/>
        <v>0</v>
      </c>
      <c r="AN476" s="17">
        <v>12</v>
      </c>
      <c r="AO476" s="17">
        <f>H476*0</f>
        <v>0</v>
      </c>
      <c r="AP476" s="17">
        <f>H476*(1-0)</f>
        <v>0</v>
      </c>
      <c r="AQ476" s="76" t="s">
        <v>577</v>
      </c>
      <c r="AV476" s="17">
        <f t="shared" si="570"/>
        <v>0</v>
      </c>
      <c r="AW476" s="17">
        <f t="shared" si="571"/>
        <v>0</v>
      </c>
      <c r="AX476" s="17">
        <f t="shared" si="572"/>
        <v>0</v>
      </c>
      <c r="AY476" s="76" t="s">
        <v>914</v>
      </c>
      <c r="AZ476" s="76" t="s">
        <v>1011</v>
      </c>
      <c r="BA476" s="14" t="s">
        <v>1012</v>
      </c>
      <c r="BC476" s="17">
        <f t="shared" si="573"/>
        <v>0</v>
      </c>
      <c r="BD476" s="17">
        <f t="shared" si="574"/>
        <v>0</v>
      </c>
      <c r="BE476" s="17">
        <v>0</v>
      </c>
      <c r="BF476" s="17">
        <f t="shared" si="575"/>
        <v>0</v>
      </c>
      <c r="BH476" s="17">
        <f t="shared" si="576"/>
        <v>0</v>
      </c>
      <c r="BI476" s="17">
        <f t="shared" si="577"/>
        <v>0</v>
      </c>
      <c r="BJ476" s="17">
        <f t="shared" si="578"/>
        <v>0</v>
      </c>
      <c r="BK476" s="17"/>
      <c r="BL476" s="17">
        <v>723</v>
      </c>
      <c r="BW476" s="17">
        <f t="shared" si="579"/>
        <v>12</v>
      </c>
      <c r="BX476" s="4" t="s">
        <v>280</v>
      </c>
    </row>
    <row r="477" spans="1:76" x14ac:dyDescent="0.25">
      <c r="A477" s="1" t="s">
        <v>1019</v>
      </c>
      <c r="B477" s="2" t="s">
        <v>334</v>
      </c>
      <c r="C477" s="2" t="s">
        <v>326</v>
      </c>
      <c r="D477" s="83" t="s">
        <v>327</v>
      </c>
      <c r="E477" s="84"/>
      <c r="F477" s="2" t="s">
        <v>40</v>
      </c>
      <c r="G477" s="17">
        <f>'Rozpočet - vybrané sloupce'!J417</f>
        <v>6</v>
      </c>
      <c r="H477" s="17">
        <f>'Rozpočet - vybrané sloupce'!K417</f>
        <v>0</v>
      </c>
      <c r="I477" s="74">
        <v>12</v>
      </c>
      <c r="J477" s="17">
        <f t="shared" si="554"/>
        <v>0</v>
      </c>
      <c r="K477" s="17">
        <f t="shared" si="555"/>
        <v>0</v>
      </c>
      <c r="L477" s="17">
        <f t="shared" si="556"/>
        <v>0</v>
      </c>
      <c r="M477" s="17">
        <f t="shared" si="557"/>
        <v>0</v>
      </c>
      <c r="N477" s="17">
        <v>6.7000000000000004E-2</v>
      </c>
      <c r="O477" s="17">
        <f t="shared" si="558"/>
        <v>0.40200000000000002</v>
      </c>
      <c r="P477" s="75" t="s">
        <v>576</v>
      </c>
      <c r="Z477" s="17">
        <f t="shared" si="559"/>
        <v>0</v>
      </c>
      <c r="AB477" s="17">
        <f t="shared" si="560"/>
        <v>0</v>
      </c>
      <c r="AC477" s="17">
        <f t="shared" si="561"/>
        <v>0</v>
      </c>
      <c r="AD477" s="17">
        <f t="shared" si="562"/>
        <v>0</v>
      </c>
      <c r="AE477" s="17">
        <f t="shared" si="563"/>
        <v>0</v>
      </c>
      <c r="AF477" s="17">
        <f t="shared" si="564"/>
        <v>0</v>
      </c>
      <c r="AG477" s="17">
        <f t="shared" si="565"/>
        <v>0</v>
      </c>
      <c r="AH477" s="17">
        <f t="shared" si="566"/>
        <v>0</v>
      </c>
      <c r="AI477" s="14" t="s">
        <v>334</v>
      </c>
      <c r="AJ477" s="17">
        <f t="shared" si="567"/>
        <v>0</v>
      </c>
      <c r="AK477" s="17">
        <f t="shared" si="568"/>
        <v>0</v>
      </c>
      <c r="AL477" s="17">
        <f t="shared" si="569"/>
        <v>0</v>
      </c>
      <c r="AN477" s="17">
        <v>12</v>
      </c>
      <c r="AO477" s="17">
        <f>H477*0</f>
        <v>0</v>
      </c>
      <c r="AP477" s="17">
        <f>H477*(1-0)</f>
        <v>0</v>
      </c>
      <c r="AQ477" s="76" t="s">
        <v>577</v>
      </c>
      <c r="AV477" s="17">
        <f t="shared" si="570"/>
        <v>0</v>
      </c>
      <c r="AW477" s="17">
        <f t="shared" si="571"/>
        <v>0</v>
      </c>
      <c r="AX477" s="17">
        <f t="shared" si="572"/>
        <v>0</v>
      </c>
      <c r="AY477" s="76" t="s">
        <v>914</v>
      </c>
      <c r="AZ477" s="76" t="s">
        <v>1011</v>
      </c>
      <c r="BA477" s="14" t="s">
        <v>1012</v>
      </c>
      <c r="BC477" s="17">
        <f t="shared" si="573"/>
        <v>0</v>
      </c>
      <c r="BD477" s="17">
        <f t="shared" si="574"/>
        <v>0</v>
      </c>
      <c r="BE477" s="17">
        <v>0</v>
      </c>
      <c r="BF477" s="17">
        <f t="shared" si="575"/>
        <v>0.40200000000000002</v>
      </c>
      <c r="BH477" s="17">
        <f t="shared" si="576"/>
        <v>0</v>
      </c>
      <c r="BI477" s="17">
        <f t="shared" si="577"/>
        <v>0</v>
      </c>
      <c r="BJ477" s="17">
        <f t="shared" si="578"/>
        <v>0</v>
      </c>
      <c r="BK477" s="17"/>
      <c r="BL477" s="17">
        <v>723</v>
      </c>
      <c r="BW477" s="17">
        <f t="shared" si="579"/>
        <v>12</v>
      </c>
      <c r="BX477" s="4" t="s">
        <v>327</v>
      </c>
    </row>
    <row r="478" spans="1:76" x14ac:dyDescent="0.25">
      <c r="A478" s="1" t="s">
        <v>1020</v>
      </c>
      <c r="B478" s="2" t="s">
        <v>334</v>
      </c>
      <c r="C478" s="2" t="s">
        <v>328</v>
      </c>
      <c r="D478" s="83" t="s">
        <v>329</v>
      </c>
      <c r="E478" s="84"/>
      <c r="F478" s="2" t="s">
        <v>35</v>
      </c>
      <c r="G478" s="17">
        <f>'Rozpočet - vybrané sloupce'!J418</f>
        <v>6</v>
      </c>
      <c r="H478" s="17">
        <f>'Rozpočet - vybrané sloupce'!K418</f>
        <v>0</v>
      </c>
      <c r="I478" s="74">
        <v>12</v>
      </c>
      <c r="J478" s="17">
        <f t="shared" si="554"/>
        <v>0</v>
      </c>
      <c r="K478" s="17">
        <f t="shared" si="555"/>
        <v>0</v>
      </c>
      <c r="L478" s="17">
        <f t="shared" si="556"/>
        <v>0</v>
      </c>
      <c r="M478" s="17">
        <f t="shared" si="557"/>
        <v>0</v>
      </c>
      <c r="N478" s="17">
        <v>5.0000000000000002E-5</v>
      </c>
      <c r="O478" s="17">
        <f t="shared" si="558"/>
        <v>3.0000000000000003E-4</v>
      </c>
      <c r="P478" s="75" t="s">
        <v>576</v>
      </c>
      <c r="Z478" s="17">
        <f t="shared" si="559"/>
        <v>0</v>
      </c>
      <c r="AB478" s="17">
        <f t="shared" si="560"/>
        <v>0</v>
      </c>
      <c r="AC478" s="17">
        <f t="shared" si="561"/>
        <v>0</v>
      </c>
      <c r="AD478" s="17">
        <f t="shared" si="562"/>
        <v>0</v>
      </c>
      <c r="AE478" s="17">
        <f t="shared" si="563"/>
        <v>0</v>
      </c>
      <c r="AF478" s="17">
        <f t="shared" si="564"/>
        <v>0</v>
      </c>
      <c r="AG478" s="17">
        <f t="shared" si="565"/>
        <v>0</v>
      </c>
      <c r="AH478" s="17">
        <f t="shared" si="566"/>
        <v>0</v>
      </c>
      <c r="AI478" s="14" t="s">
        <v>334</v>
      </c>
      <c r="AJ478" s="17">
        <f t="shared" si="567"/>
        <v>0</v>
      </c>
      <c r="AK478" s="17">
        <f t="shared" si="568"/>
        <v>0</v>
      </c>
      <c r="AL478" s="17">
        <f t="shared" si="569"/>
        <v>0</v>
      </c>
      <c r="AN478" s="17">
        <v>12</v>
      </c>
      <c r="AO478" s="17">
        <f>H478*0.039516129</f>
        <v>0</v>
      </c>
      <c r="AP478" s="17">
        <f>H478*(1-0.039516129)</f>
        <v>0</v>
      </c>
      <c r="AQ478" s="76" t="s">
        <v>577</v>
      </c>
      <c r="AV478" s="17">
        <f t="shared" si="570"/>
        <v>0</v>
      </c>
      <c r="AW478" s="17">
        <f t="shared" si="571"/>
        <v>0</v>
      </c>
      <c r="AX478" s="17">
        <f t="shared" si="572"/>
        <v>0</v>
      </c>
      <c r="AY478" s="76" t="s">
        <v>914</v>
      </c>
      <c r="AZ478" s="76" t="s">
        <v>1011</v>
      </c>
      <c r="BA478" s="14" t="s">
        <v>1012</v>
      </c>
      <c r="BC478" s="17">
        <f t="shared" si="573"/>
        <v>0</v>
      </c>
      <c r="BD478" s="17">
        <f t="shared" si="574"/>
        <v>0</v>
      </c>
      <c r="BE478" s="17">
        <v>0</v>
      </c>
      <c r="BF478" s="17">
        <f t="shared" si="575"/>
        <v>3.0000000000000003E-4</v>
      </c>
      <c r="BH478" s="17">
        <f t="shared" si="576"/>
        <v>0</v>
      </c>
      <c r="BI478" s="17">
        <f t="shared" si="577"/>
        <v>0</v>
      </c>
      <c r="BJ478" s="17">
        <f t="shared" si="578"/>
        <v>0</v>
      </c>
      <c r="BK478" s="17"/>
      <c r="BL478" s="17">
        <v>723</v>
      </c>
      <c r="BW478" s="17">
        <f t="shared" si="579"/>
        <v>12</v>
      </c>
      <c r="BX478" s="4" t="s">
        <v>329</v>
      </c>
    </row>
    <row r="479" spans="1:76" x14ac:dyDescent="0.25">
      <c r="A479" s="1" t="s">
        <v>1021</v>
      </c>
      <c r="B479" s="2" t="s">
        <v>334</v>
      </c>
      <c r="C479" s="2" t="s">
        <v>330</v>
      </c>
      <c r="D479" s="83" t="s">
        <v>331</v>
      </c>
      <c r="E479" s="84"/>
      <c r="F479" s="2" t="s">
        <v>40</v>
      </c>
      <c r="G479" s="17">
        <f>'Rozpočet - vybrané sloupce'!J419</f>
        <v>6</v>
      </c>
      <c r="H479" s="17">
        <f>'Rozpočet - vybrané sloupce'!K419</f>
        <v>0</v>
      </c>
      <c r="I479" s="74">
        <v>12</v>
      </c>
      <c r="J479" s="17">
        <f t="shared" si="554"/>
        <v>0</v>
      </c>
      <c r="K479" s="17">
        <f t="shared" si="555"/>
        <v>0</v>
      </c>
      <c r="L479" s="17">
        <f t="shared" si="556"/>
        <v>0</v>
      </c>
      <c r="M479" s="17">
        <f t="shared" si="557"/>
        <v>0</v>
      </c>
      <c r="N479" s="17">
        <v>2E-3</v>
      </c>
      <c r="O479" s="17">
        <f t="shared" si="558"/>
        <v>1.2E-2</v>
      </c>
      <c r="P479" s="75" t="s">
        <v>576</v>
      </c>
      <c r="Z479" s="17">
        <f t="shared" si="559"/>
        <v>0</v>
      </c>
      <c r="AB479" s="17">
        <f t="shared" si="560"/>
        <v>0</v>
      </c>
      <c r="AC479" s="17">
        <f t="shared" si="561"/>
        <v>0</v>
      </c>
      <c r="AD479" s="17">
        <f t="shared" si="562"/>
        <v>0</v>
      </c>
      <c r="AE479" s="17">
        <f t="shared" si="563"/>
        <v>0</v>
      </c>
      <c r="AF479" s="17">
        <f t="shared" si="564"/>
        <v>0</v>
      </c>
      <c r="AG479" s="17">
        <f t="shared" si="565"/>
        <v>0</v>
      </c>
      <c r="AH479" s="17">
        <f t="shared" si="566"/>
        <v>0</v>
      </c>
      <c r="AI479" s="14" t="s">
        <v>334</v>
      </c>
      <c r="AJ479" s="17">
        <f t="shared" si="567"/>
        <v>0</v>
      </c>
      <c r="AK479" s="17">
        <f t="shared" si="568"/>
        <v>0</v>
      </c>
      <c r="AL479" s="17">
        <f t="shared" si="569"/>
        <v>0</v>
      </c>
      <c r="AN479" s="17">
        <v>12</v>
      </c>
      <c r="AO479" s="17">
        <f>H479*1</f>
        <v>0</v>
      </c>
      <c r="AP479" s="17">
        <f>H479*(1-1)</f>
        <v>0</v>
      </c>
      <c r="AQ479" s="76" t="s">
        <v>577</v>
      </c>
      <c r="AV479" s="17">
        <f t="shared" si="570"/>
        <v>0</v>
      </c>
      <c r="AW479" s="17">
        <f t="shared" si="571"/>
        <v>0</v>
      </c>
      <c r="AX479" s="17">
        <f t="shared" si="572"/>
        <v>0</v>
      </c>
      <c r="AY479" s="76" t="s">
        <v>914</v>
      </c>
      <c r="AZ479" s="76" t="s">
        <v>1011</v>
      </c>
      <c r="BA479" s="14" t="s">
        <v>1012</v>
      </c>
      <c r="BC479" s="17">
        <f t="shared" si="573"/>
        <v>0</v>
      </c>
      <c r="BD479" s="17">
        <f t="shared" si="574"/>
        <v>0</v>
      </c>
      <c r="BE479" s="17">
        <v>0</v>
      </c>
      <c r="BF479" s="17">
        <f t="shared" si="575"/>
        <v>1.2E-2</v>
      </c>
      <c r="BH479" s="17">
        <f t="shared" si="576"/>
        <v>0</v>
      </c>
      <c r="BI479" s="17">
        <f t="shared" si="577"/>
        <v>0</v>
      </c>
      <c r="BJ479" s="17">
        <f t="shared" si="578"/>
        <v>0</v>
      </c>
      <c r="BK479" s="17"/>
      <c r="BL479" s="17">
        <v>723</v>
      </c>
      <c r="BW479" s="17">
        <f t="shared" si="579"/>
        <v>12</v>
      </c>
      <c r="BX479" s="4" t="s">
        <v>331</v>
      </c>
    </row>
    <row r="480" spans="1:76" x14ac:dyDescent="0.25">
      <c r="A480" s="1" t="s">
        <v>1022</v>
      </c>
      <c r="B480" s="2" t="s">
        <v>334</v>
      </c>
      <c r="C480" s="2" t="s">
        <v>332</v>
      </c>
      <c r="D480" s="83" t="s">
        <v>333</v>
      </c>
      <c r="E480" s="84"/>
      <c r="F480" s="2" t="s">
        <v>40</v>
      </c>
      <c r="G480" s="17">
        <f>'Rozpočet - vybrané sloupce'!J420</f>
        <v>6</v>
      </c>
      <c r="H480" s="17">
        <f>'Rozpočet - vybrané sloupce'!K420</f>
        <v>0</v>
      </c>
      <c r="I480" s="74">
        <v>12</v>
      </c>
      <c r="J480" s="17">
        <f t="shared" si="554"/>
        <v>0</v>
      </c>
      <c r="K480" s="17">
        <f t="shared" si="555"/>
        <v>0</v>
      </c>
      <c r="L480" s="17">
        <f t="shared" si="556"/>
        <v>0</v>
      </c>
      <c r="M480" s="17">
        <f t="shared" si="557"/>
        <v>0</v>
      </c>
      <c r="N480" s="17">
        <v>0</v>
      </c>
      <c r="O480" s="17">
        <f t="shared" si="558"/>
        <v>0</v>
      </c>
      <c r="P480" s="75" t="s">
        <v>576</v>
      </c>
      <c r="Z480" s="17">
        <f t="shared" si="559"/>
        <v>0</v>
      </c>
      <c r="AB480" s="17">
        <f t="shared" si="560"/>
        <v>0</v>
      </c>
      <c r="AC480" s="17">
        <f t="shared" si="561"/>
        <v>0</v>
      </c>
      <c r="AD480" s="17">
        <f t="shared" si="562"/>
        <v>0</v>
      </c>
      <c r="AE480" s="17">
        <f t="shared" si="563"/>
        <v>0</v>
      </c>
      <c r="AF480" s="17">
        <f t="shared" si="564"/>
        <v>0</v>
      </c>
      <c r="AG480" s="17">
        <f t="shared" si="565"/>
        <v>0</v>
      </c>
      <c r="AH480" s="17">
        <f t="shared" si="566"/>
        <v>0</v>
      </c>
      <c r="AI480" s="14" t="s">
        <v>334</v>
      </c>
      <c r="AJ480" s="17">
        <f t="shared" si="567"/>
        <v>0</v>
      </c>
      <c r="AK480" s="17">
        <f t="shared" si="568"/>
        <v>0</v>
      </c>
      <c r="AL480" s="17">
        <f t="shared" si="569"/>
        <v>0</v>
      </c>
      <c r="AN480" s="17">
        <v>12</v>
      </c>
      <c r="AO480" s="17">
        <f>H480*0</f>
        <v>0</v>
      </c>
      <c r="AP480" s="17">
        <f>H480*(1-0)</f>
        <v>0</v>
      </c>
      <c r="AQ480" s="76" t="s">
        <v>577</v>
      </c>
      <c r="AV480" s="17">
        <f t="shared" si="570"/>
        <v>0</v>
      </c>
      <c r="AW480" s="17">
        <f t="shared" si="571"/>
        <v>0</v>
      </c>
      <c r="AX480" s="17">
        <f t="shared" si="572"/>
        <v>0</v>
      </c>
      <c r="AY480" s="76" t="s">
        <v>914</v>
      </c>
      <c r="AZ480" s="76" t="s">
        <v>1011</v>
      </c>
      <c r="BA480" s="14" t="s">
        <v>1012</v>
      </c>
      <c r="BC480" s="17">
        <f t="shared" si="573"/>
        <v>0</v>
      </c>
      <c r="BD480" s="17">
        <f t="shared" si="574"/>
        <v>0</v>
      </c>
      <c r="BE480" s="17">
        <v>0</v>
      </c>
      <c r="BF480" s="17">
        <f t="shared" si="575"/>
        <v>0</v>
      </c>
      <c r="BH480" s="17">
        <f t="shared" si="576"/>
        <v>0</v>
      </c>
      <c r="BI480" s="17">
        <f t="shared" si="577"/>
        <v>0</v>
      </c>
      <c r="BJ480" s="17">
        <f t="shared" si="578"/>
        <v>0</v>
      </c>
      <c r="BK480" s="17"/>
      <c r="BL480" s="17">
        <v>723</v>
      </c>
      <c r="BW480" s="17">
        <f t="shared" si="579"/>
        <v>12</v>
      </c>
      <c r="BX480" s="4" t="s">
        <v>333</v>
      </c>
    </row>
    <row r="481" spans="1:76" x14ac:dyDescent="0.25">
      <c r="A481" s="1" t="s">
        <v>1023</v>
      </c>
      <c r="B481" s="2" t="s">
        <v>334</v>
      </c>
      <c r="C481" s="2" t="s">
        <v>308</v>
      </c>
      <c r="D481" s="83" t="s">
        <v>309</v>
      </c>
      <c r="E481" s="84"/>
      <c r="F481" s="2" t="s">
        <v>88</v>
      </c>
      <c r="G481" s="17">
        <f>'Rozpočet - vybrané sloupce'!J421</f>
        <v>0.1</v>
      </c>
      <c r="H481" s="17">
        <f>'Rozpočet - vybrané sloupce'!K421</f>
        <v>0</v>
      </c>
      <c r="I481" s="74">
        <v>12</v>
      </c>
      <c r="J481" s="17">
        <f t="shared" si="554"/>
        <v>0</v>
      </c>
      <c r="K481" s="17">
        <f t="shared" si="555"/>
        <v>0</v>
      </c>
      <c r="L481" s="17">
        <f t="shared" si="556"/>
        <v>0</v>
      </c>
      <c r="M481" s="17">
        <f t="shared" si="557"/>
        <v>0</v>
      </c>
      <c r="N481" s="17">
        <v>0</v>
      </c>
      <c r="O481" s="17">
        <f t="shared" si="558"/>
        <v>0</v>
      </c>
      <c r="P481" s="75" t="s">
        <v>576</v>
      </c>
      <c r="Z481" s="17">
        <f t="shared" si="559"/>
        <v>0</v>
      </c>
      <c r="AB481" s="17">
        <f t="shared" si="560"/>
        <v>0</v>
      </c>
      <c r="AC481" s="17">
        <f t="shared" si="561"/>
        <v>0</v>
      </c>
      <c r="AD481" s="17">
        <f t="shared" si="562"/>
        <v>0</v>
      </c>
      <c r="AE481" s="17">
        <f t="shared" si="563"/>
        <v>0</v>
      </c>
      <c r="AF481" s="17">
        <f t="shared" si="564"/>
        <v>0</v>
      </c>
      <c r="AG481" s="17">
        <f t="shared" si="565"/>
        <v>0</v>
      </c>
      <c r="AH481" s="17">
        <f t="shared" si="566"/>
        <v>0</v>
      </c>
      <c r="AI481" s="14" t="s">
        <v>334</v>
      </c>
      <c r="AJ481" s="17">
        <f t="shared" si="567"/>
        <v>0</v>
      </c>
      <c r="AK481" s="17">
        <f t="shared" si="568"/>
        <v>0</v>
      </c>
      <c r="AL481" s="17">
        <f t="shared" si="569"/>
        <v>0</v>
      </c>
      <c r="AN481" s="17">
        <v>12</v>
      </c>
      <c r="AO481" s="17">
        <f>H481*0</f>
        <v>0</v>
      </c>
      <c r="AP481" s="17">
        <f>H481*(1-0)</f>
        <v>0</v>
      </c>
      <c r="AQ481" s="76" t="s">
        <v>577</v>
      </c>
      <c r="AV481" s="17">
        <f t="shared" si="570"/>
        <v>0</v>
      </c>
      <c r="AW481" s="17">
        <f t="shared" si="571"/>
        <v>0</v>
      </c>
      <c r="AX481" s="17">
        <f t="shared" si="572"/>
        <v>0</v>
      </c>
      <c r="AY481" s="76" t="s">
        <v>914</v>
      </c>
      <c r="AZ481" s="76" t="s">
        <v>1011</v>
      </c>
      <c r="BA481" s="14" t="s">
        <v>1012</v>
      </c>
      <c r="BC481" s="17">
        <f t="shared" si="573"/>
        <v>0</v>
      </c>
      <c r="BD481" s="17">
        <f t="shared" si="574"/>
        <v>0</v>
      </c>
      <c r="BE481" s="17">
        <v>0</v>
      </c>
      <c r="BF481" s="17">
        <f t="shared" si="575"/>
        <v>0</v>
      </c>
      <c r="BH481" s="17">
        <f t="shared" si="576"/>
        <v>0</v>
      </c>
      <c r="BI481" s="17">
        <f t="shared" si="577"/>
        <v>0</v>
      </c>
      <c r="BJ481" s="17">
        <f t="shared" si="578"/>
        <v>0</v>
      </c>
      <c r="BK481" s="17"/>
      <c r="BL481" s="17">
        <v>723</v>
      </c>
      <c r="BW481" s="17">
        <f t="shared" si="579"/>
        <v>12</v>
      </c>
      <c r="BX481" s="4" t="s">
        <v>309</v>
      </c>
    </row>
    <row r="482" spans="1:76" x14ac:dyDescent="0.25">
      <c r="A482" s="1" t="s">
        <v>1024</v>
      </c>
      <c r="B482" s="2" t="s">
        <v>334</v>
      </c>
      <c r="C482" s="2" t="s">
        <v>310</v>
      </c>
      <c r="D482" s="83" t="s">
        <v>311</v>
      </c>
      <c r="E482" s="84"/>
      <c r="F482" s="2" t="s">
        <v>45</v>
      </c>
      <c r="G482" s="17">
        <f>'Rozpočet - vybrané sloupce'!J422</f>
        <v>0</v>
      </c>
      <c r="H482" s="17">
        <f>'Rozpočet - vybrané sloupce'!K422</f>
        <v>0</v>
      </c>
      <c r="I482" s="74">
        <v>12</v>
      </c>
      <c r="J482" s="17">
        <f t="shared" si="554"/>
        <v>0</v>
      </c>
      <c r="K482" s="17">
        <f t="shared" si="555"/>
        <v>0</v>
      </c>
      <c r="L482" s="17">
        <f t="shared" si="556"/>
        <v>0</v>
      </c>
      <c r="M482" s="17">
        <f t="shared" si="557"/>
        <v>0</v>
      </c>
      <c r="N482" s="17">
        <v>0</v>
      </c>
      <c r="O482" s="17">
        <f t="shared" si="558"/>
        <v>0</v>
      </c>
      <c r="P482" s="75" t="s">
        <v>576</v>
      </c>
      <c r="Z482" s="17">
        <f t="shared" si="559"/>
        <v>0</v>
      </c>
      <c r="AB482" s="17">
        <f t="shared" si="560"/>
        <v>0</v>
      </c>
      <c r="AC482" s="17">
        <f t="shared" si="561"/>
        <v>0</v>
      </c>
      <c r="AD482" s="17">
        <f t="shared" si="562"/>
        <v>0</v>
      </c>
      <c r="AE482" s="17">
        <f t="shared" si="563"/>
        <v>0</v>
      </c>
      <c r="AF482" s="17">
        <f t="shared" si="564"/>
        <v>0</v>
      </c>
      <c r="AG482" s="17">
        <f t="shared" si="565"/>
        <v>0</v>
      </c>
      <c r="AH482" s="17">
        <f t="shared" si="566"/>
        <v>0</v>
      </c>
      <c r="AI482" s="14" t="s">
        <v>334</v>
      </c>
      <c r="AJ482" s="17">
        <f t="shared" si="567"/>
        <v>0</v>
      </c>
      <c r="AK482" s="17">
        <f t="shared" si="568"/>
        <v>0</v>
      </c>
      <c r="AL482" s="17">
        <f t="shared" si="569"/>
        <v>0</v>
      </c>
      <c r="AN482" s="17">
        <v>12</v>
      </c>
      <c r="AO482" s="17">
        <f>H482*0</f>
        <v>0</v>
      </c>
      <c r="AP482" s="17">
        <f>H482*(1-0)</f>
        <v>0</v>
      </c>
      <c r="AQ482" s="76" t="s">
        <v>585</v>
      </c>
      <c r="AV482" s="17">
        <f t="shared" si="570"/>
        <v>0</v>
      </c>
      <c r="AW482" s="17">
        <f t="shared" si="571"/>
        <v>0</v>
      </c>
      <c r="AX482" s="17">
        <f t="shared" si="572"/>
        <v>0</v>
      </c>
      <c r="AY482" s="76" t="s">
        <v>914</v>
      </c>
      <c r="AZ482" s="76" t="s">
        <v>1011</v>
      </c>
      <c r="BA482" s="14" t="s">
        <v>1012</v>
      </c>
      <c r="BC482" s="17">
        <f t="shared" si="573"/>
        <v>0</v>
      </c>
      <c r="BD482" s="17">
        <f t="shared" si="574"/>
        <v>0</v>
      </c>
      <c r="BE482" s="17">
        <v>0</v>
      </c>
      <c r="BF482" s="17">
        <f t="shared" si="575"/>
        <v>0</v>
      </c>
      <c r="BH482" s="17">
        <f t="shared" si="576"/>
        <v>0</v>
      </c>
      <c r="BI482" s="17">
        <f t="shared" si="577"/>
        <v>0</v>
      </c>
      <c r="BJ482" s="17">
        <f t="shared" si="578"/>
        <v>0</v>
      </c>
      <c r="BK482" s="17"/>
      <c r="BL482" s="17">
        <v>723</v>
      </c>
      <c r="BW482" s="17">
        <f t="shared" si="579"/>
        <v>12</v>
      </c>
      <c r="BX482" s="4" t="s">
        <v>311</v>
      </c>
    </row>
    <row r="483" spans="1:76" x14ac:dyDescent="0.25">
      <c r="A483" s="71" t="s">
        <v>25</v>
      </c>
      <c r="B483" s="13" t="s">
        <v>336</v>
      </c>
      <c r="C483" s="13" t="s">
        <v>25</v>
      </c>
      <c r="D483" s="135" t="s">
        <v>337</v>
      </c>
      <c r="E483" s="136"/>
      <c r="F483" s="72" t="s">
        <v>23</v>
      </c>
      <c r="G483" s="72" t="s">
        <v>23</v>
      </c>
      <c r="H483" s="72" t="s">
        <v>23</v>
      </c>
      <c r="I483" s="72" t="s">
        <v>23</v>
      </c>
      <c r="J483" s="47">
        <f>J484</f>
        <v>0</v>
      </c>
      <c r="K483" s="47">
        <f>K484</f>
        <v>0</v>
      </c>
      <c r="L483" s="47">
        <f>L484</f>
        <v>0</v>
      </c>
      <c r="M483" s="47">
        <f>M484</f>
        <v>0</v>
      </c>
      <c r="N483" s="14" t="s">
        <v>25</v>
      </c>
      <c r="O483" s="47">
        <f>O484</f>
        <v>0.63116099999999997</v>
      </c>
      <c r="P483" s="73" t="s">
        <v>25</v>
      </c>
    </row>
    <row r="484" spans="1:76" x14ac:dyDescent="0.25">
      <c r="A484" s="71" t="s">
        <v>25</v>
      </c>
      <c r="B484" s="13" t="s">
        <v>336</v>
      </c>
      <c r="C484" s="13" t="s">
        <v>259</v>
      </c>
      <c r="D484" s="135" t="s">
        <v>260</v>
      </c>
      <c r="E484" s="136"/>
      <c r="F484" s="72" t="s">
        <v>23</v>
      </c>
      <c r="G484" s="72" t="s">
        <v>23</v>
      </c>
      <c r="H484" s="72" t="s">
        <v>23</v>
      </c>
      <c r="I484" s="72" t="s">
        <v>23</v>
      </c>
      <c r="J484" s="47">
        <f>SUM(J485:J497)</f>
        <v>0</v>
      </c>
      <c r="K484" s="47">
        <f>SUM(K485:K497)</f>
        <v>0</v>
      </c>
      <c r="L484" s="47">
        <f>SUM(L485:L497)</f>
        <v>0</v>
      </c>
      <c r="M484" s="47">
        <f>SUM(M485:M497)</f>
        <v>0</v>
      </c>
      <c r="N484" s="14" t="s">
        <v>25</v>
      </c>
      <c r="O484" s="47">
        <f>SUM(O485:O497)</f>
        <v>0.63116099999999997</v>
      </c>
      <c r="P484" s="73" t="s">
        <v>25</v>
      </c>
      <c r="AI484" s="14" t="s">
        <v>336</v>
      </c>
      <c r="AS484" s="47">
        <f>SUM(AJ485:AJ497)</f>
        <v>0</v>
      </c>
      <c r="AT484" s="47">
        <f>SUM(AK485:AK497)</f>
        <v>0</v>
      </c>
      <c r="AU484" s="47">
        <f>SUM(AL485:AL497)</f>
        <v>0</v>
      </c>
    </row>
    <row r="485" spans="1:76" x14ac:dyDescent="0.25">
      <c r="A485" s="1" t="s">
        <v>1025</v>
      </c>
      <c r="B485" s="2" t="s">
        <v>336</v>
      </c>
      <c r="C485" s="2" t="s">
        <v>318</v>
      </c>
      <c r="D485" s="83" t="s">
        <v>319</v>
      </c>
      <c r="E485" s="84"/>
      <c r="F485" s="2" t="s">
        <v>31</v>
      </c>
      <c r="G485" s="17">
        <f>'Rozpočet - vybrané sloupce'!J425</f>
        <v>46</v>
      </c>
      <c r="H485" s="17">
        <f>'Rozpočet - vybrané sloupce'!K425</f>
        <v>0</v>
      </c>
      <c r="I485" s="74">
        <v>12</v>
      </c>
      <c r="J485" s="17">
        <f t="shared" ref="J485:J497" si="580">ROUND(G485*AO485,2)</f>
        <v>0</v>
      </c>
      <c r="K485" s="17">
        <f t="shared" ref="K485:K497" si="581">ROUND(G485*AP485,2)</f>
        <v>0</v>
      </c>
      <c r="L485" s="17">
        <f t="shared" ref="L485:L497" si="582">ROUND(G485*H485,2)</f>
        <v>0</v>
      </c>
      <c r="M485" s="17">
        <f t="shared" ref="M485:M497" si="583">L485*(1+BW485/100)</f>
        <v>0</v>
      </c>
      <c r="N485" s="17">
        <v>2.2599999999999999E-3</v>
      </c>
      <c r="O485" s="17">
        <f t="shared" ref="O485:O497" si="584">G485*N485</f>
        <v>0.10396</v>
      </c>
      <c r="P485" s="75" t="s">
        <v>576</v>
      </c>
      <c r="Z485" s="17">
        <f t="shared" ref="Z485:Z497" si="585">ROUND(IF(AQ485="5",BJ485,0),2)</f>
        <v>0</v>
      </c>
      <c r="AB485" s="17">
        <f t="shared" ref="AB485:AB497" si="586">ROUND(IF(AQ485="1",BH485,0),2)</f>
        <v>0</v>
      </c>
      <c r="AC485" s="17">
        <f t="shared" ref="AC485:AC497" si="587">ROUND(IF(AQ485="1",BI485,0),2)</f>
        <v>0</v>
      </c>
      <c r="AD485" s="17">
        <f t="shared" ref="AD485:AD497" si="588">ROUND(IF(AQ485="7",BH485,0),2)</f>
        <v>0</v>
      </c>
      <c r="AE485" s="17">
        <f t="shared" ref="AE485:AE497" si="589">ROUND(IF(AQ485="7",BI485,0),2)</f>
        <v>0</v>
      </c>
      <c r="AF485" s="17">
        <f t="shared" ref="AF485:AF497" si="590">ROUND(IF(AQ485="2",BH485,0),2)</f>
        <v>0</v>
      </c>
      <c r="AG485" s="17">
        <f t="shared" ref="AG485:AG497" si="591">ROUND(IF(AQ485="2",BI485,0),2)</f>
        <v>0</v>
      </c>
      <c r="AH485" s="17">
        <f t="shared" ref="AH485:AH497" si="592">ROUND(IF(AQ485="0",BJ485,0),2)</f>
        <v>0</v>
      </c>
      <c r="AI485" s="14" t="s">
        <v>336</v>
      </c>
      <c r="AJ485" s="17">
        <f t="shared" ref="AJ485:AJ497" si="593">IF(AN485=0,L485,0)</f>
        <v>0</v>
      </c>
      <c r="AK485" s="17">
        <f t="shared" ref="AK485:AK497" si="594">IF(AN485=12,L485,0)</f>
        <v>0</v>
      </c>
      <c r="AL485" s="17">
        <f t="shared" ref="AL485:AL497" si="595">IF(AN485=21,L485,0)</f>
        <v>0</v>
      </c>
      <c r="AN485" s="17">
        <v>12</v>
      </c>
      <c r="AO485" s="17">
        <f>H485*0.767256894</f>
        <v>0</v>
      </c>
      <c r="AP485" s="17">
        <f>H485*(1-0.767256894)</f>
        <v>0</v>
      </c>
      <c r="AQ485" s="76" t="s">
        <v>577</v>
      </c>
      <c r="AV485" s="17">
        <f t="shared" ref="AV485:AV497" si="596">ROUND(AW485+AX485,2)</f>
        <v>0</v>
      </c>
      <c r="AW485" s="17">
        <f t="shared" ref="AW485:AW497" si="597">ROUND(G485*AO485,2)</f>
        <v>0</v>
      </c>
      <c r="AX485" s="17">
        <f t="shared" ref="AX485:AX497" si="598">ROUND(G485*AP485,2)</f>
        <v>0</v>
      </c>
      <c r="AY485" s="76" t="s">
        <v>914</v>
      </c>
      <c r="AZ485" s="76" t="s">
        <v>1026</v>
      </c>
      <c r="BA485" s="14" t="s">
        <v>1027</v>
      </c>
      <c r="BC485" s="17">
        <f t="shared" ref="BC485:BC497" si="599">AW485+AX485</f>
        <v>0</v>
      </c>
      <c r="BD485" s="17">
        <f t="shared" ref="BD485:BD497" si="600">H485/(100-BE485)*100</f>
        <v>0</v>
      </c>
      <c r="BE485" s="17">
        <v>0</v>
      </c>
      <c r="BF485" s="17">
        <f t="shared" ref="BF485:BF497" si="601">O485</f>
        <v>0.10396</v>
      </c>
      <c r="BH485" s="17">
        <f t="shared" ref="BH485:BH497" si="602">G485*AO485</f>
        <v>0</v>
      </c>
      <c r="BI485" s="17">
        <f t="shared" ref="BI485:BI497" si="603">G485*AP485</f>
        <v>0</v>
      </c>
      <c r="BJ485" s="17">
        <f t="shared" ref="BJ485:BJ497" si="604">G485*H485</f>
        <v>0</v>
      </c>
      <c r="BK485" s="17"/>
      <c r="BL485" s="17">
        <v>723</v>
      </c>
      <c r="BW485" s="17">
        <f t="shared" ref="BW485:BW497" si="605">I485</f>
        <v>12</v>
      </c>
      <c r="BX485" s="4" t="s">
        <v>319</v>
      </c>
    </row>
    <row r="486" spans="1:76" x14ac:dyDescent="0.25">
      <c r="A486" s="1" t="s">
        <v>1028</v>
      </c>
      <c r="B486" s="2" t="s">
        <v>336</v>
      </c>
      <c r="C486" s="2" t="s">
        <v>320</v>
      </c>
      <c r="D486" s="83" t="s">
        <v>321</v>
      </c>
      <c r="E486" s="84"/>
      <c r="F486" s="2" t="s">
        <v>31</v>
      </c>
      <c r="G486" s="17">
        <f>'Rozpočet - vybrané sloupce'!J426</f>
        <v>46</v>
      </c>
      <c r="H486" s="17">
        <f>'Rozpočet - vybrané sloupce'!K426</f>
        <v>0</v>
      </c>
      <c r="I486" s="74">
        <v>12</v>
      </c>
      <c r="J486" s="17">
        <f t="shared" si="580"/>
        <v>0</v>
      </c>
      <c r="K486" s="17">
        <f t="shared" si="581"/>
        <v>0</v>
      </c>
      <c r="L486" s="17">
        <f t="shared" si="582"/>
        <v>0</v>
      </c>
      <c r="M486" s="17">
        <f t="shared" si="583"/>
        <v>0</v>
      </c>
      <c r="N486" s="17">
        <v>7.9000000000000001E-4</v>
      </c>
      <c r="O486" s="17">
        <f t="shared" si="584"/>
        <v>3.6339999999999997E-2</v>
      </c>
      <c r="P486" s="75" t="s">
        <v>576</v>
      </c>
      <c r="Z486" s="17">
        <f t="shared" si="585"/>
        <v>0</v>
      </c>
      <c r="AB486" s="17">
        <f t="shared" si="586"/>
        <v>0</v>
      </c>
      <c r="AC486" s="17">
        <f t="shared" si="587"/>
        <v>0</v>
      </c>
      <c r="AD486" s="17">
        <f t="shared" si="588"/>
        <v>0</v>
      </c>
      <c r="AE486" s="17">
        <f t="shared" si="589"/>
        <v>0</v>
      </c>
      <c r="AF486" s="17">
        <f t="shared" si="590"/>
        <v>0</v>
      </c>
      <c r="AG486" s="17">
        <f t="shared" si="591"/>
        <v>0</v>
      </c>
      <c r="AH486" s="17">
        <f t="shared" si="592"/>
        <v>0</v>
      </c>
      <c r="AI486" s="14" t="s">
        <v>336</v>
      </c>
      <c r="AJ486" s="17">
        <f t="shared" si="593"/>
        <v>0</v>
      </c>
      <c r="AK486" s="17">
        <f t="shared" si="594"/>
        <v>0</v>
      </c>
      <c r="AL486" s="17">
        <f t="shared" si="595"/>
        <v>0</v>
      </c>
      <c r="AN486" s="17">
        <v>12</v>
      </c>
      <c r="AO486" s="17">
        <f>H486*0.600590476</f>
        <v>0</v>
      </c>
      <c r="AP486" s="17">
        <f>H486*(1-0.600590476)</f>
        <v>0</v>
      </c>
      <c r="AQ486" s="76" t="s">
        <v>577</v>
      </c>
      <c r="AV486" s="17">
        <f t="shared" si="596"/>
        <v>0</v>
      </c>
      <c r="AW486" s="17">
        <f t="shared" si="597"/>
        <v>0</v>
      </c>
      <c r="AX486" s="17">
        <f t="shared" si="598"/>
        <v>0</v>
      </c>
      <c r="AY486" s="76" t="s">
        <v>914</v>
      </c>
      <c r="AZ486" s="76" t="s">
        <v>1026</v>
      </c>
      <c r="BA486" s="14" t="s">
        <v>1027</v>
      </c>
      <c r="BC486" s="17">
        <f t="shared" si="599"/>
        <v>0</v>
      </c>
      <c r="BD486" s="17">
        <f t="shared" si="600"/>
        <v>0</v>
      </c>
      <c r="BE486" s="17">
        <v>0</v>
      </c>
      <c r="BF486" s="17">
        <f t="shared" si="601"/>
        <v>3.6339999999999997E-2</v>
      </c>
      <c r="BH486" s="17">
        <f t="shared" si="602"/>
        <v>0</v>
      </c>
      <c r="BI486" s="17">
        <f t="shared" si="603"/>
        <v>0</v>
      </c>
      <c r="BJ486" s="17">
        <f t="shared" si="604"/>
        <v>0</v>
      </c>
      <c r="BK486" s="17"/>
      <c r="BL486" s="17">
        <v>723</v>
      </c>
      <c r="BW486" s="17">
        <f t="shared" si="605"/>
        <v>12</v>
      </c>
      <c r="BX486" s="4" t="s">
        <v>321</v>
      </c>
    </row>
    <row r="487" spans="1:76" x14ac:dyDescent="0.25">
      <c r="A487" s="1" t="s">
        <v>1029</v>
      </c>
      <c r="B487" s="2" t="s">
        <v>336</v>
      </c>
      <c r="C487" s="2" t="s">
        <v>322</v>
      </c>
      <c r="D487" s="83" t="s">
        <v>323</v>
      </c>
      <c r="E487" s="84"/>
      <c r="F487" s="2" t="s">
        <v>31</v>
      </c>
      <c r="G487" s="17">
        <f>'Rozpočet - vybrané sloupce'!J427</f>
        <v>1.1000000000000001</v>
      </c>
      <c r="H487" s="17">
        <f>'Rozpočet - vybrané sloupce'!K427</f>
        <v>0</v>
      </c>
      <c r="I487" s="74">
        <v>12</v>
      </c>
      <c r="J487" s="17">
        <f t="shared" si="580"/>
        <v>0</v>
      </c>
      <c r="K487" s="17">
        <f t="shared" si="581"/>
        <v>0</v>
      </c>
      <c r="L487" s="17">
        <f t="shared" si="582"/>
        <v>0</v>
      </c>
      <c r="M487" s="17">
        <f t="shared" si="583"/>
        <v>0</v>
      </c>
      <c r="N487" s="17">
        <v>9.1E-4</v>
      </c>
      <c r="O487" s="17">
        <f t="shared" si="584"/>
        <v>1.0010000000000002E-3</v>
      </c>
      <c r="P487" s="75" t="s">
        <v>576</v>
      </c>
      <c r="Z487" s="17">
        <f t="shared" si="585"/>
        <v>0</v>
      </c>
      <c r="AB487" s="17">
        <f t="shared" si="586"/>
        <v>0</v>
      </c>
      <c r="AC487" s="17">
        <f t="shared" si="587"/>
        <v>0</v>
      </c>
      <c r="AD487" s="17">
        <f t="shared" si="588"/>
        <v>0</v>
      </c>
      <c r="AE487" s="17">
        <f t="shared" si="589"/>
        <v>0</v>
      </c>
      <c r="AF487" s="17">
        <f t="shared" si="590"/>
        <v>0</v>
      </c>
      <c r="AG487" s="17">
        <f t="shared" si="591"/>
        <v>0</v>
      </c>
      <c r="AH487" s="17">
        <f t="shared" si="592"/>
        <v>0</v>
      </c>
      <c r="AI487" s="14" t="s">
        <v>336</v>
      </c>
      <c r="AJ487" s="17">
        <f t="shared" si="593"/>
        <v>0</v>
      </c>
      <c r="AK487" s="17">
        <f t="shared" si="594"/>
        <v>0</v>
      </c>
      <c r="AL487" s="17">
        <f t="shared" si="595"/>
        <v>0</v>
      </c>
      <c r="AN487" s="17">
        <v>12</v>
      </c>
      <c r="AO487" s="17">
        <f>H487*0.646687117</f>
        <v>0</v>
      </c>
      <c r="AP487" s="17">
        <f>H487*(1-0.646687117)</f>
        <v>0</v>
      </c>
      <c r="AQ487" s="76" t="s">
        <v>577</v>
      </c>
      <c r="AV487" s="17">
        <f t="shared" si="596"/>
        <v>0</v>
      </c>
      <c r="AW487" s="17">
        <f t="shared" si="597"/>
        <v>0</v>
      </c>
      <c r="AX487" s="17">
        <f t="shared" si="598"/>
        <v>0</v>
      </c>
      <c r="AY487" s="76" t="s">
        <v>914</v>
      </c>
      <c r="AZ487" s="76" t="s">
        <v>1026</v>
      </c>
      <c r="BA487" s="14" t="s">
        <v>1027</v>
      </c>
      <c r="BC487" s="17">
        <f t="shared" si="599"/>
        <v>0</v>
      </c>
      <c r="BD487" s="17">
        <f t="shared" si="600"/>
        <v>0</v>
      </c>
      <c r="BE487" s="17">
        <v>0</v>
      </c>
      <c r="BF487" s="17">
        <f t="shared" si="601"/>
        <v>1.0010000000000002E-3</v>
      </c>
      <c r="BH487" s="17">
        <f t="shared" si="602"/>
        <v>0</v>
      </c>
      <c r="BI487" s="17">
        <f t="shared" si="603"/>
        <v>0</v>
      </c>
      <c r="BJ487" s="17">
        <f t="shared" si="604"/>
        <v>0</v>
      </c>
      <c r="BK487" s="17"/>
      <c r="BL487" s="17">
        <v>723</v>
      </c>
      <c r="BW487" s="17">
        <f t="shared" si="605"/>
        <v>12</v>
      </c>
      <c r="BX487" s="4" t="s">
        <v>323</v>
      </c>
    </row>
    <row r="488" spans="1:76" x14ac:dyDescent="0.25">
      <c r="A488" s="1" t="s">
        <v>1030</v>
      </c>
      <c r="B488" s="2" t="s">
        <v>336</v>
      </c>
      <c r="C488" s="2" t="s">
        <v>324</v>
      </c>
      <c r="D488" s="83" t="s">
        <v>325</v>
      </c>
      <c r="E488" s="84"/>
      <c r="F488" s="2" t="s">
        <v>35</v>
      </c>
      <c r="G488" s="17">
        <f>'Rozpočet - vybrané sloupce'!J428</f>
        <v>7</v>
      </c>
      <c r="H488" s="17">
        <f>'Rozpočet - vybrané sloupce'!K428</f>
        <v>0</v>
      </c>
      <c r="I488" s="74">
        <v>12</v>
      </c>
      <c r="J488" s="17">
        <f t="shared" si="580"/>
        <v>0</v>
      </c>
      <c r="K488" s="17">
        <f t="shared" si="581"/>
        <v>0</v>
      </c>
      <c r="L488" s="17">
        <f t="shared" si="582"/>
        <v>0</v>
      </c>
      <c r="M488" s="17">
        <f t="shared" si="583"/>
        <v>0</v>
      </c>
      <c r="N488" s="17">
        <v>9.3000000000000005E-4</v>
      </c>
      <c r="O488" s="17">
        <f t="shared" si="584"/>
        <v>6.5100000000000002E-3</v>
      </c>
      <c r="P488" s="75" t="s">
        <v>576</v>
      </c>
      <c r="Z488" s="17">
        <f t="shared" si="585"/>
        <v>0</v>
      </c>
      <c r="AB488" s="17">
        <f t="shared" si="586"/>
        <v>0</v>
      </c>
      <c r="AC488" s="17">
        <f t="shared" si="587"/>
        <v>0</v>
      </c>
      <c r="AD488" s="17">
        <f t="shared" si="588"/>
        <v>0</v>
      </c>
      <c r="AE488" s="17">
        <f t="shared" si="589"/>
        <v>0</v>
      </c>
      <c r="AF488" s="17">
        <f t="shared" si="590"/>
        <v>0</v>
      </c>
      <c r="AG488" s="17">
        <f t="shared" si="591"/>
        <v>0</v>
      </c>
      <c r="AH488" s="17">
        <f t="shared" si="592"/>
        <v>0</v>
      </c>
      <c r="AI488" s="14" t="s">
        <v>336</v>
      </c>
      <c r="AJ488" s="17">
        <f t="shared" si="593"/>
        <v>0</v>
      </c>
      <c r="AK488" s="17">
        <f t="shared" si="594"/>
        <v>0</v>
      </c>
      <c r="AL488" s="17">
        <f t="shared" si="595"/>
        <v>0</v>
      </c>
      <c r="AN488" s="17">
        <v>12</v>
      </c>
      <c r="AO488" s="17">
        <f>H488*0.3735108</f>
        <v>0</v>
      </c>
      <c r="AP488" s="17">
        <f>H488*(1-0.3735108)</f>
        <v>0</v>
      </c>
      <c r="AQ488" s="76" t="s">
        <v>577</v>
      </c>
      <c r="AV488" s="17">
        <f t="shared" si="596"/>
        <v>0</v>
      </c>
      <c r="AW488" s="17">
        <f t="shared" si="597"/>
        <v>0</v>
      </c>
      <c r="AX488" s="17">
        <f t="shared" si="598"/>
        <v>0</v>
      </c>
      <c r="AY488" s="76" t="s">
        <v>914</v>
      </c>
      <c r="AZ488" s="76" t="s">
        <v>1026</v>
      </c>
      <c r="BA488" s="14" t="s">
        <v>1027</v>
      </c>
      <c r="BC488" s="17">
        <f t="shared" si="599"/>
        <v>0</v>
      </c>
      <c r="BD488" s="17">
        <f t="shared" si="600"/>
        <v>0</v>
      </c>
      <c r="BE488" s="17">
        <v>0</v>
      </c>
      <c r="BF488" s="17">
        <f t="shared" si="601"/>
        <v>6.5100000000000002E-3</v>
      </c>
      <c r="BH488" s="17">
        <f t="shared" si="602"/>
        <v>0</v>
      </c>
      <c r="BI488" s="17">
        <f t="shared" si="603"/>
        <v>0</v>
      </c>
      <c r="BJ488" s="17">
        <f t="shared" si="604"/>
        <v>0</v>
      </c>
      <c r="BK488" s="17"/>
      <c r="BL488" s="17">
        <v>723</v>
      </c>
      <c r="BW488" s="17">
        <f t="shared" si="605"/>
        <v>12</v>
      </c>
      <c r="BX488" s="4" t="s">
        <v>325</v>
      </c>
    </row>
    <row r="489" spans="1:76" x14ac:dyDescent="0.25">
      <c r="A489" s="1" t="s">
        <v>1031</v>
      </c>
      <c r="B489" s="2" t="s">
        <v>336</v>
      </c>
      <c r="C489" s="2" t="s">
        <v>277</v>
      </c>
      <c r="D489" s="83" t="s">
        <v>278</v>
      </c>
      <c r="E489" s="84"/>
      <c r="F489" s="2" t="s">
        <v>35</v>
      </c>
      <c r="G489" s="17">
        <f>'Rozpočet - vybrané sloupce'!J429</f>
        <v>7</v>
      </c>
      <c r="H489" s="17">
        <f>'Rozpočet - vybrané sloupce'!K429</f>
        <v>0</v>
      </c>
      <c r="I489" s="74">
        <v>12</v>
      </c>
      <c r="J489" s="17">
        <f t="shared" si="580"/>
        <v>0</v>
      </c>
      <c r="K489" s="17">
        <f t="shared" si="581"/>
        <v>0</v>
      </c>
      <c r="L489" s="17">
        <f t="shared" si="582"/>
        <v>0</v>
      </c>
      <c r="M489" s="17">
        <f t="shared" si="583"/>
        <v>0</v>
      </c>
      <c r="N489" s="17">
        <v>0</v>
      </c>
      <c r="O489" s="17">
        <f t="shared" si="584"/>
        <v>0</v>
      </c>
      <c r="P489" s="75" t="s">
        <v>576</v>
      </c>
      <c r="Z489" s="17">
        <f t="shared" si="585"/>
        <v>0</v>
      </c>
      <c r="AB489" s="17">
        <f t="shared" si="586"/>
        <v>0</v>
      </c>
      <c r="AC489" s="17">
        <f t="shared" si="587"/>
        <v>0</v>
      </c>
      <c r="AD489" s="17">
        <f t="shared" si="588"/>
        <v>0</v>
      </c>
      <c r="AE489" s="17">
        <f t="shared" si="589"/>
        <v>0</v>
      </c>
      <c r="AF489" s="17">
        <f t="shared" si="590"/>
        <v>0</v>
      </c>
      <c r="AG489" s="17">
        <f t="shared" si="591"/>
        <v>0</v>
      </c>
      <c r="AH489" s="17">
        <f t="shared" si="592"/>
        <v>0</v>
      </c>
      <c r="AI489" s="14" t="s">
        <v>336</v>
      </c>
      <c r="AJ489" s="17">
        <f t="shared" si="593"/>
        <v>0</v>
      </c>
      <c r="AK489" s="17">
        <f t="shared" si="594"/>
        <v>0</v>
      </c>
      <c r="AL489" s="17">
        <f t="shared" si="595"/>
        <v>0</v>
      </c>
      <c r="AN489" s="17">
        <v>12</v>
      </c>
      <c r="AO489" s="17">
        <f>H489*0</f>
        <v>0</v>
      </c>
      <c r="AP489" s="17">
        <f>H489*(1-0)</f>
        <v>0</v>
      </c>
      <c r="AQ489" s="76" t="s">
        <v>577</v>
      </c>
      <c r="AV489" s="17">
        <f t="shared" si="596"/>
        <v>0</v>
      </c>
      <c r="AW489" s="17">
        <f t="shared" si="597"/>
        <v>0</v>
      </c>
      <c r="AX489" s="17">
        <f t="shared" si="598"/>
        <v>0</v>
      </c>
      <c r="AY489" s="76" t="s">
        <v>914</v>
      </c>
      <c r="AZ489" s="76" t="s">
        <v>1026</v>
      </c>
      <c r="BA489" s="14" t="s">
        <v>1027</v>
      </c>
      <c r="BC489" s="17">
        <f t="shared" si="599"/>
        <v>0</v>
      </c>
      <c r="BD489" s="17">
        <f t="shared" si="600"/>
        <v>0</v>
      </c>
      <c r="BE489" s="17">
        <v>0</v>
      </c>
      <c r="BF489" s="17">
        <f t="shared" si="601"/>
        <v>0</v>
      </c>
      <c r="BH489" s="17">
        <f t="shared" si="602"/>
        <v>0</v>
      </c>
      <c r="BI489" s="17">
        <f t="shared" si="603"/>
        <v>0</v>
      </c>
      <c r="BJ489" s="17">
        <f t="shared" si="604"/>
        <v>0</v>
      </c>
      <c r="BK489" s="17"/>
      <c r="BL489" s="17">
        <v>723</v>
      </c>
      <c r="BW489" s="17">
        <f t="shared" si="605"/>
        <v>12</v>
      </c>
      <c r="BX489" s="4" t="s">
        <v>278</v>
      </c>
    </row>
    <row r="490" spans="1:76" x14ac:dyDescent="0.25">
      <c r="A490" s="1" t="s">
        <v>1032</v>
      </c>
      <c r="B490" s="2" t="s">
        <v>336</v>
      </c>
      <c r="C490" s="2" t="s">
        <v>275</v>
      </c>
      <c r="D490" s="83" t="s">
        <v>276</v>
      </c>
      <c r="E490" s="84"/>
      <c r="F490" s="2" t="s">
        <v>31</v>
      </c>
      <c r="G490" s="17">
        <f>'Rozpočet - vybrané sloupce'!J430</f>
        <v>33</v>
      </c>
      <c r="H490" s="17">
        <f>'Rozpočet - vybrané sloupce'!K430</f>
        <v>0</v>
      </c>
      <c r="I490" s="74">
        <v>12</v>
      </c>
      <c r="J490" s="17">
        <f t="shared" si="580"/>
        <v>0</v>
      </c>
      <c r="K490" s="17">
        <f t="shared" si="581"/>
        <v>0</v>
      </c>
      <c r="L490" s="17">
        <f t="shared" si="582"/>
        <v>0</v>
      </c>
      <c r="M490" s="17">
        <f t="shared" si="583"/>
        <v>0</v>
      </c>
      <c r="N490" s="17">
        <v>0</v>
      </c>
      <c r="O490" s="17">
        <f t="shared" si="584"/>
        <v>0</v>
      </c>
      <c r="P490" s="75" t="s">
        <v>576</v>
      </c>
      <c r="Z490" s="17">
        <f t="shared" si="585"/>
        <v>0</v>
      </c>
      <c r="AB490" s="17">
        <f t="shared" si="586"/>
        <v>0</v>
      </c>
      <c r="AC490" s="17">
        <f t="shared" si="587"/>
        <v>0</v>
      </c>
      <c r="AD490" s="17">
        <f t="shared" si="588"/>
        <v>0</v>
      </c>
      <c r="AE490" s="17">
        <f t="shared" si="589"/>
        <v>0</v>
      </c>
      <c r="AF490" s="17">
        <f t="shared" si="590"/>
        <v>0</v>
      </c>
      <c r="AG490" s="17">
        <f t="shared" si="591"/>
        <v>0</v>
      </c>
      <c r="AH490" s="17">
        <f t="shared" si="592"/>
        <v>0</v>
      </c>
      <c r="AI490" s="14" t="s">
        <v>336</v>
      </c>
      <c r="AJ490" s="17">
        <f t="shared" si="593"/>
        <v>0</v>
      </c>
      <c r="AK490" s="17">
        <f t="shared" si="594"/>
        <v>0</v>
      </c>
      <c r="AL490" s="17">
        <f t="shared" si="595"/>
        <v>0</v>
      </c>
      <c r="AN490" s="17">
        <v>12</v>
      </c>
      <c r="AO490" s="17">
        <f>H490*0</f>
        <v>0</v>
      </c>
      <c r="AP490" s="17">
        <f>H490*(1-0)</f>
        <v>0</v>
      </c>
      <c r="AQ490" s="76" t="s">
        <v>577</v>
      </c>
      <c r="AV490" s="17">
        <f t="shared" si="596"/>
        <v>0</v>
      </c>
      <c r="AW490" s="17">
        <f t="shared" si="597"/>
        <v>0</v>
      </c>
      <c r="AX490" s="17">
        <f t="shared" si="598"/>
        <v>0</v>
      </c>
      <c r="AY490" s="76" t="s">
        <v>914</v>
      </c>
      <c r="AZ490" s="76" t="s">
        <v>1026</v>
      </c>
      <c r="BA490" s="14" t="s">
        <v>1027</v>
      </c>
      <c r="BC490" s="17">
        <f t="shared" si="599"/>
        <v>0</v>
      </c>
      <c r="BD490" s="17">
        <f t="shared" si="600"/>
        <v>0</v>
      </c>
      <c r="BE490" s="17">
        <v>0</v>
      </c>
      <c r="BF490" s="17">
        <f t="shared" si="601"/>
        <v>0</v>
      </c>
      <c r="BH490" s="17">
        <f t="shared" si="602"/>
        <v>0</v>
      </c>
      <c r="BI490" s="17">
        <f t="shared" si="603"/>
        <v>0</v>
      </c>
      <c r="BJ490" s="17">
        <f t="shared" si="604"/>
        <v>0</v>
      </c>
      <c r="BK490" s="17"/>
      <c r="BL490" s="17">
        <v>723</v>
      </c>
      <c r="BW490" s="17">
        <f t="shared" si="605"/>
        <v>12</v>
      </c>
      <c r="BX490" s="4" t="s">
        <v>276</v>
      </c>
    </row>
    <row r="491" spans="1:76" x14ac:dyDescent="0.25">
      <c r="A491" s="1" t="s">
        <v>1033</v>
      </c>
      <c r="B491" s="2" t="s">
        <v>336</v>
      </c>
      <c r="C491" s="2" t="s">
        <v>279</v>
      </c>
      <c r="D491" s="83" t="s">
        <v>280</v>
      </c>
      <c r="E491" s="84"/>
      <c r="F491" s="2" t="s">
        <v>35</v>
      </c>
      <c r="G491" s="17">
        <f>'Rozpočet - vybrané sloupce'!J431</f>
        <v>7</v>
      </c>
      <c r="H491" s="17">
        <f>'Rozpočet - vybrané sloupce'!K431</f>
        <v>0</v>
      </c>
      <c r="I491" s="74">
        <v>12</v>
      </c>
      <c r="J491" s="17">
        <f t="shared" si="580"/>
        <v>0</v>
      </c>
      <c r="K491" s="17">
        <f t="shared" si="581"/>
        <v>0</v>
      </c>
      <c r="L491" s="17">
        <f t="shared" si="582"/>
        <v>0</v>
      </c>
      <c r="M491" s="17">
        <f t="shared" si="583"/>
        <v>0</v>
      </c>
      <c r="N491" s="17">
        <v>0</v>
      </c>
      <c r="O491" s="17">
        <f t="shared" si="584"/>
        <v>0</v>
      </c>
      <c r="P491" s="75" t="s">
        <v>576</v>
      </c>
      <c r="Z491" s="17">
        <f t="shared" si="585"/>
        <v>0</v>
      </c>
      <c r="AB491" s="17">
        <f t="shared" si="586"/>
        <v>0</v>
      </c>
      <c r="AC491" s="17">
        <f t="shared" si="587"/>
        <v>0</v>
      </c>
      <c r="AD491" s="17">
        <f t="shared" si="588"/>
        <v>0</v>
      </c>
      <c r="AE491" s="17">
        <f t="shared" si="589"/>
        <v>0</v>
      </c>
      <c r="AF491" s="17">
        <f t="shared" si="590"/>
        <v>0</v>
      </c>
      <c r="AG491" s="17">
        <f t="shared" si="591"/>
        <v>0</v>
      </c>
      <c r="AH491" s="17">
        <f t="shared" si="592"/>
        <v>0</v>
      </c>
      <c r="AI491" s="14" t="s">
        <v>336</v>
      </c>
      <c r="AJ491" s="17">
        <f t="shared" si="593"/>
        <v>0</v>
      </c>
      <c r="AK491" s="17">
        <f t="shared" si="594"/>
        <v>0</v>
      </c>
      <c r="AL491" s="17">
        <f t="shared" si="595"/>
        <v>0</v>
      </c>
      <c r="AN491" s="17">
        <v>12</v>
      </c>
      <c r="AO491" s="17">
        <f>H491*0</f>
        <v>0</v>
      </c>
      <c r="AP491" s="17">
        <f>H491*(1-0)</f>
        <v>0</v>
      </c>
      <c r="AQ491" s="76" t="s">
        <v>577</v>
      </c>
      <c r="AV491" s="17">
        <f t="shared" si="596"/>
        <v>0</v>
      </c>
      <c r="AW491" s="17">
        <f t="shared" si="597"/>
        <v>0</v>
      </c>
      <c r="AX491" s="17">
        <f t="shared" si="598"/>
        <v>0</v>
      </c>
      <c r="AY491" s="76" t="s">
        <v>914</v>
      </c>
      <c r="AZ491" s="76" t="s">
        <v>1026</v>
      </c>
      <c r="BA491" s="14" t="s">
        <v>1027</v>
      </c>
      <c r="BC491" s="17">
        <f t="shared" si="599"/>
        <v>0</v>
      </c>
      <c r="BD491" s="17">
        <f t="shared" si="600"/>
        <v>0</v>
      </c>
      <c r="BE491" s="17">
        <v>0</v>
      </c>
      <c r="BF491" s="17">
        <f t="shared" si="601"/>
        <v>0</v>
      </c>
      <c r="BH491" s="17">
        <f t="shared" si="602"/>
        <v>0</v>
      </c>
      <c r="BI491" s="17">
        <f t="shared" si="603"/>
        <v>0</v>
      </c>
      <c r="BJ491" s="17">
        <f t="shared" si="604"/>
        <v>0</v>
      </c>
      <c r="BK491" s="17"/>
      <c r="BL491" s="17">
        <v>723</v>
      </c>
      <c r="BW491" s="17">
        <f t="shared" si="605"/>
        <v>12</v>
      </c>
      <c r="BX491" s="4" t="s">
        <v>280</v>
      </c>
    </row>
    <row r="492" spans="1:76" x14ac:dyDescent="0.25">
      <c r="A492" s="1" t="s">
        <v>1034</v>
      </c>
      <c r="B492" s="2" t="s">
        <v>336</v>
      </c>
      <c r="C492" s="2" t="s">
        <v>326</v>
      </c>
      <c r="D492" s="83" t="s">
        <v>327</v>
      </c>
      <c r="E492" s="84"/>
      <c r="F492" s="2" t="s">
        <v>40</v>
      </c>
      <c r="G492" s="17">
        <f>'Rozpočet - vybrané sloupce'!J432</f>
        <v>7</v>
      </c>
      <c r="H492" s="17">
        <f>'Rozpočet - vybrané sloupce'!K432</f>
        <v>0</v>
      </c>
      <c r="I492" s="74">
        <v>12</v>
      </c>
      <c r="J492" s="17">
        <f t="shared" si="580"/>
        <v>0</v>
      </c>
      <c r="K492" s="17">
        <f t="shared" si="581"/>
        <v>0</v>
      </c>
      <c r="L492" s="17">
        <f t="shared" si="582"/>
        <v>0</v>
      </c>
      <c r="M492" s="17">
        <f t="shared" si="583"/>
        <v>0</v>
      </c>
      <c r="N492" s="17">
        <v>6.7000000000000004E-2</v>
      </c>
      <c r="O492" s="17">
        <f t="shared" si="584"/>
        <v>0.46900000000000003</v>
      </c>
      <c r="P492" s="75" t="s">
        <v>576</v>
      </c>
      <c r="Z492" s="17">
        <f t="shared" si="585"/>
        <v>0</v>
      </c>
      <c r="AB492" s="17">
        <f t="shared" si="586"/>
        <v>0</v>
      </c>
      <c r="AC492" s="17">
        <f t="shared" si="587"/>
        <v>0</v>
      </c>
      <c r="AD492" s="17">
        <f t="shared" si="588"/>
        <v>0</v>
      </c>
      <c r="AE492" s="17">
        <f t="shared" si="589"/>
        <v>0</v>
      </c>
      <c r="AF492" s="17">
        <f t="shared" si="590"/>
        <v>0</v>
      </c>
      <c r="AG492" s="17">
        <f t="shared" si="591"/>
        <v>0</v>
      </c>
      <c r="AH492" s="17">
        <f t="shared" si="592"/>
        <v>0</v>
      </c>
      <c r="AI492" s="14" t="s">
        <v>336</v>
      </c>
      <c r="AJ492" s="17">
        <f t="shared" si="593"/>
        <v>0</v>
      </c>
      <c r="AK492" s="17">
        <f t="shared" si="594"/>
        <v>0</v>
      </c>
      <c r="AL492" s="17">
        <f t="shared" si="595"/>
        <v>0</v>
      </c>
      <c r="AN492" s="17">
        <v>12</v>
      </c>
      <c r="AO492" s="17">
        <f>H492*0</f>
        <v>0</v>
      </c>
      <c r="AP492" s="17">
        <f>H492*(1-0)</f>
        <v>0</v>
      </c>
      <c r="AQ492" s="76" t="s">
        <v>577</v>
      </c>
      <c r="AV492" s="17">
        <f t="shared" si="596"/>
        <v>0</v>
      </c>
      <c r="AW492" s="17">
        <f t="shared" si="597"/>
        <v>0</v>
      </c>
      <c r="AX492" s="17">
        <f t="shared" si="598"/>
        <v>0</v>
      </c>
      <c r="AY492" s="76" t="s">
        <v>914</v>
      </c>
      <c r="AZ492" s="76" t="s">
        <v>1026</v>
      </c>
      <c r="BA492" s="14" t="s">
        <v>1027</v>
      </c>
      <c r="BC492" s="17">
        <f t="shared" si="599"/>
        <v>0</v>
      </c>
      <c r="BD492" s="17">
        <f t="shared" si="600"/>
        <v>0</v>
      </c>
      <c r="BE492" s="17">
        <v>0</v>
      </c>
      <c r="BF492" s="17">
        <f t="shared" si="601"/>
        <v>0.46900000000000003</v>
      </c>
      <c r="BH492" s="17">
        <f t="shared" si="602"/>
        <v>0</v>
      </c>
      <c r="BI492" s="17">
        <f t="shared" si="603"/>
        <v>0</v>
      </c>
      <c r="BJ492" s="17">
        <f t="shared" si="604"/>
        <v>0</v>
      </c>
      <c r="BK492" s="17"/>
      <c r="BL492" s="17">
        <v>723</v>
      </c>
      <c r="BW492" s="17">
        <f t="shared" si="605"/>
        <v>12</v>
      </c>
      <c r="BX492" s="4" t="s">
        <v>327</v>
      </c>
    </row>
    <row r="493" spans="1:76" x14ac:dyDescent="0.25">
      <c r="A493" s="1" t="s">
        <v>1035</v>
      </c>
      <c r="B493" s="2" t="s">
        <v>336</v>
      </c>
      <c r="C493" s="2" t="s">
        <v>328</v>
      </c>
      <c r="D493" s="83" t="s">
        <v>329</v>
      </c>
      <c r="E493" s="84"/>
      <c r="F493" s="2" t="s">
        <v>35</v>
      </c>
      <c r="G493" s="17">
        <f>'Rozpočet - vybrané sloupce'!J433</f>
        <v>7</v>
      </c>
      <c r="H493" s="17">
        <f>'Rozpočet - vybrané sloupce'!K433</f>
        <v>0</v>
      </c>
      <c r="I493" s="74">
        <v>12</v>
      </c>
      <c r="J493" s="17">
        <f t="shared" si="580"/>
        <v>0</v>
      </c>
      <c r="K493" s="17">
        <f t="shared" si="581"/>
        <v>0</v>
      </c>
      <c r="L493" s="17">
        <f t="shared" si="582"/>
        <v>0</v>
      </c>
      <c r="M493" s="17">
        <f t="shared" si="583"/>
        <v>0</v>
      </c>
      <c r="N493" s="17">
        <v>5.0000000000000002E-5</v>
      </c>
      <c r="O493" s="17">
        <f t="shared" si="584"/>
        <v>3.5E-4</v>
      </c>
      <c r="P493" s="75" t="s">
        <v>576</v>
      </c>
      <c r="Z493" s="17">
        <f t="shared" si="585"/>
        <v>0</v>
      </c>
      <c r="AB493" s="17">
        <f t="shared" si="586"/>
        <v>0</v>
      </c>
      <c r="AC493" s="17">
        <f t="shared" si="587"/>
        <v>0</v>
      </c>
      <c r="AD493" s="17">
        <f t="shared" si="588"/>
        <v>0</v>
      </c>
      <c r="AE493" s="17">
        <f t="shared" si="589"/>
        <v>0</v>
      </c>
      <c r="AF493" s="17">
        <f t="shared" si="590"/>
        <v>0</v>
      </c>
      <c r="AG493" s="17">
        <f t="shared" si="591"/>
        <v>0</v>
      </c>
      <c r="AH493" s="17">
        <f t="shared" si="592"/>
        <v>0</v>
      </c>
      <c r="AI493" s="14" t="s">
        <v>336</v>
      </c>
      <c r="AJ493" s="17">
        <f t="shared" si="593"/>
        <v>0</v>
      </c>
      <c r="AK493" s="17">
        <f t="shared" si="594"/>
        <v>0</v>
      </c>
      <c r="AL493" s="17">
        <f t="shared" si="595"/>
        <v>0</v>
      </c>
      <c r="AN493" s="17">
        <v>12</v>
      </c>
      <c r="AO493" s="17">
        <f>H493*0.039516129</f>
        <v>0</v>
      </c>
      <c r="AP493" s="17">
        <f>H493*(1-0.039516129)</f>
        <v>0</v>
      </c>
      <c r="AQ493" s="76" t="s">
        <v>577</v>
      </c>
      <c r="AV493" s="17">
        <f t="shared" si="596"/>
        <v>0</v>
      </c>
      <c r="AW493" s="17">
        <f t="shared" si="597"/>
        <v>0</v>
      </c>
      <c r="AX493" s="17">
        <f t="shared" si="598"/>
        <v>0</v>
      </c>
      <c r="AY493" s="76" t="s">
        <v>914</v>
      </c>
      <c r="AZ493" s="76" t="s">
        <v>1026</v>
      </c>
      <c r="BA493" s="14" t="s">
        <v>1027</v>
      </c>
      <c r="BC493" s="17">
        <f t="shared" si="599"/>
        <v>0</v>
      </c>
      <c r="BD493" s="17">
        <f t="shared" si="600"/>
        <v>0</v>
      </c>
      <c r="BE493" s="17">
        <v>0</v>
      </c>
      <c r="BF493" s="17">
        <f t="shared" si="601"/>
        <v>3.5E-4</v>
      </c>
      <c r="BH493" s="17">
        <f t="shared" si="602"/>
        <v>0</v>
      </c>
      <c r="BI493" s="17">
        <f t="shared" si="603"/>
        <v>0</v>
      </c>
      <c r="BJ493" s="17">
        <f t="shared" si="604"/>
        <v>0</v>
      </c>
      <c r="BK493" s="17"/>
      <c r="BL493" s="17">
        <v>723</v>
      </c>
      <c r="BW493" s="17">
        <f t="shared" si="605"/>
        <v>12</v>
      </c>
      <c r="BX493" s="4" t="s">
        <v>329</v>
      </c>
    </row>
    <row r="494" spans="1:76" x14ac:dyDescent="0.25">
      <c r="A494" s="1" t="s">
        <v>1036</v>
      </c>
      <c r="B494" s="2" t="s">
        <v>336</v>
      </c>
      <c r="C494" s="2" t="s">
        <v>330</v>
      </c>
      <c r="D494" s="83" t="s">
        <v>331</v>
      </c>
      <c r="E494" s="84"/>
      <c r="F494" s="2" t="s">
        <v>40</v>
      </c>
      <c r="G494" s="17">
        <f>'Rozpočet - vybrané sloupce'!J434</f>
        <v>7</v>
      </c>
      <c r="H494" s="17">
        <f>'Rozpočet - vybrané sloupce'!K434</f>
        <v>0</v>
      </c>
      <c r="I494" s="74">
        <v>12</v>
      </c>
      <c r="J494" s="17">
        <f t="shared" si="580"/>
        <v>0</v>
      </c>
      <c r="K494" s="17">
        <f t="shared" si="581"/>
        <v>0</v>
      </c>
      <c r="L494" s="17">
        <f t="shared" si="582"/>
        <v>0</v>
      </c>
      <c r="M494" s="17">
        <f t="shared" si="583"/>
        <v>0</v>
      </c>
      <c r="N494" s="17">
        <v>2E-3</v>
      </c>
      <c r="O494" s="17">
        <f t="shared" si="584"/>
        <v>1.4E-2</v>
      </c>
      <c r="P494" s="75" t="s">
        <v>576</v>
      </c>
      <c r="Z494" s="17">
        <f t="shared" si="585"/>
        <v>0</v>
      </c>
      <c r="AB494" s="17">
        <f t="shared" si="586"/>
        <v>0</v>
      </c>
      <c r="AC494" s="17">
        <f t="shared" si="587"/>
        <v>0</v>
      </c>
      <c r="AD494" s="17">
        <f t="shared" si="588"/>
        <v>0</v>
      </c>
      <c r="AE494" s="17">
        <f t="shared" si="589"/>
        <v>0</v>
      </c>
      <c r="AF494" s="17">
        <f t="shared" si="590"/>
        <v>0</v>
      </c>
      <c r="AG494" s="17">
        <f t="shared" si="591"/>
        <v>0</v>
      </c>
      <c r="AH494" s="17">
        <f t="shared" si="592"/>
        <v>0</v>
      </c>
      <c r="AI494" s="14" t="s">
        <v>336</v>
      </c>
      <c r="AJ494" s="17">
        <f t="shared" si="593"/>
        <v>0</v>
      </c>
      <c r="AK494" s="17">
        <f t="shared" si="594"/>
        <v>0</v>
      </c>
      <c r="AL494" s="17">
        <f t="shared" si="595"/>
        <v>0</v>
      </c>
      <c r="AN494" s="17">
        <v>12</v>
      </c>
      <c r="AO494" s="17">
        <f>H494*1</f>
        <v>0</v>
      </c>
      <c r="AP494" s="17">
        <f>H494*(1-1)</f>
        <v>0</v>
      </c>
      <c r="AQ494" s="76" t="s">
        <v>577</v>
      </c>
      <c r="AV494" s="17">
        <f t="shared" si="596"/>
        <v>0</v>
      </c>
      <c r="AW494" s="17">
        <f t="shared" si="597"/>
        <v>0</v>
      </c>
      <c r="AX494" s="17">
        <f t="shared" si="598"/>
        <v>0</v>
      </c>
      <c r="AY494" s="76" t="s">
        <v>914</v>
      </c>
      <c r="AZ494" s="76" t="s">
        <v>1026</v>
      </c>
      <c r="BA494" s="14" t="s">
        <v>1027</v>
      </c>
      <c r="BC494" s="17">
        <f t="shared" si="599"/>
        <v>0</v>
      </c>
      <c r="BD494" s="17">
        <f t="shared" si="600"/>
        <v>0</v>
      </c>
      <c r="BE494" s="17">
        <v>0</v>
      </c>
      <c r="BF494" s="17">
        <f t="shared" si="601"/>
        <v>1.4E-2</v>
      </c>
      <c r="BH494" s="17">
        <f t="shared" si="602"/>
        <v>0</v>
      </c>
      <c r="BI494" s="17">
        <f t="shared" si="603"/>
        <v>0</v>
      </c>
      <c r="BJ494" s="17">
        <f t="shared" si="604"/>
        <v>0</v>
      </c>
      <c r="BK494" s="17"/>
      <c r="BL494" s="17">
        <v>723</v>
      </c>
      <c r="BW494" s="17">
        <f t="shared" si="605"/>
        <v>12</v>
      </c>
      <c r="BX494" s="4" t="s">
        <v>331</v>
      </c>
    </row>
    <row r="495" spans="1:76" x14ac:dyDescent="0.25">
      <c r="A495" s="1" t="s">
        <v>1037</v>
      </c>
      <c r="B495" s="2" t="s">
        <v>336</v>
      </c>
      <c r="C495" s="2" t="s">
        <v>332</v>
      </c>
      <c r="D495" s="83" t="s">
        <v>333</v>
      </c>
      <c r="E495" s="84"/>
      <c r="F495" s="2" t="s">
        <v>40</v>
      </c>
      <c r="G495" s="17">
        <f>'Rozpočet - vybrané sloupce'!J435</f>
        <v>7</v>
      </c>
      <c r="H495" s="17">
        <f>'Rozpočet - vybrané sloupce'!K435</f>
        <v>0</v>
      </c>
      <c r="I495" s="74">
        <v>12</v>
      </c>
      <c r="J495" s="17">
        <f t="shared" si="580"/>
        <v>0</v>
      </c>
      <c r="K495" s="17">
        <f t="shared" si="581"/>
        <v>0</v>
      </c>
      <c r="L495" s="17">
        <f t="shared" si="582"/>
        <v>0</v>
      </c>
      <c r="M495" s="17">
        <f t="shared" si="583"/>
        <v>0</v>
      </c>
      <c r="N495" s="17">
        <v>0</v>
      </c>
      <c r="O495" s="17">
        <f t="shared" si="584"/>
        <v>0</v>
      </c>
      <c r="P495" s="75" t="s">
        <v>576</v>
      </c>
      <c r="Z495" s="17">
        <f t="shared" si="585"/>
        <v>0</v>
      </c>
      <c r="AB495" s="17">
        <f t="shared" si="586"/>
        <v>0</v>
      </c>
      <c r="AC495" s="17">
        <f t="shared" si="587"/>
        <v>0</v>
      </c>
      <c r="AD495" s="17">
        <f t="shared" si="588"/>
        <v>0</v>
      </c>
      <c r="AE495" s="17">
        <f t="shared" si="589"/>
        <v>0</v>
      </c>
      <c r="AF495" s="17">
        <f t="shared" si="590"/>
        <v>0</v>
      </c>
      <c r="AG495" s="17">
        <f t="shared" si="591"/>
        <v>0</v>
      </c>
      <c r="AH495" s="17">
        <f t="shared" si="592"/>
        <v>0</v>
      </c>
      <c r="AI495" s="14" t="s">
        <v>336</v>
      </c>
      <c r="AJ495" s="17">
        <f t="shared" si="593"/>
        <v>0</v>
      </c>
      <c r="AK495" s="17">
        <f t="shared" si="594"/>
        <v>0</v>
      </c>
      <c r="AL495" s="17">
        <f t="shared" si="595"/>
        <v>0</v>
      </c>
      <c r="AN495" s="17">
        <v>12</v>
      </c>
      <c r="AO495" s="17">
        <f>H495*0</f>
        <v>0</v>
      </c>
      <c r="AP495" s="17">
        <f>H495*(1-0)</f>
        <v>0</v>
      </c>
      <c r="AQ495" s="76" t="s">
        <v>577</v>
      </c>
      <c r="AV495" s="17">
        <f t="shared" si="596"/>
        <v>0</v>
      </c>
      <c r="AW495" s="17">
        <f t="shared" si="597"/>
        <v>0</v>
      </c>
      <c r="AX495" s="17">
        <f t="shared" si="598"/>
        <v>0</v>
      </c>
      <c r="AY495" s="76" t="s">
        <v>914</v>
      </c>
      <c r="AZ495" s="76" t="s">
        <v>1026</v>
      </c>
      <c r="BA495" s="14" t="s">
        <v>1027</v>
      </c>
      <c r="BC495" s="17">
        <f t="shared" si="599"/>
        <v>0</v>
      </c>
      <c r="BD495" s="17">
        <f t="shared" si="600"/>
        <v>0</v>
      </c>
      <c r="BE495" s="17">
        <v>0</v>
      </c>
      <c r="BF495" s="17">
        <f t="shared" si="601"/>
        <v>0</v>
      </c>
      <c r="BH495" s="17">
        <f t="shared" si="602"/>
        <v>0</v>
      </c>
      <c r="BI495" s="17">
        <f t="shared" si="603"/>
        <v>0</v>
      </c>
      <c r="BJ495" s="17">
        <f t="shared" si="604"/>
        <v>0</v>
      </c>
      <c r="BK495" s="17"/>
      <c r="BL495" s="17">
        <v>723</v>
      </c>
      <c r="BW495" s="17">
        <f t="shared" si="605"/>
        <v>12</v>
      </c>
      <c r="BX495" s="4" t="s">
        <v>333</v>
      </c>
    </row>
    <row r="496" spans="1:76" x14ac:dyDescent="0.25">
      <c r="A496" s="1" t="s">
        <v>357</v>
      </c>
      <c r="B496" s="2" t="s">
        <v>336</v>
      </c>
      <c r="C496" s="2" t="s">
        <v>308</v>
      </c>
      <c r="D496" s="83" t="s">
        <v>309</v>
      </c>
      <c r="E496" s="84"/>
      <c r="F496" s="2" t="s">
        <v>88</v>
      </c>
      <c r="G496" s="17">
        <f>'Rozpočet - vybrané sloupce'!J436</f>
        <v>0.1</v>
      </c>
      <c r="H496" s="17">
        <f>'Rozpočet - vybrané sloupce'!K436</f>
        <v>0</v>
      </c>
      <c r="I496" s="74">
        <v>12</v>
      </c>
      <c r="J496" s="17">
        <f t="shared" si="580"/>
        <v>0</v>
      </c>
      <c r="K496" s="17">
        <f t="shared" si="581"/>
        <v>0</v>
      </c>
      <c r="L496" s="17">
        <f t="shared" si="582"/>
        <v>0</v>
      </c>
      <c r="M496" s="17">
        <f t="shared" si="583"/>
        <v>0</v>
      </c>
      <c r="N496" s="17">
        <v>0</v>
      </c>
      <c r="O496" s="17">
        <f t="shared" si="584"/>
        <v>0</v>
      </c>
      <c r="P496" s="75" t="s">
        <v>576</v>
      </c>
      <c r="Z496" s="17">
        <f t="shared" si="585"/>
        <v>0</v>
      </c>
      <c r="AB496" s="17">
        <f t="shared" si="586"/>
        <v>0</v>
      </c>
      <c r="AC496" s="17">
        <f t="shared" si="587"/>
        <v>0</v>
      </c>
      <c r="AD496" s="17">
        <f t="shared" si="588"/>
        <v>0</v>
      </c>
      <c r="AE496" s="17">
        <f t="shared" si="589"/>
        <v>0</v>
      </c>
      <c r="AF496" s="17">
        <f t="shared" si="590"/>
        <v>0</v>
      </c>
      <c r="AG496" s="17">
        <f t="shared" si="591"/>
        <v>0</v>
      </c>
      <c r="AH496" s="17">
        <f t="shared" si="592"/>
        <v>0</v>
      </c>
      <c r="AI496" s="14" t="s">
        <v>336</v>
      </c>
      <c r="AJ496" s="17">
        <f t="shared" si="593"/>
        <v>0</v>
      </c>
      <c r="AK496" s="17">
        <f t="shared" si="594"/>
        <v>0</v>
      </c>
      <c r="AL496" s="17">
        <f t="shared" si="595"/>
        <v>0</v>
      </c>
      <c r="AN496" s="17">
        <v>12</v>
      </c>
      <c r="AO496" s="17">
        <f>H496*0</f>
        <v>0</v>
      </c>
      <c r="AP496" s="17">
        <f>H496*(1-0)</f>
        <v>0</v>
      </c>
      <c r="AQ496" s="76" t="s">
        <v>577</v>
      </c>
      <c r="AV496" s="17">
        <f t="shared" si="596"/>
        <v>0</v>
      </c>
      <c r="AW496" s="17">
        <f t="shared" si="597"/>
        <v>0</v>
      </c>
      <c r="AX496" s="17">
        <f t="shared" si="598"/>
        <v>0</v>
      </c>
      <c r="AY496" s="76" t="s">
        <v>914</v>
      </c>
      <c r="AZ496" s="76" t="s">
        <v>1026</v>
      </c>
      <c r="BA496" s="14" t="s">
        <v>1027</v>
      </c>
      <c r="BC496" s="17">
        <f t="shared" si="599"/>
        <v>0</v>
      </c>
      <c r="BD496" s="17">
        <f t="shared" si="600"/>
        <v>0</v>
      </c>
      <c r="BE496" s="17">
        <v>0</v>
      </c>
      <c r="BF496" s="17">
        <f t="shared" si="601"/>
        <v>0</v>
      </c>
      <c r="BH496" s="17">
        <f t="shared" si="602"/>
        <v>0</v>
      </c>
      <c r="BI496" s="17">
        <f t="shared" si="603"/>
        <v>0</v>
      </c>
      <c r="BJ496" s="17">
        <f t="shared" si="604"/>
        <v>0</v>
      </c>
      <c r="BK496" s="17"/>
      <c r="BL496" s="17">
        <v>723</v>
      </c>
      <c r="BW496" s="17">
        <f t="shared" si="605"/>
        <v>12</v>
      </c>
      <c r="BX496" s="4" t="s">
        <v>309</v>
      </c>
    </row>
    <row r="497" spans="1:76" x14ac:dyDescent="0.25">
      <c r="A497" s="1" t="s">
        <v>1038</v>
      </c>
      <c r="B497" s="2" t="s">
        <v>336</v>
      </c>
      <c r="C497" s="2" t="s">
        <v>310</v>
      </c>
      <c r="D497" s="83" t="s">
        <v>311</v>
      </c>
      <c r="E497" s="84"/>
      <c r="F497" s="2" t="s">
        <v>45</v>
      </c>
      <c r="G497" s="17">
        <f>'Rozpočet - vybrané sloupce'!J437</f>
        <v>0</v>
      </c>
      <c r="H497" s="17">
        <f>'Rozpočet - vybrané sloupce'!K437</f>
        <v>0</v>
      </c>
      <c r="I497" s="74">
        <v>12</v>
      </c>
      <c r="J497" s="17">
        <f t="shared" si="580"/>
        <v>0</v>
      </c>
      <c r="K497" s="17">
        <f t="shared" si="581"/>
        <v>0</v>
      </c>
      <c r="L497" s="17">
        <f t="shared" si="582"/>
        <v>0</v>
      </c>
      <c r="M497" s="17">
        <f t="shared" si="583"/>
        <v>0</v>
      </c>
      <c r="N497" s="17">
        <v>0</v>
      </c>
      <c r="O497" s="17">
        <f t="shared" si="584"/>
        <v>0</v>
      </c>
      <c r="P497" s="75" t="s">
        <v>576</v>
      </c>
      <c r="Z497" s="17">
        <f t="shared" si="585"/>
        <v>0</v>
      </c>
      <c r="AB497" s="17">
        <f t="shared" si="586"/>
        <v>0</v>
      </c>
      <c r="AC497" s="17">
        <f t="shared" si="587"/>
        <v>0</v>
      </c>
      <c r="AD497" s="17">
        <f t="shared" si="588"/>
        <v>0</v>
      </c>
      <c r="AE497" s="17">
        <f t="shared" si="589"/>
        <v>0</v>
      </c>
      <c r="AF497" s="17">
        <f t="shared" si="590"/>
        <v>0</v>
      </c>
      <c r="AG497" s="17">
        <f t="shared" si="591"/>
        <v>0</v>
      </c>
      <c r="AH497" s="17">
        <f t="shared" si="592"/>
        <v>0</v>
      </c>
      <c r="AI497" s="14" t="s">
        <v>336</v>
      </c>
      <c r="AJ497" s="17">
        <f t="shared" si="593"/>
        <v>0</v>
      </c>
      <c r="AK497" s="17">
        <f t="shared" si="594"/>
        <v>0</v>
      </c>
      <c r="AL497" s="17">
        <f t="shared" si="595"/>
        <v>0</v>
      </c>
      <c r="AN497" s="17">
        <v>12</v>
      </c>
      <c r="AO497" s="17">
        <f>H497*0</f>
        <v>0</v>
      </c>
      <c r="AP497" s="17">
        <f>H497*(1-0)</f>
        <v>0</v>
      </c>
      <c r="AQ497" s="76" t="s">
        <v>585</v>
      </c>
      <c r="AV497" s="17">
        <f t="shared" si="596"/>
        <v>0</v>
      </c>
      <c r="AW497" s="17">
        <f t="shared" si="597"/>
        <v>0</v>
      </c>
      <c r="AX497" s="17">
        <f t="shared" si="598"/>
        <v>0</v>
      </c>
      <c r="AY497" s="76" t="s">
        <v>914</v>
      </c>
      <c r="AZ497" s="76" t="s">
        <v>1026</v>
      </c>
      <c r="BA497" s="14" t="s">
        <v>1027</v>
      </c>
      <c r="BC497" s="17">
        <f t="shared" si="599"/>
        <v>0</v>
      </c>
      <c r="BD497" s="17">
        <f t="shared" si="600"/>
        <v>0</v>
      </c>
      <c r="BE497" s="17">
        <v>0</v>
      </c>
      <c r="BF497" s="17">
        <f t="shared" si="601"/>
        <v>0</v>
      </c>
      <c r="BH497" s="17">
        <f t="shared" si="602"/>
        <v>0</v>
      </c>
      <c r="BI497" s="17">
        <f t="shared" si="603"/>
        <v>0</v>
      </c>
      <c r="BJ497" s="17">
        <f t="shared" si="604"/>
        <v>0</v>
      </c>
      <c r="BK497" s="17"/>
      <c r="BL497" s="17">
        <v>723</v>
      </c>
      <c r="BW497" s="17">
        <f t="shared" si="605"/>
        <v>12</v>
      </c>
      <c r="BX497" s="4" t="s">
        <v>311</v>
      </c>
    </row>
    <row r="498" spans="1:76" x14ac:dyDescent="0.25">
      <c r="A498" s="71" t="s">
        <v>25</v>
      </c>
      <c r="B498" s="13" t="s">
        <v>338</v>
      </c>
      <c r="C498" s="13" t="s">
        <v>25</v>
      </c>
      <c r="D498" s="135" t="s">
        <v>339</v>
      </c>
      <c r="E498" s="136"/>
      <c r="F498" s="72" t="s">
        <v>23</v>
      </c>
      <c r="G498" s="72" t="s">
        <v>23</v>
      </c>
      <c r="H498" s="72" t="s">
        <v>23</v>
      </c>
      <c r="I498" s="72" t="s">
        <v>23</v>
      </c>
      <c r="J498" s="47" t="e">
        <f>J499+J509+J513+J517+J519+J530+J541+J545+J547+J549+J551+J561</f>
        <v>#REF!</v>
      </c>
      <c r="K498" s="47" t="e">
        <f>K499+K509+K513+K517+K519+K530+K541+K545+K547+K549+K551+K561</f>
        <v>#REF!</v>
      </c>
      <c r="L498" s="47" t="e">
        <f>L499+L509+L513+L517+L519+L530+L541+L545+L547+L549+L551+L561</f>
        <v>#REF!</v>
      </c>
      <c r="M498" s="47" t="e">
        <f>M499+M509+M513+M517+M519+M530+M541+M545+M547+M549+M551+M561</f>
        <v>#REF!</v>
      </c>
      <c r="N498" s="14" t="s">
        <v>25</v>
      </c>
      <c r="O498" s="47" t="e">
        <f>O499+O509+O513+O517+O519+O530+O541+O545+O547+O549+O551+O561</f>
        <v>#REF!</v>
      </c>
      <c r="P498" s="73" t="s">
        <v>25</v>
      </c>
    </row>
    <row r="499" spans="1:76" x14ac:dyDescent="0.25">
      <c r="A499" s="71" t="s">
        <v>25</v>
      </c>
      <c r="B499" s="13" t="s">
        <v>338</v>
      </c>
      <c r="C499" s="13" t="s">
        <v>340</v>
      </c>
      <c r="D499" s="135" t="s">
        <v>341</v>
      </c>
      <c r="E499" s="136"/>
      <c r="F499" s="72" t="s">
        <v>23</v>
      </c>
      <c r="G499" s="72" t="s">
        <v>23</v>
      </c>
      <c r="H499" s="72" t="s">
        <v>23</v>
      </c>
      <c r="I499" s="72" t="s">
        <v>23</v>
      </c>
      <c r="J499" s="47">
        <f>SUM(J500:J508)</f>
        <v>0</v>
      </c>
      <c r="K499" s="47">
        <f>SUM(K500:K508)</f>
        <v>0</v>
      </c>
      <c r="L499" s="47">
        <f>SUM(L500:L508)</f>
        <v>0</v>
      </c>
      <c r="M499" s="47">
        <f>SUM(M500:M508)</f>
        <v>0</v>
      </c>
      <c r="N499" s="14" t="s">
        <v>25</v>
      </c>
      <c r="O499" s="47">
        <f>SUM(O500:O508)</f>
        <v>0.23524199999999998</v>
      </c>
      <c r="P499" s="73" t="s">
        <v>25</v>
      </c>
      <c r="AI499" s="14" t="s">
        <v>338</v>
      </c>
      <c r="AS499" s="47">
        <f>SUM(AJ500:AJ508)</f>
        <v>0</v>
      </c>
      <c r="AT499" s="47">
        <f>SUM(AK500:AK508)</f>
        <v>0</v>
      </c>
      <c r="AU499" s="47">
        <f>SUM(AL500:AL508)</f>
        <v>0</v>
      </c>
    </row>
    <row r="500" spans="1:76" x14ac:dyDescent="0.25">
      <c r="A500" s="1" t="s">
        <v>1039</v>
      </c>
      <c r="B500" s="2" t="s">
        <v>338</v>
      </c>
      <c r="C500" s="2" t="s">
        <v>342</v>
      </c>
      <c r="D500" s="83" t="s">
        <v>343</v>
      </c>
      <c r="E500" s="84"/>
      <c r="F500" s="2" t="s">
        <v>40</v>
      </c>
      <c r="G500" s="17">
        <f>'Rozpočet - vybrané sloupce'!J440</f>
        <v>9</v>
      </c>
      <c r="H500" s="17">
        <f>'Rozpočet - vybrané sloupce'!K440</f>
        <v>0</v>
      </c>
      <c r="I500" s="74">
        <v>12</v>
      </c>
      <c r="J500" s="17">
        <f>ROUND(G500*AO500,2)</f>
        <v>0</v>
      </c>
      <c r="K500" s="17">
        <f>ROUND(G500*AP500,2)</f>
        <v>0</v>
      </c>
      <c r="L500" s="17">
        <f>ROUND(G500*H500,2)</f>
        <v>0</v>
      </c>
      <c r="M500" s="17">
        <f>L500*(1+BW500/100)</f>
        <v>0</v>
      </c>
      <c r="N500" s="17">
        <v>0</v>
      </c>
      <c r="O500" s="17">
        <f>G500*N500</f>
        <v>0</v>
      </c>
      <c r="P500" s="75" t="s">
        <v>576</v>
      </c>
      <c r="Z500" s="17">
        <f>ROUND(IF(AQ500="5",BJ500,0),2)</f>
        <v>0</v>
      </c>
      <c r="AB500" s="17">
        <f>ROUND(IF(AQ500="1",BH500,0),2)</f>
        <v>0</v>
      </c>
      <c r="AC500" s="17">
        <f>ROUND(IF(AQ500="1",BI500,0),2)</f>
        <v>0</v>
      </c>
      <c r="AD500" s="17">
        <f>ROUND(IF(AQ500="7",BH500,0),2)</f>
        <v>0</v>
      </c>
      <c r="AE500" s="17">
        <f>ROUND(IF(AQ500="7",BI500,0),2)</f>
        <v>0</v>
      </c>
      <c r="AF500" s="17">
        <f>ROUND(IF(AQ500="2",BH500,0),2)</f>
        <v>0</v>
      </c>
      <c r="AG500" s="17">
        <f>ROUND(IF(AQ500="2",BI500,0),2)</f>
        <v>0</v>
      </c>
      <c r="AH500" s="17">
        <f>ROUND(IF(AQ500="0",BJ500,0),2)</f>
        <v>0</v>
      </c>
      <c r="AI500" s="14" t="s">
        <v>338</v>
      </c>
      <c r="AJ500" s="17">
        <f>IF(AN500=0,L500,0)</f>
        <v>0</v>
      </c>
      <c r="AK500" s="17">
        <f>IF(AN500=12,L500,0)</f>
        <v>0</v>
      </c>
      <c r="AL500" s="17">
        <f>IF(AN500=21,L500,0)</f>
        <v>0</v>
      </c>
      <c r="AN500" s="17">
        <v>12</v>
      </c>
      <c r="AO500" s="17">
        <f>H500*0</f>
        <v>0</v>
      </c>
      <c r="AP500" s="17">
        <f>H500*(1-0)</f>
        <v>0</v>
      </c>
      <c r="AQ500" s="76" t="s">
        <v>575</v>
      </c>
      <c r="AV500" s="17">
        <f>ROUND(AW500+AX500,2)</f>
        <v>0</v>
      </c>
      <c r="AW500" s="17">
        <f>ROUND(G500*AO500,2)</f>
        <v>0</v>
      </c>
      <c r="AX500" s="17">
        <f>ROUND(G500*AP500,2)</f>
        <v>0</v>
      </c>
      <c r="AY500" s="76" t="s">
        <v>1040</v>
      </c>
      <c r="AZ500" s="76" t="s">
        <v>1041</v>
      </c>
      <c r="BA500" s="14" t="s">
        <v>1042</v>
      </c>
      <c r="BC500" s="17">
        <f>AW500+AX500</f>
        <v>0</v>
      </c>
      <c r="BD500" s="17">
        <f>H500/(100-BE500)*100</f>
        <v>0</v>
      </c>
      <c r="BE500" s="17">
        <v>0</v>
      </c>
      <c r="BF500" s="17">
        <f>O500</f>
        <v>0</v>
      </c>
      <c r="BH500" s="17">
        <f>G500*AO500</f>
        <v>0</v>
      </c>
      <c r="BI500" s="17">
        <f>G500*AP500</f>
        <v>0</v>
      </c>
      <c r="BJ500" s="17">
        <f>G500*H500</f>
        <v>0</v>
      </c>
      <c r="BK500" s="17"/>
      <c r="BL500" s="17">
        <v>34</v>
      </c>
      <c r="BW500" s="17">
        <f>I500</f>
        <v>12</v>
      </c>
      <c r="BX500" s="4" t="s">
        <v>343</v>
      </c>
    </row>
    <row r="501" spans="1:76" x14ac:dyDescent="0.25">
      <c r="A501" s="1" t="s">
        <v>1043</v>
      </c>
      <c r="B501" s="2" t="s">
        <v>338</v>
      </c>
      <c r="C501" s="2" t="s">
        <v>344</v>
      </c>
      <c r="D501" s="83" t="s">
        <v>345</v>
      </c>
      <c r="E501" s="84"/>
      <c r="F501" s="2" t="s">
        <v>40</v>
      </c>
      <c r="G501" s="17">
        <f>'Rozpočet - vybrané sloupce'!J441</f>
        <v>9</v>
      </c>
      <c r="H501" s="17">
        <f>'Rozpočet - vybrané sloupce'!K441</f>
        <v>0</v>
      </c>
      <c r="I501" s="74">
        <v>12</v>
      </c>
      <c r="J501" s="17">
        <f>ROUND(G501*AO501,2)</f>
        <v>0</v>
      </c>
      <c r="K501" s="17">
        <f>ROUND(G501*AP501,2)</f>
        <v>0</v>
      </c>
      <c r="L501" s="17">
        <f>ROUND(G501*H501,2)</f>
        <v>0</v>
      </c>
      <c r="M501" s="17">
        <f>L501*(1+BW501/100)</f>
        <v>0</v>
      </c>
      <c r="N501" s="17">
        <v>0</v>
      </c>
      <c r="O501" s="17">
        <f>G501*N501</f>
        <v>0</v>
      </c>
      <c r="P501" s="75" t="s">
        <v>576</v>
      </c>
      <c r="Z501" s="17">
        <f>ROUND(IF(AQ501="5",BJ501,0),2)</f>
        <v>0</v>
      </c>
      <c r="AB501" s="17">
        <f>ROUND(IF(AQ501="1",BH501,0),2)</f>
        <v>0</v>
      </c>
      <c r="AC501" s="17">
        <f>ROUND(IF(AQ501="1",BI501,0),2)</f>
        <v>0</v>
      </c>
      <c r="AD501" s="17">
        <f>ROUND(IF(AQ501="7",BH501,0),2)</f>
        <v>0</v>
      </c>
      <c r="AE501" s="17">
        <f>ROUND(IF(AQ501="7",BI501,0),2)</f>
        <v>0</v>
      </c>
      <c r="AF501" s="17">
        <f>ROUND(IF(AQ501="2",BH501,0),2)</f>
        <v>0</v>
      </c>
      <c r="AG501" s="17">
        <f>ROUND(IF(AQ501="2",BI501,0),2)</f>
        <v>0</v>
      </c>
      <c r="AH501" s="17">
        <f>ROUND(IF(AQ501="0",BJ501,0),2)</f>
        <v>0</v>
      </c>
      <c r="AI501" s="14" t="s">
        <v>338</v>
      </c>
      <c r="AJ501" s="17">
        <f>IF(AN501=0,L501,0)</f>
        <v>0</v>
      </c>
      <c r="AK501" s="17">
        <f>IF(AN501=12,L501,0)</f>
        <v>0</v>
      </c>
      <c r="AL501" s="17">
        <f>IF(AN501=21,L501,0)</f>
        <v>0</v>
      </c>
      <c r="AN501" s="17">
        <v>12</v>
      </c>
      <c r="AO501" s="17">
        <f>H501*0</f>
        <v>0</v>
      </c>
      <c r="AP501" s="17">
        <f>H501*(1-0)</f>
        <v>0</v>
      </c>
      <c r="AQ501" s="76" t="s">
        <v>575</v>
      </c>
      <c r="AV501" s="17">
        <f>ROUND(AW501+AX501,2)</f>
        <v>0</v>
      </c>
      <c r="AW501" s="17">
        <f>ROUND(G501*AO501,2)</f>
        <v>0</v>
      </c>
      <c r="AX501" s="17">
        <f>ROUND(G501*AP501,2)</f>
        <v>0</v>
      </c>
      <c r="AY501" s="76" t="s">
        <v>1040</v>
      </c>
      <c r="AZ501" s="76" t="s">
        <v>1041</v>
      </c>
      <c r="BA501" s="14" t="s">
        <v>1042</v>
      </c>
      <c r="BC501" s="17">
        <f>AW501+AX501</f>
        <v>0</v>
      </c>
      <c r="BD501" s="17">
        <f>H501/(100-BE501)*100</f>
        <v>0</v>
      </c>
      <c r="BE501" s="17">
        <v>0</v>
      </c>
      <c r="BF501" s="17">
        <f>O501</f>
        <v>0</v>
      </c>
      <c r="BH501" s="17">
        <f>G501*AO501</f>
        <v>0</v>
      </c>
      <c r="BI501" s="17">
        <f>G501*AP501</f>
        <v>0</v>
      </c>
      <c r="BJ501" s="17">
        <f>G501*H501</f>
        <v>0</v>
      </c>
      <c r="BK501" s="17"/>
      <c r="BL501" s="17">
        <v>34</v>
      </c>
      <c r="BW501" s="17">
        <f>I501</f>
        <v>12</v>
      </c>
      <c r="BX501" s="4" t="s">
        <v>345</v>
      </c>
    </row>
    <row r="502" spans="1:76" x14ac:dyDescent="0.25">
      <c r="A502" s="1" t="s">
        <v>1044</v>
      </c>
      <c r="B502" s="2" t="s">
        <v>338</v>
      </c>
      <c r="C502" s="2" t="s">
        <v>346</v>
      </c>
      <c r="D502" s="83" t="s">
        <v>347</v>
      </c>
      <c r="E502" s="84"/>
      <c r="F502" s="2" t="s">
        <v>35</v>
      </c>
      <c r="G502" s="17">
        <f>'Rozpočet - vybrané sloupce'!J442</f>
        <v>9</v>
      </c>
      <c r="H502" s="17">
        <f>'Rozpočet - vybrané sloupce'!K442</f>
        <v>0</v>
      </c>
      <c r="I502" s="74">
        <v>12</v>
      </c>
      <c r="J502" s="17">
        <f>ROUND(G502*AO502,2)</f>
        <v>0</v>
      </c>
      <c r="K502" s="17">
        <f>ROUND(G502*AP502,2)</f>
        <v>0</v>
      </c>
      <c r="L502" s="17">
        <f>ROUND(G502*H502,2)</f>
        <v>0</v>
      </c>
      <c r="M502" s="17">
        <f>L502*(1+BW502/100)</f>
        <v>0</v>
      </c>
      <c r="N502" s="17">
        <v>0</v>
      </c>
      <c r="O502" s="17">
        <f>G502*N502</f>
        <v>0</v>
      </c>
      <c r="P502" s="75" t="s">
        <v>576</v>
      </c>
      <c r="Z502" s="17">
        <f>ROUND(IF(AQ502="5",BJ502,0),2)</f>
        <v>0</v>
      </c>
      <c r="AB502" s="17">
        <f>ROUND(IF(AQ502="1",BH502,0),2)</f>
        <v>0</v>
      </c>
      <c r="AC502" s="17">
        <f>ROUND(IF(AQ502="1",BI502,0),2)</f>
        <v>0</v>
      </c>
      <c r="AD502" s="17">
        <f>ROUND(IF(AQ502="7",BH502,0),2)</f>
        <v>0</v>
      </c>
      <c r="AE502" s="17">
        <f>ROUND(IF(AQ502="7",BI502,0),2)</f>
        <v>0</v>
      </c>
      <c r="AF502" s="17">
        <f>ROUND(IF(AQ502="2",BH502,0),2)</f>
        <v>0</v>
      </c>
      <c r="AG502" s="17">
        <f>ROUND(IF(AQ502="2",BI502,0),2)</f>
        <v>0</v>
      </c>
      <c r="AH502" s="17">
        <f>ROUND(IF(AQ502="0",BJ502,0),2)</f>
        <v>0</v>
      </c>
      <c r="AI502" s="14" t="s">
        <v>338</v>
      </c>
      <c r="AJ502" s="17">
        <f>IF(AN502=0,L502,0)</f>
        <v>0</v>
      </c>
      <c r="AK502" s="17">
        <f>IF(AN502=12,L502,0)</f>
        <v>0</v>
      </c>
      <c r="AL502" s="17">
        <f>IF(AN502=21,L502,0)</f>
        <v>0</v>
      </c>
      <c r="AN502" s="17">
        <v>12</v>
      </c>
      <c r="AO502" s="17">
        <f>H502*1</f>
        <v>0</v>
      </c>
      <c r="AP502" s="17">
        <f>H502*(1-1)</f>
        <v>0</v>
      </c>
      <c r="AQ502" s="76" t="s">
        <v>575</v>
      </c>
      <c r="AV502" s="17">
        <f>ROUND(AW502+AX502,2)</f>
        <v>0</v>
      </c>
      <c r="AW502" s="17">
        <f>ROUND(G502*AO502,2)</f>
        <v>0</v>
      </c>
      <c r="AX502" s="17">
        <f>ROUND(G502*AP502,2)</f>
        <v>0</v>
      </c>
      <c r="AY502" s="76" t="s">
        <v>1040</v>
      </c>
      <c r="AZ502" s="76" t="s">
        <v>1041</v>
      </c>
      <c r="BA502" s="14" t="s">
        <v>1042</v>
      </c>
      <c r="BC502" s="17">
        <f>AW502+AX502</f>
        <v>0</v>
      </c>
      <c r="BD502" s="17">
        <f>H502/(100-BE502)*100</f>
        <v>0</v>
      </c>
      <c r="BE502" s="17">
        <v>0</v>
      </c>
      <c r="BF502" s="17">
        <f>O502</f>
        <v>0</v>
      </c>
      <c r="BH502" s="17">
        <f>G502*AO502</f>
        <v>0</v>
      </c>
      <c r="BI502" s="17">
        <f>G502*AP502</f>
        <v>0</v>
      </c>
      <c r="BJ502" s="17">
        <f>G502*H502</f>
        <v>0</v>
      </c>
      <c r="BK502" s="17"/>
      <c r="BL502" s="17">
        <v>34</v>
      </c>
      <c r="BW502" s="17">
        <f>I502</f>
        <v>12</v>
      </c>
      <c r="BX502" s="4" t="s">
        <v>347</v>
      </c>
    </row>
    <row r="503" spans="1:76" x14ac:dyDescent="0.25">
      <c r="A503" s="1" t="s">
        <v>1045</v>
      </c>
      <c r="B503" s="2" t="s">
        <v>338</v>
      </c>
      <c r="C503" s="2" t="s">
        <v>348</v>
      </c>
      <c r="D503" s="83" t="s">
        <v>349</v>
      </c>
      <c r="E503" s="84"/>
      <c r="F503" s="2" t="s">
        <v>35</v>
      </c>
      <c r="G503" s="17">
        <f>'Rozpočet - vybrané sloupce'!J443</f>
        <v>9</v>
      </c>
      <c r="H503" s="17">
        <f>'Rozpočet - vybrané sloupce'!K443</f>
        <v>0</v>
      </c>
      <c r="I503" s="74">
        <v>12</v>
      </c>
      <c r="J503" s="17">
        <f>ROUND(G503*AO503,2)</f>
        <v>0</v>
      </c>
      <c r="K503" s="17">
        <f>ROUND(G503*AP503,2)</f>
        <v>0</v>
      </c>
      <c r="L503" s="17">
        <f>ROUND(G503*H503,2)</f>
        <v>0</v>
      </c>
      <c r="M503" s="17">
        <f>L503*(1+BW503/100)</f>
        <v>0</v>
      </c>
      <c r="N503" s="17">
        <v>2.4000000000000001E-4</v>
      </c>
      <c r="O503" s="17">
        <f>G503*N503</f>
        <v>2.16E-3</v>
      </c>
      <c r="P503" s="75" t="s">
        <v>576</v>
      </c>
      <c r="Z503" s="17">
        <f>ROUND(IF(AQ503="5",BJ503,0),2)</f>
        <v>0</v>
      </c>
      <c r="AB503" s="17">
        <f>ROUND(IF(AQ503="1",BH503,0),2)</f>
        <v>0</v>
      </c>
      <c r="AC503" s="17">
        <f>ROUND(IF(AQ503="1",BI503,0),2)</f>
        <v>0</v>
      </c>
      <c r="AD503" s="17">
        <f>ROUND(IF(AQ503="7",BH503,0),2)</f>
        <v>0</v>
      </c>
      <c r="AE503" s="17">
        <f>ROUND(IF(AQ503="7",BI503,0),2)</f>
        <v>0</v>
      </c>
      <c r="AF503" s="17">
        <f>ROUND(IF(AQ503="2",BH503,0),2)</f>
        <v>0</v>
      </c>
      <c r="AG503" s="17">
        <f>ROUND(IF(AQ503="2",BI503,0),2)</f>
        <v>0</v>
      </c>
      <c r="AH503" s="17">
        <f>ROUND(IF(AQ503="0",BJ503,0),2)</f>
        <v>0</v>
      </c>
      <c r="AI503" s="14" t="s">
        <v>338</v>
      </c>
      <c r="AJ503" s="17">
        <f>IF(AN503=0,L503,0)</f>
        <v>0</v>
      </c>
      <c r="AK503" s="17">
        <f>IF(AN503=12,L503,0)</f>
        <v>0</v>
      </c>
      <c r="AL503" s="17">
        <f>IF(AN503=21,L503,0)</f>
        <v>0</v>
      </c>
      <c r="AN503" s="17">
        <v>12</v>
      </c>
      <c r="AO503" s="17">
        <f>H503*0.02254062</f>
        <v>0</v>
      </c>
      <c r="AP503" s="17">
        <f>H503*(1-0.02254062)</f>
        <v>0</v>
      </c>
      <c r="AQ503" s="76" t="s">
        <v>575</v>
      </c>
      <c r="AV503" s="17">
        <f>ROUND(AW503+AX503,2)</f>
        <v>0</v>
      </c>
      <c r="AW503" s="17">
        <f>ROUND(G503*AO503,2)</f>
        <v>0</v>
      </c>
      <c r="AX503" s="17">
        <f>ROUND(G503*AP503,2)</f>
        <v>0</v>
      </c>
      <c r="AY503" s="76" t="s">
        <v>1040</v>
      </c>
      <c r="AZ503" s="76" t="s">
        <v>1041</v>
      </c>
      <c r="BA503" s="14" t="s">
        <v>1042</v>
      </c>
      <c r="BC503" s="17">
        <f>AW503+AX503</f>
        <v>0</v>
      </c>
      <c r="BD503" s="17">
        <f>H503/(100-BE503)*100</f>
        <v>0</v>
      </c>
      <c r="BE503" s="17">
        <v>0</v>
      </c>
      <c r="BF503" s="17">
        <f>O503</f>
        <v>2.16E-3</v>
      </c>
      <c r="BH503" s="17">
        <f>G503*AO503</f>
        <v>0</v>
      </c>
      <c r="BI503" s="17">
        <f>G503*AP503</f>
        <v>0</v>
      </c>
      <c r="BJ503" s="17">
        <f>G503*H503</f>
        <v>0</v>
      </c>
      <c r="BK503" s="17"/>
      <c r="BL503" s="17">
        <v>34</v>
      </c>
      <c r="BW503" s="17">
        <f>I503</f>
        <v>12</v>
      </c>
      <c r="BX503" s="4" t="s">
        <v>349</v>
      </c>
    </row>
    <row r="504" spans="1:76" ht="25.5" x14ac:dyDescent="0.25">
      <c r="A504" s="77"/>
      <c r="C504" s="78" t="s">
        <v>610</v>
      </c>
      <c r="D504" s="161" t="s">
        <v>1046</v>
      </c>
      <c r="E504" s="162"/>
      <c r="F504" s="162"/>
      <c r="G504" s="162"/>
      <c r="H504" s="162"/>
      <c r="I504" s="162"/>
      <c r="J504" s="162"/>
      <c r="K504" s="162"/>
      <c r="L504" s="162"/>
      <c r="M504" s="162"/>
      <c r="N504" s="162"/>
      <c r="O504" s="162"/>
      <c r="P504" s="163"/>
      <c r="BX504" s="79" t="s">
        <v>1046</v>
      </c>
    </row>
    <row r="505" spans="1:76" x14ac:dyDescent="0.25">
      <c r="A505" s="1" t="s">
        <v>1047</v>
      </c>
      <c r="B505" s="2" t="s">
        <v>338</v>
      </c>
      <c r="C505" s="2" t="s">
        <v>350</v>
      </c>
      <c r="D505" s="83" t="s">
        <v>351</v>
      </c>
      <c r="E505" s="84"/>
      <c r="F505" s="2" t="s">
        <v>35</v>
      </c>
      <c r="G505" s="17">
        <f>'Rozpočet - vybrané sloupce'!J444</f>
        <v>9</v>
      </c>
      <c r="H505" s="17">
        <f>'Rozpočet - vybrané sloupce'!K444</f>
        <v>0</v>
      </c>
      <c r="I505" s="74">
        <v>12</v>
      </c>
      <c r="J505" s="17">
        <f>ROUND(G505*AO505,2)</f>
        <v>0</v>
      </c>
      <c r="K505" s="17">
        <f>ROUND(G505*AP505,2)</f>
        <v>0</v>
      </c>
      <c r="L505" s="17">
        <f>ROUND(G505*H505,2)</f>
        <v>0</v>
      </c>
      <c r="M505" s="17">
        <f>L505*(1+BW505/100)</f>
        <v>0</v>
      </c>
      <c r="N505" s="17">
        <v>0</v>
      </c>
      <c r="O505" s="17">
        <f>G505*N505</f>
        <v>0</v>
      </c>
      <c r="P505" s="75" t="s">
        <v>576</v>
      </c>
      <c r="Z505" s="17">
        <f>ROUND(IF(AQ505="5",BJ505,0),2)</f>
        <v>0</v>
      </c>
      <c r="AB505" s="17">
        <f>ROUND(IF(AQ505="1",BH505,0),2)</f>
        <v>0</v>
      </c>
      <c r="AC505" s="17">
        <f>ROUND(IF(AQ505="1",BI505,0),2)</f>
        <v>0</v>
      </c>
      <c r="AD505" s="17">
        <f>ROUND(IF(AQ505="7",BH505,0),2)</f>
        <v>0</v>
      </c>
      <c r="AE505" s="17">
        <f>ROUND(IF(AQ505="7",BI505,0),2)</f>
        <v>0</v>
      </c>
      <c r="AF505" s="17">
        <f>ROUND(IF(AQ505="2",BH505,0),2)</f>
        <v>0</v>
      </c>
      <c r="AG505" s="17">
        <f>ROUND(IF(AQ505="2",BI505,0),2)</f>
        <v>0</v>
      </c>
      <c r="AH505" s="17">
        <f>ROUND(IF(AQ505="0",BJ505,0),2)</f>
        <v>0</v>
      </c>
      <c r="AI505" s="14" t="s">
        <v>338</v>
      </c>
      <c r="AJ505" s="17">
        <f>IF(AN505=0,L505,0)</f>
        <v>0</v>
      </c>
      <c r="AK505" s="17">
        <f>IF(AN505=12,L505,0)</f>
        <v>0</v>
      </c>
      <c r="AL505" s="17">
        <f>IF(AN505=21,L505,0)</f>
        <v>0</v>
      </c>
      <c r="AN505" s="17">
        <v>12</v>
      </c>
      <c r="AO505" s="17">
        <f>H505*1</f>
        <v>0</v>
      </c>
      <c r="AP505" s="17">
        <f>H505*(1-1)</f>
        <v>0</v>
      </c>
      <c r="AQ505" s="76" t="s">
        <v>575</v>
      </c>
      <c r="AV505" s="17">
        <f>ROUND(AW505+AX505,2)</f>
        <v>0</v>
      </c>
      <c r="AW505" s="17">
        <f>ROUND(G505*AO505,2)</f>
        <v>0</v>
      </c>
      <c r="AX505" s="17">
        <f>ROUND(G505*AP505,2)</f>
        <v>0</v>
      </c>
      <c r="AY505" s="76" t="s">
        <v>1040</v>
      </c>
      <c r="AZ505" s="76" t="s">
        <v>1041</v>
      </c>
      <c r="BA505" s="14" t="s">
        <v>1042</v>
      </c>
      <c r="BC505" s="17">
        <f>AW505+AX505</f>
        <v>0</v>
      </c>
      <c r="BD505" s="17">
        <f>H505/(100-BE505)*100</f>
        <v>0</v>
      </c>
      <c r="BE505" s="17">
        <v>0</v>
      </c>
      <c r="BF505" s="17">
        <f>O505</f>
        <v>0</v>
      </c>
      <c r="BH505" s="17">
        <f>G505*AO505</f>
        <v>0</v>
      </c>
      <c r="BI505" s="17">
        <f>G505*AP505</f>
        <v>0</v>
      </c>
      <c r="BJ505" s="17">
        <f>G505*H505</f>
        <v>0</v>
      </c>
      <c r="BK505" s="17"/>
      <c r="BL505" s="17">
        <v>34</v>
      </c>
      <c r="BW505" s="17">
        <f>I505</f>
        <v>12</v>
      </c>
      <c r="BX505" s="4" t="s">
        <v>351</v>
      </c>
    </row>
    <row r="506" spans="1:76" x14ac:dyDescent="0.25">
      <c r="A506" s="1" t="s">
        <v>1048</v>
      </c>
      <c r="B506" s="2" t="s">
        <v>338</v>
      </c>
      <c r="C506" s="2" t="s">
        <v>352</v>
      </c>
      <c r="D506" s="83" t="s">
        <v>353</v>
      </c>
      <c r="E506" s="84"/>
      <c r="F506" s="2" t="s">
        <v>354</v>
      </c>
      <c r="G506" s="17">
        <f>'Rozpočet - vybrané sloupce'!J445</f>
        <v>0.9</v>
      </c>
      <c r="H506" s="17">
        <f>'Rozpočet - vybrané sloupce'!K445</f>
        <v>0</v>
      </c>
      <c r="I506" s="74">
        <v>12</v>
      </c>
      <c r="J506" s="17">
        <f>ROUND(G506*AO506,2)</f>
        <v>0</v>
      </c>
      <c r="K506" s="17">
        <f>ROUND(G506*AP506,2)</f>
        <v>0</v>
      </c>
      <c r="L506" s="17">
        <f>ROUND(G506*H506,2)</f>
        <v>0</v>
      </c>
      <c r="M506" s="17">
        <f>L506*(1+BW506/100)</f>
        <v>0</v>
      </c>
      <c r="N506" s="17">
        <v>0.25897999999999999</v>
      </c>
      <c r="O506" s="17">
        <f>G506*N506</f>
        <v>0.23308199999999998</v>
      </c>
      <c r="P506" s="75" t="s">
        <v>576</v>
      </c>
      <c r="Z506" s="17">
        <f>ROUND(IF(AQ506="5",BJ506,0),2)</f>
        <v>0</v>
      </c>
      <c r="AB506" s="17">
        <f>ROUND(IF(AQ506="1",BH506,0),2)</f>
        <v>0</v>
      </c>
      <c r="AC506" s="17">
        <f>ROUND(IF(AQ506="1",BI506,0),2)</f>
        <v>0</v>
      </c>
      <c r="AD506" s="17">
        <f>ROUND(IF(AQ506="7",BH506,0),2)</f>
        <v>0</v>
      </c>
      <c r="AE506" s="17">
        <f>ROUND(IF(AQ506="7",BI506,0),2)</f>
        <v>0</v>
      </c>
      <c r="AF506" s="17">
        <f>ROUND(IF(AQ506="2",BH506,0),2)</f>
        <v>0</v>
      </c>
      <c r="AG506" s="17">
        <f>ROUND(IF(AQ506="2",BI506,0),2)</f>
        <v>0</v>
      </c>
      <c r="AH506" s="17">
        <f>ROUND(IF(AQ506="0",BJ506,0),2)</f>
        <v>0</v>
      </c>
      <c r="AI506" s="14" t="s">
        <v>338</v>
      </c>
      <c r="AJ506" s="17">
        <f>IF(AN506=0,L506,0)</f>
        <v>0</v>
      </c>
      <c r="AK506" s="17">
        <f>IF(AN506=12,L506,0)</f>
        <v>0</v>
      </c>
      <c r="AL506" s="17">
        <f>IF(AN506=21,L506,0)</f>
        <v>0</v>
      </c>
      <c r="AN506" s="17">
        <v>12</v>
      </c>
      <c r="AO506" s="17">
        <f>H506*0.488795681</f>
        <v>0</v>
      </c>
      <c r="AP506" s="17">
        <f>H506*(1-0.488795681)</f>
        <v>0</v>
      </c>
      <c r="AQ506" s="76" t="s">
        <v>575</v>
      </c>
      <c r="AV506" s="17">
        <f>ROUND(AW506+AX506,2)</f>
        <v>0</v>
      </c>
      <c r="AW506" s="17">
        <f>ROUND(G506*AO506,2)</f>
        <v>0</v>
      </c>
      <c r="AX506" s="17">
        <f>ROUND(G506*AP506,2)</f>
        <v>0</v>
      </c>
      <c r="AY506" s="76" t="s">
        <v>1040</v>
      </c>
      <c r="AZ506" s="76" t="s">
        <v>1041</v>
      </c>
      <c r="BA506" s="14" t="s">
        <v>1042</v>
      </c>
      <c r="BC506" s="17">
        <f>AW506+AX506</f>
        <v>0</v>
      </c>
      <c r="BD506" s="17">
        <f>H506/(100-BE506)*100</f>
        <v>0</v>
      </c>
      <c r="BE506" s="17">
        <v>0</v>
      </c>
      <c r="BF506" s="17">
        <f>O506</f>
        <v>0.23308199999999998</v>
      </c>
      <c r="BH506" s="17">
        <f>G506*AO506</f>
        <v>0</v>
      </c>
      <c r="BI506" s="17">
        <f>G506*AP506</f>
        <v>0</v>
      </c>
      <c r="BJ506" s="17">
        <f>G506*H506</f>
        <v>0</v>
      </c>
      <c r="BK506" s="17"/>
      <c r="BL506" s="17">
        <v>34</v>
      </c>
      <c r="BW506" s="17">
        <f>I506</f>
        <v>12</v>
      </c>
      <c r="BX506" s="4" t="s">
        <v>353</v>
      </c>
    </row>
    <row r="507" spans="1:76" ht="25.5" x14ac:dyDescent="0.25">
      <c r="A507" s="77"/>
      <c r="C507" s="78" t="s">
        <v>610</v>
      </c>
      <c r="D507" s="161" t="s">
        <v>1049</v>
      </c>
      <c r="E507" s="162"/>
      <c r="F507" s="162"/>
      <c r="G507" s="162"/>
      <c r="H507" s="162"/>
      <c r="I507" s="162"/>
      <c r="J507" s="162"/>
      <c r="K507" s="162"/>
      <c r="L507" s="162"/>
      <c r="M507" s="162"/>
      <c r="N507" s="162"/>
      <c r="O507" s="162"/>
      <c r="P507" s="163"/>
      <c r="BX507" s="79" t="s">
        <v>1049</v>
      </c>
    </row>
    <row r="508" spans="1:76" x14ac:dyDescent="0.25">
      <c r="A508" s="1" t="s">
        <v>1050</v>
      </c>
      <c r="B508" s="2" t="s">
        <v>338</v>
      </c>
      <c r="C508" s="2" t="s">
        <v>355</v>
      </c>
      <c r="D508" s="83" t="s">
        <v>356</v>
      </c>
      <c r="E508" s="84"/>
      <c r="F508" s="2" t="s">
        <v>88</v>
      </c>
      <c r="G508" s="17">
        <f>'Rozpočet - vybrané sloupce'!J446</f>
        <v>0.5</v>
      </c>
      <c r="H508" s="17">
        <f>'Rozpočet - vybrané sloupce'!K446</f>
        <v>0</v>
      </c>
      <c r="I508" s="74">
        <v>12</v>
      </c>
      <c r="J508" s="17">
        <f>ROUND(G508*AO508,2)</f>
        <v>0</v>
      </c>
      <c r="K508" s="17">
        <f>ROUND(G508*AP508,2)</f>
        <v>0</v>
      </c>
      <c r="L508" s="17">
        <f>ROUND(G508*H508,2)</f>
        <v>0</v>
      </c>
      <c r="M508" s="17">
        <f>L508*(1+BW508/100)</f>
        <v>0</v>
      </c>
      <c r="N508" s="17">
        <v>0</v>
      </c>
      <c r="O508" s="17">
        <f>G508*N508</f>
        <v>0</v>
      </c>
      <c r="P508" s="75" t="s">
        <v>576</v>
      </c>
      <c r="Z508" s="17">
        <f>ROUND(IF(AQ508="5",BJ508,0),2)</f>
        <v>0</v>
      </c>
      <c r="AB508" s="17">
        <f>ROUND(IF(AQ508="1",BH508,0),2)</f>
        <v>0</v>
      </c>
      <c r="AC508" s="17">
        <f>ROUND(IF(AQ508="1",BI508,0),2)</f>
        <v>0</v>
      </c>
      <c r="AD508" s="17">
        <f>ROUND(IF(AQ508="7",BH508,0),2)</f>
        <v>0</v>
      </c>
      <c r="AE508" s="17">
        <f>ROUND(IF(AQ508="7",BI508,0),2)</f>
        <v>0</v>
      </c>
      <c r="AF508" s="17">
        <f>ROUND(IF(AQ508="2",BH508,0),2)</f>
        <v>0</v>
      </c>
      <c r="AG508" s="17">
        <f>ROUND(IF(AQ508="2",BI508,0),2)</f>
        <v>0</v>
      </c>
      <c r="AH508" s="17">
        <f>ROUND(IF(AQ508="0",BJ508,0),2)</f>
        <v>0</v>
      </c>
      <c r="AI508" s="14" t="s">
        <v>338</v>
      </c>
      <c r="AJ508" s="17">
        <f>IF(AN508=0,L508,0)</f>
        <v>0</v>
      </c>
      <c r="AK508" s="17">
        <f>IF(AN508=12,L508,0)</f>
        <v>0</v>
      </c>
      <c r="AL508" s="17">
        <f>IF(AN508=21,L508,0)</f>
        <v>0</v>
      </c>
      <c r="AN508" s="17">
        <v>12</v>
      </c>
      <c r="AO508" s="17">
        <f>H508*0</f>
        <v>0</v>
      </c>
      <c r="AP508" s="17">
        <f>H508*(1-0)</f>
        <v>0</v>
      </c>
      <c r="AQ508" s="76" t="s">
        <v>585</v>
      </c>
      <c r="AV508" s="17">
        <f>ROUND(AW508+AX508,2)</f>
        <v>0</v>
      </c>
      <c r="AW508" s="17">
        <f>ROUND(G508*AO508,2)</f>
        <v>0</v>
      </c>
      <c r="AX508" s="17">
        <f>ROUND(G508*AP508,2)</f>
        <v>0</v>
      </c>
      <c r="AY508" s="76" t="s">
        <v>1040</v>
      </c>
      <c r="AZ508" s="76" t="s">
        <v>1041</v>
      </c>
      <c r="BA508" s="14" t="s">
        <v>1042</v>
      </c>
      <c r="BC508" s="17">
        <f>AW508+AX508</f>
        <v>0</v>
      </c>
      <c r="BD508" s="17">
        <f>H508/(100-BE508)*100</f>
        <v>0</v>
      </c>
      <c r="BE508" s="17">
        <v>0</v>
      </c>
      <c r="BF508" s="17">
        <f>O508</f>
        <v>0</v>
      </c>
      <c r="BH508" s="17">
        <f>G508*AO508</f>
        <v>0</v>
      </c>
      <c r="BI508" s="17">
        <f>G508*AP508</f>
        <v>0</v>
      </c>
      <c r="BJ508" s="17">
        <f>G508*H508</f>
        <v>0</v>
      </c>
      <c r="BK508" s="17"/>
      <c r="BL508" s="17">
        <v>34</v>
      </c>
      <c r="BW508" s="17">
        <f>I508</f>
        <v>12</v>
      </c>
      <c r="BX508" s="4" t="s">
        <v>356</v>
      </c>
    </row>
    <row r="509" spans="1:76" x14ac:dyDescent="0.25">
      <c r="A509" s="71" t="s">
        <v>25</v>
      </c>
      <c r="B509" s="13" t="s">
        <v>338</v>
      </c>
      <c r="C509" s="13" t="s">
        <v>357</v>
      </c>
      <c r="D509" s="135" t="s">
        <v>358</v>
      </c>
      <c r="E509" s="136"/>
      <c r="F509" s="72" t="s">
        <v>23</v>
      </c>
      <c r="G509" s="72" t="s">
        <v>23</v>
      </c>
      <c r="H509" s="72" t="s">
        <v>23</v>
      </c>
      <c r="I509" s="72" t="s">
        <v>23</v>
      </c>
      <c r="J509" s="47">
        <f>SUM(J510:J512)</f>
        <v>0</v>
      </c>
      <c r="K509" s="47">
        <f>SUM(K510:K512)</f>
        <v>0</v>
      </c>
      <c r="L509" s="47">
        <f>SUM(L510:L512)</f>
        <v>0</v>
      </c>
      <c r="M509" s="47">
        <f>SUM(M510:M512)</f>
        <v>0</v>
      </c>
      <c r="N509" s="14" t="s">
        <v>25</v>
      </c>
      <c r="O509" s="47">
        <f>SUM(O510:O512)</f>
        <v>0.78012000000000004</v>
      </c>
      <c r="P509" s="73" t="s">
        <v>25</v>
      </c>
      <c r="AI509" s="14" t="s">
        <v>338</v>
      </c>
      <c r="AS509" s="47">
        <f>SUM(AJ510:AJ512)</f>
        <v>0</v>
      </c>
      <c r="AT509" s="47">
        <f>SUM(AK510:AK512)</f>
        <v>0</v>
      </c>
      <c r="AU509" s="47">
        <f>SUM(AL510:AL512)</f>
        <v>0</v>
      </c>
    </row>
    <row r="510" spans="1:76" x14ac:dyDescent="0.25">
      <c r="A510" s="1" t="s">
        <v>1051</v>
      </c>
      <c r="B510" s="2" t="s">
        <v>338</v>
      </c>
      <c r="C510" s="2" t="s">
        <v>359</v>
      </c>
      <c r="D510" s="83" t="s">
        <v>360</v>
      </c>
      <c r="E510" s="84"/>
      <c r="F510" s="2" t="s">
        <v>35</v>
      </c>
      <c r="G510" s="17">
        <f>'Rozpočet - vybrané sloupce'!J448</f>
        <v>12</v>
      </c>
      <c r="H510" s="17">
        <f>'Rozpočet - vybrané sloupce'!K448</f>
        <v>0</v>
      </c>
      <c r="I510" s="74">
        <v>12</v>
      </c>
      <c r="J510" s="17">
        <f>ROUND(G510*AO510,2)</f>
        <v>0</v>
      </c>
      <c r="K510" s="17">
        <f>ROUND(G510*AP510,2)</f>
        <v>0</v>
      </c>
      <c r="L510" s="17">
        <f>ROUND(G510*H510,2)</f>
        <v>0</v>
      </c>
      <c r="M510" s="17">
        <f>L510*(1+BW510/100)</f>
        <v>0</v>
      </c>
      <c r="N510" s="17">
        <v>1.298E-2</v>
      </c>
      <c r="O510" s="17">
        <f>G510*N510</f>
        <v>0.15576000000000001</v>
      </c>
      <c r="P510" s="75" t="s">
        <v>576</v>
      </c>
      <c r="Z510" s="17">
        <f>ROUND(IF(AQ510="5",BJ510,0),2)</f>
        <v>0</v>
      </c>
      <c r="AB510" s="17">
        <f>ROUND(IF(AQ510="1",BH510,0),2)</f>
        <v>0</v>
      </c>
      <c r="AC510" s="17">
        <f>ROUND(IF(AQ510="1",BI510,0),2)</f>
        <v>0</v>
      </c>
      <c r="AD510" s="17">
        <f>ROUND(IF(AQ510="7",BH510,0),2)</f>
        <v>0</v>
      </c>
      <c r="AE510" s="17">
        <f>ROUND(IF(AQ510="7",BI510,0),2)</f>
        <v>0</v>
      </c>
      <c r="AF510" s="17">
        <f>ROUND(IF(AQ510="2",BH510,0),2)</f>
        <v>0</v>
      </c>
      <c r="AG510" s="17">
        <f>ROUND(IF(AQ510="2",BI510,0),2)</f>
        <v>0</v>
      </c>
      <c r="AH510" s="17">
        <f>ROUND(IF(AQ510="0",BJ510,0),2)</f>
        <v>0</v>
      </c>
      <c r="AI510" s="14" t="s">
        <v>338</v>
      </c>
      <c r="AJ510" s="17">
        <f>IF(AN510=0,L510,0)</f>
        <v>0</v>
      </c>
      <c r="AK510" s="17">
        <f>IF(AN510=12,L510,0)</f>
        <v>0</v>
      </c>
      <c r="AL510" s="17">
        <f>IF(AN510=21,L510,0)</f>
        <v>0</v>
      </c>
      <c r="AN510" s="17">
        <v>12</v>
      </c>
      <c r="AO510" s="17">
        <f>H510*0.310217028</f>
        <v>0</v>
      </c>
      <c r="AP510" s="17">
        <f>H510*(1-0.310217028)</f>
        <v>0</v>
      </c>
      <c r="AQ510" s="76" t="s">
        <v>575</v>
      </c>
      <c r="AV510" s="17">
        <f>ROUND(AW510+AX510,2)</f>
        <v>0</v>
      </c>
      <c r="AW510" s="17">
        <f>ROUND(G510*AO510,2)</f>
        <v>0</v>
      </c>
      <c r="AX510" s="17">
        <f>ROUND(G510*AP510,2)</f>
        <v>0</v>
      </c>
      <c r="AY510" s="76" t="s">
        <v>1052</v>
      </c>
      <c r="AZ510" s="76" t="s">
        <v>1053</v>
      </c>
      <c r="BA510" s="14" t="s">
        <v>1042</v>
      </c>
      <c r="BC510" s="17">
        <f>AW510+AX510</f>
        <v>0</v>
      </c>
      <c r="BD510" s="17">
        <f>H510/(100-BE510)*100</f>
        <v>0</v>
      </c>
      <c r="BE510" s="17">
        <v>0</v>
      </c>
      <c r="BF510" s="17">
        <f>O510</f>
        <v>0.15576000000000001</v>
      </c>
      <c r="BH510" s="17">
        <f>G510*AO510</f>
        <v>0</v>
      </c>
      <c r="BI510" s="17">
        <f>G510*AP510</f>
        <v>0</v>
      </c>
      <c r="BJ510" s="17">
        <f>G510*H510</f>
        <v>0</v>
      </c>
      <c r="BK510" s="17"/>
      <c r="BL510" s="17">
        <v>411</v>
      </c>
      <c r="BW510" s="17">
        <f>I510</f>
        <v>12</v>
      </c>
      <c r="BX510" s="4" t="s">
        <v>360</v>
      </c>
    </row>
    <row r="511" spans="1:76" x14ac:dyDescent="0.25">
      <c r="A511" s="1" t="s">
        <v>1054</v>
      </c>
      <c r="B511" s="2" t="s">
        <v>338</v>
      </c>
      <c r="C511" s="2" t="s">
        <v>361</v>
      </c>
      <c r="D511" s="83" t="s">
        <v>362</v>
      </c>
      <c r="E511" s="84"/>
      <c r="F511" s="2" t="s">
        <v>35</v>
      </c>
      <c r="G511" s="17">
        <f>'Rozpočet - vybrané sloupce'!J449</f>
        <v>12</v>
      </c>
      <c r="H511" s="17">
        <f>'Rozpočet - vybrané sloupce'!K449</f>
        <v>0</v>
      </c>
      <c r="I511" s="74">
        <v>12</v>
      </c>
      <c r="J511" s="17">
        <f>ROUND(G511*AO511,2)</f>
        <v>0</v>
      </c>
      <c r="K511" s="17">
        <f>ROUND(G511*AP511,2)</f>
        <v>0</v>
      </c>
      <c r="L511" s="17">
        <f>ROUND(G511*H511,2)</f>
        <v>0</v>
      </c>
      <c r="M511" s="17">
        <f>L511*(1+BW511/100)</f>
        <v>0</v>
      </c>
      <c r="N511" s="17">
        <v>5.203E-2</v>
      </c>
      <c r="O511" s="17">
        <f>G511*N511</f>
        <v>0.62436000000000003</v>
      </c>
      <c r="P511" s="75" t="s">
        <v>576</v>
      </c>
      <c r="Z511" s="17">
        <f>ROUND(IF(AQ511="5",BJ511,0),2)</f>
        <v>0</v>
      </c>
      <c r="AB511" s="17">
        <f>ROUND(IF(AQ511="1",BH511,0),2)</f>
        <v>0</v>
      </c>
      <c r="AC511" s="17">
        <f>ROUND(IF(AQ511="1",BI511,0),2)</f>
        <v>0</v>
      </c>
      <c r="AD511" s="17">
        <f>ROUND(IF(AQ511="7",BH511,0),2)</f>
        <v>0</v>
      </c>
      <c r="AE511" s="17">
        <f>ROUND(IF(AQ511="7",BI511,0),2)</f>
        <v>0</v>
      </c>
      <c r="AF511" s="17">
        <f>ROUND(IF(AQ511="2",BH511,0),2)</f>
        <v>0</v>
      </c>
      <c r="AG511" s="17">
        <f>ROUND(IF(AQ511="2",BI511,0),2)</f>
        <v>0</v>
      </c>
      <c r="AH511" s="17">
        <f>ROUND(IF(AQ511="0",BJ511,0),2)</f>
        <v>0</v>
      </c>
      <c r="AI511" s="14" t="s">
        <v>338</v>
      </c>
      <c r="AJ511" s="17">
        <f>IF(AN511=0,L511,0)</f>
        <v>0</v>
      </c>
      <c r="AK511" s="17">
        <f>IF(AN511=12,L511,0)</f>
        <v>0</v>
      </c>
      <c r="AL511" s="17">
        <f>IF(AN511=21,L511,0)</f>
        <v>0</v>
      </c>
      <c r="AN511" s="17">
        <v>12</v>
      </c>
      <c r="AO511" s="17">
        <f>H511*0.1272</f>
        <v>0</v>
      </c>
      <c r="AP511" s="17">
        <f>H511*(1-0.1272)</f>
        <v>0</v>
      </c>
      <c r="AQ511" s="76" t="s">
        <v>575</v>
      </c>
      <c r="AV511" s="17">
        <f>ROUND(AW511+AX511,2)</f>
        <v>0</v>
      </c>
      <c r="AW511" s="17">
        <f>ROUND(G511*AO511,2)</f>
        <v>0</v>
      </c>
      <c r="AX511" s="17">
        <f>ROUND(G511*AP511,2)</f>
        <v>0</v>
      </c>
      <c r="AY511" s="76" t="s">
        <v>1052</v>
      </c>
      <c r="AZ511" s="76" t="s">
        <v>1053</v>
      </c>
      <c r="BA511" s="14" t="s">
        <v>1042</v>
      </c>
      <c r="BC511" s="17">
        <f>AW511+AX511</f>
        <v>0</v>
      </c>
      <c r="BD511" s="17">
        <f>H511/(100-BE511)*100</f>
        <v>0</v>
      </c>
      <c r="BE511" s="17">
        <v>0</v>
      </c>
      <c r="BF511" s="17">
        <f>O511</f>
        <v>0.62436000000000003</v>
      </c>
      <c r="BH511" s="17">
        <f>G511*AO511</f>
        <v>0</v>
      </c>
      <c r="BI511" s="17">
        <f>G511*AP511</f>
        <v>0</v>
      </c>
      <c r="BJ511" s="17">
        <f>G511*H511</f>
        <v>0</v>
      </c>
      <c r="BK511" s="17"/>
      <c r="BL511" s="17">
        <v>411</v>
      </c>
      <c r="BW511" s="17">
        <f>I511</f>
        <v>12</v>
      </c>
      <c r="BX511" s="4" t="s">
        <v>362</v>
      </c>
    </row>
    <row r="512" spans="1:76" x14ac:dyDescent="0.25">
      <c r="A512" s="1" t="s">
        <v>1055</v>
      </c>
      <c r="B512" s="2" t="s">
        <v>338</v>
      </c>
      <c r="C512" s="2" t="s">
        <v>355</v>
      </c>
      <c r="D512" s="83" t="s">
        <v>356</v>
      </c>
      <c r="E512" s="84"/>
      <c r="F512" s="2" t="s">
        <v>88</v>
      </c>
      <c r="G512" s="17">
        <f>'Rozpočet - vybrané sloupce'!J450</f>
        <v>0.8</v>
      </c>
      <c r="H512" s="17">
        <f>'Rozpočet - vybrané sloupce'!K450</f>
        <v>0</v>
      </c>
      <c r="I512" s="74">
        <v>12</v>
      </c>
      <c r="J512" s="17">
        <f>ROUND(G512*AO512,2)</f>
        <v>0</v>
      </c>
      <c r="K512" s="17">
        <f>ROUND(G512*AP512,2)</f>
        <v>0</v>
      </c>
      <c r="L512" s="17">
        <f>ROUND(G512*H512,2)</f>
        <v>0</v>
      </c>
      <c r="M512" s="17">
        <f>L512*(1+BW512/100)</f>
        <v>0</v>
      </c>
      <c r="N512" s="17">
        <v>0</v>
      </c>
      <c r="O512" s="17">
        <f>G512*N512</f>
        <v>0</v>
      </c>
      <c r="P512" s="75" t="s">
        <v>576</v>
      </c>
      <c r="Z512" s="17">
        <f>ROUND(IF(AQ512="5",BJ512,0),2)</f>
        <v>0</v>
      </c>
      <c r="AB512" s="17">
        <f>ROUND(IF(AQ512="1",BH512,0),2)</f>
        <v>0</v>
      </c>
      <c r="AC512" s="17">
        <f>ROUND(IF(AQ512="1",BI512,0),2)</f>
        <v>0</v>
      </c>
      <c r="AD512" s="17">
        <f>ROUND(IF(AQ512="7",BH512,0),2)</f>
        <v>0</v>
      </c>
      <c r="AE512" s="17">
        <f>ROUND(IF(AQ512="7",BI512,0),2)</f>
        <v>0</v>
      </c>
      <c r="AF512" s="17">
        <f>ROUND(IF(AQ512="2",BH512,0),2)</f>
        <v>0</v>
      </c>
      <c r="AG512" s="17">
        <f>ROUND(IF(AQ512="2",BI512,0),2)</f>
        <v>0</v>
      </c>
      <c r="AH512" s="17">
        <f>ROUND(IF(AQ512="0",BJ512,0),2)</f>
        <v>0</v>
      </c>
      <c r="AI512" s="14" t="s">
        <v>338</v>
      </c>
      <c r="AJ512" s="17">
        <f>IF(AN512=0,L512,0)</f>
        <v>0</v>
      </c>
      <c r="AK512" s="17">
        <f>IF(AN512=12,L512,0)</f>
        <v>0</v>
      </c>
      <c r="AL512" s="17">
        <f>IF(AN512=21,L512,0)</f>
        <v>0</v>
      </c>
      <c r="AN512" s="17">
        <v>12</v>
      </c>
      <c r="AO512" s="17">
        <f>H512*0</f>
        <v>0</v>
      </c>
      <c r="AP512" s="17">
        <f>H512*(1-0)</f>
        <v>0</v>
      </c>
      <c r="AQ512" s="76" t="s">
        <v>585</v>
      </c>
      <c r="AV512" s="17">
        <f>ROUND(AW512+AX512,2)</f>
        <v>0</v>
      </c>
      <c r="AW512" s="17">
        <f>ROUND(G512*AO512,2)</f>
        <v>0</v>
      </c>
      <c r="AX512" s="17">
        <f>ROUND(G512*AP512,2)</f>
        <v>0</v>
      </c>
      <c r="AY512" s="76" t="s">
        <v>1052</v>
      </c>
      <c r="AZ512" s="76" t="s">
        <v>1053</v>
      </c>
      <c r="BA512" s="14" t="s">
        <v>1042</v>
      </c>
      <c r="BC512" s="17">
        <f>AW512+AX512</f>
        <v>0</v>
      </c>
      <c r="BD512" s="17">
        <f>H512/(100-BE512)*100</f>
        <v>0</v>
      </c>
      <c r="BE512" s="17">
        <v>0</v>
      </c>
      <c r="BF512" s="17">
        <f>O512</f>
        <v>0</v>
      </c>
      <c r="BH512" s="17">
        <f>G512*AO512</f>
        <v>0</v>
      </c>
      <c r="BI512" s="17">
        <f>G512*AP512</f>
        <v>0</v>
      </c>
      <c r="BJ512" s="17">
        <f>G512*H512</f>
        <v>0</v>
      </c>
      <c r="BK512" s="17"/>
      <c r="BL512" s="17">
        <v>411</v>
      </c>
      <c r="BW512" s="17">
        <f>I512</f>
        <v>12</v>
      </c>
      <c r="BX512" s="4" t="s">
        <v>356</v>
      </c>
    </row>
    <row r="513" spans="1:76" x14ac:dyDescent="0.25">
      <c r="A513" s="71" t="s">
        <v>25</v>
      </c>
      <c r="B513" s="13" t="s">
        <v>338</v>
      </c>
      <c r="C513" s="13" t="s">
        <v>363</v>
      </c>
      <c r="D513" s="135" t="s">
        <v>364</v>
      </c>
      <c r="E513" s="136"/>
      <c r="F513" s="72" t="s">
        <v>23</v>
      </c>
      <c r="G513" s="72" t="s">
        <v>23</v>
      </c>
      <c r="H513" s="72" t="s">
        <v>23</v>
      </c>
      <c r="I513" s="72" t="s">
        <v>23</v>
      </c>
      <c r="J513" s="47">
        <f>SUM(J514:J516)</f>
        <v>0</v>
      </c>
      <c r="K513" s="47">
        <f>SUM(K514:K516)</f>
        <v>0</v>
      </c>
      <c r="L513" s="47">
        <f>SUM(L514:L516)</f>
        <v>0</v>
      </c>
      <c r="M513" s="47">
        <f>SUM(M514:M516)</f>
        <v>0</v>
      </c>
      <c r="N513" s="14" t="s">
        <v>25</v>
      </c>
      <c r="O513" s="47">
        <f>SUM(O514:O516)</f>
        <v>2.5499999999999997E-3</v>
      </c>
      <c r="P513" s="73" t="s">
        <v>25</v>
      </c>
      <c r="AI513" s="14" t="s">
        <v>338</v>
      </c>
      <c r="AS513" s="47">
        <f>SUM(AJ514:AJ516)</f>
        <v>0</v>
      </c>
      <c r="AT513" s="47">
        <f>SUM(AK514:AK516)</f>
        <v>0</v>
      </c>
      <c r="AU513" s="47">
        <f>SUM(AL514:AL516)</f>
        <v>0</v>
      </c>
    </row>
    <row r="514" spans="1:76" ht="25.5" x14ac:dyDescent="0.25">
      <c r="A514" s="1" t="s">
        <v>1056</v>
      </c>
      <c r="B514" s="2" t="s">
        <v>338</v>
      </c>
      <c r="C514" s="2" t="s">
        <v>365</v>
      </c>
      <c r="D514" s="83" t="s">
        <v>366</v>
      </c>
      <c r="E514" s="84"/>
      <c r="F514" s="2" t="s">
        <v>354</v>
      </c>
      <c r="G514" s="17">
        <f>'Rozpočet - vybrané sloupce'!J452</f>
        <v>3</v>
      </c>
      <c r="H514" s="17">
        <f>'Rozpočet - vybrané sloupce'!K452</f>
        <v>0</v>
      </c>
      <c r="I514" s="74">
        <v>12</v>
      </c>
      <c r="J514" s="17">
        <f>ROUND(G514*AO514,2)</f>
        <v>0</v>
      </c>
      <c r="K514" s="17">
        <f>ROUND(G514*AP514,2)</f>
        <v>0</v>
      </c>
      <c r="L514" s="17">
        <f>ROUND(G514*H514,2)</f>
        <v>0</v>
      </c>
      <c r="M514" s="17">
        <f>L514*(1+BW514/100)</f>
        <v>0</v>
      </c>
      <c r="N514" s="17">
        <v>8.4999999999999995E-4</v>
      </c>
      <c r="O514" s="17">
        <f>G514*N514</f>
        <v>2.5499999999999997E-3</v>
      </c>
      <c r="P514" s="75" t="s">
        <v>576</v>
      </c>
      <c r="Z514" s="17">
        <f>ROUND(IF(AQ514="5",BJ514,0),2)</f>
        <v>0</v>
      </c>
      <c r="AB514" s="17">
        <f>ROUND(IF(AQ514="1",BH514,0),2)</f>
        <v>0</v>
      </c>
      <c r="AC514" s="17">
        <f>ROUND(IF(AQ514="1",BI514,0),2)</f>
        <v>0</v>
      </c>
      <c r="AD514" s="17">
        <f>ROUND(IF(AQ514="7",BH514,0),2)</f>
        <v>0</v>
      </c>
      <c r="AE514" s="17">
        <f>ROUND(IF(AQ514="7",BI514,0),2)</f>
        <v>0</v>
      </c>
      <c r="AF514" s="17">
        <f>ROUND(IF(AQ514="2",BH514,0),2)</f>
        <v>0</v>
      </c>
      <c r="AG514" s="17">
        <f>ROUND(IF(AQ514="2",BI514,0),2)</f>
        <v>0</v>
      </c>
      <c r="AH514" s="17">
        <f>ROUND(IF(AQ514="0",BJ514,0),2)</f>
        <v>0</v>
      </c>
      <c r="AI514" s="14" t="s">
        <v>338</v>
      </c>
      <c r="AJ514" s="17">
        <f>IF(AN514=0,L514,0)</f>
        <v>0</v>
      </c>
      <c r="AK514" s="17">
        <f>IF(AN514=12,L514,0)</f>
        <v>0</v>
      </c>
      <c r="AL514" s="17">
        <f>IF(AN514=21,L514,0)</f>
        <v>0</v>
      </c>
      <c r="AN514" s="17">
        <v>12</v>
      </c>
      <c r="AO514" s="17">
        <f>H514*0.55103125</f>
        <v>0</v>
      </c>
      <c r="AP514" s="17">
        <f>H514*(1-0.55103125)</f>
        <v>0</v>
      </c>
      <c r="AQ514" s="76" t="s">
        <v>577</v>
      </c>
      <c r="AV514" s="17">
        <f>ROUND(AW514+AX514,2)</f>
        <v>0</v>
      </c>
      <c r="AW514" s="17">
        <f>ROUND(G514*AO514,2)</f>
        <v>0</v>
      </c>
      <c r="AX514" s="17">
        <f>ROUND(G514*AP514,2)</f>
        <v>0</v>
      </c>
      <c r="AY514" s="76" t="s">
        <v>1057</v>
      </c>
      <c r="AZ514" s="76" t="s">
        <v>1058</v>
      </c>
      <c r="BA514" s="14" t="s">
        <v>1042</v>
      </c>
      <c r="BC514" s="17">
        <f>AW514+AX514</f>
        <v>0</v>
      </c>
      <c r="BD514" s="17">
        <f>H514/(100-BE514)*100</f>
        <v>0</v>
      </c>
      <c r="BE514" s="17">
        <v>0</v>
      </c>
      <c r="BF514" s="17">
        <f>O514</f>
        <v>2.5499999999999997E-3</v>
      </c>
      <c r="BH514" s="17">
        <f>G514*AO514</f>
        <v>0</v>
      </c>
      <c r="BI514" s="17">
        <f>G514*AP514</f>
        <v>0</v>
      </c>
      <c r="BJ514" s="17">
        <f>G514*H514</f>
        <v>0</v>
      </c>
      <c r="BK514" s="17"/>
      <c r="BL514" s="17">
        <v>712</v>
      </c>
      <c r="BW514" s="17">
        <f>I514</f>
        <v>12</v>
      </c>
      <c r="BX514" s="4" t="s">
        <v>366</v>
      </c>
    </row>
    <row r="515" spans="1:76" x14ac:dyDescent="0.25">
      <c r="A515" s="1" t="s">
        <v>1059</v>
      </c>
      <c r="B515" s="2" t="s">
        <v>338</v>
      </c>
      <c r="C515" s="2" t="s">
        <v>367</v>
      </c>
      <c r="D515" s="83" t="s">
        <v>368</v>
      </c>
      <c r="E515" s="84"/>
      <c r="F515" s="2" t="s">
        <v>354</v>
      </c>
      <c r="G515" s="17">
        <f>'Rozpočet - vybrané sloupce'!J453</f>
        <v>3</v>
      </c>
      <c r="H515" s="17">
        <f>'Rozpočet - vybrané sloupce'!K453</f>
        <v>0</v>
      </c>
      <c r="I515" s="74">
        <v>12</v>
      </c>
      <c r="J515" s="17">
        <f>ROUND(G515*AO515,2)</f>
        <v>0</v>
      </c>
      <c r="K515" s="17">
        <f>ROUND(G515*AP515,2)</f>
        <v>0</v>
      </c>
      <c r="L515" s="17">
        <f>ROUND(G515*H515,2)</f>
        <v>0</v>
      </c>
      <c r="M515" s="17">
        <f>L515*(1+BW515/100)</f>
        <v>0</v>
      </c>
      <c r="N515" s="17">
        <v>0</v>
      </c>
      <c r="O515" s="17">
        <f>G515*N515</f>
        <v>0</v>
      </c>
      <c r="P515" s="75" t="s">
        <v>576</v>
      </c>
      <c r="Z515" s="17">
        <f>ROUND(IF(AQ515="5",BJ515,0),2)</f>
        <v>0</v>
      </c>
      <c r="AB515" s="17">
        <f>ROUND(IF(AQ515="1",BH515,0),2)</f>
        <v>0</v>
      </c>
      <c r="AC515" s="17">
        <f>ROUND(IF(AQ515="1",BI515,0),2)</f>
        <v>0</v>
      </c>
      <c r="AD515" s="17">
        <f>ROUND(IF(AQ515="7",BH515,0),2)</f>
        <v>0</v>
      </c>
      <c r="AE515" s="17">
        <f>ROUND(IF(AQ515="7",BI515,0),2)</f>
        <v>0</v>
      </c>
      <c r="AF515" s="17">
        <f>ROUND(IF(AQ515="2",BH515,0),2)</f>
        <v>0</v>
      </c>
      <c r="AG515" s="17">
        <f>ROUND(IF(AQ515="2",BI515,0),2)</f>
        <v>0</v>
      </c>
      <c r="AH515" s="17">
        <f>ROUND(IF(AQ515="0",BJ515,0),2)</f>
        <v>0</v>
      </c>
      <c r="AI515" s="14" t="s">
        <v>338</v>
      </c>
      <c r="AJ515" s="17">
        <f>IF(AN515=0,L515,0)</f>
        <v>0</v>
      </c>
      <c r="AK515" s="17">
        <f>IF(AN515=12,L515,0)</f>
        <v>0</v>
      </c>
      <c r="AL515" s="17">
        <f>IF(AN515=21,L515,0)</f>
        <v>0</v>
      </c>
      <c r="AN515" s="17">
        <v>12</v>
      </c>
      <c r="AO515" s="17">
        <f>H515*1</f>
        <v>0</v>
      </c>
      <c r="AP515" s="17">
        <f>H515*(1-1)</f>
        <v>0</v>
      </c>
      <c r="AQ515" s="76" t="s">
        <v>577</v>
      </c>
      <c r="AV515" s="17">
        <f>ROUND(AW515+AX515,2)</f>
        <v>0</v>
      </c>
      <c r="AW515" s="17">
        <f>ROUND(G515*AO515,2)</f>
        <v>0</v>
      </c>
      <c r="AX515" s="17">
        <f>ROUND(G515*AP515,2)</f>
        <v>0</v>
      </c>
      <c r="AY515" s="76" t="s">
        <v>1057</v>
      </c>
      <c r="AZ515" s="76" t="s">
        <v>1058</v>
      </c>
      <c r="BA515" s="14" t="s">
        <v>1042</v>
      </c>
      <c r="BC515" s="17">
        <f>AW515+AX515</f>
        <v>0</v>
      </c>
      <c r="BD515" s="17">
        <f>H515/(100-BE515)*100</f>
        <v>0</v>
      </c>
      <c r="BE515" s="17">
        <v>0</v>
      </c>
      <c r="BF515" s="17">
        <f>O515</f>
        <v>0</v>
      </c>
      <c r="BH515" s="17">
        <f>G515*AO515</f>
        <v>0</v>
      </c>
      <c r="BI515" s="17">
        <f>G515*AP515</f>
        <v>0</v>
      </c>
      <c r="BJ515" s="17">
        <f>G515*H515</f>
        <v>0</v>
      </c>
      <c r="BK515" s="17"/>
      <c r="BL515" s="17">
        <v>712</v>
      </c>
      <c r="BW515" s="17">
        <f>I515</f>
        <v>12</v>
      </c>
      <c r="BX515" s="4" t="s">
        <v>368</v>
      </c>
    </row>
    <row r="516" spans="1:76" x14ac:dyDescent="0.25">
      <c r="A516" s="1" t="s">
        <v>1060</v>
      </c>
      <c r="B516" s="2" t="s">
        <v>338</v>
      </c>
      <c r="C516" s="2" t="s">
        <v>369</v>
      </c>
      <c r="D516" s="83" t="s">
        <v>370</v>
      </c>
      <c r="E516" s="84"/>
      <c r="F516" s="2" t="s">
        <v>45</v>
      </c>
      <c r="G516" s="17">
        <f>'Rozpočet - vybrané sloupce'!J454</f>
        <v>0</v>
      </c>
      <c r="H516" s="17">
        <f>'Rozpočet - vybrané sloupce'!K454</f>
        <v>0</v>
      </c>
      <c r="I516" s="74">
        <v>12</v>
      </c>
      <c r="J516" s="17">
        <f>ROUND(G516*AO516,2)</f>
        <v>0</v>
      </c>
      <c r="K516" s="17">
        <f>ROUND(G516*AP516,2)</f>
        <v>0</v>
      </c>
      <c r="L516" s="17">
        <f>ROUND(G516*H516,2)</f>
        <v>0</v>
      </c>
      <c r="M516" s="17">
        <f>L516*(1+BW516/100)</f>
        <v>0</v>
      </c>
      <c r="N516" s="17">
        <v>0</v>
      </c>
      <c r="O516" s="17">
        <f>G516*N516</f>
        <v>0</v>
      </c>
      <c r="P516" s="75" t="s">
        <v>576</v>
      </c>
      <c r="Z516" s="17">
        <f>ROUND(IF(AQ516="5",BJ516,0),2)</f>
        <v>0</v>
      </c>
      <c r="AB516" s="17">
        <f>ROUND(IF(AQ516="1",BH516,0),2)</f>
        <v>0</v>
      </c>
      <c r="AC516" s="17">
        <f>ROUND(IF(AQ516="1",BI516,0),2)</f>
        <v>0</v>
      </c>
      <c r="AD516" s="17">
        <f>ROUND(IF(AQ516="7",BH516,0),2)</f>
        <v>0</v>
      </c>
      <c r="AE516" s="17">
        <f>ROUND(IF(AQ516="7",BI516,0),2)</f>
        <v>0</v>
      </c>
      <c r="AF516" s="17">
        <f>ROUND(IF(AQ516="2",BH516,0),2)</f>
        <v>0</v>
      </c>
      <c r="AG516" s="17">
        <f>ROUND(IF(AQ516="2",BI516,0),2)</f>
        <v>0</v>
      </c>
      <c r="AH516" s="17">
        <f>ROUND(IF(AQ516="0",BJ516,0),2)</f>
        <v>0</v>
      </c>
      <c r="AI516" s="14" t="s">
        <v>338</v>
      </c>
      <c r="AJ516" s="17">
        <f>IF(AN516=0,L516,0)</f>
        <v>0</v>
      </c>
      <c r="AK516" s="17">
        <f>IF(AN516=12,L516,0)</f>
        <v>0</v>
      </c>
      <c r="AL516" s="17">
        <f>IF(AN516=21,L516,0)</f>
        <v>0</v>
      </c>
      <c r="AN516" s="17">
        <v>12</v>
      </c>
      <c r="AO516" s="17">
        <f>H516*0</f>
        <v>0</v>
      </c>
      <c r="AP516" s="17">
        <f>H516*(1-0)</f>
        <v>0</v>
      </c>
      <c r="AQ516" s="76" t="s">
        <v>585</v>
      </c>
      <c r="AV516" s="17">
        <f>ROUND(AW516+AX516,2)</f>
        <v>0</v>
      </c>
      <c r="AW516" s="17">
        <f>ROUND(G516*AO516,2)</f>
        <v>0</v>
      </c>
      <c r="AX516" s="17">
        <f>ROUND(G516*AP516,2)</f>
        <v>0</v>
      </c>
      <c r="AY516" s="76" t="s">
        <v>1057</v>
      </c>
      <c r="AZ516" s="76" t="s">
        <v>1058</v>
      </c>
      <c r="BA516" s="14" t="s">
        <v>1042</v>
      </c>
      <c r="BC516" s="17">
        <f>AW516+AX516</f>
        <v>0</v>
      </c>
      <c r="BD516" s="17">
        <f>H516/(100-BE516)*100</f>
        <v>0</v>
      </c>
      <c r="BE516" s="17">
        <v>0</v>
      </c>
      <c r="BF516" s="17">
        <f>O516</f>
        <v>0</v>
      </c>
      <c r="BH516" s="17">
        <f>G516*AO516</f>
        <v>0</v>
      </c>
      <c r="BI516" s="17">
        <f>G516*AP516</f>
        <v>0</v>
      </c>
      <c r="BJ516" s="17">
        <f>G516*H516</f>
        <v>0</v>
      </c>
      <c r="BK516" s="17"/>
      <c r="BL516" s="17">
        <v>712</v>
      </c>
      <c r="BW516" s="17">
        <f>I516</f>
        <v>12</v>
      </c>
      <c r="BX516" s="4" t="s">
        <v>370</v>
      </c>
    </row>
    <row r="517" spans="1:76" x14ac:dyDescent="0.25">
      <c r="A517" s="71" t="s">
        <v>25</v>
      </c>
      <c r="B517" s="13" t="s">
        <v>338</v>
      </c>
      <c r="C517" s="13" t="s">
        <v>371</v>
      </c>
      <c r="D517" s="135" t="s">
        <v>372</v>
      </c>
      <c r="E517" s="136"/>
      <c r="F517" s="72" t="s">
        <v>23</v>
      </c>
      <c r="G517" s="72" t="s">
        <v>23</v>
      </c>
      <c r="H517" s="72" t="s">
        <v>23</v>
      </c>
      <c r="I517" s="72" t="s">
        <v>23</v>
      </c>
      <c r="J517" s="47">
        <f>SUM(J518:J518)</f>
        <v>0</v>
      </c>
      <c r="K517" s="47">
        <f>SUM(K518:K518)</f>
        <v>0</v>
      </c>
      <c r="L517" s="47">
        <f>SUM(L518:L518)</f>
        <v>0</v>
      </c>
      <c r="M517" s="47">
        <f>SUM(M518:M518)</f>
        <v>0</v>
      </c>
      <c r="N517" s="14" t="s">
        <v>25</v>
      </c>
      <c r="O517" s="47">
        <f>SUM(O518:O518)</f>
        <v>0</v>
      </c>
      <c r="P517" s="73" t="s">
        <v>25</v>
      </c>
      <c r="AI517" s="14" t="s">
        <v>338</v>
      </c>
      <c r="AS517" s="47">
        <f>SUM(AJ518:AJ518)</f>
        <v>0</v>
      </c>
      <c r="AT517" s="47">
        <f>SUM(AK518:AK518)</f>
        <v>0</v>
      </c>
      <c r="AU517" s="47">
        <f>SUM(AL518:AL518)</f>
        <v>0</v>
      </c>
    </row>
    <row r="518" spans="1:76" x14ac:dyDescent="0.25">
      <c r="A518" s="1" t="s">
        <v>1061</v>
      </c>
      <c r="B518" s="2" t="s">
        <v>338</v>
      </c>
      <c r="C518" s="2" t="s">
        <v>373</v>
      </c>
      <c r="D518" s="83" t="s">
        <v>374</v>
      </c>
      <c r="E518" s="84"/>
      <c r="F518" s="2" t="s">
        <v>40</v>
      </c>
      <c r="G518" s="17">
        <f>'Rozpočet - vybrané sloupce'!J456</f>
        <v>7</v>
      </c>
      <c r="H518" s="17">
        <f>'Rozpočet - vybrané sloupce'!K456</f>
        <v>0</v>
      </c>
      <c r="I518" s="74">
        <v>12</v>
      </c>
      <c r="J518" s="17">
        <f>ROUND(G518*AO518,2)</f>
        <v>0</v>
      </c>
      <c r="K518" s="17">
        <f>ROUND(G518*AP518,2)</f>
        <v>0</v>
      </c>
      <c r="L518" s="17">
        <f>ROUND(G518*H518,2)</f>
        <v>0</v>
      </c>
      <c r="M518" s="17">
        <f>L518*(1+BW518/100)</f>
        <v>0</v>
      </c>
      <c r="N518" s="17">
        <v>0</v>
      </c>
      <c r="O518" s="17">
        <f>G518*N518</f>
        <v>0</v>
      </c>
      <c r="P518" s="75" t="s">
        <v>576</v>
      </c>
      <c r="Z518" s="17">
        <f>ROUND(IF(AQ518="5",BJ518,0),2)</f>
        <v>0</v>
      </c>
      <c r="AB518" s="17">
        <f>ROUND(IF(AQ518="1",BH518,0),2)</f>
        <v>0</v>
      </c>
      <c r="AC518" s="17">
        <f>ROUND(IF(AQ518="1",BI518,0),2)</f>
        <v>0</v>
      </c>
      <c r="AD518" s="17">
        <f>ROUND(IF(AQ518="7",BH518,0),2)</f>
        <v>0</v>
      </c>
      <c r="AE518" s="17">
        <f>ROUND(IF(AQ518="7",BI518,0),2)</f>
        <v>0</v>
      </c>
      <c r="AF518" s="17">
        <f>ROUND(IF(AQ518="2",BH518,0),2)</f>
        <v>0</v>
      </c>
      <c r="AG518" s="17">
        <f>ROUND(IF(AQ518="2",BI518,0),2)</f>
        <v>0</v>
      </c>
      <c r="AH518" s="17">
        <f>ROUND(IF(AQ518="0",BJ518,0),2)</f>
        <v>0</v>
      </c>
      <c r="AI518" s="14" t="s">
        <v>338</v>
      </c>
      <c r="AJ518" s="17">
        <f>IF(AN518=0,L518,0)</f>
        <v>0</v>
      </c>
      <c r="AK518" s="17">
        <f>IF(AN518=12,L518,0)</f>
        <v>0</v>
      </c>
      <c r="AL518" s="17">
        <f>IF(AN518=21,L518,0)</f>
        <v>0</v>
      </c>
      <c r="AN518" s="17">
        <v>12</v>
      </c>
      <c r="AO518" s="17">
        <f>H518*0.5</f>
        <v>0</v>
      </c>
      <c r="AP518" s="17">
        <f>H518*(1-0.5)</f>
        <v>0</v>
      </c>
      <c r="AQ518" s="76" t="s">
        <v>577</v>
      </c>
      <c r="AV518" s="17">
        <f>ROUND(AW518+AX518,2)</f>
        <v>0</v>
      </c>
      <c r="AW518" s="17">
        <f>ROUND(G518*AO518,2)</f>
        <v>0</v>
      </c>
      <c r="AX518" s="17">
        <f>ROUND(G518*AP518,2)</f>
        <v>0</v>
      </c>
      <c r="AY518" s="76" t="s">
        <v>1062</v>
      </c>
      <c r="AZ518" s="76" t="s">
        <v>1063</v>
      </c>
      <c r="BA518" s="14" t="s">
        <v>1042</v>
      </c>
      <c r="BC518" s="17">
        <f>AW518+AX518</f>
        <v>0</v>
      </c>
      <c r="BD518" s="17">
        <f>H518/(100-BE518)*100</f>
        <v>0</v>
      </c>
      <c r="BE518" s="17">
        <v>0</v>
      </c>
      <c r="BF518" s="17">
        <f>O518</f>
        <v>0</v>
      </c>
      <c r="BH518" s="17">
        <f>G518*AO518</f>
        <v>0</v>
      </c>
      <c r="BI518" s="17">
        <f>G518*AP518</f>
        <v>0</v>
      </c>
      <c r="BJ518" s="17">
        <f>G518*H518</f>
        <v>0</v>
      </c>
      <c r="BK518" s="17"/>
      <c r="BL518" s="17">
        <v>74</v>
      </c>
      <c r="BW518" s="17">
        <f>I518</f>
        <v>12</v>
      </c>
      <c r="BX518" s="4" t="s">
        <v>374</v>
      </c>
    </row>
    <row r="519" spans="1:76" x14ac:dyDescent="0.25">
      <c r="A519" s="71" t="s">
        <v>25</v>
      </c>
      <c r="B519" s="13" t="s">
        <v>338</v>
      </c>
      <c r="C519" s="13" t="s">
        <v>375</v>
      </c>
      <c r="D519" s="135" t="s">
        <v>376</v>
      </c>
      <c r="E519" s="136"/>
      <c r="F519" s="72" t="s">
        <v>23</v>
      </c>
      <c r="G519" s="72" t="s">
        <v>23</v>
      </c>
      <c r="H519" s="72" t="s">
        <v>23</v>
      </c>
      <c r="I519" s="72" t="s">
        <v>23</v>
      </c>
      <c r="J519" s="47">
        <f>SUM(J520:J529)</f>
        <v>0</v>
      </c>
      <c r="K519" s="47">
        <f>SUM(K520:K529)</f>
        <v>0</v>
      </c>
      <c r="L519" s="47">
        <f>SUM(L520:L529)</f>
        <v>0</v>
      </c>
      <c r="M519" s="47">
        <f>SUM(M520:M529)</f>
        <v>0</v>
      </c>
      <c r="N519" s="14" t="s">
        <v>25</v>
      </c>
      <c r="O519" s="47">
        <f>SUM(O520:O529)</f>
        <v>0.200568</v>
      </c>
      <c r="P519" s="73" t="s">
        <v>25</v>
      </c>
      <c r="AI519" s="14" t="s">
        <v>338</v>
      </c>
      <c r="AS519" s="47">
        <f>SUM(AJ520:AJ529)</f>
        <v>0</v>
      </c>
      <c r="AT519" s="47">
        <f>SUM(AK520:AK529)</f>
        <v>0</v>
      </c>
      <c r="AU519" s="47">
        <f>SUM(AL520:AL529)</f>
        <v>0</v>
      </c>
    </row>
    <row r="520" spans="1:76" x14ac:dyDescent="0.25">
      <c r="A520" s="1" t="s">
        <v>1064</v>
      </c>
      <c r="B520" s="2" t="s">
        <v>338</v>
      </c>
      <c r="C520" s="2" t="s">
        <v>377</v>
      </c>
      <c r="D520" s="83" t="s">
        <v>378</v>
      </c>
      <c r="E520" s="84"/>
      <c r="F520" s="2" t="s">
        <v>379</v>
      </c>
      <c r="G520" s="17">
        <f>'Rozpočet - vybrané sloupce'!J458</f>
        <v>36</v>
      </c>
      <c r="H520" s="17">
        <f>'Rozpočet - vybrané sloupce'!K458</f>
        <v>0</v>
      </c>
      <c r="I520" s="74">
        <v>12</v>
      </c>
      <c r="J520" s="17">
        <f>ROUND(G520*AO520,2)</f>
        <v>0</v>
      </c>
      <c r="K520" s="17">
        <f>ROUND(G520*AP520,2)</f>
        <v>0</v>
      </c>
      <c r="L520" s="17">
        <f>ROUND(G520*H520,2)</f>
        <v>0</v>
      </c>
      <c r="M520" s="17">
        <f>L520*(1+BW520/100)</f>
        <v>0</v>
      </c>
      <c r="N520" s="17">
        <v>1.2E-4</v>
      </c>
      <c r="O520" s="17">
        <f>G520*N520</f>
        <v>4.3200000000000001E-3</v>
      </c>
      <c r="P520" s="75" t="s">
        <v>576</v>
      </c>
      <c r="Z520" s="17">
        <f>ROUND(IF(AQ520="5",BJ520,0),2)</f>
        <v>0</v>
      </c>
      <c r="AB520" s="17">
        <f>ROUND(IF(AQ520="1",BH520,0),2)</f>
        <v>0</v>
      </c>
      <c r="AC520" s="17">
        <f>ROUND(IF(AQ520="1",BI520,0),2)</f>
        <v>0</v>
      </c>
      <c r="AD520" s="17">
        <f>ROUND(IF(AQ520="7",BH520,0),2)</f>
        <v>0</v>
      </c>
      <c r="AE520" s="17">
        <f>ROUND(IF(AQ520="7",BI520,0),2)</f>
        <v>0</v>
      </c>
      <c r="AF520" s="17">
        <f>ROUND(IF(AQ520="2",BH520,0),2)</f>
        <v>0</v>
      </c>
      <c r="AG520" s="17">
        <f>ROUND(IF(AQ520="2",BI520,0),2)</f>
        <v>0</v>
      </c>
      <c r="AH520" s="17">
        <f>ROUND(IF(AQ520="0",BJ520,0),2)</f>
        <v>0</v>
      </c>
      <c r="AI520" s="14" t="s">
        <v>338</v>
      </c>
      <c r="AJ520" s="17">
        <f>IF(AN520=0,L520,0)</f>
        <v>0</v>
      </c>
      <c r="AK520" s="17">
        <f>IF(AN520=12,L520,0)</f>
        <v>0</v>
      </c>
      <c r="AL520" s="17">
        <f>IF(AN520=21,L520,0)</f>
        <v>0</v>
      </c>
      <c r="AN520" s="17">
        <v>12</v>
      </c>
      <c r="AO520" s="17">
        <f>H520*0.425441941</f>
        <v>0</v>
      </c>
      <c r="AP520" s="17">
        <f>H520*(1-0.425441941)</f>
        <v>0</v>
      </c>
      <c r="AQ520" s="76" t="s">
        <v>577</v>
      </c>
      <c r="AV520" s="17">
        <f>ROUND(AW520+AX520,2)</f>
        <v>0</v>
      </c>
      <c r="AW520" s="17">
        <f>ROUND(G520*AO520,2)</f>
        <v>0</v>
      </c>
      <c r="AX520" s="17">
        <f>ROUND(G520*AP520,2)</f>
        <v>0</v>
      </c>
      <c r="AY520" s="76" t="s">
        <v>1065</v>
      </c>
      <c r="AZ520" s="76" t="s">
        <v>1066</v>
      </c>
      <c r="BA520" s="14" t="s">
        <v>1042</v>
      </c>
      <c r="BC520" s="17">
        <f>AW520+AX520</f>
        <v>0</v>
      </c>
      <c r="BD520" s="17">
        <f>H520/(100-BE520)*100</f>
        <v>0</v>
      </c>
      <c r="BE520" s="17">
        <v>0</v>
      </c>
      <c r="BF520" s="17">
        <f>O520</f>
        <v>4.3200000000000001E-3</v>
      </c>
      <c r="BH520" s="17">
        <f>G520*AO520</f>
        <v>0</v>
      </c>
      <c r="BI520" s="17">
        <f>G520*AP520</f>
        <v>0</v>
      </c>
      <c r="BJ520" s="17">
        <f>G520*H520</f>
        <v>0</v>
      </c>
      <c r="BK520" s="17"/>
      <c r="BL520" s="17">
        <v>767</v>
      </c>
      <c r="BW520" s="17">
        <f>I520</f>
        <v>12</v>
      </c>
      <c r="BX520" s="4" t="s">
        <v>378</v>
      </c>
    </row>
    <row r="521" spans="1:76" x14ac:dyDescent="0.25">
      <c r="A521" s="1" t="s">
        <v>1067</v>
      </c>
      <c r="B521" s="2" t="s">
        <v>338</v>
      </c>
      <c r="C521" s="2" t="s">
        <v>380</v>
      </c>
      <c r="D521" s="83" t="s">
        <v>381</v>
      </c>
      <c r="E521" s="84"/>
      <c r="F521" s="2" t="s">
        <v>35</v>
      </c>
      <c r="G521" s="17">
        <f>'Rozpočet - vybrané sloupce'!J459</f>
        <v>18</v>
      </c>
      <c r="H521" s="17">
        <f>'Rozpočet - vybrané sloupce'!K459</f>
        <v>0</v>
      </c>
      <c r="I521" s="74">
        <v>12</v>
      </c>
      <c r="J521" s="17">
        <f>ROUND(G521*AO521,2)</f>
        <v>0</v>
      </c>
      <c r="K521" s="17">
        <f>ROUND(G521*AP521,2)</f>
        <v>0</v>
      </c>
      <c r="L521" s="17">
        <f>ROUND(G521*H521,2)</f>
        <v>0</v>
      </c>
      <c r="M521" s="17">
        <f>L521*(1+BW521/100)</f>
        <v>0</v>
      </c>
      <c r="N521" s="17">
        <v>0</v>
      </c>
      <c r="O521" s="17">
        <f>G521*N521</f>
        <v>0</v>
      </c>
      <c r="P521" s="75" t="s">
        <v>576</v>
      </c>
      <c r="Z521" s="17">
        <f>ROUND(IF(AQ521="5",BJ521,0),2)</f>
        <v>0</v>
      </c>
      <c r="AB521" s="17">
        <f>ROUND(IF(AQ521="1",BH521,0),2)</f>
        <v>0</v>
      </c>
      <c r="AC521" s="17">
        <f>ROUND(IF(AQ521="1",BI521,0),2)</f>
        <v>0</v>
      </c>
      <c r="AD521" s="17">
        <f>ROUND(IF(AQ521="7",BH521,0),2)</f>
        <v>0</v>
      </c>
      <c r="AE521" s="17">
        <f>ROUND(IF(AQ521="7",BI521,0),2)</f>
        <v>0</v>
      </c>
      <c r="AF521" s="17">
        <f>ROUND(IF(AQ521="2",BH521,0),2)</f>
        <v>0</v>
      </c>
      <c r="AG521" s="17">
        <f>ROUND(IF(AQ521="2",BI521,0),2)</f>
        <v>0</v>
      </c>
      <c r="AH521" s="17">
        <f>ROUND(IF(AQ521="0",BJ521,0),2)</f>
        <v>0</v>
      </c>
      <c r="AI521" s="14" t="s">
        <v>338</v>
      </c>
      <c r="AJ521" s="17">
        <f>IF(AN521=0,L521,0)</f>
        <v>0</v>
      </c>
      <c r="AK521" s="17">
        <f>IF(AN521=12,L521,0)</f>
        <v>0</v>
      </c>
      <c r="AL521" s="17">
        <f>IF(AN521=21,L521,0)</f>
        <v>0</v>
      </c>
      <c r="AN521" s="17">
        <v>12</v>
      </c>
      <c r="AO521" s="17">
        <f>H521*1</f>
        <v>0</v>
      </c>
      <c r="AP521" s="17">
        <f>H521*(1-1)</f>
        <v>0</v>
      </c>
      <c r="AQ521" s="76" t="s">
        <v>577</v>
      </c>
      <c r="AV521" s="17">
        <f>ROUND(AW521+AX521,2)</f>
        <v>0</v>
      </c>
      <c r="AW521" s="17">
        <f>ROUND(G521*AO521,2)</f>
        <v>0</v>
      </c>
      <c r="AX521" s="17">
        <f>ROUND(G521*AP521,2)</f>
        <v>0</v>
      </c>
      <c r="AY521" s="76" t="s">
        <v>1065</v>
      </c>
      <c r="AZ521" s="76" t="s">
        <v>1066</v>
      </c>
      <c r="BA521" s="14" t="s">
        <v>1042</v>
      </c>
      <c r="BC521" s="17">
        <f>AW521+AX521</f>
        <v>0</v>
      </c>
      <c r="BD521" s="17">
        <f>H521/(100-BE521)*100</f>
        <v>0</v>
      </c>
      <c r="BE521" s="17">
        <v>0</v>
      </c>
      <c r="BF521" s="17">
        <f>O521</f>
        <v>0</v>
      </c>
      <c r="BH521" s="17">
        <f>G521*AO521</f>
        <v>0</v>
      </c>
      <c r="BI521" s="17">
        <f>G521*AP521</f>
        <v>0</v>
      </c>
      <c r="BJ521" s="17">
        <f>G521*H521</f>
        <v>0</v>
      </c>
      <c r="BK521" s="17"/>
      <c r="BL521" s="17">
        <v>767</v>
      </c>
      <c r="BW521" s="17">
        <f>I521</f>
        <v>12</v>
      </c>
      <c r="BX521" s="4" t="s">
        <v>381</v>
      </c>
    </row>
    <row r="522" spans="1:76" x14ac:dyDescent="0.25">
      <c r="A522" s="1" t="s">
        <v>1068</v>
      </c>
      <c r="B522" s="2" t="s">
        <v>338</v>
      </c>
      <c r="C522" s="2" t="s">
        <v>382</v>
      </c>
      <c r="D522" s="83" t="s">
        <v>383</v>
      </c>
      <c r="E522" s="84"/>
      <c r="F522" s="2" t="s">
        <v>35</v>
      </c>
      <c r="G522" s="17">
        <f>'Rozpočet - vybrané sloupce'!J460</f>
        <v>36</v>
      </c>
      <c r="H522" s="17">
        <f>'Rozpočet - vybrané sloupce'!K460</f>
        <v>0</v>
      </c>
      <c r="I522" s="74">
        <v>12</v>
      </c>
      <c r="J522" s="17">
        <f>ROUND(G522*AO522,2)</f>
        <v>0</v>
      </c>
      <c r="K522" s="17">
        <f>ROUND(G522*AP522,2)</f>
        <v>0</v>
      </c>
      <c r="L522" s="17">
        <f>ROUND(G522*H522,2)</f>
        <v>0</v>
      </c>
      <c r="M522" s="17">
        <f>L522*(1+BW522/100)</f>
        <v>0</v>
      </c>
      <c r="N522" s="17">
        <v>0</v>
      </c>
      <c r="O522" s="17">
        <f>G522*N522</f>
        <v>0</v>
      </c>
      <c r="P522" s="75" t="s">
        <v>576</v>
      </c>
      <c r="Z522" s="17">
        <f>ROUND(IF(AQ522="5",BJ522,0),2)</f>
        <v>0</v>
      </c>
      <c r="AB522" s="17">
        <f>ROUND(IF(AQ522="1",BH522,0),2)</f>
        <v>0</v>
      </c>
      <c r="AC522" s="17">
        <f>ROUND(IF(AQ522="1",BI522,0),2)</f>
        <v>0</v>
      </c>
      <c r="AD522" s="17">
        <f>ROUND(IF(AQ522="7",BH522,0),2)</f>
        <v>0</v>
      </c>
      <c r="AE522" s="17">
        <f>ROUND(IF(AQ522="7",BI522,0),2)</f>
        <v>0</v>
      </c>
      <c r="AF522" s="17">
        <f>ROUND(IF(AQ522="2",BH522,0),2)</f>
        <v>0</v>
      </c>
      <c r="AG522" s="17">
        <f>ROUND(IF(AQ522="2",BI522,0),2)</f>
        <v>0</v>
      </c>
      <c r="AH522" s="17">
        <f>ROUND(IF(AQ522="0",BJ522,0),2)</f>
        <v>0</v>
      </c>
      <c r="AI522" s="14" t="s">
        <v>338</v>
      </c>
      <c r="AJ522" s="17">
        <f>IF(AN522=0,L522,0)</f>
        <v>0</v>
      </c>
      <c r="AK522" s="17">
        <f>IF(AN522=12,L522,0)</f>
        <v>0</v>
      </c>
      <c r="AL522" s="17">
        <f>IF(AN522=21,L522,0)</f>
        <v>0</v>
      </c>
      <c r="AN522" s="17">
        <v>12</v>
      </c>
      <c r="AO522" s="17">
        <f>H522*1</f>
        <v>0</v>
      </c>
      <c r="AP522" s="17">
        <f>H522*(1-1)</f>
        <v>0</v>
      </c>
      <c r="AQ522" s="76" t="s">
        <v>577</v>
      </c>
      <c r="AV522" s="17">
        <f>ROUND(AW522+AX522,2)</f>
        <v>0</v>
      </c>
      <c r="AW522" s="17">
        <f>ROUND(G522*AO522,2)</f>
        <v>0</v>
      </c>
      <c r="AX522" s="17">
        <f>ROUND(G522*AP522,2)</f>
        <v>0</v>
      </c>
      <c r="AY522" s="76" t="s">
        <v>1065</v>
      </c>
      <c r="AZ522" s="76" t="s">
        <v>1066</v>
      </c>
      <c r="BA522" s="14" t="s">
        <v>1042</v>
      </c>
      <c r="BC522" s="17">
        <f>AW522+AX522</f>
        <v>0</v>
      </c>
      <c r="BD522" s="17">
        <f>H522/(100-BE522)*100</f>
        <v>0</v>
      </c>
      <c r="BE522" s="17">
        <v>0</v>
      </c>
      <c r="BF522" s="17">
        <f>O522</f>
        <v>0</v>
      </c>
      <c r="BH522" s="17">
        <f>G522*AO522</f>
        <v>0</v>
      </c>
      <c r="BI522" s="17">
        <f>G522*AP522</f>
        <v>0</v>
      </c>
      <c r="BJ522" s="17">
        <f>G522*H522</f>
        <v>0</v>
      </c>
      <c r="BK522" s="17"/>
      <c r="BL522" s="17">
        <v>767</v>
      </c>
      <c r="BW522" s="17">
        <f>I522</f>
        <v>12</v>
      </c>
      <c r="BX522" s="4" t="s">
        <v>383</v>
      </c>
    </row>
    <row r="523" spans="1:76" x14ac:dyDescent="0.25">
      <c r="A523" s="1" t="s">
        <v>1069</v>
      </c>
      <c r="B523" s="2" t="s">
        <v>338</v>
      </c>
      <c r="C523" s="2" t="s">
        <v>384</v>
      </c>
      <c r="D523" s="83" t="s">
        <v>385</v>
      </c>
      <c r="E523" s="84"/>
      <c r="F523" s="2" t="s">
        <v>354</v>
      </c>
      <c r="G523" s="17">
        <f>'Rozpočet - vybrané sloupce'!J461</f>
        <v>15.6</v>
      </c>
      <c r="H523" s="17">
        <f>'Rozpočet - vybrané sloupce'!K461</f>
        <v>0</v>
      </c>
      <c r="I523" s="74">
        <v>12</v>
      </c>
      <c r="J523" s="17">
        <f>ROUND(G523*AO523,2)</f>
        <v>0</v>
      </c>
      <c r="K523" s="17">
        <f>ROUND(G523*AP523,2)</f>
        <v>0</v>
      </c>
      <c r="L523" s="17">
        <f>ROUND(G523*H523,2)</f>
        <v>0</v>
      </c>
      <c r="M523" s="17">
        <f>L523*(1+BW523/100)</f>
        <v>0</v>
      </c>
      <c r="N523" s="17">
        <v>7.7499999999999999E-3</v>
      </c>
      <c r="O523" s="17">
        <f>G523*N523</f>
        <v>0.12089999999999999</v>
      </c>
      <c r="P523" s="75" t="s">
        <v>576</v>
      </c>
      <c r="Z523" s="17">
        <f>ROUND(IF(AQ523="5",BJ523,0),2)</f>
        <v>0</v>
      </c>
      <c r="AB523" s="17">
        <f>ROUND(IF(AQ523="1",BH523,0),2)</f>
        <v>0</v>
      </c>
      <c r="AC523" s="17">
        <f>ROUND(IF(AQ523="1",BI523,0),2)</f>
        <v>0</v>
      </c>
      <c r="AD523" s="17">
        <f>ROUND(IF(AQ523="7",BH523,0),2)</f>
        <v>0</v>
      </c>
      <c r="AE523" s="17">
        <f>ROUND(IF(AQ523="7",BI523,0),2)</f>
        <v>0</v>
      </c>
      <c r="AF523" s="17">
        <f>ROUND(IF(AQ523="2",BH523,0),2)</f>
        <v>0</v>
      </c>
      <c r="AG523" s="17">
        <f>ROUND(IF(AQ523="2",BI523,0),2)</f>
        <v>0</v>
      </c>
      <c r="AH523" s="17">
        <f>ROUND(IF(AQ523="0",BJ523,0),2)</f>
        <v>0</v>
      </c>
      <c r="AI523" s="14" t="s">
        <v>338</v>
      </c>
      <c r="AJ523" s="17">
        <f>IF(AN523=0,L523,0)</f>
        <v>0</v>
      </c>
      <c r="AK523" s="17">
        <f>IF(AN523=12,L523,0)</f>
        <v>0</v>
      </c>
      <c r="AL523" s="17">
        <f>IF(AN523=21,L523,0)</f>
        <v>0</v>
      </c>
      <c r="AN523" s="17">
        <v>12</v>
      </c>
      <c r="AO523" s="17">
        <f>H523*0</f>
        <v>0</v>
      </c>
      <c r="AP523" s="17">
        <f>H523*(1-0)</f>
        <v>0</v>
      </c>
      <c r="AQ523" s="76" t="s">
        <v>577</v>
      </c>
      <c r="AV523" s="17">
        <f>ROUND(AW523+AX523,2)</f>
        <v>0</v>
      </c>
      <c r="AW523" s="17">
        <f>ROUND(G523*AO523,2)</f>
        <v>0</v>
      </c>
      <c r="AX523" s="17">
        <f>ROUND(G523*AP523,2)</f>
        <v>0</v>
      </c>
      <c r="AY523" s="76" t="s">
        <v>1065</v>
      </c>
      <c r="AZ523" s="76" t="s">
        <v>1066</v>
      </c>
      <c r="BA523" s="14" t="s">
        <v>1042</v>
      </c>
      <c r="BC523" s="17">
        <f>AW523+AX523</f>
        <v>0</v>
      </c>
      <c r="BD523" s="17">
        <f>H523/(100-BE523)*100</f>
        <v>0</v>
      </c>
      <c r="BE523" s="17">
        <v>0</v>
      </c>
      <c r="BF523" s="17">
        <f>O523</f>
        <v>0.12089999999999999</v>
      </c>
      <c r="BH523" s="17">
        <f>G523*AO523</f>
        <v>0</v>
      </c>
      <c r="BI523" s="17">
        <f>G523*AP523</f>
        <v>0</v>
      </c>
      <c r="BJ523" s="17">
        <f>G523*H523</f>
        <v>0</v>
      </c>
      <c r="BK523" s="17"/>
      <c r="BL523" s="17">
        <v>767</v>
      </c>
      <c r="BW523" s="17">
        <f>I523</f>
        <v>12</v>
      </c>
      <c r="BX523" s="4" t="s">
        <v>385</v>
      </c>
    </row>
    <row r="524" spans="1:76" ht="38.25" x14ac:dyDescent="0.25">
      <c r="A524" s="77"/>
      <c r="C524" s="78" t="s">
        <v>610</v>
      </c>
      <c r="D524" s="161" t="s">
        <v>1070</v>
      </c>
      <c r="E524" s="162"/>
      <c r="F524" s="162"/>
      <c r="G524" s="162"/>
      <c r="H524" s="162"/>
      <c r="I524" s="162"/>
      <c r="J524" s="162"/>
      <c r="K524" s="162"/>
      <c r="L524" s="162"/>
      <c r="M524" s="162"/>
      <c r="N524" s="162"/>
      <c r="O524" s="162"/>
      <c r="P524" s="163"/>
      <c r="BX524" s="79" t="s">
        <v>1070</v>
      </c>
    </row>
    <row r="525" spans="1:76" x14ac:dyDescent="0.25">
      <c r="A525" s="1" t="s">
        <v>1071</v>
      </c>
      <c r="B525" s="2" t="s">
        <v>338</v>
      </c>
      <c r="C525" s="2" t="s">
        <v>386</v>
      </c>
      <c r="D525" s="83" t="s">
        <v>387</v>
      </c>
      <c r="E525" s="84"/>
      <c r="F525" s="2" t="s">
        <v>354</v>
      </c>
      <c r="G525" s="17">
        <f>'Rozpočet - vybrané sloupce'!J462</f>
        <v>15.6</v>
      </c>
      <c r="H525" s="17">
        <f>'Rozpočet - vybrané sloupce'!K462</f>
        <v>0</v>
      </c>
      <c r="I525" s="74">
        <v>12</v>
      </c>
      <c r="J525" s="17">
        <f>ROUND(G525*AO525,2)</f>
        <v>0</v>
      </c>
      <c r="K525" s="17">
        <f>ROUND(G525*AP525,2)</f>
        <v>0</v>
      </c>
      <c r="L525" s="17">
        <f>ROUND(G525*H525,2)</f>
        <v>0</v>
      </c>
      <c r="M525" s="17">
        <f>L525*(1+BW525/100)</f>
        <v>0</v>
      </c>
      <c r="N525" s="17">
        <v>0</v>
      </c>
      <c r="O525" s="17">
        <f>G525*N525</f>
        <v>0</v>
      </c>
      <c r="P525" s="75" t="s">
        <v>576</v>
      </c>
      <c r="Z525" s="17">
        <f>ROUND(IF(AQ525="5",BJ525,0),2)</f>
        <v>0</v>
      </c>
      <c r="AB525" s="17">
        <f>ROUND(IF(AQ525="1",BH525,0),2)</f>
        <v>0</v>
      </c>
      <c r="AC525" s="17">
        <f>ROUND(IF(AQ525="1",BI525,0),2)</f>
        <v>0</v>
      </c>
      <c r="AD525" s="17">
        <f>ROUND(IF(AQ525="7",BH525,0),2)</f>
        <v>0</v>
      </c>
      <c r="AE525" s="17">
        <f>ROUND(IF(AQ525="7",BI525,0),2)</f>
        <v>0</v>
      </c>
      <c r="AF525" s="17">
        <f>ROUND(IF(AQ525="2",BH525,0),2)</f>
        <v>0</v>
      </c>
      <c r="AG525" s="17">
        <f>ROUND(IF(AQ525="2",BI525,0),2)</f>
        <v>0</v>
      </c>
      <c r="AH525" s="17">
        <f>ROUND(IF(AQ525="0",BJ525,0),2)</f>
        <v>0</v>
      </c>
      <c r="AI525" s="14" t="s">
        <v>338</v>
      </c>
      <c r="AJ525" s="17">
        <f>IF(AN525=0,L525,0)</f>
        <v>0</v>
      </c>
      <c r="AK525" s="17">
        <f>IF(AN525=12,L525,0)</f>
        <v>0</v>
      </c>
      <c r="AL525" s="17">
        <f>IF(AN525=21,L525,0)</f>
        <v>0</v>
      </c>
      <c r="AN525" s="17">
        <v>12</v>
      </c>
      <c r="AO525" s="17">
        <f>H525*0.336793108</f>
        <v>0</v>
      </c>
      <c r="AP525" s="17">
        <f>H525*(1-0.336793108)</f>
        <v>0</v>
      </c>
      <c r="AQ525" s="76" t="s">
        <v>577</v>
      </c>
      <c r="AV525" s="17">
        <f>ROUND(AW525+AX525,2)</f>
        <v>0</v>
      </c>
      <c r="AW525" s="17">
        <f>ROUND(G525*AO525,2)</f>
        <v>0</v>
      </c>
      <c r="AX525" s="17">
        <f>ROUND(G525*AP525,2)</f>
        <v>0</v>
      </c>
      <c r="AY525" s="76" t="s">
        <v>1065</v>
      </c>
      <c r="AZ525" s="76" t="s">
        <v>1066</v>
      </c>
      <c r="BA525" s="14" t="s">
        <v>1042</v>
      </c>
      <c r="BC525" s="17">
        <f>AW525+AX525</f>
        <v>0</v>
      </c>
      <c r="BD525" s="17">
        <f>H525/(100-BE525)*100</f>
        <v>0</v>
      </c>
      <c r="BE525" s="17">
        <v>0</v>
      </c>
      <c r="BF525" s="17">
        <f>O525</f>
        <v>0</v>
      </c>
      <c r="BH525" s="17">
        <f>G525*AO525</f>
        <v>0</v>
      </c>
      <c r="BI525" s="17">
        <f>G525*AP525</f>
        <v>0</v>
      </c>
      <c r="BJ525" s="17">
        <f>G525*H525</f>
        <v>0</v>
      </c>
      <c r="BK525" s="17"/>
      <c r="BL525" s="17">
        <v>767</v>
      </c>
      <c r="BW525" s="17">
        <f>I525</f>
        <v>12</v>
      </c>
      <c r="BX525" s="4" t="s">
        <v>387</v>
      </c>
    </row>
    <row r="526" spans="1:76" ht="51" x14ac:dyDescent="0.25">
      <c r="A526" s="77"/>
      <c r="C526" s="78" t="s">
        <v>610</v>
      </c>
      <c r="D526" s="161" t="s">
        <v>1072</v>
      </c>
      <c r="E526" s="162"/>
      <c r="F526" s="162"/>
      <c r="G526" s="162"/>
      <c r="H526" s="162"/>
      <c r="I526" s="162"/>
      <c r="J526" s="162"/>
      <c r="K526" s="162"/>
      <c r="L526" s="162"/>
      <c r="M526" s="162"/>
      <c r="N526" s="162"/>
      <c r="O526" s="162"/>
      <c r="P526" s="163"/>
      <c r="BX526" s="79" t="s">
        <v>1072</v>
      </c>
    </row>
    <row r="527" spans="1:76" x14ac:dyDescent="0.25">
      <c r="A527" s="1" t="s">
        <v>1073</v>
      </c>
      <c r="B527" s="2" t="s">
        <v>338</v>
      </c>
      <c r="C527" s="2" t="s">
        <v>388</v>
      </c>
      <c r="D527" s="83" t="s">
        <v>389</v>
      </c>
      <c r="E527" s="84"/>
      <c r="F527" s="2" t="s">
        <v>354</v>
      </c>
      <c r="G527" s="17">
        <f>'Rozpočet - vybrané sloupce'!J463</f>
        <v>15.6</v>
      </c>
      <c r="H527" s="17">
        <f>'Rozpočet - vybrané sloupce'!K463</f>
        <v>0</v>
      </c>
      <c r="I527" s="74">
        <v>12</v>
      </c>
      <c r="J527" s="17">
        <f>ROUND(G527*AO527,2)</f>
        <v>0</v>
      </c>
      <c r="K527" s="17">
        <f>ROUND(G527*AP527,2)</f>
        <v>0</v>
      </c>
      <c r="L527" s="17">
        <f>ROUND(G527*H527,2)</f>
        <v>0</v>
      </c>
      <c r="M527" s="17">
        <f>L527*(1+BW527/100)</f>
        <v>0</v>
      </c>
      <c r="N527" s="17">
        <v>4.8300000000000001E-3</v>
      </c>
      <c r="O527" s="17">
        <f>G527*N527</f>
        <v>7.5347999999999998E-2</v>
      </c>
      <c r="P527" s="75" t="s">
        <v>576</v>
      </c>
      <c r="Z527" s="17">
        <f>ROUND(IF(AQ527="5",BJ527,0),2)</f>
        <v>0</v>
      </c>
      <c r="AB527" s="17">
        <f>ROUND(IF(AQ527="1",BH527,0),2)</f>
        <v>0</v>
      </c>
      <c r="AC527" s="17">
        <f>ROUND(IF(AQ527="1",BI527,0),2)</f>
        <v>0</v>
      </c>
      <c r="AD527" s="17">
        <f>ROUND(IF(AQ527="7",BH527,0),2)</f>
        <v>0</v>
      </c>
      <c r="AE527" s="17">
        <f>ROUND(IF(AQ527="7",BI527,0),2)</f>
        <v>0</v>
      </c>
      <c r="AF527" s="17">
        <f>ROUND(IF(AQ527="2",BH527,0),2)</f>
        <v>0</v>
      </c>
      <c r="AG527" s="17">
        <f>ROUND(IF(AQ527="2",BI527,0),2)</f>
        <v>0</v>
      </c>
      <c r="AH527" s="17">
        <f>ROUND(IF(AQ527="0",BJ527,0),2)</f>
        <v>0</v>
      </c>
      <c r="AI527" s="14" t="s">
        <v>338</v>
      </c>
      <c r="AJ527" s="17">
        <f>IF(AN527=0,L527,0)</f>
        <v>0</v>
      </c>
      <c r="AK527" s="17">
        <f>IF(AN527=12,L527,0)</f>
        <v>0</v>
      </c>
      <c r="AL527" s="17">
        <f>IF(AN527=21,L527,0)</f>
        <v>0</v>
      </c>
      <c r="AN527" s="17">
        <v>12</v>
      </c>
      <c r="AO527" s="17">
        <f>H527*0.659006709</f>
        <v>0</v>
      </c>
      <c r="AP527" s="17">
        <f>H527*(1-0.659006709)</f>
        <v>0</v>
      </c>
      <c r="AQ527" s="76" t="s">
        <v>577</v>
      </c>
      <c r="AV527" s="17">
        <f>ROUND(AW527+AX527,2)</f>
        <v>0</v>
      </c>
      <c r="AW527" s="17">
        <f>ROUND(G527*AO527,2)</f>
        <v>0</v>
      </c>
      <c r="AX527" s="17">
        <f>ROUND(G527*AP527,2)</f>
        <v>0</v>
      </c>
      <c r="AY527" s="76" t="s">
        <v>1065</v>
      </c>
      <c r="AZ527" s="76" t="s">
        <v>1066</v>
      </c>
      <c r="BA527" s="14" t="s">
        <v>1042</v>
      </c>
      <c r="BC527" s="17">
        <f>AW527+AX527</f>
        <v>0</v>
      </c>
      <c r="BD527" s="17">
        <f>H527/(100-BE527)*100</f>
        <v>0</v>
      </c>
      <c r="BE527" s="17">
        <v>0</v>
      </c>
      <c r="BF527" s="17">
        <f>O527</f>
        <v>7.5347999999999998E-2</v>
      </c>
      <c r="BH527" s="17">
        <f>G527*AO527</f>
        <v>0</v>
      </c>
      <c r="BI527" s="17">
        <f>G527*AP527</f>
        <v>0</v>
      </c>
      <c r="BJ527" s="17">
        <f>G527*H527</f>
        <v>0</v>
      </c>
      <c r="BK527" s="17"/>
      <c r="BL527" s="17">
        <v>767</v>
      </c>
      <c r="BW527" s="17">
        <f>I527</f>
        <v>12</v>
      </c>
      <c r="BX527" s="4" t="s">
        <v>389</v>
      </c>
    </row>
    <row r="528" spans="1:76" ht="51" x14ac:dyDescent="0.25">
      <c r="A528" s="77"/>
      <c r="C528" s="78" t="s">
        <v>610</v>
      </c>
      <c r="D528" s="161" t="s">
        <v>1074</v>
      </c>
      <c r="E528" s="162"/>
      <c r="F528" s="162"/>
      <c r="G528" s="162"/>
      <c r="H528" s="162"/>
      <c r="I528" s="162"/>
      <c r="J528" s="162"/>
      <c r="K528" s="162"/>
      <c r="L528" s="162"/>
      <c r="M528" s="162"/>
      <c r="N528" s="162"/>
      <c r="O528" s="162"/>
      <c r="P528" s="163"/>
      <c r="BX528" s="79" t="s">
        <v>1074</v>
      </c>
    </row>
    <row r="529" spans="1:76" x14ac:dyDescent="0.25">
      <c r="A529" s="1" t="s">
        <v>1075</v>
      </c>
      <c r="B529" s="2" t="s">
        <v>338</v>
      </c>
      <c r="C529" s="2" t="s">
        <v>390</v>
      </c>
      <c r="D529" s="83" t="s">
        <v>391</v>
      </c>
      <c r="E529" s="84"/>
      <c r="F529" s="2" t="s">
        <v>45</v>
      </c>
      <c r="G529" s="17">
        <f>'Rozpočet - vybrané sloupce'!J464</f>
        <v>0</v>
      </c>
      <c r="H529" s="17">
        <f>'Rozpočet - vybrané sloupce'!K464</f>
        <v>0</v>
      </c>
      <c r="I529" s="74">
        <v>12</v>
      </c>
      <c r="J529" s="17">
        <f>ROUND(G529*AO529,2)</f>
        <v>0</v>
      </c>
      <c r="K529" s="17">
        <f>ROUND(G529*AP529,2)</f>
        <v>0</v>
      </c>
      <c r="L529" s="17">
        <f>ROUND(G529*H529,2)</f>
        <v>0</v>
      </c>
      <c r="M529" s="17">
        <f>L529*(1+BW529/100)</f>
        <v>0</v>
      </c>
      <c r="N529" s="17">
        <v>0</v>
      </c>
      <c r="O529" s="17">
        <f>G529*N529</f>
        <v>0</v>
      </c>
      <c r="P529" s="75" t="s">
        <v>576</v>
      </c>
      <c r="Z529" s="17">
        <f>ROUND(IF(AQ529="5",BJ529,0),2)</f>
        <v>0</v>
      </c>
      <c r="AB529" s="17">
        <f>ROUND(IF(AQ529="1",BH529,0),2)</f>
        <v>0</v>
      </c>
      <c r="AC529" s="17">
        <f>ROUND(IF(AQ529="1",BI529,0),2)</f>
        <v>0</v>
      </c>
      <c r="AD529" s="17">
        <f>ROUND(IF(AQ529="7",BH529,0),2)</f>
        <v>0</v>
      </c>
      <c r="AE529" s="17">
        <f>ROUND(IF(AQ529="7",BI529,0),2)</f>
        <v>0</v>
      </c>
      <c r="AF529" s="17">
        <f>ROUND(IF(AQ529="2",BH529,0),2)</f>
        <v>0</v>
      </c>
      <c r="AG529" s="17">
        <f>ROUND(IF(AQ529="2",BI529,0),2)</f>
        <v>0</v>
      </c>
      <c r="AH529" s="17">
        <f>ROUND(IF(AQ529="0",BJ529,0),2)</f>
        <v>0</v>
      </c>
      <c r="AI529" s="14" t="s">
        <v>338</v>
      </c>
      <c r="AJ529" s="17">
        <f>IF(AN529=0,L529,0)</f>
        <v>0</v>
      </c>
      <c r="AK529" s="17">
        <f>IF(AN529=12,L529,0)</f>
        <v>0</v>
      </c>
      <c r="AL529" s="17">
        <f>IF(AN529=21,L529,0)</f>
        <v>0</v>
      </c>
      <c r="AN529" s="17">
        <v>12</v>
      </c>
      <c r="AO529" s="17">
        <f>H529*0</f>
        <v>0</v>
      </c>
      <c r="AP529" s="17">
        <f>H529*(1-0)</f>
        <v>0</v>
      </c>
      <c r="AQ529" s="76" t="s">
        <v>585</v>
      </c>
      <c r="AV529" s="17">
        <f>ROUND(AW529+AX529,2)</f>
        <v>0</v>
      </c>
      <c r="AW529" s="17">
        <f>ROUND(G529*AO529,2)</f>
        <v>0</v>
      </c>
      <c r="AX529" s="17">
        <f>ROUND(G529*AP529,2)</f>
        <v>0</v>
      </c>
      <c r="AY529" s="76" t="s">
        <v>1065</v>
      </c>
      <c r="AZ529" s="76" t="s">
        <v>1066</v>
      </c>
      <c r="BA529" s="14" t="s">
        <v>1042</v>
      </c>
      <c r="BC529" s="17">
        <f>AW529+AX529</f>
        <v>0</v>
      </c>
      <c r="BD529" s="17">
        <f>H529/(100-BE529)*100</f>
        <v>0</v>
      </c>
      <c r="BE529" s="17">
        <v>0</v>
      </c>
      <c r="BF529" s="17">
        <f>O529</f>
        <v>0</v>
      </c>
      <c r="BH529" s="17">
        <f>G529*AO529</f>
        <v>0</v>
      </c>
      <c r="BI529" s="17">
        <f>G529*AP529</f>
        <v>0</v>
      </c>
      <c r="BJ529" s="17">
        <f>G529*H529</f>
        <v>0</v>
      </c>
      <c r="BK529" s="17"/>
      <c r="BL529" s="17">
        <v>767</v>
      </c>
      <c r="BW529" s="17">
        <f>I529</f>
        <v>12</v>
      </c>
      <c r="BX529" s="4" t="s">
        <v>391</v>
      </c>
    </row>
    <row r="530" spans="1:76" x14ac:dyDescent="0.25">
      <c r="A530" s="71" t="s">
        <v>25</v>
      </c>
      <c r="B530" s="13" t="s">
        <v>338</v>
      </c>
      <c r="C530" s="13" t="s">
        <v>392</v>
      </c>
      <c r="D530" s="135" t="s">
        <v>393</v>
      </c>
      <c r="E530" s="136"/>
      <c r="F530" s="72" t="s">
        <v>23</v>
      </c>
      <c r="G530" s="72" t="s">
        <v>23</v>
      </c>
      <c r="H530" s="72" t="s">
        <v>23</v>
      </c>
      <c r="I530" s="72" t="s">
        <v>23</v>
      </c>
      <c r="J530" s="47" t="e">
        <f>SUM(J531:J540)</f>
        <v>#REF!</v>
      </c>
      <c r="K530" s="47" t="e">
        <f>SUM(K531:K540)</f>
        <v>#REF!</v>
      </c>
      <c r="L530" s="47" t="e">
        <f>SUM(L531:L540)</f>
        <v>#REF!</v>
      </c>
      <c r="M530" s="47" t="e">
        <f>SUM(M531:M540)</f>
        <v>#REF!</v>
      </c>
      <c r="N530" s="14" t="s">
        <v>25</v>
      </c>
      <c r="O530" s="47" t="e">
        <f>SUM(O531:O540)</f>
        <v>#REF!</v>
      </c>
      <c r="P530" s="73" t="s">
        <v>25</v>
      </c>
      <c r="AI530" s="14" t="s">
        <v>338</v>
      </c>
      <c r="AS530" s="47">
        <f>SUM(AJ531:AJ540)</f>
        <v>0</v>
      </c>
      <c r="AT530" s="47" t="e">
        <f>SUM(AK531:AK540)</f>
        <v>#REF!</v>
      </c>
      <c r="AU530" s="47">
        <f>SUM(AL531:AL540)</f>
        <v>0</v>
      </c>
    </row>
    <row r="531" spans="1:76" x14ac:dyDescent="0.25">
      <c r="A531" s="1" t="s">
        <v>1076</v>
      </c>
      <c r="B531" s="2" t="s">
        <v>338</v>
      </c>
      <c r="C531" s="2" t="s">
        <v>394</v>
      </c>
      <c r="D531" s="83" t="s">
        <v>395</v>
      </c>
      <c r="E531" s="84"/>
      <c r="F531" s="2" t="s">
        <v>354</v>
      </c>
      <c r="G531" s="17">
        <f>'Rozpočet - vybrané sloupce'!J466</f>
        <v>16.7</v>
      </c>
      <c r="H531" s="17">
        <f>'Rozpočet - vybrané sloupce'!K466</f>
        <v>0</v>
      </c>
      <c r="I531" s="74">
        <v>12</v>
      </c>
      <c r="J531" s="17">
        <f>ROUND(G531*AO531,2)</f>
        <v>0</v>
      </c>
      <c r="K531" s="17">
        <f>ROUND(G531*AP531,2)</f>
        <v>0</v>
      </c>
      <c r="L531" s="17">
        <f>ROUND(G531*H531,2)</f>
        <v>0</v>
      </c>
      <c r="M531" s="17">
        <f>L531*(1+BW531/100)</f>
        <v>0</v>
      </c>
      <c r="N531" s="17">
        <v>2.1000000000000001E-4</v>
      </c>
      <c r="O531" s="17">
        <f>G531*N531</f>
        <v>3.5070000000000001E-3</v>
      </c>
      <c r="P531" s="75" t="s">
        <v>576</v>
      </c>
      <c r="Z531" s="17">
        <f>ROUND(IF(AQ531="5",BJ531,0),2)</f>
        <v>0</v>
      </c>
      <c r="AB531" s="17">
        <f>ROUND(IF(AQ531="1",BH531,0),2)</f>
        <v>0</v>
      </c>
      <c r="AC531" s="17">
        <f>ROUND(IF(AQ531="1",BI531,0),2)</f>
        <v>0</v>
      </c>
      <c r="AD531" s="17">
        <f>ROUND(IF(AQ531="7",BH531,0),2)</f>
        <v>0</v>
      </c>
      <c r="AE531" s="17">
        <f>ROUND(IF(AQ531="7",BI531,0),2)</f>
        <v>0</v>
      </c>
      <c r="AF531" s="17">
        <f>ROUND(IF(AQ531="2",BH531,0),2)</f>
        <v>0</v>
      </c>
      <c r="AG531" s="17">
        <f>ROUND(IF(AQ531="2",BI531,0),2)</f>
        <v>0</v>
      </c>
      <c r="AH531" s="17">
        <f>ROUND(IF(AQ531="0",BJ531,0),2)</f>
        <v>0</v>
      </c>
      <c r="AI531" s="14" t="s">
        <v>338</v>
      </c>
      <c r="AJ531" s="17">
        <f>IF(AN531=0,L531,0)</f>
        <v>0</v>
      </c>
      <c r="AK531" s="17">
        <f>IF(AN531=12,L531,0)</f>
        <v>0</v>
      </c>
      <c r="AL531" s="17">
        <f>IF(AN531=21,L531,0)</f>
        <v>0</v>
      </c>
      <c r="AN531" s="17">
        <v>12</v>
      </c>
      <c r="AO531" s="17">
        <f>H531*0.44725</f>
        <v>0</v>
      </c>
      <c r="AP531" s="17">
        <f>H531*(1-0.44725)</f>
        <v>0</v>
      </c>
      <c r="AQ531" s="76" t="s">
        <v>577</v>
      </c>
      <c r="AV531" s="17">
        <f>ROUND(AW531+AX531,2)</f>
        <v>0</v>
      </c>
      <c r="AW531" s="17">
        <f>ROUND(G531*AO531,2)</f>
        <v>0</v>
      </c>
      <c r="AX531" s="17">
        <f>ROUND(G531*AP531,2)</f>
        <v>0</v>
      </c>
      <c r="AY531" s="76" t="s">
        <v>1077</v>
      </c>
      <c r="AZ531" s="76" t="s">
        <v>1078</v>
      </c>
      <c r="BA531" s="14" t="s">
        <v>1042</v>
      </c>
      <c r="BC531" s="17">
        <f>AW531+AX531</f>
        <v>0</v>
      </c>
      <c r="BD531" s="17">
        <f>H531/(100-BE531)*100</f>
        <v>0</v>
      </c>
      <c r="BE531" s="17">
        <v>0</v>
      </c>
      <c r="BF531" s="17">
        <f>O531</f>
        <v>3.5070000000000001E-3</v>
      </c>
      <c r="BH531" s="17">
        <f>G531*AO531</f>
        <v>0</v>
      </c>
      <c r="BI531" s="17">
        <f>G531*AP531</f>
        <v>0</v>
      </c>
      <c r="BJ531" s="17">
        <f>G531*H531</f>
        <v>0</v>
      </c>
      <c r="BK531" s="17"/>
      <c r="BL531" s="17">
        <v>781</v>
      </c>
      <c r="BW531" s="17">
        <f>I531</f>
        <v>12</v>
      </c>
      <c r="BX531" s="4" t="s">
        <v>395</v>
      </c>
    </row>
    <row r="532" spans="1:76" x14ac:dyDescent="0.25">
      <c r="A532" s="77"/>
      <c r="C532" s="78" t="s">
        <v>610</v>
      </c>
      <c r="D532" s="161" t="s">
        <v>1079</v>
      </c>
      <c r="E532" s="162"/>
      <c r="F532" s="162"/>
      <c r="G532" s="162"/>
      <c r="H532" s="162"/>
      <c r="I532" s="162"/>
      <c r="J532" s="162"/>
      <c r="K532" s="162"/>
      <c r="L532" s="162"/>
      <c r="M532" s="162"/>
      <c r="N532" s="162"/>
      <c r="O532" s="162"/>
      <c r="P532" s="163"/>
      <c r="BX532" s="79" t="s">
        <v>1079</v>
      </c>
    </row>
    <row r="533" spans="1:76" x14ac:dyDescent="0.25">
      <c r="A533" s="1" t="s">
        <v>1080</v>
      </c>
      <c r="B533" s="2" t="s">
        <v>338</v>
      </c>
      <c r="C533" s="2" t="s">
        <v>396</v>
      </c>
      <c r="D533" s="83" t="s">
        <v>397</v>
      </c>
      <c r="E533" s="84"/>
      <c r="F533" s="2" t="s">
        <v>354</v>
      </c>
      <c r="G533" s="17">
        <f>'Rozpočet - vybrané sloupce'!J467</f>
        <v>16.7</v>
      </c>
      <c r="H533" s="17">
        <f>'Rozpočet - vybrané sloupce'!K467</f>
        <v>0</v>
      </c>
      <c r="I533" s="74">
        <v>12</v>
      </c>
      <c r="J533" s="17">
        <f>ROUND(G533*AO533,2)</f>
        <v>0</v>
      </c>
      <c r="K533" s="17">
        <f>ROUND(G533*AP533,2)</f>
        <v>0</v>
      </c>
      <c r="L533" s="17">
        <f>ROUND(G533*H533,2)</f>
        <v>0</v>
      </c>
      <c r="M533" s="17">
        <f>L533*(1+BW533/100)</f>
        <v>0</v>
      </c>
      <c r="N533" s="17">
        <v>0</v>
      </c>
      <c r="O533" s="17">
        <f>G533*N533</f>
        <v>0</v>
      </c>
      <c r="P533" s="75" t="s">
        <v>576</v>
      </c>
      <c r="Z533" s="17">
        <f>ROUND(IF(AQ533="5",BJ533,0),2)</f>
        <v>0</v>
      </c>
      <c r="AB533" s="17">
        <f>ROUND(IF(AQ533="1",BH533,0),2)</f>
        <v>0</v>
      </c>
      <c r="AC533" s="17">
        <f>ROUND(IF(AQ533="1",BI533,0),2)</f>
        <v>0</v>
      </c>
      <c r="AD533" s="17">
        <f>ROUND(IF(AQ533="7",BH533,0),2)</f>
        <v>0</v>
      </c>
      <c r="AE533" s="17">
        <f>ROUND(IF(AQ533="7",BI533,0),2)</f>
        <v>0</v>
      </c>
      <c r="AF533" s="17">
        <f>ROUND(IF(AQ533="2",BH533,0),2)</f>
        <v>0</v>
      </c>
      <c r="AG533" s="17">
        <f>ROUND(IF(AQ533="2",BI533,0),2)</f>
        <v>0</v>
      </c>
      <c r="AH533" s="17">
        <f>ROUND(IF(AQ533="0",BJ533,0),2)</f>
        <v>0</v>
      </c>
      <c r="AI533" s="14" t="s">
        <v>338</v>
      </c>
      <c r="AJ533" s="17">
        <f>IF(AN533=0,L533,0)</f>
        <v>0</v>
      </c>
      <c r="AK533" s="17">
        <f>IF(AN533=12,L533,0)</f>
        <v>0</v>
      </c>
      <c r="AL533" s="17">
        <f>IF(AN533=21,L533,0)</f>
        <v>0</v>
      </c>
      <c r="AN533" s="17">
        <v>12</v>
      </c>
      <c r="AO533" s="17">
        <f>H533*0</f>
        <v>0</v>
      </c>
      <c r="AP533" s="17">
        <f>H533*(1-0)</f>
        <v>0</v>
      </c>
      <c r="AQ533" s="76" t="s">
        <v>577</v>
      </c>
      <c r="AV533" s="17">
        <f>ROUND(AW533+AX533,2)</f>
        <v>0</v>
      </c>
      <c r="AW533" s="17">
        <f>ROUND(G533*AO533,2)</f>
        <v>0</v>
      </c>
      <c r="AX533" s="17">
        <f>ROUND(G533*AP533,2)</f>
        <v>0</v>
      </c>
      <c r="AY533" s="76" t="s">
        <v>1077</v>
      </c>
      <c r="AZ533" s="76" t="s">
        <v>1078</v>
      </c>
      <c r="BA533" s="14" t="s">
        <v>1042</v>
      </c>
      <c r="BC533" s="17">
        <f>AW533+AX533</f>
        <v>0</v>
      </c>
      <c r="BD533" s="17">
        <f>H533/(100-BE533)*100</f>
        <v>0</v>
      </c>
      <c r="BE533" s="17">
        <v>0</v>
      </c>
      <c r="BF533" s="17">
        <f>O533</f>
        <v>0</v>
      </c>
      <c r="BH533" s="17">
        <f>G533*AO533</f>
        <v>0</v>
      </c>
      <c r="BI533" s="17">
        <f>G533*AP533</f>
        <v>0</v>
      </c>
      <c r="BJ533" s="17">
        <f>G533*H533</f>
        <v>0</v>
      </c>
      <c r="BK533" s="17"/>
      <c r="BL533" s="17">
        <v>781</v>
      </c>
      <c r="BW533" s="17">
        <f>I533</f>
        <v>12</v>
      </c>
      <c r="BX533" s="4" t="s">
        <v>397</v>
      </c>
    </row>
    <row r="534" spans="1:76" ht="89.25" x14ac:dyDescent="0.25">
      <c r="A534" s="77"/>
      <c r="C534" s="78" t="s">
        <v>610</v>
      </c>
      <c r="D534" s="161" t="s">
        <v>1081</v>
      </c>
      <c r="E534" s="162"/>
      <c r="F534" s="162"/>
      <c r="G534" s="162"/>
      <c r="H534" s="162"/>
      <c r="I534" s="162"/>
      <c r="J534" s="162"/>
      <c r="K534" s="162"/>
      <c r="L534" s="162"/>
      <c r="M534" s="162"/>
      <c r="N534" s="162"/>
      <c r="O534" s="162"/>
      <c r="P534" s="163"/>
      <c r="BX534" s="79" t="s">
        <v>1081</v>
      </c>
    </row>
    <row r="535" spans="1:76" x14ac:dyDescent="0.25">
      <c r="A535" s="1" t="s">
        <v>1082</v>
      </c>
      <c r="B535" s="2" t="s">
        <v>338</v>
      </c>
      <c r="C535" s="2" t="s">
        <v>398</v>
      </c>
      <c r="D535" s="83" t="s">
        <v>399</v>
      </c>
      <c r="E535" s="84"/>
      <c r="F535" s="2" t="s">
        <v>354</v>
      </c>
      <c r="G535" s="17" t="e">
        <f>'Rozpočet - vybrané sloupce'!#REF!</f>
        <v>#REF!</v>
      </c>
      <c r="H535" s="17" t="e">
        <f>'Rozpočet - vybrané sloupce'!#REF!</f>
        <v>#REF!</v>
      </c>
      <c r="I535" s="74">
        <v>12</v>
      </c>
      <c r="J535" s="17" t="e">
        <f>ROUND(G535*AO535,2)</f>
        <v>#REF!</v>
      </c>
      <c r="K535" s="17" t="e">
        <f>ROUND(G535*AP535,2)</f>
        <v>#REF!</v>
      </c>
      <c r="L535" s="17" t="e">
        <f>ROUND(G535*H535,2)</f>
        <v>#REF!</v>
      </c>
      <c r="M535" s="17" t="e">
        <f>L535*(1+BW535/100)</f>
        <v>#REF!</v>
      </c>
      <c r="N535" s="17">
        <v>0</v>
      </c>
      <c r="O535" s="17" t="e">
        <f>G535*N535</f>
        <v>#REF!</v>
      </c>
      <c r="P535" s="75" t="s">
        <v>576</v>
      </c>
      <c r="Z535" s="17">
        <f>ROUND(IF(AQ535="5",BJ535,0),2)</f>
        <v>0</v>
      </c>
      <c r="AB535" s="17">
        <f>ROUND(IF(AQ535="1",BH535,0),2)</f>
        <v>0</v>
      </c>
      <c r="AC535" s="17">
        <f>ROUND(IF(AQ535="1",BI535,0),2)</f>
        <v>0</v>
      </c>
      <c r="AD535" s="17" t="e">
        <f>ROUND(IF(AQ535="7",BH535,0),2)</f>
        <v>#REF!</v>
      </c>
      <c r="AE535" s="17" t="e">
        <f>ROUND(IF(AQ535="7",BI535,0),2)</f>
        <v>#REF!</v>
      </c>
      <c r="AF535" s="17">
        <f>ROUND(IF(AQ535="2",BH535,0),2)</f>
        <v>0</v>
      </c>
      <c r="AG535" s="17">
        <f>ROUND(IF(AQ535="2",BI535,0),2)</f>
        <v>0</v>
      </c>
      <c r="AH535" s="17">
        <f>ROUND(IF(AQ535="0",BJ535,0),2)</f>
        <v>0</v>
      </c>
      <c r="AI535" s="14" t="s">
        <v>338</v>
      </c>
      <c r="AJ535" s="17">
        <f>IF(AN535=0,L535,0)</f>
        <v>0</v>
      </c>
      <c r="AK535" s="17" t="e">
        <f>IF(AN535=12,L535,0)</f>
        <v>#REF!</v>
      </c>
      <c r="AL535" s="17">
        <f>IF(AN535=21,L535,0)</f>
        <v>0</v>
      </c>
      <c r="AN535" s="17">
        <v>12</v>
      </c>
      <c r="AO535" s="17" t="e">
        <f>H535*0</f>
        <v>#REF!</v>
      </c>
      <c r="AP535" s="17" t="e">
        <f>H535*(1-0)</f>
        <v>#REF!</v>
      </c>
      <c r="AQ535" s="76" t="s">
        <v>577</v>
      </c>
      <c r="AV535" s="17" t="e">
        <f>ROUND(AW535+AX535,2)</f>
        <v>#REF!</v>
      </c>
      <c r="AW535" s="17" t="e">
        <f>ROUND(G535*AO535,2)</f>
        <v>#REF!</v>
      </c>
      <c r="AX535" s="17" t="e">
        <f>ROUND(G535*AP535,2)</f>
        <v>#REF!</v>
      </c>
      <c r="AY535" s="76" t="s">
        <v>1077</v>
      </c>
      <c r="AZ535" s="76" t="s">
        <v>1078</v>
      </c>
      <c r="BA535" s="14" t="s">
        <v>1042</v>
      </c>
      <c r="BC535" s="17" t="e">
        <f>AW535+AX535</f>
        <v>#REF!</v>
      </c>
      <c r="BD535" s="17" t="e">
        <f>H535/(100-BE535)*100</f>
        <v>#REF!</v>
      </c>
      <c r="BE535" s="17">
        <v>0</v>
      </c>
      <c r="BF535" s="17" t="e">
        <f>O535</f>
        <v>#REF!</v>
      </c>
      <c r="BH535" s="17" t="e">
        <f>G535*AO535</f>
        <v>#REF!</v>
      </c>
      <c r="BI535" s="17" t="e">
        <f>G535*AP535</f>
        <v>#REF!</v>
      </c>
      <c r="BJ535" s="17" t="e">
        <f>G535*H535</f>
        <v>#REF!</v>
      </c>
      <c r="BK535" s="17"/>
      <c r="BL535" s="17">
        <v>781</v>
      </c>
      <c r="BW535" s="17">
        <f>I535</f>
        <v>12</v>
      </c>
      <c r="BX535" s="4" t="s">
        <v>399</v>
      </c>
    </row>
    <row r="536" spans="1:76" ht="25.5" x14ac:dyDescent="0.25">
      <c r="A536" s="77"/>
      <c r="C536" s="78" t="s">
        <v>610</v>
      </c>
      <c r="D536" s="161" t="s">
        <v>1083</v>
      </c>
      <c r="E536" s="162"/>
      <c r="F536" s="162"/>
      <c r="G536" s="162"/>
      <c r="H536" s="162"/>
      <c r="I536" s="162"/>
      <c r="J536" s="162"/>
      <c r="K536" s="162"/>
      <c r="L536" s="162"/>
      <c r="M536" s="162"/>
      <c r="N536" s="162"/>
      <c r="O536" s="162"/>
      <c r="P536" s="163"/>
      <c r="BX536" s="79" t="s">
        <v>1083</v>
      </c>
    </row>
    <row r="537" spans="1:76" x14ac:dyDescent="0.25">
      <c r="A537" s="1" t="s">
        <v>1084</v>
      </c>
      <c r="B537" s="2" t="s">
        <v>338</v>
      </c>
      <c r="C537" s="2" t="s">
        <v>400</v>
      </c>
      <c r="D537" s="83" t="s">
        <v>401</v>
      </c>
      <c r="E537" s="84"/>
      <c r="F537" s="2" t="s">
        <v>354</v>
      </c>
      <c r="G537" s="17">
        <f>'Rozpočet - vybrané sloupce'!J468</f>
        <v>18.399999999999999</v>
      </c>
      <c r="H537" s="17">
        <f>'Rozpočet - vybrané sloupce'!K468</f>
        <v>0</v>
      </c>
      <c r="I537" s="74">
        <v>12</v>
      </c>
      <c r="J537" s="17">
        <f>ROUND(G537*AO537,2)</f>
        <v>0</v>
      </c>
      <c r="K537" s="17">
        <f>ROUND(G537*AP537,2)</f>
        <v>0</v>
      </c>
      <c r="L537" s="17">
        <f>ROUND(G537*H537,2)</f>
        <v>0</v>
      </c>
      <c r="M537" s="17">
        <f>L537*(1+BW537/100)</f>
        <v>0</v>
      </c>
      <c r="N537" s="17">
        <v>1.3599999999999999E-2</v>
      </c>
      <c r="O537" s="17">
        <f>G537*N537</f>
        <v>0.25023999999999996</v>
      </c>
      <c r="P537" s="75" t="s">
        <v>576</v>
      </c>
      <c r="Z537" s="17">
        <f>ROUND(IF(AQ537="5",BJ537,0),2)</f>
        <v>0</v>
      </c>
      <c r="AB537" s="17">
        <f>ROUND(IF(AQ537="1",BH537,0),2)</f>
        <v>0</v>
      </c>
      <c r="AC537" s="17">
        <f>ROUND(IF(AQ537="1",BI537,0),2)</f>
        <v>0</v>
      </c>
      <c r="AD537" s="17">
        <f>ROUND(IF(AQ537="7",BH537,0),2)</f>
        <v>0</v>
      </c>
      <c r="AE537" s="17">
        <f>ROUND(IF(AQ537="7",BI537,0),2)</f>
        <v>0</v>
      </c>
      <c r="AF537" s="17">
        <f>ROUND(IF(AQ537="2",BH537,0),2)</f>
        <v>0</v>
      </c>
      <c r="AG537" s="17">
        <f>ROUND(IF(AQ537="2",BI537,0),2)</f>
        <v>0</v>
      </c>
      <c r="AH537" s="17">
        <f>ROUND(IF(AQ537="0",BJ537,0),2)</f>
        <v>0</v>
      </c>
      <c r="AI537" s="14" t="s">
        <v>338</v>
      </c>
      <c r="AJ537" s="17">
        <f>IF(AN537=0,L537,0)</f>
        <v>0</v>
      </c>
      <c r="AK537" s="17">
        <f>IF(AN537=12,L537,0)</f>
        <v>0</v>
      </c>
      <c r="AL537" s="17">
        <f>IF(AN537=21,L537,0)</f>
        <v>0</v>
      </c>
      <c r="AN537" s="17">
        <v>12</v>
      </c>
      <c r="AO537" s="17">
        <f>H537*1</f>
        <v>0</v>
      </c>
      <c r="AP537" s="17">
        <f>H537*(1-1)</f>
        <v>0</v>
      </c>
      <c r="AQ537" s="76" t="s">
        <v>577</v>
      </c>
      <c r="AV537" s="17">
        <f>ROUND(AW537+AX537,2)</f>
        <v>0</v>
      </c>
      <c r="AW537" s="17">
        <f>ROUND(G537*AO537,2)</f>
        <v>0</v>
      </c>
      <c r="AX537" s="17">
        <f>ROUND(G537*AP537,2)</f>
        <v>0</v>
      </c>
      <c r="AY537" s="76" t="s">
        <v>1077</v>
      </c>
      <c r="AZ537" s="76" t="s">
        <v>1078</v>
      </c>
      <c r="BA537" s="14" t="s">
        <v>1042</v>
      </c>
      <c r="BC537" s="17">
        <f>AW537+AX537</f>
        <v>0</v>
      </c>
      <c r="BD537" s="17">
        <f>H537/(100-BE537)*100</f>
        <v>0</v>
      </c>
      <c r="BE537" s="17">
        <v>0</v>
      </c>
      <c r="BF537" s="17">
        <f>O537</f>
        <v>0.25023999999999996</v>
      </c>
      <c r="BH537" s="17">
        <f>G537*AO537</f>
        <v>0</v>
      </c>
      <c r="BI537" s="17">
        <f>G537*AP537</f>
        <v>0</v>
      </c>
      <c r="BJ537" s="17">
        <f>G537*H537</f>
        <v>0</v>
      </c>
      <c r="BK537" s="17"/>
      <c r="BL537" s="17">
        <v>781</v>
      </c>
      <c r="BW537" s="17">
        <f>I537</f>
        <v>12</v>
      </c>
      <c r="BX537" s="4" t="s">
        <v>401</v>
      </c>
    </row>
    <row r="538" spans="1:76" x14ac:dyDescent="0.25">
      <c r="A538" s="77"/>
      <c r="C538" s="78" t="s">
        <v>610</v>
      </c>
      <c r="D538" s="161" t="s">
        <v>1085</v>
      </c>
      <c r="E538" s="162"/>
      <c r="F538" s="162"/>
      <c r="G538" s="162"/>
      <c r="H538" s="162"/>
      <c r="I538" s="162"/>
      <c r="J538" s="162"/>
      <c r="K538" s="162"/>
      <c r="L538" s="162"/>
      <c r="M538" s="162"/>
      <c r="N538" s="162"/>
      <c r="O538" s="162"/>
      <c r="P538" s="163"/>
      <c r="BX538" s="79" t="s">
        <v>1085</v>
      </c>
    </row>
    <row r="539" spans="1:76" x14ac:dyDescent="0.25">
      <c r="A539" s="1" t="s">
        <v>1086</v>
      </c>
      <c r="B539" s="2" t="s">
        <v>338</v>
      </c>
      <c r="C539" s="2" t="s">
        <v>402</v>
      </c>
      <c r="D539" s="83" t="s">
        <v>403</v>
      </c>
      <c r="E539" s="84"/>
      <c r="F539" s="2" t="s">
        <v>35</v>
      </c>
      <c r="G539" s="17" t="e">
        <f>'Rozpočet - vybrané sloupce'!#REF!</f>
        <v>#REF!</v>
      </c>
      <c r="H539" s="17" t="e">
        <f>'Rozpočet - vybrané sloupce'!#REF!</f>
        <v>#REF!</v>
      </c>
      <c r="I539" s="74">
        <v>12</v>
      </c>
      <c r="J539" s="17" t="e">
        <f>ROUND(G539*AO539,2)</f>
        <v>#REF!</v>
      </c>
      <c r="K539" s="17" t="e">
        <f>ROUND(G539*AP539,2)</f>
        <v>#REF!</v>
      </c>
      <c r="L539" s="17" t="e">
        <f>ROUND(G539*H539,2)</f>
        <v>#REF!</v>
      </c>
      <c r="M539" s="17" t="e">
        <f>L539*(1+BW539/100)</f>
        <v>#REF!</v>
      </c>
      <c r="N539" s="17">
        <v>3.0699999999999998E-3</v>
      </c>
      <c r="O539" s="17" t="e">
        <f>G539*N539</f>
        <v>#REF!</v>
      </c>
      <c r="P539" s="75" t="s">
        <v>576</v>
      </c>
      <c r="Z539" s="17">
        <f>ROUND(IF(AQ539="5",BJ539,0),2)</f>
        <v>0</v>
      </c>
      <c r="AB539" s="17">
        <f>ROUND(IF(AQ539="1",BH539,0),2)</f>
        <v>0</v>
      </c>
      <c r="AC539" s="17">
        <f>ROUND(IF(AQ539="1",BI539,0),2)</f>
        <v>0</v>
      </c>
      <c r="AD539" s="17" t="e">
        <f>ROUND(IF(AQ539="7",BH539,0),2)</f>
        <v>#REF!</v>
      </c>
      <c r="AE539" s="17" t="e">
        <f>ROUND(IF(AQ539="7",BI539,0),2)</f>
        <v>#REF!</v>
      </c>
      <c r="AF539" s="17">
        <f>ROUND(IF(AQ539="2",BH539,0),2)</f>
        <v>0</v>
      </c>
      <c r="AG539" s="17">
        <f>ROUND(IF(AQ539="2",BI539,0),2)</f>
        <v>0</v>
      </c>
      <c r="AH539" s="17">
        <f>ROUND(IF(AQ539="0",BJ539,0),2)</f>
        <v>0</v>
      </c>
      <c r="AI539" s="14" t="s">
        <v>338</v>
      </c>
      <c r="AJ539" s="17">
        <f>IF(AN539=0,L539,0)</f>
        <v>0</v>
      </c>
      <c r="AK539" s="17" t="e">
        <f>IF(AN539=12,L539,0)</f>
        <v>#REF!</v>
      </c>
      <c r="AL539" s="17">
        <f>IF(AN539=21,L539,0)</f>
        <v>0</v>
      </c>
      <c r="AN539" s="17">
        <v>12</v>
      </c>
      <c r="AO539" s="17" t="e">
        <f>H539*0.283738739</f>
        <v>#REF!</v>
      </c>
      <c r="AP539" s="17" t="e">
        <f>H539*(1-0.283738739)</f>
        <v>#REF!</v>
      </c>
      <c r="AQ539" s="76" t="s">
        <v>577</v>
      </c>
      <c r="AV539" s="17" t="e">
        <f>ROUND(AW539+AX539,2)</f>
        <v>#REF!</v>
      </c>
      <c r="AW539" s="17" t="e">
        <f>ROUND(G539*AO539,2)</f>
        <v>#REF!</v>
      </c>
      <c r="AX539" s="17" t="e">
        <f>ROUND(G539*AP539,2)</f>
        <v>#REF!</v>
      </c>
      <c r="AY539" s="76" t="s">
        <v>1077</v>
      </c>
      <c r="AZ539" s="76" t="s">
        <v>1078</v>
      </c>
      <c r="BA539" s="14" t="s">
        <v>1042</v>
      </c>
      <c r="BC539" s="17" t="e">
        <f>AW539+AX539</f>
        <v>#REF!</v>
      </c>
      <c r="BD539" s="17" t="e">
        <f>H539/(100-BE539)*100</f>
        <v>#REF!</v>
      </c>
      <c r="BE539" s="17">
        <v>0</v>
      </c>
      <c r="BF539" s="17" t="e">
        <f>O539</f>
        <v>#REF!</v>
      </c>
      <c r="BH539" s="17" t="e">
        <f>G539*AO539</f>
        <v>#REF!</v>
      </c>
      <c r="BI539" s="17" t="e">
        <f>G539*AP539</f>
        <v>#REF!</v>
      </c>
      <c r="BJ539" s="17" t="e">
        <f>G539*H539</f>
        <v>#REF!</v>
      </c>
      <c r="BK539" s="17"/>
      <c r="BL539" s="17">
        <v>781</v>
      </c>
      <c r="BW539" s="17">
        <f>I539</f>
        <v>12</v>
      </c>
      <c r="BX539" s="4" t="s">
        <v>403</v>
      </c>
    </row>
    <row r="540" spans="1:76" x14ac:dyDescent="0.25">
      <c r="A540" s="1" t="s">
        <v>1087</v>
      </c>
      <c r="B540" s="2" t="s">
        <v>338</v>
      </c>
      <c r="C540" s="2" t="s">
        <v>404</v>
      </c>
      <c r="D540" s="83" t="s">
        <v>405</v>
      </c>
      <c r="E540" s="84"/>
      <c r="F540" s="2" t="s">
        <v>45</v>
      </c>
      <c r="G540" s="17">
        <f>'Rozpočet - vybrané sloupce'!J469</f>
        <v>0</v>
      </c>
      <c r="H540" s="17">
        <f>'Rozpočet - vybrané sloupce'!K469</f>
        <v>0</v>
      </c>
      <c r="I540" s="74">
        <v>12</v>
      </c>
      <c r="J540" s="17">
        <f>ROUND(G540*AO540,2)</f>
        <v>0</v>
      </c>
      <c r="K540" s="17">
        <f>ROUND(G540*AP540,2)</f>
        <v>0</v>
      </c>
      <c r="L540" s="17">
        <f>ROUND(G540*H540,2)</f>
        <v>0</v>
      </c>
      <c r="M540" s="17">
        <f>L540*(1+BW540/100)</f>
        <v>0</v>
      </c>
      <c r="N540" s="17">
        <v>0</v>
      </c>
      <c r="O540" s="17">
        <f>G540*N540</f>
        <v>0</v>
      </c>
      <c r="P540" s="75" t="s">
        <v>576</v>
      </c>
      <c r="Z540" s="17">
        <f>ROUND(IF(AQ540="5",BJ540,0),2)</f>
        <v>0</v>
      </c>
      <c r="AB540" s="17">
        <f>ROUND(IF(AQ540="1",BH540,0),2)</f>
        <v>0</v>
      </c>
      <c r="AC540" s="17">
        <f>ROUND(IF(AQ540="1",BI540,0),2)</f>
        <v>0</v>
      </c>
      <c r="AD540" s="17">
        <f>ROUND(IF(AQ540="7",BH540,0),2)</f>
        <v>0</v>
      </c>
      <c r="AE540" s="17">
        <f>ROUND(IF(AQ540="7",BI540,0),2)</f>
        <v>0</v>
      </c>
      <c r="AF540" s="17">
        <f>ROUND(IF(AQ540="2",BH540,0),2)</f>
        <v>0</v>
      </c>
      <c r="AG540" s="17">
        <f>ROUND(IF(AQ540="2",BI540,0),2)</f>
        <v>0</v>
      </c>
      <c r="AH540" s="17">
        <f>ROUND(IF(AQ540="0",BJ540,0),2)</f>
        <v>0</v>
      </c>
      <c r="AI540" s="14" t="s">
        <v>338</v>
      </c>
      <c r="AJ540" s="17">
        <f>IF(AN540=0,L540,0)</f>
        <v>0</v>
      </c>
      <c r="AK540" s="17">
        <f>IF(AN540=12,L540,0)</f>
        <v>0</v>
      </c>
      <c r="AL540" s="17">
        <f>IF(AN540=21,L540,0)</f>
        <v>0</v>
      </c>
      <c r="AN540" s="17">
        <v>12</v>
      </c>
      <c r="AO540" s="17">
        <f>H540*0</f>
        <v>0</v>
      </c>
      <c r="AP540" s="17">
        <f>H540*(1-0)</f>
        <v>0</v>
      </c>
      <c r="AQ540" s="76" t="s">
        <v>585</v>
      </c>
      <c r="AV540" s="17">
        <f>ROUND(AW540+AX540,2)</f>
        <v>0</v>
      </c>
      <c r="AW540" s="17">
        <f>ROUND(G540*AO540,2)</f>
        <v>0</v>
      </c>
      <c r="AX540" s="17">
        <f>ROUND(G540*AP540,2)</f>
        <v>0</v>
      </c>
      <c r="AY540" s="76" t="s">
        <v>1077</v>
      </c>
      <c r="AZ540" s="76" t="s">
        <v>1078</v>
      </c>
      <c r="BA540" s="14" t="s">
        <v>1042</v>
      </c>
      <c r="BC540" s="17">
        <f>AW540+AX540</f>
        <v>0</v>
      </c>
      <c r="BD540" s="17">
        <f>H540/(100-BE540)*100</f>
        <v>0</v>
      </c>
      <c r="BE540" s="17">
        <v>0</v>
      </c>
      <c r="BF540" s="17">
        <f>O540</f>
        <v>0</v>
      </c>
      <c r="BH540" s="17">
        <f>G540*AO540</f>
        <v>0</v>
      </c>
      <c r="BI540" s="17">
        <f>G540*AP540</f>
        <v>0</v>
      </c>
      <c r="BJ540" s="17">
        <f>G540*H540</f>
        <v>0</v>
      </c>
      <c r="BK540" s="17"/>
      <c r="BL540" s="17">
        <v>781</v>
      </c>
      <c r="BW540" s="17">
        <f>I540</f>
        <v>12</v>
      </c>
      <c r="BX540" s="4" t="s">
        <v>405</v>
      </c>
    </row>
    <row r="541" spans="1:76" x14ac:dyDescent="0.25">
      <c r="A541" s="71" t="s">
        <v>25</v>
      </c>
      <c r="B541" s="13" t="s">
        <v>338</v>
      </c>
      <c r="C541" s="13" t="s">
        <v>406</v>
      </c>
      <c r="D541" s="135" t="s">
        <v>407</v>
      </c>
      <c r="E541" s="136"/>
      <c r="F541" s="72" t="s">
        <v>23</v>
      </c>
      <c r="G541" s="72" t="s">
        <v>23</v>
      </c>
      <c r="H541" s="72" t="s">
        <v>23</v>
      </c>
      <c r="I541" s="72" t="s">
        <v>23</v>
      </c>
      <c r="J541" s="47">
        <f>SUM(J542:J543)</f>
        <v>0</v>
      </c>
      <c r="K541" s="47">
        <f>SUM(K542:K543)</f>
        <v>0</v>
      </c>
      <c r="L541" s="47">
        <f>SUM(L542:L543)</f>
        <v>0</v>
      </c>
      <c r="M541" s="47">
        <f>SUM(M542:M543)</f>
        <v>0</v>
      </c>
      <c r="N541" s="14" t="s">
        <v>25</v>
      </c>
      <c r="O541" s="47">
        <f>SUM(O542:O543)</f>
        <v>1.0772E-2</v>
      </c>
      <c r="P541" s="73" t="s">
        <v>25</v>
      </c>
      <c r="AI541" s="14" t="s">
        <v>338</v>
      </c>
      <c r="AS541" s="47">
        <f>SUM(AJ542:AJ543)</f>
        <v>0</v>
      </c>
      <c r="AT541" s="47">
        <f>SUM(AK542:AK543)</f>
        <v>0</v>
      </c>
      <c r="AU541" s="47">
        <f>SUM(AL542:AL543)</f>
        <v>0</v>
      </c>
    </row>
    <row r="542" spans="1:76" x14ac:dyDescent="0.25">
      <c r="A542" s="1" t="s">
        <v>1088</v>
      </c>
      <c r="B542" s="2" t="s">
        <v>338</v>
      </c>
      <c r="C542" s="2" t="s">
        <v>408</v>
      </c>
      <c r="D542" s="83" t="s">
        <v>409</v>
      </c>
      <c r="E542" s="84"/>
      <c r="F542" s="2" t="s">
        <v>354</v>
      </c>
      <c r="G542" s="17">
        <f>'Rozpočet - vybrané sloupce'!J471</f>
        <v>3.2</v>
      </c>
      <c r="H542" s="17">
        <f>'Rozpočet - vybrané sloupce'!K471</f>
        <v>0</v>
      </c>
      <c r="I542" s="74">
        <v>12</v>
      </c>
      <c r="J542" s="17">
        <f>ROUND(G542*AO542,2)</f>
        <v>0</v>
      </c>
      <c r="K542" s="17">
        <f>ROUND(G542*AP542,2)</f>
        <v>0</v>
      </c>
      <c r="L542" s="17">
        <f>ROUND(G542*H542,2)</f>
        <v>0</v>
      </c>
      <c r="M542" s="17">
        <f>L542*(1+BW542/100)</f>
        <v>0</v>
      </c>
      <c r="N542" s="17">
        <v>1.4599999999999999E-3</v>
      </c>
      <c r="O542" s="17">
        <f>G542*N542</f>
        <v>4.6719999999999999E-3</v>
      </c>
      <c r="P542" s="75" t="s">
        <v>576</v>
      </c>
      <c r="Z542" s="17">
        <f>ROUND(IF(AQ542="5",BJ542,0),2)</f>
        <v>0</v>
      </c>
      <c r="AB542" s="17">
        <f>ROUND(IF(AQ542="1",BH542,0),2)</f>
        <v>0</v>
      </c>
      <c r="AC542" s="17">
        <f>ROUND(IF(AQ542="1",BI542,0),2)</f>
        <v>0</v>
      </c>
      <c r="AD542" s="17">
        <f>ROUND(IF(AQ542="7",BH542,0),2)</f>
        <v>0</v>
      </c>
      <c r="AE542" s="17">
        <f>ROUND(IF(AQ542="7",BI542,0),2)</f>
        <v>0</v>
      </c>
      <c r="AF542" s="17">
        <f>ROUND(IF(AQ542="2",BH542,0),2)</f>
        <v>0</v>
      </c>
      <c r="AG542" s="17">
        <f>ROUND(IF(AQ542="2",BI542,0),2)</f>
        <v>0</v>
      </c>
      <c r="AH542" s="17">
        <f>ROUND(IF(AQ542="0",BJ542,0),2)</f>
        <v>0</v>
      </c>
      <c r="AI542" s="14" t="s">
        <v>338</v>
      </c>
      <c r="AJ542" s="17">
        <f>IF(AN542=0,L542,0)</f>
        <v>0</v>
      </c>
      <c r="AK542" s="17">
        <f>IF(AN542=12,L542,0)</f>
        <v>0</v>
      </c>
      <c r="AL542" s="17">
        <f>IF(AN542=21,L542,0)</f>
        <v>0</v>
      </c>
      <c r="AN542" s="17">
        <v>12</v>
      </c>
      <c r="AO542" s="17">
        <f>H542*0</f>
        <v>0</v>
      </c>
      <c r="AP542" s="17">
        <f>H542*(1-0)</f>
        <v>0</v>
      </c>
      <c r="AQ542" s="76" t="s">
        <v>577</v>
      </c>
      <c r="AV542" s="17">
        <f>ROUND(AW542+AX542,2)</f>
        <v>0</v>
      </c>
      <c r="AW542" s="17">
        <f>ROUND(G542*AO542,2)</f>
        <v>0</v>
      </c>
      <c r="AX542" s="17">
        <f>ROUND(G542*AP542,2)</f>
        <v>0</v>
      </c>
      <c r="AY542" s="76" t="s">
        <v>1089</v>
      </c>
      <c r="AZ542" s="76" t="s">
        <v>1078</v>
      </c>
      <c r="BA542" s="14" t="s">
        <v>1042</v>
      </c>
      <c r="BC542" s="17">
        <f>AW542+AX542</f>
        <v>0</v>
      </c>
      <c r="BD542" s="17">
        <f>H542/(100-BE542)*100</f>
        <v>0</v>
      </c>
      <c r="BE542" s="17">
        <v>0</v>
      </c>
      <c r="BF542" s="17">
        <f>O542</f>
        <v>4.6719999999999999E-3</v>
      </c>
      <c r="BH542" s="17">
        <f>G542*AO542</f>
        <v>0</v>
      </c>
      <c r="BI542" s="17">
        <f>G542*AP542</f>
        <v>0</v>
      </c>
      <c r="BJ542" s="17">
        <f>G542*H542</f>
        <v>0</v>
      </c>
      <c r="BK542" s="17"/>
      <c r="BL542" s="17">
        <v>783</v>
      </c>
      <c r="BW542" s="17">
        <f>I542</f>
        <v>12</v>
      </c>
      <c r="BX542" s="4" t="s">
        <v>409</v>
      </c>
    </row>
    <row r="543" spans="1:76" x14ac:dyDescent="0.25">
      <c r="A543" s="1" t="s">
        <v>1090</v>
      </c>
      <c r="B543" s="2" t="s">
        <v>338</v>
      </c>
      <c r="C543" s="2" t="s">
        <v>410</v>
      </c>
      <c r="D543" s="83" t="s">
        <v>411</v>
      </c>
      <c r="E543" s="84"/>
      <c r="F543" s="2" t="s">
        <v>412</v>
      </c>
      <c r="G543" s="17">
        <f>'Rozpočet - vybrané sloupce'!J472</f>
        <v>6.1</v>
      </c>
      <c r="H543" s="17">
        <f>'Rozpočet - vybrané sloupce'!K472</f>
        <v>0</v>
      </c>
      <c r="I543" s="74">
        <v>12</v>
      </c>
      <c r="J543" s="17">
        <f>ROUND(G543*AO543,2)</f>
        <v>0</v>
      </c>
      <c r="K543" s="17">
        <f>ROUND(G543*AP543,2)</f>
        <v>0</v>
      </c>
      <c r="L543" s="17">
        <f>ROUND(G543*H543,2)</f>
        <v>0</v>
      </c>
      <c r="M543" s="17">
        <f>L543*(1+BW543/100)</f>
        <v>0</v>
      </c>
      <c r="N543" s="17">
        <v>1E-3</v>
      </c>
      <c r="O543" s="17">
        <f>G543*N543</f>
        <v>6.0999999999999995E-3</v>
      </c>
      <c r="P543" s="75" t="s">
        <v>576</v>
      </c>
      <c r="Z543" s="17">
        <f>ROUND(IF(AQ543="5",BJ543,0),2)</f>
        <v>0</v>
      </c>
      <c r="AB543" s="17">
        <f>ROUND(IF(AQ543="1",BH543,0),2)</f>
        <v>0</v>
      </c>
      <c r="AC543" s="17">
        <f>ROUND(IF(AQ543="1",BI543,0),2)</f>
        <v>0</v>
      </c>
      <c r="AD543" s="17">
        <f>ROUND(IF(AQ543="7",BH543,0),2)</f>
        <v>0</v>
      </c>
      <c r="AE543" s="17">
        <f>ROUND(IF(AQ543="7",BI543,0),2)</f>
        <v>0</v>
      </c>
      <c r="AF543" s="17">
        <f>ROUND(IF(AQ543="2",BH543,0),2)</f>
        <v>0</v>
      </c>
      <c r="AG543" s="17">
        <f>ROUND(IF(AQ543="2",BI543,0),2)</f>
        <v>0</v>
      </c>
      <c r="AH543" s="17">
        <f>ROUND(IF(AQ543="0",BJ543,0),2)</f>
        <v>0</v>
      </c>
      <c r="AI543" s="14" t="s">
        <v>338</v>
      </c>
      <c r="AJ543" s="17">
        <f>IF(AN543=0,L543,0)</f>
        <v>0</v>
      </c>
      <c r="AK543" s="17">
        <f>IF(AN543=12,L543,0)</f>
        <v>0</v>
      </c>
      <c r="AL543" s="17">
        <f>IF(AN543=21,L543,0)</f>
        <v>0</v>
      </c>
      <c r="AN543" s="17">
        <v>12</v>
      </c>
      <c r="AO543" s="17">
        <f>H543*1</f>
        <v>0</v>
      </c>
      <c r="AP543" s="17">
        <f>H543*(1-1)</f>
        <v>0</v>
      </c>
      <c r="AQ543" s="76" t="s">
        <v>577</v>
      </c>
      <c r="AV543" s="17">
        <f>ROUND(AW543+AX543,2)</f>
        <v>0</v>
      </c>
      <c r="AW543" s="17">
        <f>ROUND(G543*AO543,2)</f>
        <v>0</v>
      </c>
      <c r="AX543" s="17">
        <f>ROUND(G543*AP543,2)</f>
        <v>0</v>
      </c>
      <c r="AY543" s="76" t="s">
        <v>1089</v>
      </c>
      <c r="AZ543" s="76" t="s">
        <v>1078</v>
      </c>
      <c r="BA543" s="14" t="s">
        <v>1042</v>
      </c>
      <c r="BC543" s="17">
        <f>AW543+AX543</f>
        <v>0</v>
      </c>
      <c r="BD543" s="17">
        <f>H543/(100-BE543)*100</f>
        <v>0</v>
      </c>
      <c r="BE543" s="17">
        <v>0</v>
      </c>
      <c r="BF543" s="17">
        <f>O543</f>
        <v>6.0999999999999995E-3</v>
      </c>
      <c r="BH543" s="17">
        <f>G543*AO543</f>
        <v>0</v>
      </c>
      <c r="BI543" s="17">
        <f>G543*AP543</f>
        <v>0</v>
      </c>
      <c r="BJ543" s="17">
        <f>G543*H543</f>
        <v>0</v>
      </c>
      <c r="BK543" s="17"/>
      <c r="BL543" s="17">
        <v>783</v>
      </c>
      <c r="BW543" s="17">
        <f>I543</f>
        <v>12</v>
      </c>
      <c r="BX543" s="4" t="s">
        <v>411</v>
      </c>
    </row>
    <row r="544" spans="1:76" ht="89.25" x14ac:dyDescent="0.25">
      <c r="A544" s="77"/>
      <c r="C544" s="78" t="s">
        <v>610</v>
      </c>
      <c r="D544" s="161" t="s">
        <v>1091</v>
      </c>
      <c r="E544" s="162"/>
      <c r="F544" s="162"/>
      <c r="G544" s="162"/>
      <c r="H544" s="162"/>
      <c r="I544" s="162"/>
      <c r="J544" s="162"/>
      <c r="K544" s="162"/>
      <c r="L544" s="162"/>
      <c r="M544" s="162"/>
      <c r="N544" s="162"/>
      <c r="O544" s="162"/>
      <c r="P544" s="163"/>
      <c r="BX544" s="79" t="s">
        <v>1091</v>
      </c>
    </row>
    <row r="545" spans="1:76" x14ac:dyDescent="0.25">
      <c r="A545" s="71" t="s">
        <v>25</v>
      </c>
      <c r="B545" s="13" t="s">
        <v>338</v>
      </c>
      <c r="C545" s="13" t="s">
        <v>413</v>
      </c>
      <c r="D545" s="135" t="s">
        <v>414</v>
      </c>
      <c r="E545" s="136"/>
      <c r="F545" s="72" t="s">
        <v>23</v>
      </c>
      <c r="G545" s="72" t="s">
        <v>23</v>
      </c>
      <c r="H545" s="72" t="s">
        <v>23</v>
      </c>
      <c r="I545" s="72" t="s">
        <v>23</v>
      </c>
      <c r="J545" s="47">
        <f>SUM(J546:J546)</f>
        <v>0</v>
      </c>
      <c r="K545" s="47">
        <f>SUM(K546:K546)</f>
        <v>0</v>
      </c>
      <c r="L545" s="47">
        <f>SUM(L546:L546)</f>
        <v>0</v>
      </c>
      <c r="M545" s="47">
        <f>SUM(M546:M546)</f>
        <v>0</v>
      </c>
      <c r="N545" s="14" t="s">
        <v>25</v>
      </c>
      <c r="O545" s="47">
        <f>SUM(O546:O546)</f>
        <v>1.0529999999999999E-2</v>
      </c>
      <c r="P545" s="73" t="s">
        <v>25</v>
      </c>
      <c r="AI545" s="14" t="s">
        <v>338</v>
      </c>
      <c r="AS545" s="47">
        <f>SUM(AJ546:AJ546)</f>
        <v>0</v>
      </c>
      <c r="AT545" s="47">
        <f>SUM(AK546:AK546)</f>
        <v>0</v>
      </c>
      <c r="AU545" s="47">
        <f>SUM(AL546:AL546)</f>
        <v>0</v>
      </c>
    </row>
    <row r="546" spans="1:76" x14ac:dyDescent="0.25">
      <c r="A546" s="1" t="s">
        <v>1092</v>
      </c>
      <c r="B546" s="2" t="s">
        <v>338</v>
      </c>
      <c r="C546" s="2" t="s">
        <v>415</v>
      </c>
      <c r="D546" s="83" t="s">
        <v>416</v>
      </c>
      <c r="E546" s="84"/>
      <c r="F546" s="2" t="s">
        <v>354</v>
      </c>
      <c r="G546" s="17">
        <f>'Rozpočet - vybrané sloupce'!J474</f>
        <v>27</v>
      </c>
      <c r="H546" s="17">
        <f>'Rozpočet - vybrané sloupce'!K474</f>
        <v>0</v>
      </c>
      <c r="I546" s="74">
        <v>12</v>
      </c>
      <c r="J546" s="17">
        <f>ROUND(G546*AO546,2)</f>
        <v>0</v>
      </c>
      <c r="K546" s="17">
        <f>ROUND(G546*AP546,2)</f>
        <v>0</v>
      </c>
      <c r="L546" s="17">
        <f>ROUND(G546*H546,2)</f>
        <v>0</v>
      </c>
      <c r="M546" s="17">
        <f>L546*(1+BW546/100)</f>
        <v>0</v>
      </c>
      <c r="N546" s="17">
        <v>3.8999999999999999E-4</v>
      </c>
      <c r="O546" s="17">
        <f>G546*N546</f>
        <v>1.0529999999999999E-2</v>
      </c>
      <c r="P546" s="75" t="s">
        <v>576</v>
      </c>
      <c r="Z546" s="17">
        <f>ROUND(IF(AQ546="5",BJ546,0),2)</f>
        <v>0</v>
      </c>
      <c r="AB546" s="17">
        <f>ROUND(IF(AQ546="1",BH546,0),2)</f>
        <v>0</v>
      </c>
      <c r="AC546" s="17">
        <f>ROUND(IF(AQ546="1",BI546,0),2)</f>
        <v>0</v>
      </c>
      <c r="AD546" s="17">
        <f>ROUND(IF(AQ546="7",BH546,0),2)</f>
        <v>0</v>
      </c>
      <c r="AE546" s="17">
        <f>ROUND(IF(AQ546="7",BI546,0),2)</f>
        <v>0</v>
      </c>
      <c r="AF546" s="17">
        <f>ROUND(IF(AQ546="2",BH546,0),2)</f>
        <v>0</v>
      </c>
      <c r="AG546" s="17">
        <f>ROUND(IF(AQ546="2",BI546,0),2)</f>
        <v>0</v>
      </c>
      <c r="AH546" s="17">
        <f>ROUND(IF(AQ546="0",BJ546,0),2)</f>
        <v>0</v>
      </c>
      <c r="AI546" s="14" t="s">
        <v>338</v>
      </c>
      <c r="AJ546" s="17">
        <f>IF(AN546=0,L546,0)</f>
        <v>0</v>
      </c>
      <c r="AK546" s="17">
        <f>IF(AN546=12,L546,0)</f>
        <v>0</v>
      </c>
      <c r="AL546" s="17">
        <f>IF(AN546=21,L546,0)</f>
        <v>0</v>
      </c>
      <c r="AN546" s="17">
        <v>12</v>
      </c>
      <c r="AO546" s="17">
        <f>H546*0.201496283</f>
        <v>0</v>
      </c>
      <c r="AP546" s="17">
        <f>H546*(1-0.201496283)</f>
        <v>0</v>
      </c>
      <c r="AQ546" s="76" t="s">
        <v>577</v>
      </c>
      <c r="AV546" s="17">
        <f>ROUND(AW546+AX546,2)</f>
        <v>0</v>
      </c>
      <c r="AW546" s="17">
        <f>ROUND(G546*AO546,2)</f>
        <v>0</v>
      </c>
      <c r="AX546" s="17">
        <f>ROUND(G546*AP546,2)</f>
        <v>0</v>
      </c>
      <c r="AY546" s="76" t="s">
        <v>1093</v>
      </c>
      <c r="AZ546" s="76" t="s">
        <v>1078</v>
      </c>
      <c r="BA546" s="14" t="s">
        <v>1042</v>
      </c>
      <c r="BC546" s="17">
        <f>AW546+AX546</f>
        <v>0</v>
      </c>
      <c r="BD546" s="17">
        <f>H546/(100-BE546)*100</f>
        <v>0</v>
      </c>
      <c r="BE546" s="17">
        <v>0</v>
      </c>
      <c r="BF546" s="17">
        <f>O546</f>
        <v>1.0529999999999999E-2</v>
      </c>
      <c r="BH546" s="17">
        <f>G546*AO546</f>
        <v>0</v>
      </c>
      <c r="BI546" s="17">
        <f>G546*AP546</f>
        <v>0</v>
      </c>
      <c r="BJ546" s="17">
        <f>G546*H546</f>
        <v>0</v>
      </c>
      <c r="BK546" s="17"/>
      <c r="BL546" s="17">
        <v>784</v>
      </c>
      <c r="BW546" s="17">
        <f>I546</f>
        <v>12</v>
      </c>
      <c r="BX546" s="4" t="s">
        <v>416</v>
      </c>
    </row>
    <row r="547" spans="1:76" x14ac:dyDescent="0.25">
      <c r="A547" s="71" t="s">
        <v>25</v>
      </c>
      <c r="B547" s="13" t="s">
        <v>338</v>
      </c>
      <c r="C547" s="13" t="s">
        <v>417</v>
      </c>
      <c r="D547" s="135" t="s">
        <v>418</v>
      </c>
      <c r="E547" s="136"/>
      <c r="F547" s="72" t="s">
        <v>23</v>
      </c>
      <c r="G547" s="72" t="s">
        <v>23</v>
      </c>
      <c r="H547" s="72" t="s">
        <v>23</v>
      </c>
      <c r="I547" s="72" t="s">
        <v>23</v>
      </c>
      <c r="J547" s="47" t="e">
        <f>SUM(J548:J548)</f>
        <v>#REF!</v>
      </c>
      <c r="K547" s="47" t="e">
        <f>SUM(K548:K548)</f>
        <v>#REF!</v>
      </c>
      <c r="L547" s="47" t="e">
        <f>SUM(L548:L548)</f>
        <v>#REF!</v>
      </c>
      <c r="M547" s="47" t="e">
        <f>SUM(M548:M548)</f>
        <v>#REF!</v>
      </c>
      <c r="N547" s="14" t="s">
        <v>25</v>
      </c>
      <c r="O547" s="47" t="e">
        <f>SUM(O548:O548)</f>
        <v>#REF!</v>
      </c>
      <c r="P547" s="73" t="s">
        <v>25</v>
      </c>
      <c r="AI547" s="14" t="s">
        <v>338</v>
      </c>
      <c r="AS547" s="47">
        <f>SUM(AJ548:AJ548)</f>
        <v>0</v>
      </c>
      <c r="AT547" s="47" t="e">
        <f>SUM(AK548:AK548)</f>
        <v>#REF!</v>
      </c>
      <c r="AU547" s="47">
        <f>SUM(AL548:AL548)</f>
        <v>0</v>
      </c>
    </row>
    <row r="548" spans="1:76" x14ac:dyDescent="0.25">
      <c r="A548" s="1" t="s">
        <v>1094</v>
      </c>
      <c r="B548" s="2" t="s">
        <v>338</v>
      </c>
      <c r="C548" s="2" t="s">
        <v>419</v>
      </c>
      <c r="D548" s="83" t="s">
        <v>420</v>
      </c>
      <c r="E548" s="84"/>
      <c r="F548" s="2" t="s">
        <v>354</v>
      </c>
      <c r="G548" s="17" t="e">
        <f>'Rozpočet - vybrané sloupce'!#REF!</f>
        <v>#REF!</v>
      </c>
      <c r="H548" s="17" t="e">
        <f>'Rozpočet - vybrané sloupce'!#REF!</f>
        <v>#REF!</v>
      </c>
      <c r="I548" s="74">
        <v>12</v>
      </c>
      <c r="J548" s="17" t="e">
        <f>ROUND(G548*AO548,2)</f>
        <v>#REF!</v>
      </c>
      <c r="K548" s="17" t="e">
        <f>ROUND(G548*AP548,2)</f>
        <v>#REF!</v>
      </c>
      <c r="L548" s="17" t="e">
        <f>ROUND(G548*H548,2)</f>
        <v>#REF!</v>
      </c>
      <c r="M548" s="17" t="e">
        <f>L548*(1+BW548/100)</f>
        <v>#REF!</v>
      </c>
      <c r="N548" s="17">
        <v>0</v>
      </c>
      <c r="O548" s="17" t="e">
        <f>G548*N548</f>
        <v>#REF!</v>
      </c>
      <c r="P548" s="75" t="s">
        <v>576</v>
      </c>
      <c r="Z548" s="17">
        <f>ROUND(IF(AQ548="5",BJ548,0),2)</f>
        <v>0</v>
      </c>
      <c r="AB548" s="17" t="e">
        <f>ROUND(IF(AQ548="1",BH548,0),2)</f>
        <v>#REF!</v>
      </c>
      <c r="AC548" s="17" t="e">
        <f>ROUND(IF(AQ548="1",BI548,0),2)</f>
        <v>#REF!</v>
      </c>
      <c r="AD548" s="17">
        <f>ROUND(IF(AQ548="7",BH548,0),2)</f>
        <v>0</v>
      </c>
      <c r="AE548" s="17">
        <f>ROUND(IF(AQ548="7",BI548,0),2)</f>
        <v>0</v>
      </c>
      <c r="AF548" s="17">
        <f>ROUND(IF(AQ548="2",BH548,0),2)</f>
        <v>0</v>
      </c>
      <c r="AG548" s="17">
        <f>ROUND(IF(AQ548="2",BI548,0),2)</f>
        <v>0</v>
      </c>
      <c r="AH548" s="17">
        <f>ROUND(IF(AQ548="0",BJ548,0),2)</f>
        <v>0</v>
      </c>
      <c r="AI548" s="14" t="s">
        <v>338</v>
      </c>
      <c r="AJ548" s="17">
        <f>IF(AN548=0,L548,0)</f>
        <v>0</v>
      </c>
      <c r="AK548" s="17" t="e">
        <f>IF(AN548=12,L548,0)</f>
        <v>#REF!</v>
      </c>
      <c r="AL548" s="17">
        <f>IF(AN548=21,L548,0)</f>
        <v>0</v>
      </c>
      <c r="AN548" s="17">
        <v>12</v>
      </c>
      <c r="AO548" s="17" t="e">
        <f>H548*0</f>
        <v>#REF!</v>
      </c>
      <c r="AP548" s="17" t="e">
        <f>H548*(1-0)</f>
        <v>#REF!</v>
      </c>
      <c r="AQ548" s="76" t="s">
        <v>575</v>
      </c>
      <c r="AV548" s="17" t="e">
        <f>ROUND(AW548+AX548,2)</f>
        <v>#REF!</v>
      </c>
      <c r="AW548" s="17" t="e">
        <f>ROUND(G548*AO548,2)</f>
        <v>#REF!</v>
      </c>
      <c r="AX548" s="17" t="e">
        <f>ROUND(G548*AP548,2)</f>
        <v>#REF!</v>
      </c>
      <c r="AY548" s="76" t="s">
        <v>1095</v>
      </c>
      <c r="AZ548" s="76" t="s">
        <v>1096</v>
      </c>
      <c r="BA548" s="14" t="s">
        <v>1042</v>
      </c>
      <c r="BC548" s="17" t="e">
        <f>AW548+AX548</f>
        <v>#REF!</v>
      </c>
      <c r="BD548" s="17" t="e">
        <f>H548/(100-BE548)*100</f>
        <v>#REF!</v>
      </c>
      <c r="BE548" s="17">
        <v>0</v>
      </c>
      <c r="BF548" s="17" t="e">
        <f>O548</f>
        <v>#REF!</v>
      </c>
      <c r="BH548" s="17" t="e">
        <f>G548*AO548</f>
        <v>#REF!</v>
      </c>
      <c r="BI548" s="17" t="e">
        <f>G548*AP548</f>
        <v>#REF!</v>
      </c>
      <c r="BJ548" s="17" t="e">
        <f>G548*H548</f>
        <v>#REF!</v>
      </c>
      <c r="BK548" s="17"/>
      <c r="BL548" s="17">
        <v>95</v>
      </c>
      <c r="BW548" s="17">
        <f>I548</f>
        <v>12</v>
      </c>
      <c r="BX548" s="4" t="s">
        <v>420</v>
      </c>
    </row>
    <row r="549" spans="1:76" x14ac:dyDescent="0.25">
      <c r="A549" s="71" t="s">
        <v>25</v>
      </c>
      <c r="B549" s="13" t="s">
        <v>338</v>
      </c>
      <c r="C549" s="13" t="s">
        <v>421</v>
      </c>
      <c r="D549" s="135" t="s">
        <v>422</v>
      </c>
      <c r="E549" s="136"/>
      <c r="F549" s="72" t="s">
        <v>23</v>
      </c>
      <c r="G549" s="72" t="s">
        <v>23</v>
      </c>
      <c r="H549" s="72" t="s">
        <v>23</v>
      </c>
      <c r="I549" s="72" t="s">
        <v>23</v>
      </c>
      <c r="J549" s="47">
        <f>SUM(J550:J550)</f>
        <v>0</v>
      </c>
      <c r="K549" s="47">
        <f>SUM(K550:K550)</f>
        <v>0</v>
      </c>
      <c r="L549" s="47">
        <f>SUM(L550:L550)</f>
        <v>0</v>
      </c>
      <c r="M549" s="47">
        <f>SUM(M550:M550)</f>
        <v>0</v>
      </c>
      <c r="N549" s="14" t="s">
        <v>25</v>
      </c>
      <c r="O549" s="47">
        <f>SUM(O550:O550)</f>
        <v>2.2718370000000001</v>
      </c>
      <c r="P549" s="73" t="s">
        <v>25</v>
      </c>
      <c r="AI549" s="14" t="s">
        <v>338</v>
      </c>
      <c r="AS549" s="47">
        <f>SUM(AJ550:AJ550)</f>
        <v>0</v>
      </c>
      <c r="AT549" s="47">
        <f>SUM(AK550:AK550)</f>
        <v>0</v>
      </c>
      <c r="AU549" s="47">
        <f>SUM(AL550:AL550)</f>
        <v>0</v>
      </c>
    </row>
    <row r="550" spans="1:76" x14ac:dyDescent="0.25">
      <c r="A550" s="1" t="s">
        <v>1097</v>
      </c>
      <c r="B550" s="2" t="s">
        <v>338</v>
      </c>
      <c r="C550" s="2" t="s">
        <v>423</v>
      </c>
      <c r="D550" s="83" t="s">
        <v>424</v>
      </c>
      <c r="E550" s="84"/>
      <c r="F550" s="2" t="s">
        <v>354</v>
      </c>
      <c r="G550" s="17">
        <f>'Rozpočet - vybrané sloupce'!J476</f>
        <v>21.1</v>
      </c>
      <c r="H550" s="17">
        <f>'Rozpočet - vybrané sloupce'!K476</f>
        <v>0</v>
      </c>
      <c r="I550" s="74">
        <v>12</v>
      </c>
      <c r="J550" s="17">
        <f>ROUND(G550*AO550,2)</f>
        <v>0</v>
      </c>
      <c r="K550" s="17">
        <f>ROUND(G550*AP550,2)</f>
        <v>0</v>
      </c>
      <c r="L550" s="17">
        <f>ROUND(G550*H550,2)</f>
        <v>0</v>
      </c>
      <c r="M550" s="17">
        <f>L550*(1+BW550/100)</f>
        <v>0</v>
      </c>
      <c r="N550" s="17">
        <v>0.10767</v>
      </c>
      <c r="O550" s="17">
        <f>G550*N550</f>
        <v>2.2718370000000001</v>
      </c>
      <c r="P550" s="75" t="s">
        <v>1098</v>
      </c>
      <c r="Z550" s="17">
        <f>ROUND(IF(AQ550="5",BJ550,0),2)</f>
        <v>0</v>
      </c>
      <c r="AB550" s="17">
        <f>ROUND(IF(AQ550="1",BH550,0),2)</f>
        <v>0</v>
      </c>
      <c r="AC550" s="17">
        <f>ROUND(IF(AQ550="1",BI550,0),2)</f>
        <v>0</v>
      </c>
      <c r="AD550" s="17">
        <f>ROUND(IF(AQ550="7",BH550,0),2)</f>
        <v>0</v>
      </c>
      <c r="AE550" s="17">
        <f>ROUND(IF(AQ550="7",BI550,0),2)</f>
        <v>0</v>
      </c>
      <c r="AF550" s="17">
        <f>ROUND(IF(AQ550="2",BH550,0),2)</f>
        <v>0</v>
      </c>
      <c r="AG550" s="17">
        <f>ROUND(IF(AQ550="2",BI550,0),2)</f>
        <v>0</v>
      </c>
      <c r="AH550" s="17">
        <f>ROUND(IF(AQ550="0",BJ550,0),2)</f>
        <v>0</v>
      </c>
      <c r="AI550" s="14" t="s">
        <v>338</v>
      </c>
      <c r="AJ550" s="17">
        <f>IF(AN550=0,L550,0)</f>
        <v>0</v>
      </c>
      <c r="AK550" s="17">
        <f>IF(AN550=12,L550,0)</f>
        <v>0</v>
      </c>
      <c r="AL550" s="17">
        <f>IF(AN550=21,L550,0)</f>
        <v>0</v>
      </c>
      <c r="AN550" s="17">
        <v>12</v>
      </c>
      <c r="AO550" s="17">
        <f>H550*0.197100962</f>
        <v>0</v>
      </c>
      <c r="AP550" s="17">
        <f>H550*(1-0.197100962)</f>
        <v>0</v>
      </c>
      <c r="AQ550" s="76" t="s">
        <v>575</v>
      </c>
      <c r="AV550" s="17">
        <f>ROUND(AW550+AX550,2)</f>
        <v>0</v>
      </c>
      <c r="AW550" s="17">
        <f>ROUND(G550*AO550,2)</f>
        <v>0</v>
      </c>
      <c r="AX550" s="17">
        <f>ROUND(G550*AP550,2)</f>
        <v>0</v>
      </c>
      <c r="AY550" s="76" t="s">
        <v>1099</v>
      </c>
      <c r="AZ550" s="76" t="s">
        <v>1096</v>
      </c>
      <c r="BA550" s="14" t="s">
        <v>1042</v>
      </c>
      <c r="BC550" s="17">
        <f>AW550+AX550</f>
        <v>0</v>
      </c>
      <c r="BD550" s="17">
        <f>H550/(100-BE550)*100</f>
        <v>0</v>
      </c>
      <c r="BE550" s="17">
        <v>0</v>
      </c>
      <c r="BF550" s="17">
        <f>O550</f>
        <v>2.2718370000000001</v>
      </c>
      <c r="BH550" s="17">
        <f>G550*AO550</f>
        <v>0</v>
      </c>
      <c r="BI550" s="17">
        <f>G550*AP550</f>
        <v>0</v>
      </c>
      <c r="BJ550" s="17">
        <f>G550*H550</f>
        <v>0</v>
      </c>
      <c r="BK550" s="17"/>
      <c r="BL550" s="17">
        <v>96</v>
      </c>
      <c r="BW550" s="17">
        <f>I550</f>
        <v>12</v>
      </c>
      <c r="BX550" s="4" t="s">
        <v>424</v>
      </c>
    </row>
    <row r="551" spans="1:76" x14ac:dyDescent="0.25">
      <c r="A551" s="71" t="s">
        <v>25</v>
      </c>
      <c r="B551" s="13" t="s">
        <v>338</v>
      </c>
      <c r="C551" s="13" t="s">
        <v>425</v>
      </c>
      <c r="D551" s="135" t="s">
        <v>426</v>
      </c>
      <c r="E551" s="136"/>
      <c r="F551" s="72" t="s">
        <v>23</v>
      </c>
      <c r="G551" s="72" t="s">
        <v>23</v>
      </c>
      <c r="H551" s="72" t="s">
        <v>23</v>
      </c>
      <c r="I551" s="72" t="s">
        <v>23</v>
      </c>
      <c r="J551" s="47" t="e">
        <f>SUM(J552:J559)</f>
        <v>#REF!</v>
      </c>
      <c r="K551" s="47" t="e">
        <f>SUM(K552:K559)</f>
        <v>#REF!</v>
      </c>
      <c r="L551" s="47" t="e">
        <f>SUM(L552:L559)</f>
        <v>#REF!</v>
      </c>
      <c r="M551" s="47" t="e">
        <f>SUM(M552:M559)</f>
        <v>#REF!</v>
      </c>
      <c r="N551" s="14" t="s">
        <v>25</v>
      </c>
      <c r="O551" s="47" t="e">
        <f>SUM(O552:O559)</f>
        <v>#REF!</v>
      </c>
      <c r="P551" s="73" t="s">
        <v>25</v>
      </c>
      <c r="AI551" s="14" t="s">
        <v>338</v>
      </c>
      <c r="AS551" s="47">
        <f>SUM(AJ552:AJ559)</f>
        <v>0</v>
      </c>
      <c r="AT551" s="47" t="e">
        <f>SUM(AK552:AK559)</f>
        <v>#REF!</v>
      </c>
      <c r="AU551" s="47">
        <f>SUM(AL552:AL559)</f>
        <v>0</v>
      </c>
    </row>
    <row r="552" spans="1:76" x14ac:dyDescent="0.25">
      <c r="A552" s="1" t="s">
        <v>1100</v>
      </c>
      <c r="B552" s="2" t="s">
        <v>338</v>
      </c>
      <c r="C552" s="2" t="s">
        <v>427</v>
      </c>
      <c r="D552" s="83" t="s">
        <v>428</v>
      </c>
      <c r="E552" s="84"/>
      <c r="F552" s="2" t="s">
        <v>35</v>
      </c>
      <c r="G552" s="17">
        <f>'Rozpočet - vybrané sloupce'!J478</f>
        <v>9</v>
      </c>
      <c r="H552" s="17">
        <f>'Rozpočet - vybrané sloupce'!K478</f>
        <v>0</v>
      </c>
      <c r="I552" s="74">
        <v>12</v>
      </c>
      <c r="J552" s="17">
        <f>ROUND(G552*AO552,2)</f>
        <v>0</v>
      </c>
      <c r="K552" s="17">
        <f>ROUND(G552*AP552,2)</f>
        <v>0</v>
      </c>
      <c r="L552" s="17">
        <f>ROUND(G552*H552,2)</f>
        <v>0</v>
      </c>
      <c r="M552" s="17">
        <f>L552*(1+BW552/100)</f>
        <v>0</v>
      </c>
      <c r="N552" s="17">
        <v>0.09</v>
      </c>
      <c r="O552" s="17">
        <f>G552*N552</f>
        <v>0.80999999999999994</v>
      </c>
      <c r="P552" s="75" t="s">
        <v>576</v>
      </c>
      <c r="Z552" s="17">
        <f>ROUND(IF(AQ552="5",BJ552,0),2)</f>
        <v>0</v>
      </c>
      <c r="AB552" s="17">
        <f>ROUND(IF(AQ552="1",BH552,0),2)</f>
        <v>0</v>
      </c>
      <c r="AC552" s="17">
        <f>ROUND(IF(AQ552="1",BI552,0),2)</f>
        <v>0</v>
      </c>
      <c r="AD552" s="17">
        <f>ROUND(IF(AQ552="7",BH552,0),2)</f>
        <v>0</v>
      </c>
      <c r="AE552" s="17">
        <f>ROUND(IF(AQ552="7",BI552,0),2)</f>
        <v>0</v>
      </c>
      <c r="AF552" s="17">
        <f>ROUND(IF(AQ552="2",BH552,0),2)</f>
        <v>0</v>
      </c>
      <c r="AG552" s="17">
        <f>ROUND(IF(AQ552="2",BI552,0),2)</f>
        <v>0</v>
      </c>
      <c r="AH552" s="17">
        <f>ROUND(IF(AQ552="0",BJ552,0),2)</f>
        <v>0</v>
      </c>
      <c r="AI552" s="14" t="s">
        <v>338</v>
      </c>
      <c r="AJ552" s="17">
        <f>IF(AN552=0,L552,0)</f>
        <v>0</v>
      </c>
      <c r="AK552" s="17">
        <f>IF(AN552=12,L552,0)</f>
        <v>0</v>
      </c>
      <c r="AL552" s="17">
        <f>IF(AN552=21,L552,0)</f>
        <v>0</v>
      </c>
      <c r="AN552" s="17">
        <v>12</v>
      </c>
      <c r="AO552" s="17">
        <f>H552*0</f>
        <v>0</v>
      </c>
      <c r="AP552" s="17">
        <f>H552*(1-0)</f>
        <v>0</v>
      </c>
      <c r="AQ552" s="76" t="s">
        <v>575</v>
      </c>
      <c r="AV552" s="17">
        <f>ROUND(AW552+AX552,2)</f>
        <v>0</v>
      </c>
      <c r="AW552" s="17">
        <f>ROUND(G552*AO552,2)</f>
        <v>0</v>
      </c>
      <c r="AX552" s="17">
        <f>ROUND(G552*AP552,2)</f>
        <v>0</v>
      </c>
      <c r="AY552" s="76" t="s">
        <v>1101</v>
      </c>
      <c r="AZ552" s="76" t="s">
        <v>1096</v>
      </c>
      <c r="BA552" s="14" t="s">
        <v>1042</v>
      </c>
      <c r="BC552" s="17">
        <f>AW552+AX552</f>
        <v>0</v>
      </c>
      <c r="BD552" s="17">
        <f>H552/(100-BE552)*100</f>
        <v>0</v>
      </c>
      <c r="BE552" s="17">
        <v>0</v>
      </c>
      <c r="BF552" s="17">
        <f>O552</f>
        <v>0.80999999999999994</v>
      </c>
      <c r="BH552" s="17">
        <f>G552*AO552</f>
        <v>0</v>
      </c>
      <c r="BI552" s="17">
        <f>G552*AP552</f>
        <v>0</v>
      </c>
      <c r="BJ552" s="17">
        <f>G552*H552</f>
        <v>0</v>
      </c>
      <c r="BK552" s="17"/>
      <c r="BL552" s="17">
        <v>97</v>
      </c>
      <c r="BW552" s="17">
        <f>I552</f>
        <v>12</v>
      </c>
      <c r="BX552" s="4" t="s">
        <v>428</v>
      </c>
    </row>
    <row r="553" spans="1:76" ht="25.5" x14ac:dyDescent="0.25">
      <c r="A553" s="77"/>
      <c r="C553" s="78" t="s">
        <v>610</v>
      </c>
      <c r="D553" s="161" t="s">
        <v>1102</v>
      </c>
      <c r="E553" s="162"/>
      <c r="F553" s="162"/>
      <c r="G553" s="162"/>
      <c r="H553" s="162"/>
      <c r="I553" s="162"/>
      <c r="J553" s="162"/>
      <c r="K553" s="162"/>
      <c r="L553" s="162"/>
      <c r="M553" s="162"/>
      <c r="N553" s="162"/>
      <c r="O553" s="162"/>
      <c r="P553" s="163"/>
      <c r="BX553" s="79" t="s">
        <v>1102</v>
      </c>
    </row>
    <row r="554" spans="1:76" x14ac:dyDescent="0.25">
      <c r="A554" s="1" t="s">
        <v>1103</v>
      </c>
      <c r="B554" s="2" t="s">
        <v>338</v>
      </c>
      <c r="C554" s="2" t="s">
        <v>429</v>
      </c>
      <c r="D554" s="83" t="s">
        <v>430</v>
      </c>
      <c r="E554" s="84"/>
      <c r="F554" s="2" t="s">
        <v>31</v>
      </c>
      <c r="G554" s="17">
        <f>'Rozpočet - vybrané sloupce'!J479</f>
        <v>4.2</v>
      </c>
      <c r="H554" s="17">
        <f>'Rozpočet - vybrané sloupce'!K479</f>
        <v>0</v>
      </c>
      <c r="I554" s="74">
        <v>12</v>
      </c>
      <c r="J554" s="17">
        <f>ROUND(G554*AO554,2)</f>
        <v>0</v>
      </c>
      <c r="K554" s="17">
        <f>ROUND(G554*AP554,2)</f>
        <v>0</v>
      </c>
      <c r="L554" s="17">
        <f>ROUND(G554*H554,2)</f>
        <v>0</v>
      </c>
      <c r="M554" s="17">
        <f>L554*(1+BW554/100)</f>
        <v>0</v>
      </c>
      <c r="N554" s="17">
        <v>2.1239999999999998E-2</v>
      </c>
      <c r="O554" s="17">
        <f>G554*N554</f>
        <v>8.9207999999999996E-2</v>
      </c>
      <c r="P554" s="75" t="s">
        <v>576</v>
      </c>
      <c r="Z554" s="17">
        <f>ROUND(IF(AQ554="5",BJ554,0),2)</f>
        <v>0</v>
      </c>
      <c r="AB554" s="17">
        <f>ROUND(IF(AQ554="1",BH554,0),2)</f>
        <v>0</v>
      </c>
      <c r="AC554" s="17">
        <f>ROUND(IF(AQ554="1",BI554,0),2)</f>
        <v>0</v>
      </c>
      <c r="AD554" s="17">
        <f>ROUND(IF(AQ554="7",BH554,0),2)</f>
        <v>0</v>
      </c>
      <c r="AE554" s="17">
        <f>ROUND(IF(AQ554="7",BI554,0),2)</f>
        <v>0</v>
      </c>
      <c r="AF554" s="17">
        <f>ROUND(IF(AQ554="2",BH554,0),2)</f>
        <v>0</v>
      </c>
      <c r="AG554" s="17">
        <f>ROUND(IF(AQ554="2",BI554,0),2)</f>
        <v>0</v>
      </c>
      <c r="AH554" s="17">
        <f>ROUND(IF(AQ554="0",BJ554,0),2)</f>
        <v>0</v>
      </c>
      <c r="AI554" s="14" t="s">
        <v>338</v>
      </c>
      <c r="AJ554" s="17">
        <f>IF(AN554=0,L554,0)</f>
        <v>0</v>
      </c>
      <c r="AK554" s="17">
        <f>IF(AN554=12,L554,0)</f>
        <v>0</v>
      </c>
      <c r="AL554" s="17">
        <f>IF(AN554=21,L554,0)</f>
        <v>0</v>
      </c>
      <c r="AN554" s="17">
        <v>12</v>
      </c>
      <c r="AO554" s="17">
        <f>H554*0.29844059</f>
        <v>0</v>
      </c>
      <c r="AP554" s="17">
        <f>H554*(1-0.29844059)</f>
        <v>0</v>
      </c>
      <c r="AQ554" s="76" t="s">
        <v>575</v>
      </c>
      <c r="AV554" s="17">
        <f>ROUND(AW554+AX554,2)</f>
        <v>0</v>
      </c>
      <c r="AW554" s="17">
        <f>ROUND(G554*AO554,2)</f>
        <v>0</v>
      </c>
      <c r="AX554" s="17">
        <f>ROUND(G554*AP554,2)</f>
        <v>0</v>
      </c>
      <c r="AY554" s="76" t="s">
        <v>1101</v>
      </c>
      <c r="AZ554" s="76" t="s">
        <v>1096</v>
      </c>
      <c r="BA554" s="14" t="s">
        <v>1042</v>
      </c>
      <c r="BC554" s="17">
        <f>AW554+AX554</f>
        <v>0</v>
      </c>
      <c r="BD554" s="17">
        <f>H554/(100-BE554)*100</f>
        <v>0</v>
      </c>
      <c r="BE554" s="17">
        <v>0</v>
      </c>
      <c r="BF554" s="17">
        <f>O554</f>
        <v>8.9207999999999996E-2</v>
      </c>
      <c r="BH554" s="17">
        <f>G554*AO554</f>
        <v>0</v>
      </c>
      <c r="BI554" s="17">
        <f>G554*AP554</f>
        <v>0</v>
      </c>
      <c r="BJ554" s="17">
        <f>G554*H554</f>
        <v>0</v>
      </c>
      <c r="BK554" s="17"/>
      <c r="BL554" s="17">
        <v>97</v>
      </c>
      <c r="BW554" s="17">
        <f>I554</f>
        <v>12</v>
      </c>
      <c r="BX554" s="4" t="s">
        <v>430</v>
      </c>
    </row>
    <row r="555" spans="1:76" x14ac:dyDescent="0.25">
      <c r="A555" s="1" t="s">
        <v>1104</v>
      </c>
      <c r="B555" s="2" t="s">
        <v>338</v>
      </c>
      <c r="C555" s="2" t="s">
        <v>431</v>
      </c>
      <c r="D555" s="83" t="s">
        <v>432</v>
      </c>
      <c r="E555" s="84"/>
      <c r="F555" s="2" t="s">
        <v>31</v>
      </c>
      <c r="G555" s="17" t="e">
        <f>'Rozpočet - vybrané sloupce'!#REF!</f>
        <v>#REF!</v>
      </c>
      <c r="H555" s="17" t="e">
        <f>'Rozpočet - vybrané sloupce'!#REF!</f>
        <v>#REF!</v>
      </c>
      <c r="I555" s="74">
        <v>12</v>
      </c>
      <c r="J555" s="17" t="e">
        <f>ROUND(G555*AO555,2)</f>
        <v>#REF!</v>
      </c>
      <c r="K555" s="17" t="e">
        <f>ROUND(G555*AP555,2)</f>
        <v>#REF!</v>
      </c>
      <c r="L555" s="17" t="e">
        <f>ROUND(G555*H555,2)</f>
        <v>#REF!</v>
      </c>
      <c r="M555" s="17" t="e">
        <f>L555*(1+BW555/100)</f>
        <v>#REF!</v>
      </c>
      <c r="N555" s="17">
        <v>1.0000000000000001E-5</v>
      </c>
      <c r="O555" s="17" t="e">
        <f>G555*N555</f>
        <v>#REF!</v>
      </c>
      <c r="P555" s="75" t="s">
        <v>576</v>
      </c>
      <c r="Z555" s="17">
        <f>ROUND(IF(AQ555="5",BJ555,0),2)</f>
        <v>0</v>
      </c>
      <c r="AB555" s="17" t="e">
        <f>ROUND(IF(AQ555="1",BH555,0),2)</f>
        <v>#REF!</v>
      </c>
      <c r="AC555" s="17" t="e">
        <f>ROUND(IF(AQ555="1",BI555,0),2)</f>
        <v>#REF!</v>
      </c>
      <c r="AD555" s="17">
        <f>ROUND(IF(AQ555="7",BH555,0),2)</f>
        <v>0</v>
      </c>
      <c r="AE555" s="17">
        <f>ROUND(IF(AQ555="7",BI555,0),2)</f>
        <v>0</v>
      </c>
      <c r="AF555" s="17">
        <f>ROUND(IF(AQ555="2",BH555,0),2)</f>
        <v>0</v>
      </c>
      <c r="AG555" s="17">
        <f>ROUND(IF(AQ555="2",BI555,0),2)</f>
        <v>0</v>
      </c>
      <c r="AH555" s="17">
        <f>ROUND(IF(AQ555="0",BJ555,0),2)</f>
        <v>0</v>
      </c>
      <c r="AI555" s="14" t="s">
        <v>338</v>
      </c>
      <c r="AJ555" s="17">
        <f>IF(AN555=0,L555,0)</f>
        <v>0</v>
      </c>
      <c r="AK555" s="17" t="e">
        <f>IF(AN555=12,L555,0)</f>
        <v>#REF!</v>
      </c>
      <c r="AL555" s="17">
        <f>IF(AN555=21,L555,0)</f>
        <v>0</v>
      </c>
      <c r="AN555" s="17">
        <v>12</v>
      </c>
      <c r="AO555" s="17" t="e">
        <f>H555*0.197209222</f>
        <v>#REF!</v>
      </c>
      <c r="AP555" s="17" t="e">
        <f>H555*(1-0.197209222)</f>
        <v>#REF!</v>
      </c>
      <c r="AQ555" s="76" t="s">
        <v>575</v>
      </c>
      <c r="AV555" s="17" t="e">
        <f>ROUND(AW555+AX555,2)</f>
        <v>#REF!</v>
      </c>
      <c r="AW555" s="17" t="e">
        <f>ROUND(G555*AO555,2)</f>
        <v>#REF!</v>
      </c>
      <c r="AX555" s="17" t="e">
        <f>ROUND(G555*AP555,2)</f>
        <v>#REF!</v>
      </c>
      <c r="AY555" s="76" t="s">
        <v>1101</v>
      </c>
      <c r="AZ555" s="76" t="s">
        <v>1096</v>
      </c>
      <c r="BA555" s="14" t="s">
        <v>1042</v>
      </c>
      <c r="BC555" s="17" t="e">
        <f>AW555+AX555</f>
        <v>#REF!</v>
      </c>
      <c r="BD555" s="17" t="e">
        <f>H555/(100-BE555)*100</f>
        <v>#REF!</v>
      </c>
      <c r="BE555" s="17">
        <v>0</v>
      </c>
      <c r="BF555" s="17" t="e">
        <f>O555</f>
        <v>#REF!</v>
      </c>
      <c r="BH555" s="17" t="e">
        <f>G555*AO555</f>
        <v>#REF!</v>
      </c>
      <c r="BI555" s="17" t="e">
        <f>G555*AP555</f>
        <v>#REF!</v>
      </c>
      <c r="BJ555" s="17" t="e">
        <f>G555*H555</f>
        <v>#REF!</v>
      </c>
      <c r="BK555" s="17"/>
      <c r="BL555" s="17">
        <v>97</v>
      </c>
      <c r="BW555" s="17">
        <f>I555</f>
        <v>12</v>
      </c>
      <c r="BX555" s="4" t="s">
        <v>432</v>
      </c>
    </row>
    <row r="556" spans="1:76" x14ac:dyDescent="0.25">
      <c r="A556" s="77"/>
      <c r="C556" s="78" t="s">
        <v>610</v>
      </c>
      <c r="D556" s="161" t="s">
        <v>1105</v>
      </c>
      <c r="E556" s="162"/>
      <c r="F556" s="162"/>
      <c r="G556" s="162"/>
      <c r="H556" s="162"/>
      <c r="I556" s="162"/>
      <c r="J556" s="162"/>
      <c r="K556" s="162"/>
      <c r="L556" s="162"/>
      <c r="M556" s="162"/>
      <c r="N556" s="162"/>
      <c r="O556" s="162"/>
      <c r="P556" s="163"/>
      <c r="BX556" s="79" t="s">
        <v>1105</v>
      </c>
    </row>
    <row r="557" spans="1:76" x14ac:dyDescent="0.25">
      <c r="A557" s="1" t="s">
        <v>1106</v>
      </c>
      <c r="B557" s="2" t="s">
        <v>338</v>
      </c>
      <c r="C557" s="2" t="s">
        <v>433</v>
      </c>
      <c r="D557" s="83" t="s">
        <v>434</v>
      </c>
      <c r="E557" s="84"/>
      <c r="F557" s="2" t="s">
        <v>31</v>
      </c>
      <c r="G557" s="17" t="e">
        <f>'Rozpočet - vybrané sloupce'!#REF!</f>
        <v>#REF!</v>
      </c>
      <c r="H557" s="17" t="e">
        <f>'Rozpočet - vybrané sloupce'!#REF!</f>
        <v>#REF!</v>
      </c>
      <c r="I557" s="74">
        <v>12</v>
      </c>
      <c r="J557" s="17" t="e">
        <f>ROUND(G557*AO557,2)</f>
        <v>#REF!</v>
      </c>
      <c r="K557" s="17" t="e">
        <f>ROUND(G557*AP557,2)</f>
        <v>#REF!</v>
      </c>
      <c r="L557" s="17" t="e">
        <f>ROUND(G557*H557,2)</f>
        <v>#REF!</v>
      </c>
      <c r="M557" s="17" t="e">
        <f>L557*(1+BW557/100)</f>
        <v>#REF!</v>
      </c>
      <c r="N557" s="17">
        <v>0</v>
      </c>
      <c r="O557" s="17" t="e">
        <f>G557*N557</f>
        <v>#REF!</v>
      </c>
      <c r="P557" s="75" t="s">
        <v>576</v>
      </c>
      <c r="Z557" s="17">
        <f>ROUND(IF(AQ557="5",BJ557,0),2)</f>
        <v>0</v>
      </c>
      <c r="AB557" s="17" t="e">
        <f>ROUND(IF(AQ557="1",BH557,0),2)</f>
        <v>#REF!</v>
      </c>
      <c r="AC557" s="17" t="e">
        <f>ROUND(IF(AQ557="1",BI557,0),2)</f>
        <v>#REF!</v>
      </c>
      <c r="AD557" s="17">
        <f>ROUND(IF(AQ557="7",BH557,0),2)</f>
        <v>0</v>
      </c>
      <c r="AE557" s="17">
        <f>ROUND(IF(AQ557="7",BI557,0),2)</f>
        <v>0</v>
      </c>
      <c r="AF557" s="17">
        <f>ROUND(IF(AQ557="2",BH557,0),2)</f>
        <v>0</v>
      </c>
      <c r="AG557" s="17">
        <f>ROUND(IF(AQ557="2",BI557,0),2)</f>
        <v>0</v>
      </c>
      <c r="AH557" s="17">
        <f>ROUND(IF(AQ557="0",BJ557,0),2)</f>
        <v>0</v>
      </c>
      <c r="AI557" s="14" t="s">
        <v>338</v>
      </c>
      <c r="AJ557" s="17">
        <f>IF(AN557=0,L557,0)</f>
        <v>0</v>
      </c>
      <c r="AK557" s="17" t="e">
        <f>IF(AN557=12,L557,0)</f>
        <v>#REF!</v>
      </c>
      <c r="AL557" s="17">
        <f>IF(AN557=21,L557,0)</f>
        <v>0</v>
      </c>
      <c r="AN557" s="17">
        <v>12</v>
      </c>
      <c r="AO557" s="17" t="e">
        <f>H557*0</f>
        <v>#REF!</v>
      </c>
      <c r="AP557" s="17" t="e">
        <f>H557*(1-0)</f>
        <v>#REF!</v>
      </c>
      <c r="AQ557" s="76" t="s">
        <v>575</v>
      </c>
      <c r="AV557" s="17" t="e">
        <f>ROUND(AW557+AX557,2)</f>
        <v>#REF!</v>
      </c>
      <c r="AW557" s="17" t="e">
        <f>ROUND(G557*AO557,2)</f>
        <v>#REF!</v>
      </c>
      <c r="AX557" s="17" t="e">
        <f>ROUND(G557*AP557,2)</f>
        <v>#REF!</v>
      </c>
      <c r="AY557" s="76" t="s">
        <v>1101</v>
      </c>
      <c r="AZ557" s="76" t="s">
        <v>1096</v>
      </c>
      <c r="BA557" s="14" t="s">
        <v>1042</v>
      </c>
      <c r="BC557" s="17" t="e">
        <f>AW557+AX557</f>
        <v>#REF!</v>
      </c>
      <c r="BD557" s="17" t="e">
        <f>H557/(100-BE557)*100</f>
        <v>#REF!</v>
      </c>
      <c r="BE557" s="17">
        <v>0</v>
      </c>
      <c r="BF557" s="17" t="e">
        <f>O557</f>
        <v>#REF!</v>
      </c>
      <c r="BH557" s="17" t="e">
        <f>G557*AO557</f>
        <v>#REF!</v>
      </c>
      <c r="BI557" s="17" t="e">
        <f>G557*AP557</f>
        <v>#REF!</v>
      </c>
      <c r="BJ557" s="17" t="e">
        <f>G557*H557</f>
        <v>#REF!</v>
      </c>
      <c r="BK557" s="17"/>
      <c r="BL557" s="17">
        <v>97</v>
      </c>
      <c r="BW557" s="17">
        <f>I557</f>
        <v>12</v>
      </c>
      <c r="BX557" s="4" t="s">
        <v>434</v>
      </c>
    </row>
    <row r="558" spans="1:76" x14ac:dyDescent="0.25">
      <c r="A558" s="77"/>
      <c r="C558" s="78" t="s">
        <v>610</v>
      </c>
      <c r="D558" s="161" t="s">
        <v>1107</v>
      </c>
      <c r="E558" s="162"/>
      <c r="F558" s="162"/>
      <c r="G558" s="162"/>
      <c r="H558" s="162"/>
      <c r="I558" s="162"/>
      <c r="J558" s="162"/>
      <c r="K558" s="162"/>
      <c r="L558" s="162"/>
      <c r="M558" s="162"/>
      <c r="N558" s="162"/>
      <c r="O558" s="162"/>
      <c r="P558" s="163"/>
      <c r="BX558" s="79" t="s">
        <v>1107</v>
      </c>
    </row>
    <row r="559" spans="1:76" x14ac:dyDescent="0.25">
      <c r="A559" s="1" t="s">
        <v>1108</v>
      </c>
      <c r="B559" s="2" t="s">
        <v>338</v>
      </c>
      <c r="C559" s="2" t="s">
        <v>435</v>
      </c>
      <c r="D559" s="83" t="s">
        <v>436</v>
      </c>
      <c r="E559" s="84"/>
      <c r="F559" s="2" t="s">
        <v>31</v>
      </c>
      <c r="G559" s="17" t="e">
        <f>'Rozpočet - vybrané sloupce'!#REF!</f>
        <v>#REF!</v>
      </c>
      <c r="H559" s="17" t="e">
        <f>'Rozpočet - vybrané sloupce'!#REF!</f>
        <v>#REF!</v>
      </c>
      <c r="I559" s="74">
        <v>12</v>
      </c>
      <c r="J559" s="17" t="e">
        <f>ROUND(G559*AO559,2)</f>
        <v>#REF!</v>
      </c>
      <c r="K559" s="17" t="e">
        <f>ROUND(G559*AP559,2)</f>
        <v>#REF!</v>
      </c>
      <c r="L559" s="17" t="e">
        <f>ROUND(G559*H559,2)</f>
        <v>#REF!</v>
      </c>
      <c r="M559" s="17" t="e">
        <f>L559*(1+BW559/100)</f>
        <v>#REF!</v>
      </c>
      <c r="N559" s="17">
        <v>1.34E-3</v>
      </c>
      <c r="O559" s="17" t="e">
        <f>G559*N559</f>
        <v>#REF!</v>
      </c>
      <c r="P559" s="75" t="s">
        <v>576</v>
      </c>
      <c r="Z559" s="17">
        <f>ROUND(IF(AQ559="5",BJ559,0),2)</f>
        <v>0</v>
      </c>
      <c r="AB559" s="17" t="e">
        <f>ROUND(IF(AQ559="1",BH559,0),2)</f>
        <v>#REF!</v>
      </c>
      <c r="AC559" s="17" t="e">
        <f>ROUND(IF(AQ559="1",BI559,0),2)</f>
        <v>#REF!</v>
      </c>
      <c r="AD559" s="17">
        <f>ROUND(IF(AQ559="7",BH559,0),2)</f>
        <v>0</v>
      </c>
      <c r="AE559" s="17">
        <f>ROUND(IF(AQ559="7",BI559,0),2)</f>
        <v>0</v>
      </c>
      <c r="AF559" s="17">
        <f>ROUND(IF(AQ559="2",BH559,0),2)</f>
        <v>0</v>
      </c>
      <c r="AG559" s="17">
        <f>ROUND(IF(AQ559="2",BI559,0),2)</f>
        <v>0</v>
      </c>
      <c r="AH559" s="17">
        <f>ROUND(IF(AQ559="0",BJ559,0),2)</f>
        <v>0</v>
      </c>
      <c r="AI559" s="14" t="s">
        <v>338</v>
      </c>
      <c r="AJ559" s="17">
        <f>IF(AN559=0,L559,0)</f>
        <v>0</v>
      </c>
      <c r="AK559" s="17" t="e">
        <f>IF(AN559=12,L559,0)</f>
        <v>#REF!</v>
      </c>
      <c r="AL559" s="17">
        <f>IF(AN559=21,L559,0)</f>
        <v>0</v>
      </c>
      <c r="AN559" s="17">
        <v>12</v>
      </c>
      <c r="AO559" s="17" t="e">
        <f>H559*0.087115589</f>
        <v>#REF!</v>
      </c>
      <c r="AP559" s="17" t="e">
        <f>H559*(1-0.087115589)</f>
        <v>#REF!</v>
      </c>
      <c r="AQ559" s="76" t="s">
        <v>575</v>
      </c>
      <c r="AV559" s="17" t="e">
        <f>ROUND(AW559+AX559,2)</f>
        <v>#REF!</v>
      </c>
      <c r="AW559" s="17" t="e">
        <f>ROUND(G559*AO559,2)</f>
        <v>#REF!</v>
      </c>
      <c r="AX559" s="17" t="e">
        <f>ROUND(G559*AP559,2)</f>
        <v>#REF!</v>
      </c>
      <c r="AY559" s="76" t="s">
        <v>1101</v>
      </c>
      <c r="AZ559" s="76" t="s">
        <v>1096</v>
      </c>
      <c r="BA559" s="14" t="s">
        <v>1042</v>
      </c>
      <c r="BC559" s="17" t="e">
        <f>AW559+AX559</f>
        <v>#REF!</v>
      </c>
      <c r="BD559" s="17" t="e">
        <f>H559/(100-BE559)*100</f>
        <v>#REF!</v>
      </c>
      <c r="BE559" s="17">
        <v>0</v>
      </c>
      <c r="BF559" s="17" t="e">
        <f>O559</f>
        <v>#REF!</v>
      </c>
      <c r="BH559" s="17" t="e">
        <f>G559*AO559</f>
        <v>#REF!</v>
      </c>
      <c r="BI559" s="17" t="e">
        <f>G559*AP559</f>
        <v>#REF!</v>
      </c>
      <c r="BJ559" s="17" t="e">
        <f>G559*H559</f>
        <v>#REF!</v>
      </c>
      <c r="BK559" s="17"/>
      <c r="BL559" s="17">
        <v>97</v>
      </c>
      <c r="BW559" s="17">
        <f>I559</f>
        <v>12</v>
      </c>
      <c r="BX559" s="4" t="s">
        <v>436</v>
      </c>
    </row>
    <row r="560" spans="1:76" x14ac:dyDescent="0.25">
      <c r="A560" s="77"/>
      <c r="C560" s="78" t="s">
        <v>610</v>
      </c>
      <c r="D560" s="161" t="s">
        <v>1109</v>
      </c>
      <c r="E560" s="162"/>
      <c r="F560" s="162"/>
      <c r="G560" s="162"/>
      <c r="H560" s="162"/>
      <c r="I560" s="162"/>
      <c r="J560" s="162"/>
      <c r="K560" s="162"/>
      <c r="L560" s="162"/>
      <c r="M560" s="162"/>
      <c r="N560" s="162"/>
      <c r="O560" s="162"/>
      <c r="P560" s="163"/>
      <c r="BX560" s="79" t="s">
        <v>1109</v>
      </c>
    </row>
    <row r="561" spans="1:76" x14ac:dyDescent="0.25">
      <c r="A561" s="71" t="s">
        <v>25</v>
      </c>
      <c r="B561" s="13" t="s">
        <v>338</v>
      </c>
      <c r="C561" s="13" t="s">
        <v>437</v>
      </c>
      <c r="D561" s="135" t="s">
        <v>438</v>
      </c>
      <c r="E561" s="136"/>
      <c r="F561" s="72" t="s">
        <v>23</v>
      </c>
      <c r="G561" s="72" t="s">
        <v>23</v>
      </c>
      <c r="H561" s="72" t="s">
        <v>23</v>
      </c>
      <c r="I561" s="72" t="s">
        <v>23</v>
      </c>
      <c r="J561" s="47">
        <f>SUM(J562:J572)</f>
        <v>0</v>
      </c>
      <c r="K561" s="47">
        <f>SUM(K562:K572)</f>
        <v>0</v>
      </c>
      <c r="L561" s="47">
        <f>SUM(L562:L572)</f>
        <v>0</v>
      </c>
      <c r="M561" s="47">
        <f>SUM(M562:M572)</f>
        <v>0</v>
      </c>
      <c r="N561" s="14" t="s">
        <v>25</v>
      </c>
      <c r="O561" s="47">
        <f>SUM(O562:O572)</f>
        <v>0</v>
      </c>
      <c r="P561" s="73" t="s">
        <v>25</v>
      </c>
      <c r="AI561" s="14" t="s">
        <v>338</v>
      </c>
      <c r="AS561" s="47">
        <f>SUM(AJ562:AJ572)</f>
        <v>0</v>
      </c>
      <c r="AT561" s="47">
        <f>SUM(AK562:AK572)</f>
        <v>0</v>
      </c>
      <c r="AU561" s="47">
        <f>SUM(AL562:AL572)</f>
        <v>0</v>
      </c>
    </row>
    <row r="562" spans="1:76" x14ac:dyDescent="0.25">
      <c r="A562" s="1" t="s">
        <v>1110</v>
      </c>
      <c r="B562" s="2" t="s">
        <v>338</v>
      </c>
      <c r="C562" s="2" t="s">
        <v>439</v>
      </c>
      <c r="D562" s="83" t="s">
        <v>440</v>
      </c>
      <c r="E562" s="84"/>
      <c r="F562" s="2" t="s">
        <v>441</v>
      </c>
      <c r="G562" s="17">
        <f>'Rozpočet - vybrané sloupce'!J481</f>
        <v>30</v>
      </c>
      <c r="H562" s="17">
        <f>'Rozpočet - vybrané sloupce'!K481</f>
        <v>0</v>
      </c>
      <c r="I562" s="74">
        <v>12</v>
      </c>
      <c r="J562" s="17">
        <f>ROUND(G562*AO562,2)</f>
        <v>0</v>
      </c>
      <c r="K562" s="17">
        <f>ROUND(G562*AP562,2)</f>
        <v>0</v>
      </c>
      <c r="L562" s="17">
        <f>ROUND(G562*H562,2)</f>
        <v>0</v>
      </c>
      <c r="M562" s="17">
        <f>L562*(1+BW562/100)</f>
        <v>0</v>
      </c>
      <c r="N562" s="17">
        <v>0</v>
      </c>
      <c r="O562" s="17">
        <f>G562*N562</f>
        <v>0</v>
      </c>
      <c r="P562" s="75" t="s">
        <v>576</v>
      </c>
      <c r="Z562" s="17">
        <f>ROUND(IF(AQ562="5",BJ562,0),2)</f>
        <v>0</v>
      </c>
      <c r="AB562" s="17">
        <f>ROUND(IF(AQ562="1",BH562,0),2)</f>
        <v>0</v>
      </c>
      <c r="AC562" s="17">
        <f>ROUND(IF(AQ562="1",BI562,0),2)</f>
        <v>0</v>
      </c>
      <c r="AD562" s="17">
        <f>ROUND(IF(AQ562="7",BH562,0),2)</f>
        <v>0</v>
      </c>
      <c r="AE562" s="17">
        <f>ROUND(IF(AQ562="7",BI562,0),2)</f>
        <v>0</v>
      </c>
      <c r="AF562" s="17">
        <f>ROUND(IF(AQ562="2",BH562,0),2)</f>
        <v>0</v>
      </c>
      <c r="AG562" s="17">
        <f>ROUND(IF(AQ562="2",BI562,0),2)</f>
        <v>0</v>
      </c>
      <c r="AH562" s="17">
        <f>ROUND(IF(AQ562="0",BJ562,0),2)</f>
        <v>0</v>
      </c>
      <c r="AI562" s="14" t="s">
        <v>338</v>
      </c>
      <c r="AJ562" s="17">
        <f>IF(AN562=0,L562,0)</f>
        <v>0</v>
      </c>
      <c r="AK562" s="17">
        <f>IF(AN562=12,L562,0)</f>
        <v>0</v>
      </c>
      <c r="AL562" s="17">
        <f>IF(AN562=21,L562,0)</f>
        <v>0</v>
      </c>
      <c r="AN562" s="17">
        <v>12</v>
      </c>
      <c r="AO562" s="17">
        <f>H562*0</f>
        <v>0</v>
      </c>
      <c r="AP562" s="17">
        <f>H562*(1-0)</f>
        <v>0</v>
      </c>
      <c r="AQ562" s="76" t="s">
        <v>575</v>
      </c>
      <c r="AV562" s="17">
        <f>ROUND(AW562+AX562,2)</f>
        <v>0</v>
      </c>
      <c r="AW562" s="17">
        <f>ROUND(G562*AO562,2)</f>
        <v>0</v>
      </c>
      <c r="AX562" s="17">
        <f>ROUND(G562*AP562,2)</f>
        <v>0</v>
      </c>
      <c r="AY562" s="76" t="s">
        <v>1111</v>
      </c>
      <c r="AZ562" s="76" t="s">
        <v>1096</v>
      </c>
      <c r="BA562" s="14" t="s">
        <v>1042</v>
      </c>
      <c r="BC562" s="17">
        <f>AW562+AX562</f>
        <v>0</v>
      </c>
      <c r="BD562" s="17">
        <f>H562/(100-BE562)*100</f>
        <v>0</v>
      </c>
      <c r="BE562" s="17">
        <v>0</v>
      </c>
      <c r="BF562" s="17">
        <f>O562</f>
        <v>0</v>
      </c>
      <c r="BH562" s="17">
        <f>G562*AO562</f>
        <v>0</v>
      </c>
      <c r="BI562" s="17">
        <f>G562*AP562</f>
        <v>0</v>
      </c>
      <c r="BJ562" s="17">
        <f>G562*H562</f>
        <v>0</v>
      </c>
      <c r="BK562" s="17"/>
      <c r="BL562" s="17"/>
      <c r="BW562" s="17">
        <f>I562</f>
        <v>12</v>
      </c>
      <c r="BX562" s="4" t="s">
        <v>440</v>
      </c>
    </row>
    <row r="563" spans="1:76" x14ac:dyDescent="0.25">
      <c r="A563" s="1" t="s">
        <v>1112</v>
      </c>
      <c r="B563" s="2" t="s">
        <v>338</v>
      </c>
      <c r="C563" s="2" t="s">
        <v>442</v>
      </c>
      <c r="D563" s="83" t="s">
        <v>443</v>
      </c>
      <c r="E563" s="84"/>
      <c r="F563" s="2" t="s">
        <v>88</v>
      </c>
      <c r="G563" s="17">
        <f>'Rozpočet - vybrané sloupce'!J482</f>
        <v>3.2</v>
      </c>
      <c r="H563" s="17">
        <f>'Rozpočet - vybrané sloupce'!K482</f>
        <v>0</v>
      </c>
      <c r="I563" s="74">
        <v>12</v>
      </c>
      <c r="J563" s="17">
        <f>ROUND(G563*AO563,2)</f>
        <v>0</v>
      </c>
      <c r="K563" s="17">
        <f>ROUND(G563*AP563,2)</f>
        <v>0</v>
      </c>
      <c r="L563" s="17">
        <f>ROUND(G563*H563,2)</f>
        <v>0</v>
      </c>
      <c r="M563" s="17">
        <f>L563*(1+BW563/100)</f>
        <v>0</v>
      </c>
      <c r="N563" s="17">
        <v>0</v>
      </c>
      <c r="O563" s="17">
        <f>G563*N563</f>
        <v>0</v>
      </c>
      <c r="P563" s="75" t="s">
        <v>576</v>
      </c>
      <c r="Z563" s="17">
        <f>ROUND(IF(AQ563="5",BJ563,0),2)</f>
        <v>0</v>
      </c>
      <c r="AB563" s="17">
        <f>ROUND(IF(AQ563="1",BH563,0),2)</f>
        <v>0</v>
      </c>
      <c r="AC563" s="17">
        <f>ROUND(IF(AQ563="1",BI563,0),2)</f>
        <v>0</v>
      </c>
      <c r="AD563" s="17">
        <f>ROUND(IF(AQ563="7",BH563,0),2)</f>
        <v>0</v>
      </c>
      <c r="AE563" s="17">
        <f>ROUND(IF(AQ563="7",BI563,0),2)</f>
        <v>0</v>
      </c>
      <c r="AF563" s="17">
        <f>ROUND(IF(AQ563="2",BH563,0),2)</f>
        <v>0</v>
      </c>
      <c r="AG563" s="17">
        <f>ROUND(IF(AQ563="2",BI563,0),2)</f>
        <v>0</v>
      </c>
      <c r="AH563" s="17">
        <f>ROUND(IF(AQ563="0",BJ563,0),2)</f>
        <v>0</v>
      </c>
      <c r="AI563" s="14" t="s">
        <v>338</v>
      </c>
      <c r="AJ563" s="17">
        <f>IF(AN563=0,L563,0)</f>
        <v>0</v>
      </c>
      <c r="AK563" s="17">
        <f>IF(AN563=12,L563,0)</f>
        <v>0</v>
      </c>
      <c r="AL563" s="17">
        <f>IF(AN563=21,L563,0)</f>
        <v>0</v>
      </c>
      <c r="AN563" s="17">
        <v>12</v>
      </c>
      <c r="AO563" s="17">
        <f>H563*0</f>
        <v>0</v>
      </c>
      <c r="AP563" s="17">
        <f>H563*(1-0)</f>
        <v>0</v>
      </c>
      <c r="AQ563" s="76" t="s">
        <v>585</v>
      </c>
      <c r="AV563" s="17">
        <f>ROUND(AW563+AX563,2)</f>
        <v>0</v>
      </c>
      <c r="AW563" s="17">
        <f>ROUND(G563*AO563,2)</f>
        <v>0</v>
      </c>
      <c r="AX563" s="17">
        <f>ROUND(G563*AP563,2)</f>
        <v>0</v>
      </c>
      <c r="AY563" s="76" t="s">
        <v>1111</v>
      </c>
      <c r="AZ563" s="76" t="s">
        <v>1096</v>
      </c>
      <c r="BA563" s="14" t="s">
        <v>1042</v>
      </c>
      <c r="BC563" s="17">
        <f>AW563+AX563</f>
        <v>0</v>
      </c>
      <c r="BD563" s="17">
        <f>H563/(100-BE563)*100</f>
        <v>0</v>
      </c>
      <c r="BE563" s="17">
        <v>0</v>
      </c>
      <c r="BF563" s="17">
        <f>O563</f>
        <v>0</v>
      </c>
      <c r="BH563" s="17">
        <f>G563*AO563</f>
        <v>0</v>
      </c>
      <c r="BI563" s="17">
        <f>G563*AP563</f>
        <v>0</v>
      </c>
      <c r="BJ563" s="17">
        <f>G563*H563</f>
        <v>0</v>
      </c>
      <c r="BK563" s="17"/>
      <c r="BL563" s="17"/>
      <c r="BW563" s="17">
        <f>I563</f>
        <v>12</v>
      </c>
      <c r="BX563" s="4" t="s">
        <v>443</v>
      </c>
    </row>
    <row r="564" spans="1:76" ht="38.25" x14ac:dyDescent="0.25">
      <c r="A564" s="77"/>
      <c r="C564" s="78" t="s">
        <v>610</v>
      </c>
      <c r="D564" s="161" t="s">
        <v>1113</v>
      </c>
      <c r="E564" s="162"/>
      <c r="F564" s="162"/>
      <c r="G564" s="162"/>
      <c r="H564" s="162"/>
      <c r="I564" s="162"/>
      <c r="J564" s="162"/>
      <c r="K564" s="162"/>
      <c r="L564" s="162"/>
      <c r="M564" s="162"/>
      <c r="N564" s="162"/>
      <c r="O564" s="162"/>
      <c r="P564" s="163"/>
      <c r="BX564" s="79" t="s">
        <v>1113</v>
      </c>
    </row>
    <row r="565" spans="1:76" x14ac:dyDescent="0.25">
      <c r="A565" s="1" t="s">
        <v>1114</v>
      </c>
      <c r="B565" s="2" t="s">
        <v>338</v>
      </c>
      <c r="C565" s="2" t="s">
        <v>444</v>
      </c>
      <c r="D565" s="83" t="s">
        <v>445</v>
      </c>
      <c r="E565" s="84"/>
      <c r="F565" s="2" t="s">
        <v>88</v>
      </c>
      <c r="G565" s="17">
        <f>'Rozpočet - vybrané sloupce'!J483</f>
        <v>3.2</v>
      </c>
      <c r="H565" s="17">
        <f>'Rozpočet - vybrané sloupce'!K483</f>
        <v>0</v>
      </c>
      <c r="I565" s="74">
        <v>12</v>
      </c>
      <c r="J565" s="17">
        <f>ROUND(G565*AO565,2)</f>
        <v>0</v>
      </c>
      <c r="K565" s="17">
        <f>ROUND(G565*AP565,2)</f>
        <v>0</v>
      </c>
      <c r="L565" s="17">
        <f>ROUND(G565*H565,2)</f>
        <v>0</v>
      </c>
      <c r="M565" s="17">
        <f>L565*(1+BW565/100)</f>
        <v>0</v>
      </c>
      <c r="N565" s="17">
        <v>0</v>
      </c>
      <c r="O565" s="17">
        <f>G565*N565</f>
        <v>0</v>
      </c>
      <c r="P565" s="75" t="s">
        <v>576</v>
      </c>
      <c r="Z565" s="17">
        <f>ROUND(IF(AQ565="5",BJ565,0),2)</f>
        <v>0</v>
      </c>
      <c r="AB565" s="17">
        <f>ROUND(IF(AQ565="1",BH565,0),2)</f>
        <v>0</v>
      </c>
      <c r="AC565" s="17">
        <f>ROUND(IF(AQ565="1",BI565,0),2)</f>
        <v>0</v>
      </c>
      <c r="AD565" s="17">
        <f>ROUND(IF(AQ565="7",BH565,0),2)</f>
        <v>0</v>
      </c>
      <c r="AE565" s="17">
        <f>ROUND(IF(AQ565="7",BI565,0),2)</f>
        <v>0</v>
      </c>
      <c r="AF565" s="17">
        <f>ROUND(IF(AQ565="2",BH565,0),2)</f>
        <v>0</v>
      </c>
      <c r="AG565" s="17">
        <f>ROUND(IF(AQ565="2",BI565,0),2)</f>
        <v>0</v>
      </c>
      <c r="AH565" s="17">
        <f>ROUND(IF(AQ565="0",BJ565,0),2)</f>
        <v>0</v>
      </c>
      <c r="AI565" s="14" t="s">
        <v>338</v>
      </c>
      <c r="AJ565" s="17">
        <f>IF(AN565=0,L565,0)</f>
        <v>0</v>
      </c>
      <c r="AK565" s="17">
        <f>IF(AN565=12,L565,0)</f>
        <v>0</v>
      </c>
      <c r="AL565" s="17">
        <f>IF(AN565=21,L565,0)</f>
        <v>0</v>
      </c>
      <c r="AN565" s="17">
        <v>12</v>
      </c>
      <c r="AO565" s="17">
        <f>H565*0</f>
        <v>0</v>
      </c>
      <c r="AP565" s="17">
        <f>H565*(1-0)</f>
        <v>0</v>
      </c>
      <c r="AQ565" s="76" t="s">
        <v>585</v>
      </c>
      <c r="AV565" s="17">
        <f>ROUND(AW565+AX565,2)</f>
        <v>0</v>
      </c>
      <c r="AW565" s="17">
        <f>ROUND(G565*AO565,2)</f>
        <v>0</v>
      </c>
      <c r="AX565" s="17">
        <f>ROUND(G565*AP565,2)</f>
        <v>0</v>
      </c>
      <c r="AY565" s="76" t="s">
        <v>1111</v>
      </c>
      <c r="AZ565" s="76" t="s">
        <v>1096</v>
      </c>
      <c r="BA565" s="14" t="s">
        <v>1042</v>
      </c>
      <c r="BC565" s="17">
        <f>AW565+AX565</f>
        <v>0</v>
      </c>
      <c r="BD565" s="17">
        <f>H565/(100-BE565)*100</f>
        <v>0</v>
      </c>
      <c r="BE565" s="17">
        <v>0</v>
      </c>
      <c r="BF565" s="17">
        <f>O565</f>
        <v>0</v>
      </c>
      <c r="BH565" s="17">
        <f>G565*AO565</f>
        <v>0</v>
      </c>
      <c r="BI565" s="17">
        <f>G565*AP565</f>
        <v>0</v>
      </c>
      <c r="BJ565" s="17">
        <f>G565*H565</f>
        <v>0</v>
      </c>
      <c r="BK565" s="17"/>
      <c r="BL565" s="17"/>
      <c r="BW565" s="17">
        <f>I565</f>
        <v>12</v>
      </c>
      <c r="BX565" s="4" t="s">
        <v>445</v>
      </c>
    </row>
    <row r="566" spans="1:76" x14ac:dyDescent="0.25">
      <c r="A566" s="77"/>
      <c r="C566" s="78" t="s">
        <v>610</v>
      </c>
      <c r="D566" s="161" t="s">
        <v>1115</v>
      </c>
      <c r="E566" s="162"/>
      <c r="F566" s="162"/>
      <c r="G566" s="162"/>
      <c r="H566" s="162"/>
      <c r="I566" s="162"/>
      <c r="J566" s="162"/>
      <c r="K566" s="162"/>
      <c r="L566" s="162"/>
      <c r="M566" s="162"/>
      <c r="N566" s="162"/>
      <c r="O566" s="162"/>
      <c r="P566" s="163"/>
      <c r="BX566" s="79" t="s">
        <v>1115</v>
      </c>
    </row>
    <row r="567" spans="1:76" x14ac:dyDescent="0.25">
      <c r="A567" s="1" t="s">
        <v>1116</v>
      </c>
      <c r="B567" s="2" t="s">
        <v>338</v>
      </c>
      <c r="C567" s="2" t="s">
        <v>446</v>
      </c>
      <c r="D567" s="83" t="s">
        <v>447</v>
      </c>
      <c r="E567" s="84"/>
      <c r="F567" s="2" t="s">
        <v>88</v>
      </c>
      <c r="G567" s="17">
        <f>'Rozpočet - vybrané sloupce'!J484</f>
        <v>3.2</v>
      </c>
      <c r="H567" s="17">
        <f>'Rozpočet - vybrané sloupce'!K484</f>
        <v>0</v>
      </c>
      <c r="I567" s="74">
        <v>12</v>
      </c>
      <c r="J567" s="17">
        <f>ROUND(G567*AO567,2)</f>
        <v>0</v>
      </c>
      <c r="K567" s="17">
        <f>ROUND(G567*AP567,2)</f>
        <v>0</v>
      </c>
      <c r="L567" s="17">
        <f>ROUND(G567*H567,2)</f>
        <v>0</v>
      </c>
      <c r="M567" s="17">
        <f>L567*(1+BW567/100)</f>
        <v>0</v>
      </c>
      <c r="N567" s="17">
        <v>0</v>
      </c>
      <c r="O567" s="17">
        <f>G567*N567</f>
        <v>0</v>
      </c>
      <c r="P567" s="75" t="s">
        <v>576</v>
      </c>
      <c r="Z567" s="17">
        <f>ROUND(IF(AQ567="5",BJ567,0),2)</f>
        <v>0</v>
      </c>
      <c r="AB567" s="17">
        <f>ROUND(IF(AQ567="1",BH567,0),2)</f>
        <v>0</v>
      </c>
      <c r="AC567" s="17">
        <f>ROUND(IF(AQ567="1",BI567,0),2)</f>
        <v>0</v>
      </c>
      <c r="AD567" s="17">
        <f>ROUND(IF(AQ567="7",BH567,0),2)</f>
        <v>0</v>
      </c>
      <c r="AE567" s="17">
        <f>ROUND(IF(AQ567="7",BI567,0),2)</f>
        <v>0</v>
      </c>
      <c r="AF567" s="17">
        <f>ROUND(IF(AQ567="2",BH567,0),2)</f>
        <v>0</v>
      </c>
      <c r="AG567" s="17">
        <f>ROUND(IF(AQ567="2",BI567,0),2)</f>
        <v>0</v>
      </c>
      <c r="AH567" s="17">
        <f>ROUND(IF(AQ567="0",BJ567,0),2)</f>
        <v>0</v>
      </c>
      <c r="AI567" s="14" t="s">
        <v>338</v>
      </c>
      <c r="AJ567" s="17">
        <f>IF(AN567=0,L567,0)</f>
        <v>0</v>
      </c>
      <c r="AK567" s="17">
        <f>IF(AN567=12,L567,0)</f>
        <v>0</v>
      </c>
      <c r="AL567" s="17">
        <f>IF(AN567=21,L567,0)</f>
        <v>0</v>
      </c>
      <c r="AN567" s="17">
        <v>12</v>
      </c>
      <c r="AO567" s="17">
        <f>H567*0</f>
        <v>0</v>
      </c>
      <c r="AP567" s="17">
        <f>H567*(1-0)</f>
        <v>0</v>
      </c>
      <c r="AQ567" s="76" t="s">
        <v>585</v>
      </c>
      <c r="AV567" s="17">
        <f>ROUND(AW567+AX567,2)</f>
        <v>0</v>
      </c>
      <c r="AW567" s="17">
        <f>ROUND(G567*AO567,2)</f>
        <v>0</v>
      </c>
      <c r="AX567" s="17">
        <f>ROUND(G567*AP567,2)</f>
        <v>0</v>
      </c>
      <c r="AY567" s="76" t="s">
        <v>1111</v>
      </c>
      <c r="AZ567" s="76" t="s">
        <v>1096</v>
      </c>
      <c r="BA567" s="14" t="s">
        <v>1042</v>
      </c>
      <c r="BC567" s="17">
        <f>AW567+AX567</f>
        <v>0</v>
      </c>
      <c r="BD567" s="17">
        <f>H567/(100-BE567)*100</f>
        <v>0</v>
      </c>
      <c r="BE567" s="17">
        <v>0</v>
      </c>
      <c r="BF567" s="17">
        <f>O567</f>
        <v>0</v>
      </c>
      <c r="BH567" s="17">
        <f>G567*AO567</f>
        <v>0</v>
      </c>
      <c r="BI567" s="17">
        <f>G567*AP567</f>
        <v>0</v>
      </c>
      <c r="BJ567" s="17">
        <f>G567*H567</f>
        <v>0</v>
      </c>
      <c r="BK567" s="17"/>
      <c r="BL567" s="17"/>
      <c r="BW567" s="17">
        <f>I567</f>
        <v>12</v>
      </c>
      <c r="BX567" s="4" t="s">
        <v>447</v>
      </c>
    </row>
    <row r="568" spans="1:76" x14ac:dyDescent="0.25">
      <c r="A568" s="77"/>
      <c r="C568" s="78" t="s">
        <v>610</v>
      </c>
      <c r="D568" s="161" t="s">
        <v>1117</v>
      </c>
      <c r="E568" s="162"/>
      <c r="F568" s="162"/>
      <c r="G568" s="162"/>
      <c r="H568" s="162"/>
      <c r="I568" s="162"/>
      <c r="J568" s="162"/>
      <c r="K568" s="162"/>
      <c r="L568" s="162"/>
      <c r="M568" s="162"/>
      <c r="N568" s="162"/>
      <c r="O568" s="162"/>
      <c r="P568" s="163"/>
      <c r="BX568" s="79" t="s">
        <v>1117</v>
      </c>
    </row>
    <row r="569" spans="1:76" x14ac:dyDescent="0.25">
      <c r="A569" s="1" t="s">
        <v>1118</v>
      </c>
      <c r="B569" s="2" t="s">
        <v>338</v>
      </c>
      <c r="C569" s="2" t="s">
        <v>448</v>
      </c>
      <c r="D569" s="83" t="s">
        <v>449</v>
      </c>
      <c r="E569" s="84"/>
      <c r="F569" s="2" t="s">
        <v>88</v>
      </c>
      <c r="G569" s="17">
        <f>'Rozpočet - vybrané sloupce'!J485</f>
        <v>3.2</v>
      </c>
      <c r="H569" s="17">
        <f>'Rozpočet - vybrané sloupce'!K485</f>
        <v>0</v>
      </c>
      <c r="I569" s="74">
        <v>12</v>
      </c>
      <c r="J569" s="17">
        <f>ROUND(G569*AO569,2)</f>
        <v>0</v>
      </c>
      <c r="K569" s="17">
        <f>ROUND(G569*AP569,2)</f>
        <v>0</v>
      </c>
      <c r="L569" s="17">
        <f>ROUND(G569*H569,2)</f>
        <v>0</v>
      </c>
      <c r="M569" s="17">
        <f>L569*(1+BW569/100)</f>
        <v>0</v>
      </c>
      <c r="N569" s="17">
        <v>0</v>
      </c>
      <c r="O569" s="17">
        <f>G569*N569</f>
        <v>0</v>
      </c>
      <c r="P569" s="75" t="s">
        <v>576</v>
      </c>
      <c r="Z569" s="17">
        <f>ROUND(IF(AQ569="5",BJ569,0),2)</f>
        <v>0</v>
      </c>
      <c r="AB569" s="17">
        <f>ROUND(IF(AQ569="1",BH569,0),2)</f>
        <v>0</v>
      </c>
      <c r="AC569" s="17">
        <f>ROUND(IF(AQ569="1",BI569,0),2)</f>
        <v>0</v>
      </c>
      <c r="AD569" s="17">
        <f>ROUND(IF(AQ569="7",BH569,0),2)</f>
        <v>0</v>
      </c>
      <c r="AE569" s="17">
        <f>ROUND(IF(AQ569="7",BI569,0),2)</f>
        <v>0</v>
      </c>
      <c r="AF569" s="17">
        <f>ROUND(IF(AQ569="2",BH569,0),2)</f>
        <v>0</v>
      </c>
      <c r="AG569" s="17">
        <f>ROUND(IF(AQ569="2",BI569,0),2)</f>
        <v>0</v>
      </c>
      <c r="AH569" s="17">
        <f>ROUND(IF(AQ569="0",BJ569,0),2)</f>
        <v>0</v>
      </c>
      <c r="AI569" s="14" t="s">
        <v>338</v>
      </c>
      <c r="AJ569" s="17">
        <f>IF(AN569=0,L569,0)</f>
        <v>0</v>
      </c>
      <c r="AK569" s="17">
        <f>IF(AN569=12,L569,0)</f>
        <v>0</v>
      </c>
      <c r="AL569" s="17">
        <f>IF(AN569=21,L569,0)</f>
        <v>0</v>
      </c>
      <c r="AN569" s="17">
        <v>12</v>
      </c>
      <c r="AO569" s="17">
        <f>H569*0</f>
        <v>0</v>
      </c>
      <c r="AP569" s="17">
        <f>H569*(1-0)</f>
        <v>0</v>
      </c>
      <c r="AQ569" s="76" t="s">
        <v>585</v>
      </c>
      <c r="AV569" s="17">
        <f>ROUND(AW569+AX569,2)</f>
        <v>0</v>
      </c>
      <c r="AW569" s="17">
        <f>ROUND(G569*AO569,2)</f>
        <v>0</v>
      </c>
      <c r="AX569" s="17">
        <f>ROUND(G569*AP569,2)</f>
        <v>0</v>
      </c>
      <c r="AY569" s="76" t="s">
        <v>1111</v>
      </c>
      <c r="AZ569" s="76" t="s">
        <v>1096</v>
      </c>
      <c r="BA569" s="14" t="s">
        <v>1042</v>
      </c>
      <c r="BC569" s="17">
        <f>AW569+AX569</f>
        <v>0</v>
      </c>
      <c r="BD569" s="17">
        <f>H569/(100-BE569)*100</f>
        <v>0</v>
      </c>
      <c r="BE569" s="17">
        <v>0</v>
      </c>
      <c r="BF569" s="17">
        <f>O569</f>
        <v>0</v>
      </c>
      <c r="BH569" s="17">
        <f>G569*AO569</f>
        <v>0</v>
      </c>
      <c r="BI569" s="17">
        <f>G569*AP569</f>
        <v>0</v>
      </c>
      <c r="BJ569" s="17">
        <f>G569*H569</f>
        <v>0</v>
      </c>
      <c r="BK569" s="17"/>
      <c r="BL569" s="17"/>
      <c r="BW569" s="17">
        <f>I569</f>
        <v>12</v>
      </c>
      <c r="BX569" s="4" t="s">
        <v>449</v>
      </c>
    </row>
    <row r="570" spans="1:76" x14ac:dyDescent="0.25">
      <c r="A570" s="1" t="s">
        <v>1119</v>
      </c>
      <c r="B570" s="2" t="s">
        <v>338</v>
      </c>
      <c r="C570" s="2" t="s">
        <v>450</v>
      </c>
      <c r="D570" s="83" t="s">
        <v>451</v>
      </c>
      <c r="E570" s="84"/>
      <c r="F570" s="2" t="s">
        <v>88</v>
      </c>
      <c r="G570" s="17">
        <f>'Rozpočet - vybrané sloupce'!J486</f>
        <v>32</v>
      </c>
      <c r="H570" s="17">
        <f>'Rozpočet - vybrané sloupce'!K486</f>
        <v>0</v>
      </c>
      <c r="I570" s="74">
        <v>12</v>
      </c>
      <c r="J570" s="17">
        <f>ROUND(G570*AO570,2)</f>
        <v>0</v>
      </c>
      <c r="K570" s="17">
        <f>ROUND(G570*AP570,2)</f>
        <v>0</v>
      </c>
      <c r="L570" s="17">
        <f>ROUND(G570*H570,2)</f>
        <v>0</v>
      </c>
      <c r="M570" s="17">
        <f>L570*(1+BW570/100)</f>
        <v>0</v>
      </c>
      <c r="N570" s="17">
        <v>0</v>
      </c>
      <c r="O570" s="17">
        <f>G570*N570</f>
        <v>0</v>
      </c>
      <c r="P570" s="75" t="s">
        <v>576</v>
      </c>
      <c r="Z570" s="17">
        <f>ROUND(IF(AQ570="5",BJ570,0),2)</f>
        <v>0</v>
      </c>
      <c r="AB570" s="17">
        <f>ROUND(IF(AQ570="1",BH570,0),2)</f>
        <v>0</v>
      </c>
      <c r="AC570" s="17">
        <f>ROUND(IF(AQ570="1",BI570,0),2)</f>
        <v>0</v>
      </c>
      <c r="AD570" s="17">
        <f>ROUND(IF(AQ570="7",BH570,0),2)</f>
        <v>0</v>
      </c>
      <c r="AE570" s="17">
        <f>ROUND(IF(AQ570="7",BI570,0),2)</f>
        <v>0</v>
      </c>
      <c r="AF570" s="17">
        <f>ROUND(IF(AQ570="2",BH570,0),2)</f>
        <v>0</v>
      </c>
      <c r="AG570" s="17">
        <f>ROUND(IF(AQ570="2",BI570,0),2)</f>
        <v>0</v>
      </c>
      <c r="AH570" s="17">
        <f>ROUND(IF(AQ570="0",BJ570,0),2)</f>
        <v>0</v>
      </c>
      <c r="AI570" s="14" t="s">
        <v>338</v>
      </c>
      <c r="AJ570" s="17">
        <f>IF(AN570=0,L570,0)</f>
        <v>0</v>
      </c>
      <c r="AK570" s="17">
        <f>IF(AN570=12,L570,0)</f>
        <v>0</v>
      </c>
      <c r="AL570" s="17">
        <f>IF(AN570=21,L570,0)</f>
        <v>0</v>
      </c>
      <c r="AN570" s="17">
        <v>12</v>
      </c>
      <c r="AO570" s="17">
        <f>H570*0</f>
        <v>0</v>
      </c>
      <c r="AP570" s="17">
        <f>H570*(1-0)</f>
        <v>0</v>
      </c>
      <c r="AQ570" s="76" t="s">
        <v>585</v>
      </c>
      <c r="AV570" s="17">
        <f>ROUND(AW570+AX570,2)</f>
        <v>0</v>
      </c>
      <c r="AW570" s="17">
        <f>ROUND(G570*AO570,2)</f>
        <v>0</v>
      </c>
      <c r="AX570" s="17">
        <f>ROUND(G570*AP570,2)</f>
        <v>0</v>
      </c>
      <c r="AY570" s="76" t="s">
        <v>1111</v>
      </c>
      <c r="AZ570" s="76" t="s">
        <v>1096</v>
      </c>
      <c r="BA570" s="14" t="s">
        <v>1042</v>
      </c>
      <c r="BC570" s="17">
        <f>AW570+AX570</f>
        <v>0</v>
      </c>
      <c r="BD570" s="17">
        <f>H570/(100-BE570)*100</f>
        <v>0</v>
      </c>
      <c r="BE570" s="17">
        <v>0</v>
      </c>
      <c r="BF570" s="17">
        <f>O570</f>
        <v>0</v>
      </c>
      <c r="BH570" s="17">
        <f>G570*AO570</f>
        <v>0</v>
      </c>
      <c r="BI570" s="17">
        <f>G570*AP570</f>
        <v>0</v>
      </c>
      <c r="BJ570" s="17">
        <f>G570*H570</f>
        <v>0</v>
      </c>
      <c r="BK570" s="17"/>
      <c r="BL570" s="17"/>
      <c r="BW570" s="17">
        <f>I570</f>
        <v>12</v>
      </c>
      <c r="BX570" s="4" t="s">
        <v>451</v>
      </c>
    </row>
    <row r="571" spans="1:76" x14ac:dyDescent="0.25">
      <c r="A571" s="1" t="s">
        <v>1120</v>
      </c>
      <c r="B571" s="2" t="s">
        <v>338</v>
      </c>
      <c r="C571" s="2" t="s">
        <v>452</v>
      </c>
      <c r="D571" s="83" t="s">
        <v>453</v>
      </c>
      <c r="E571" s="84"/>
      <c r="F571" s="2" t="s">
        <v>88</v>
      </c>
      <c r="G571" s="17">
        <f>'Rozpočet - vybrané sloupce'!J487</f>
        <v>3.2</v>
      </c>
      <c r="H571" s="17">
        <f>'Rozpočet - vybrané sloupce'!K487</f>
        <v>0</v>
      </c>
      <c r="I571" s="74">
        <v>12</v>
      </c>
      <c r="J571" s="17">
        <f>ROUND(G571*AO571,2)</f>
        <v>0</v>
      </c>
      <c r="K571" s="17">
        <f>ROUND(G571*AP571,2)</f>
        <v>0</v>
      </c>
      <c r="L571" s="17">
        <f>ROUND(G571*H571,2)</f>
        <v>0</v>
      </c>
      <c r="M571" s="17">
        <f>L571*(1+BW571/100)</f>
        <v>0</v>
      </c>
      <c r="N571" s="17">
        <v>0</v>
      </c>
      <c r="O571" s="17">
        <f>G571*N571</f>
        <v>0</v>
      </c>
      <c r="P571" s="75" t="s">
        <v>576</v>
      </c>
      <c r="Z571" s="17">
        <f>ROUND(IF(AQ571="5",BJ571,0),2)</f>
        <v>0</v>
      </c>
      <c r="AB571" s="17">
        <f>ROUND(IF(AQ571="1",BH571,0),2)</f>
        <v>0</v>
      </c>
      <c r="AC571" s="17">
        <f>ROUND(IF(AQ571="1",BI571,0),2)</f>
        <v>0</v>
      </c>
      <c r="AD571" s="17">
        <f>ROUND(IF(AQ571="7",BH571,0),2)</f>
        <v>0</v>
      </c>
      <c r="AE571" s="17">
        <f>ROUND(IF(AQ571="7",BI571,0),2)</f>
        <v>0</v>
      </c>
      <c r="AF571" s="17">
        <f>ROUND(IF(AQ571="2",BH571,0),2)</f>
        <v>0</v>
      </c>
      <c r="AG571" s="17">
        <f>ROUND(IF(AQ571="2",BI571,0),2)</f>
        <v>0</v>
      </c>
      <c r="AH571" s="17">
        <f>ROUND(IF(AQ571="0",BJ571,0),2)</f>
        <v>0</v>
      </c>
      <c r="AI571" s="14" t="s">
        <v>338</v>
      </c>
      <c r="AJ571" s="17">
        <f>IF(AN571=0,L571,0)</f>
        <v>0</v>
      </c>
      <c r="AK571" s="17">
        <f>IF(AN571=12,L571,0)</f>
        <v>0</v>
      </c>
      <c r="AL571" s="17">
        <f>IF(AN571=21,L571,0)</f>
        <v>0</v>
      </c>
      <c r="AN571" s="17">
        <v>12</v>
      </c>
      <c r="AO571" s="17">
        <f>H571*0</f>
        <v>0</v>
      </c>
      <c r="AP571" s="17">
        <f>H571*(1-0)</f>
        <v>0</v>
      </c>
      <c r="AQ571" s="76" t="s">
        <v>585</v>
      </c>
      <c r="AV571" s="17">
        <f>ROUND(AW571+AX571,2)</f>
        <v>0</v>
      </c>
      <c r="AW571" s="17">
        <f>ROUND(G571*AO571,2)</f>
        <v>0</v>
      </c>
      <c r="AX571" s="17">
        <f>ROUND(G571*AP571,2)</f>
        <v>0</v>
      </c>
      <c r="AY571" s="76" t="s">
        <v>1111</v>
      </c>
      <c r="AZ571" s="76" t="s">
        <v>1096</v>
      </c>
      <c r="BA571" s="14" t="s">
        <v>1042</v>
      </c>
      <c r="BC571" s="17">
        <f>AW571+AX571</f>
        <v>0</v>
      </c>
      <c r="BD571" s="17">
        <f>H571/(100-BE571)*100</f>
        <v>0</v>
      </c>
      <c r="BE571" s="17">
        <v>0</v>
      </c>
      <c r="BF571" s="17">
        <f>O571</f>
        <v>0</v>
      </c>
      <c r="BH571" s="17">
        <f>G571*AO571</f>
        <v>0</v>
      </c>
      <c r="BI571" s="17">
        <f>G571*AP571</f>
        <v>0</v>
      </c>
      <c r="BJ571" s="17">
        <f>G571*H571</f>
        <v>0</v>
      </c>
      <c r="BK571" s="17"/>
      <c r="BL571" s="17"/>
      <c r="BW571" s="17">
        <f>I571</f>
        <v>12</v>
      </c>
      <c r="BX571" s="4" t="s">
        <v>453</v>
      </c>
    </row>
    <row r="572" spans="1:76" x14ac:dyDescent="0.25">
      <c r="A572" s="1" t="s">
        <v>1121</v>
      </c>
      <c r="B572" s="2" t="s">
        <v>338</v>
      </c>
      <c r="C572" s="2" t="s">
        <v>454</v>
      </c>
      <c r="D572" s="83" t="s">
        <v>455</v>
      </c>
      <c r="E572" s="84"/>
      <c r="F572" s="2" t="s">
        <v>88</v>
      </c>
      <c r="G572" s="17">
        <f>'Rozpočet - vybrané sloupce'!J488</f>
        <v>0.2</v>
      </c>
      <c r="H572" s="17">
        <f>'Rozpočet - vybrané sloupce'!K488</f>
        <v>0</v>
      </c>
      <c r="I572" s="74">
        <v>12</v>
      </c>
      <c r="J572" s="17">
        <f>ROUND(G572*AO572,2)</f>
        <v>0</v>
      </c>
      <c r="K572" s="17">
        <f>ROUND(G572*AP572,2)</f>
        <v>0</v>
      </c>
      <c r="L572" s="17">
        <f>ROUND(G572*H572,2)</f>
        <v>0</v>
      </c>
      <c r="M572" s="17">
        <f>L572*(1+BW572/100)</f>
        <v>0</v>
      </c>
      <c r="N572" s="17">
        <v>0</v>
      </c>
      <c r="O572" s="17">
        <f>G572*N572</f>
        <v>0</v>
      </c>
      <c r="P572" s="75" t="s">
        <v>576</v>
      </c>
      <c r="Z572" s="17">
        <f>ROUND(IF(AQ572="5",BJ572,0),2)</f>
        <v>0</v>
      </c>
      <c r="AB572" s="17">
        <f>ROUND(IF(AQ572="1",BH572,0),2)</f>
        <v>0</v>
      </c>
      <c r="AC572" s="17">
        <f>ROUND(IF(AQ572="1",BI572,0),2)</f>
        <v>0</v>
      </c>
      <c r="AD572" s="17">
        <f>ROUND(IF(AQ572="7",BH572,0),2)</f>
        <v>0</v>
      </c>
      <c r="AE572" s="17">
        <f>ROUND(IF(AQ572="7",BI572,0),2)</f>
        <v>0</v>
      </c>
      <c r="AF572" s="17">
        <f>ROUND(IF(AQ572="2",BH572,0),2)</f>
        <v>0</v>
      </c>
      <c r="AG572" s="17">
        <f>ROUND(IF(AQ572="2",BI572,0),2)</f>
        <v>0</v>
      </c>
      <c r="AH572" s="17">
        <f>ROUND(IF(AQ572="0",BJ572,0),2)</f>
        <v>0</v>
      </c>
      <c r="AI572" s="14" t="s">
        <v>338</v>
      </c>
      <c r="AJ572" s="17">
        <f>IF(AN572=0,L572,0)</f>
        <v>0</v>
      </c>
      <c r="AK572" s="17">
        <f>IF(AN572=12,L572,0)</f>
        <v>0</v>
      </c>
      <c r="AL572" s="17">
        <f>IF(AN572=21,L572,0)</f>
        <v>0</v>
      </c>
      <c r="AN572" s="17">
        <v>12</v>
      </c>
      <c r="AO572" s="17">
        <f>H572*0</f>
        <v>0</v>
      </c>
      <c r="AP572" s="17">
        <f>H572*(1-0)</f>
        <v>0</v>
      </c>
      <c r="AQ572" s="76" t="s">
        <v>585</v>
      </c>
      <c r="AV572" s="17">
        <f>ROUND(AW572+AX572,2)</f>
        <v>0</v>
      </c>
      <c r="AW572" s="17">
        <f>ROUND(G572*AO572,2)</f>
        <v>0</v>
      </c>
      <c r="AX572" s="17">
        <f>ROUND(G572*AP572,2)</f>
        <v>0</v>
      </c>
      <c r="AY572" s="76" t="s">
        <v>1111</v>
      </c>
      <c r="AZ572" s="76" t="s">
        <v>1096</v>
      </c>
      <c r="BA572" s="14" t="s">
        <v>1042</v>
      </c>
      <c r="BC572" s="17">
        <f>AW572+AX572</f>
        <v>0</v>
      </c>
      <c r="BD572" s="17">
        <f>H572/(100-BE572)*100</f>
        <v>0</v>
      </c>
      <c r="BE572" s="17">
        <v>0</v>
      </c>
      <c r="BF572" s="17">
        <f>O572</f>
        <v>0</v>
      </c>
      <c r="BH572" s="17">
        <f>G572*AO572</f>
        <v>0</v>
      </c>
      <c r="BI572" s="17">
        <f>G572*AP572</f>
        <v>0</v>
      </c>
      <c r="BJ572" s="17">
        <f>G572*H572</f>
        <v>0</v>
      </c>
      <c r="BK572" s="17"/>
      <c r="BL572" s="17"/>
      <c r="BW572" s="17">
        <f>I572</f>
        <v>12</v>
      </c>
      <c r="BX572" s="4" t="s">
        <v>455</v>
      </c>
    </row>
    <row r="573" spans="1:76" x14ac:dyDescent="0.25">
      <c r="A573" s="77"/>
      <c r="C573" s="78" t="s">
        <v>610</v>
      </c>
      <c r="D573" s="161" t="s">
        <v>1122</v>
      </c>
      <c r="E573" s="162"/>
      <c r="F573" s="162"/>
      <c r="G573" s="162"/>
      <c r="H573" s="162"/>
      <c r="I573" s="162"/>
      <c r="J573" s="162"/>
      <c r="K573" s="162"/>
      <c r="L573" s="162"/>
      <c r="M573" s="162"/>
      <c r="N573" s="162"/>
      <c r="O573" s="162"/>
      <c r="P573" s="163"/>
      <c r="BX573" s="79" t="s">
        <v>1122</v>
      </c>
    </row>
    <row r="574" spans="1:76" x14ac:dyDescent="0.25">
      <c r="A574" s="71" t="s">
        <v>25</v>
      </c>
      <c r="B574" s="13" t="s">
        <v>456</v>
      </c>
      <c r="C574" s="13" t="s">
        <v>25</v>
      </c>
      <c r="D574" s="135" t="s">
        <v>457</v>
      </c>
      <c r="E574" s="136"/>
      <c r="F574" s="72" t="s">
        <v>23</v>
      </c>
      <c r="G574" s="72" t="s">
        <v>23</v>
      </c>
      <c r="H574" s="72" t="s">
        <v>23</v>
      </c>
      <c r="I574" s="72" t="s">
        <v>23</v>
      </c>
      <c r="J574" s="47" t="e">
        <f>J575+J583+J587+J591+J593+J601+J608+J611+J613+J615+J617+J623</f>
        <v>#REF!</v>
      </c>
      <c r="K574" s="47" t="e">
        <f>K575+K583+K587+K591+K593+K601+K608+K611+K613+K615+K617+K623</f>
        <v>#REF!</v>
      </c>
      <c r="L574" s="47" t="e">
        <f>L575+L583+L587+L591+L593+L601+L608+L611+L613+L615+L617+L623</f>
        <v>#REF!</v>
      </c>
      <c r="M574" s="47" t="e">
        <f>M575+M583+M587+M591+M593+M601+M608+M611+M613+M615+M617+M623</f>
        <v>#REF!</v>
      </c>
      <c r="N574" s="14" t="s">
        <v>25</v>
      </c>
      <c r="O574" s="47" t="e">
        <f>O575+O583+O587+O591+O593+O601+O608+O611+O613+O615+O617+O623</f>
        <v>#REF!</v>
      </c>
      <c r="P574" s="73" t="s">
        <v>25</v>
      </c>
    </row>
    <row r="575" spans="1:76" x14ac:dyDescent="0.25">
      <c r="A575" s="71" t="s">
        <v>25</v>
      </c>
      <c r="B575" s="13" t="s">
        <v>456</v>
      </c>
      <c r="C575" s="13" t="s">
        <v>340</v>
      </c>
      <c r="D575" s="135" t="s">
        <v>341</v>
      </c>
      <c r="E575" s="136"/>
      <c r="F575" s="72" t="s">
        <v>23</v>
      </c>
      <c r="G575" s="72" t="s">
        <v>23</v>
      </c>
      <c r="H575" s="72" t="s">
        <v>23</v>
      </c>
      <c r="I575" s="72" t="s">
        <v>23</v>
      </c>
      <c r="J575" s="47">
        <f>SUM(J576:J582)</f>
        <v>0</v>
      </c>
      <c r="K575" s="47">
        <f>SUM(K576:K582)</f>
        <v>0</v>
      </c>
      <c r="L575" s="47">
        <f>SUM(L576:L582)</f>
        <v>0</v>
      </c>
      <c r="M575" s="47">
        <f>SUM(M576:M582)</f>
        <v>0</v>
      </c>
      <c r="N575" s="14" t="s">
        <v>25</v>
      </c>
      <c r="O575" s="47">
        <f>SUM(O576:O582)</f>
        <v>0.31365599999999999</v>
      </c>
      <c r="P575" s="73" t="s">
        <v>25</v>
      </c>
      <c r="AI575" s="14" t="s">
        <v>456</v>
      </c>
      <c r="AS575" s="47">
        <f>SUM(AJ576:AJ582)</f>
        <v>0</v>
      </c>
      <c r="AT575" s="47">
        <f>SUM(AK576:AK582)</f>
        <v>0</v>
      </c>
      <c r="AU575" s="47">
        <f>SUM(AL576:AL582)</f>
        <v>0</v>
      </c>
    </row>
    <row r="576" spans="1:76" x14ac:dyDescent="0.25">
      <c r="A576" s="1" t="s">
        <v>1123</v>
      </c>
      <c r="B576" s="2" t="s">
        <v>456</v>
      </c>
      <c r="C576" s="2" t="s">
        <v>342</v>
      </c>
      <c r="D576" s="83" t="s">
        <v>343</v>
      </c>
      <c r="E576" s="84"/>
      <c r="F576" s="2" t="s">
        <v>40</v>
      </c>
      <c r="G576" s="17">
        <f>'Rozpočet - vybrané sloupce'!J491</f>
        <v>12</v>
      </c>
      <c r="H576" s="17">
        <f>'Rozpočet - vybrané sloupce'!K491</f>
        <v>0</v>
      </c>
      <c r="I576" s="74">
        <v>12</v>
      </c>
      <c r="J576" s="17">
        <f t="shared" ref="J576:J582" si="606">ROUND(G576*AO576,2)</f>
        <v>0</v>
      </c>
      <c r="K576" s="17">
        <f t="shared" ref="K576:K582" si="607">ROUND(G576*AP576,2)</f>
        <v>0</v>
      </c>
      <c r="L576" s="17">
        <f t="shared" ref="L576:L582" si="608">ROUND(G576*H576,2)</f>
        <v>0</v>
      </c>
      <c r="M576" s="17">
        <f t="shared" ref="M576:M582" si="609">L576*(1+BW576/100)</f>
        <v>0</v>
      </c>
      <c r="N576" s="17">
        <v>0</v>
      </c>
      <c r="O576" s="17">
        <f t="shared" ref="O576:O582" si="610">G576*N576</f>
        <v>0</v>
      </c>
      <c r="P576" s="75" t="s">
        <v>576</v>
      </c>
      <c r="Z576" s="17">
        <f t="shared" ref="Z576:Z582" si="611">ROUND(IF(AQ576="5",BJ576,0),2)</f>
        <v>0</v>
      </c>
      <c r="AB576" s="17">
        <f t="shared" ref="AB576:AB582" si="612">ROUND(IF(AQ576="1",BH576,0),2)</f>
        <v>0</v>
      </c>
      <c r="AC576" s="17">
        <f t="shared" ref="AC576:AC582" si="613">ROUND(IF(AQ576="1",BI576,0),2)</f>
        <v>0</v>
      </c>
      <c r="AD576" s="17">
        <f t="shared" ref="AD576:AD582" si="614">ROUND(IF(AQ576="7",BH576,0),2)</f>
        <v>0</v>
      </c>
      <c r="AE576" s="17">
        <f t="shared" ref="AE576:AE582" si="615">ROUND(IF(AQ576="7",BI576,0),2)</f>
        <v>0</v>
      </c>
      <c r="AF576" s="17">
        <f t="shared" ref="AF576:AF582" si="616">ROUND(IF(AQ576="2",BH576,0),2)</f>
        <v>0</v>
      </c>
      <c r="AG576" s="17">
        <f t="shared" ref="AG576:AG582" si="617">ROUND(IF(AQ576="2",BI576,0),2)</f>
        <v>0</v>
      </c>
      <c r="AH576" s="17">
        <f t="shared" ref="AH576:AH582" si="618">ROUND(IF(AQ576="0",BJ576,0),2)</f>
        <v>0</v>
      </c>
      <c r="AI576" s="14" t="s">
        <v>456</v>
      </c>
      <c r="AJ576" s="17">
        <f t="shared" ref="AJ576:AJ582" si="619">IF(AN576=0,L576,0)</f>
        <v>0</v>
      </c>
      <c r="AK576" s="17">
        <f t="shared" ref="AK576:AK582" si="620">IF(AN576=12,L576,0)</f>
        <v>0</v>
      </c>
      <c r="AL576" s="17">
        <f t="shared" ref="AL576:AL582" si="621">IF(AN576=21,L576,0)</f>
        <v>0</v>
      </c>
      <c r="AN576" s="17">
        <v>12</v>
      </c>
      <c r="AO576" s="17">
        <f>H576*0</f>
        <v>0</v>
      </c>
      <c r="AP576" s="17">
        <f>H576*(1-0)</f>
        <v>0</v>
      </c>
      <c r="AQ576" s="76" t="s">
        <v>575</v>
      </c>
      <c r="AV576" s="17">
        <f t="shared" ref="AV576:AV582" si="622">ROUND(AW576+AX576,2)</f>
        <v>0</v>
      </c>
      <c r="AW576" s="17">
        <f t="shared" ref="AW576:AW582" si="623">ROUND(G576*AO576,2)</f>
        <v>0</v>
      </c>
      <c r="AX576" s="17">
        <f t="shared" ref="AX576:AX582" si="624">ROUND(G576*AP576,2)</f>
        <v>0</v>
      </c>
      <c r="AY576" s="76" t="s">
        <v>1040</v>
      </c>
      <c r="AZ576" s="76" t="s">
        <v>1124</v>
      </c>
      <c r="BA576" s="14" t="s">
        <v>1125</v>
      </c>
      <c r="BC576" s="17">
        <f t="shared" ref="BC576:BC582" si="625">AW576+AX576</f>
        <v>0</v>
      </c>
      <c r="BD576" s="17">
        <f t="shared" ref="BD576:BD582" si="626">H576/(100-BE576)*100</f>
        <v>0</v>
      </c>
      <c r="BE576" s="17">
        <v>0</v>
      </c>
      <c r="BF576" s="17">
        <f t="shared" ref="BF576:BF582" si="627">O576</f>
        <v>0</v>
      </c>
      <c r="BH576" s="17">
        <f t="shared" ref="BH576:BH582" si="628">G576*AO576</f>
        <v>0</v>
      </c>
      <c r="BI576" s="17">
        <f t="shared" ref="BI576:BI582" si="629">G576*AP576</f>
        <v>0</v>
      </c>
      <c r="BJ576" s="17">
        <f t="shared" ref="BJ576:BJ582" si="630">G576*H576</f>
        <v>0</v>
      </c>
      <c r="BK576" s="17"/>
      <c r="BL576" s="17">
        <v>34</v>
      </c>
      <c r="BW576" s="17">
        <f t="shared" ref="BW576:BW582" si="631">I576</f>
        <v>12</v>
      </c>
      <c r="BX576" s="4" t="s">
        <v>343</v>
      </c>
    </row>
    <row r="577" spans="1:76" x14ac:dyDescent="0.25">
      <c r="A577" s="1" t="s">
        <v>1126</v>
      </c>
      <c r="B577" s="2" t="s">
        <v>456</v>
      </c>
      <c r="C577" s="2" t="s">
        <v>344</v>
      </c>
      <c r="D577" s="83" t="s">
        <v>345</v>
      </c>
      <c r="E577" s="84"/>
      <c r="F577" s="2" t="s">
        <v>40</v>
      </c>
      <c r="G577" s="17">
        <f>'Rozpočet - vybrané sloupce'!J492</f>
        <v>12</v>
      </c>
      <c r="H577" s="17">
        <f>'Rozpočet - vybrané sloupce'!K492</f>
        <v>0</v>
      </c>
      <c r="I577" s="74">
        <v>12</v>
      </c>
      <c r="J577" s="17">
        <f t="shared" si="606"/>
        <v>0</v>
      </c>
      <c r="K577" s="17">
        <f t="shared" si="607"/>
        <v>0</v>
      </c>
      <c r="L577" s="17">
        <f t="shared" si="608"/>
        <v>0</v>
      </c>
      <c r="M577" s="17">
        <f t="shared" si="609"/>
        <v>0</v>
      </c>
      <c r="N577" s="17">
        <v>0</v>
      </c>
      <c r="O577" s="17">
        <f t="shared" si="610"/>
        <v>0</v>
      </c>
      <c r="P577" s="75" t="s">
        <v>576</v>
      </c>
      <c r="Z577" s="17">
        <f t="shared" si="611"/>
        <v>0</v>
      </c>
      <c r="AB577" s="17">
        <f t="shared" si="612"/>
        <v>0</v>
      </c>
      <c r="AC577" s="17">
        <f t="shared" si="613"/>
        <v>0</v>
      </c>
      <c r="AD577" s="17">
        <f t="shared" si="614"/>
        <v>0</v>
      </c>
      <c r="AE577" s="17">
        <f t="shared" si="615"/>
        <v>0</v>
      </c>
      <c r="AF577" s="17">
        <f t="shared" si="616"/>
        <v>0</v>
      </c>
      <c r="AG577" s="17">
        <f t="shared" si="617"/>
        <v>0</v>
      </c>
      <c r="AH577" s="17">
        <f t="shared" si="618"/>
        <v>0</v>
      </c>
      <c r="AI577" s="14" t="s">
        <v>456</v>
      </c>
      <c r="AJ577" s="17">
        <f t="shared" si="619"/>
        <v>0</v>
      </c>
      <c r="AK577" s="17">
        <f t="shared" si="620"/>
        <v>0</v>
      </c>
      <c r="AL577" s="17">
        <f t="shared" si="621"/>
        <v>0</v>
      </c>
      <c r="AN577" s="17">
        <v>12</v>
      </c>
      <c r="AO577" s="17">
        <f>H577*0</f>
        <v>0</v>
      </c>
      <c r="AP577" s="17">
        <f>H577*(1-0)</f>
        <v>0</v>
      </c>
      <c r="AQ577" s="76" t="s">
        <v>575</v>
      </c>
      <c r="AV577" s="17">
        <f t="shared" si="622"/>
        <v>0</v>
      </c>
      <c r="AW577" s="17">
        <f t="shared" si="623"/>
        <v>0</v>
      </c>
      <c r="AX577" s="17">
        <f t="shared" si="624"/>
        <v>0</v>
      </c>
      <c r="AY577" s="76" t="s">
        <v>1040</v>
      </c>
      <c r="AZ577" s="76" t="s">
        <v>1124</v>
      </c>
      <c r="BA577" s="14" t="s">
        <v>1125</v>
      </c>
      <c r="BC577" s="17">
        <f t="shared" si="625"/>
        <v>0</v>
      </c>
      <c r="BD577" s="17">
        <f t="shared" si="626"/>
        <v>0</v>
      </c>
      <c r="BE577" s="17">
        <v>0</v>
      </c>
      <c r="BF577" s="17">
        <f t="shared" si="627"/>
        <v>0</v>
      </c>
      <c r="BH577" s="17">
        <f t="shared" si="628"/>
        <v>0</v>
      </c>
      <c r="BI577" s="17">
        <f t="shared" si="629"/>
        <v>0</v>
      </c>
      <c r="BJ577" s="17">
        <f t="shared" si="630"/>
        <v>0</v>
      </c>
      <c r="BK577" s="17"/>
      <c r="BL577" s="17">
        <v>34</v>
      </c>
      <c r="BW577" s="17">
        <f t="shared" si="631"/>
        <v>12</v>
      </c>
      <c r="BX577" s="4" t="s">
        <v>345</v>
      </c>
    </row>
    <row r="578" spans="1:76" x14ac:dyDescent="0.25">
      <c r="A578" s="1" t="s">
        <v>1127</v>
      </c>
      <c r="B578" s="2" t="s">
        <v>456</v>
      </c>
      <c r="C578" s="2" t="s">
        <v>346</v>
      </c>
      <c r="D578" s="83" t="s">
        <v>347</v>
      </c>
      <c r="E578" s="84"/>
      <c r="F578" s="2" t="s">
        <v>35</v>
      </c>
      <c r="G578" s="17">
        <f>'Rozpočet - vybrané sloupce'!J493</f>
        <v>12</v>
      </c>
      <c r="H578" s="17">
        <f>'Rozpočet - vybrané sloupce'!K493</f>
        <v>0</v>
      </c>
      <c r="I578" s="74">
        <v>12</v>
      </c>
      <c r="J578" s="17">
        <f t="shared" si="606"/>
        <v>0</v>
      </c>
      <c r="K578" s="17">
        <f t="shared" si="607"/>
        <v>0</v>
      </c>
      <c r="L578" s="17">
        <f t="shared" si="608"/>
        <v>0</v>
      </c>
      <c r="M578" s="17">
        <f t="shared" si="609"/>
        <v>0</v>
      </c>
      <c r="N578" s="17">
        <v>0</v>
      </c>
      <c r="O578" s="17">
        <f t="shared" si="610"/>
        <v>0</v>
      </c>
      <c r="P578" s="75" t="s">
        <v>576</v>
      </c>
      <c r="Z578" s="17">
        <f t="shared" si="611"/>
        <v>0</v>
      </c>
      <c r="AB578" s="17">
        <f t="shared" si="612"/>
        <v>0</v>
      </c>
      <c r="AC578" s="17">
        <f t="shared" si="613"/>
        <v>0</v>
      </c>
      <c r="AD578" s="17">
        <f t="shared" si="614"/>
        <v>0</v>
      </c>
      <c r="AE578" s="17">
        <f t="shared" si="615"/>
        <v>0</v>
      </c>
      <c r="AF578" s="17">
        <f t="shared" si="616"/>
        <v>0</v>
      </c>
      <c r="AG578" s="17">
        <f t="shared" si="617"/>
        <v>0</v>
      </c>
      <c r="AH578" s="17">
        <f t="shared" si="618"/>
        <v>0</v>
      </c>
      <c r="AI578" s="14" t="s">
        <v>456</v>
      </c>
      <c r="AJ578" s="17">
        <f t="shared" si="619"/>
        <v>0</v>
      </c>
      <c r="AK578" s="17">
        <f t="shared" si="620"/>
        <v>0</v>
      </c>
      <c r="AL578" s="17">
        <f t="shared" si="621"/>
        <v>0</v>
      </c>
      <c r="AN578" s="17">
        <v>12</v>
      </c>
      <c r="AO578" s="17">
        <f>H578*1</f>
        <v>0</v>
      </c>
      <c r="AP578" s="17">
        <f>H578*(1-1)</f>
        <v>0</v>
      </c>
      <c r="AQ578" s="76" t="s">
        <v>575</v>
      </c>
      <c r="AV578" s="17">
        <f t="shared" si="622"/>
        <v>0</v>
      </c>
      <c r="AW578" s="17">
        <f t="shared" si="623"/>
        <v>0</v>
      </c>
      <c r="AX578" s="17">
        <f t="shared" si="624"/>
        <v>0</v>
      </c>
      <c r="AY578" s="76" t="s">
        <v>1040</v>
      </c>
      <c r="AZ578" s="76" t="s">
        <v>1124</v>
      </c>
      <c r="BA578" s="14" t="s">
        <v>1125</v>
      </c>
      <c r="BC578" s="17">
        <f t="shared" si="625"/>
        <v>0</v>
      </c>
      <c r="BD578" s="17">
        <f t="shared" si="626"/>
        <v>0</v>
      </c>
      <c r="BE578" s="17">
        <v>0</v>
      </c>
      <c r="BF578" s="17">
        <f t="shared" si="627"/>
        <v>0</v>
      </c>
      <c r="BH578" s="17">
        <f t="shared" si="628"/>
        <v>0</v>
      </c>
      <c r="BI578" s="17">
        <f t="shared" si="629"/>
        <v>0</v>
      </c>
      <c r="BJ578" s="17">
        <f t="shared" si="630"/>
        <v>0</v>
      </c>
      <c r="BK578" s="17"/>
      <c r="BL578" s="17">
        <v>34</v>
      </c>
      <c r="BW578" s="17">
        <f t="shared" si="631"/>
        <v>12</v>
      </c>
      <c r="BX578" s="4" t="s">
        <v>347</v>
      </c>
    </row>
    <row r="579" spans="1:76" x14ac:dyDescent="0.25">
      <c r="A579" s="1" t="s">
        <v>1128</v>
      </c>
      <c r="B579" s="2" t="s">
        <v>456</v>
      </c>
      <c r="C579" s="2" t="s">
        <v>348</v>
      </c>
      <c r="D579" s="83" t="s">
        <v>349</v>
      </c>
      <c r="E579" s="84"/>
      <c r="F579" s="2" t="s">
        <v>35</v>
      </c>
      <c r="G579" s="17">
        <f>'Rozpočet - vybrané sloupce'!J494</f>
        <v>12</v>
      </c>
      <c r="H579" s="17">
        <f>'Rozpočet - vybrané sloupce'!K494</f>
        <v>0</v>
      </c>
      <c r="I579" s="74">
        <v>12</v>
      </c>
      <c r="J579" s="17">
        <f t="shared" si="606"/>
        <v>0</v>
      </c>
      <c r="K579" s="17">
        <f t="shared" si="607"/>
        <v>0</v>
      </c>
      <c r="L579" s="17">
        <f t="shared" si="608"/>
        <v>0</v>
      </c>
      <c r="M579" s="17">
        <f t="shared" si="609"/>
        <v>0</v>
      </c>
      <c r="N579" s="17">
        <v>2.4000000000000001E-4</v>
      </c>
      <c r="O579" s="17">
        <f t="shared" si="610"/>
        <v>2.8800000000000002E-3</v>
      </c>
      <c r="P579" s="75" t="s">
        <v>576</v>
      </c>
      <c r="Z579" s="17">
        <f t="shared" si="611"/>
        <v>0</v>
      </c>
      <c r="AB579" s="17">
        <f t="shared" si="612"/>
        <v>0</v>
      </c>
      <c r="AC579" s="17">
        <f t="shared" si="613"/>
        <v>0</v>
      </c>
      <c r="AD579" s="17">
        <f t="shared" si="614"/>
        <v>0</v>
      </c>
      <c r="AE579" s="17">
        <f t="shared" si="615"/>
        <v>0</v>
      </c>
      <c r="AF579" s="17">
        <f t="shared" si="616"/>
        <v>0</v>
      </c>
      <c r="AG579" s="17">
        <f t="shared" si="617"/>
        <v>0</v>
      </c>
      <c r="AH579" s="17">
        <f t="shared" si="618"/>
        <v>0</v>
      </c>
      <c r="AI579" s="14" t="s">
        <v>456</v>
      </c>
      <c r="AJ579" s="17">
        <f t="shared" si="619"/>
        <v>0</v>
      </c>
      <c r="AK579" s="17">
        <f t="shared" si="620"/>
        <v>0</v>
      </c>
      <c r="AL579" s="17">
        <f t="shared" si="621"/>
        <v>0</v>
      </c>
      <c r="AN579" s="17">
        <v>12</v>
      </c>
      <c r="AO579" s="17">
        <f>H579*0.02254062</f>
        <v>0</v>
      </c>
      <c r="AP579" s="17">
        <f>H579*(1-0.02254062)</f>
        <v>0</v>
      </c>
      <c r="AQ579" s="76" t="s">
        <v>575</v>
      </c>
      <c r="AV579" s="17">
        <f t="shared" si="622"/>
        <v>0</v>
      </c>
      <c r="AW579" s="17">
        <f t="shared" si="623"/>
        <v>0</v>
      </c>
      <c r="AX579" s="17">
        <f t="shared" si="624"/>
        <v>0</v>
      </c>
      <c r="AY579" s="76" t="s">
        <v>1040</v>
      </c>
      <c r="AZ579" s="76" t="s">
        <v>1124</v>
      </c>
      <c r="BA579" s="14" t="s">
        <v>1125</v>
      </c>
      <c r="BC579" s="17">
        <f t="shared" si="625"/>
        <v>0</v>
      </c>
      <c r="BD579" s="17">
        <f t="shared" si="626"/>
        <v>0</v>
      </c>
      <c r="BE579" s="17">
        <v>0</v>
      </c>
      <c r="BF579" s="17">
        <f t="shared" si="627"/>
        <v>2.8800000000000002E-3</v>
      </c>
      <c r="BH579" s="17">
        <f t="shared" si="628"/>
        <v>0</v>
      </c>
      <c r="BI579" s="17">
        <f t="shared" si="629"/>
        <v>0</v>
      </c>
      <c r="BJ579" s="17">
        <f t="shared" si="630"/>
        <v>0</v>
      </c>
      <c r="BK579" s="17"/>
      <c r="BL579" s="17">
        <v>34</v>
      </c>
      <c r="BW579" s="17">
        <f t="shared" si="631"/>
        <v>12</v>
      </c>
      <c r="BX579" s="4" t="s">
        <v>349</v>
      </c>
    </row>
    <row r="580" spans="1:76" x14ac:dyDescent="0.25">
      <c r="A580" s="1" t="s">
        <v>1129</v>
      </c>
      <c r="B580" s="2" t="s">
        <v>456</v>
      </c>
      <c r="C580" s="2" t="s">
        <v>350</v>
      </c>
      <c r="D580" s="83" t="s">
        <v>351</v>
      </c>
      <c r="E580" s="84"/>
      <c r="F580" s="2" t="s">
        <v>35</v>
      </c>
      <c r="G580" s="17">
        <f>'Rozpočet - vybrané sloupce'!J495</f>
        <v>12</v>
      </c>
      <c r="H580" s="17">
        <f>'Rozpočet - vybrané sloupce'!K495</f>
        <v>0</v>
      </c>
      <c r="I580" s="74">
        <v>12</v>
      </c>
      <c r="J580" s="17">
        <f t="shared" si="606"/>
        <v>0</v>
      </c>
      <c r="K580" s="17">
        <f t="shared" si="607"/>
        <v>0</v>
      </c>
      <c r="L580" s="17">
        <f t="shared" si="608"/>
        <v>0</v>
      </c>
      <c r="M580" s="17">
        <f t="shared" si="609"/>
        <v>0</v>
      </c>
      <c r="N580" s="17">
        <v>0</v>
      </c>
      <c r="O580" s="17">
        <f t="shared" si="610"/>
        <v>0</v>
      </c>
      <c r="P580" s="75" t="s">
        <v>576</v>
      </c>
      <c r="Z580" s="17">
        <f t="shared" si="611"/>
        <v>0</v>
      </c>
      <c r="AB580" s="17">
        <f t="shared" si="612"/>
        <v>0</v>
      </c>
      <c r="AC580" s="17">
        <f t="shared" si="613"/>
        <v>0</v>
      </c>
      <c r="AD580" s="17">
        <f t="shared" si="614"/>
        <v>0</v>
      </c>
      <c r="AE580" s="17">
        <f t="shared" si="615"/>
        <v>0</v>
      </c>
      <c r="AF580" s="17">
        <f t="shared" si="616"/>
        <v>0</v>
      </c>
      <c r="AG580" s="17">
        <f t="shared" si="617"/>
        <v>0</v>
      </c>
      <c r="AH580" s="17">
        <f t="shared" si="618"/>
        <v>0</v>
      </c>
      <c r="AI580" s="14" t="s">
        <v>456</v>
      </c>
      <c r="AJ580" s="17">
        <f t="shared" si="619"/>
        <v>0</v>
      </c>
      <c r="AK580" s="17">
        <f t="shared" si="620"/>
        <v>0</v>
      </c>
      <c r="AL580" s="17">
        <f t="shared" si="621"/>
        <v>0</v>
      </c>
      <c r="AN580" s="17">
        <v>12</v>
      </c>
      <c r="AO580" s="17">
        <f>H580*1</f>
        <v>0</v>
      </c>
      <c r="AP580" s="17">
        <f>H580*(1-1)</f>
        <v>0</v>
      </c>
      <c r="AQ580" s="76" t="s">
        <v>575</v>
      </c>
      <c r="AV580" s="17">
        <f t="shared" si="622"/>
        <v>0</v>
      </c>
      <c r="AW580" s="17">
        <f t="shared" si="623"/>
        <v>0</v>
      </c>
      <c r="AX580" s="17">
        <f t="shared" si="624"/>
        <v>0</v>
      </c>
      <c r="AY580" s="76" t="s">
        <v>1040</v>
      </c>
      <c r="AZ580" s="76" t="s">
        <v>1124</v>
      </c>
      <c r="BA580" s="14" t="s">
        <v>1125</v>
      </c>
      <c r="BC580" s="17">
        <f t="shared" si="625"/>
        <v>0</v>
      </c>
      <c r="BD580" s="17">
        <f t="shared" si="626"/>
        <v>0</v>
      </c>
      <c r="BE580" s="17">
        <v>0</v>
      </c>
      <c r="BF580" s="17">
        <f t="shared" si="627"/>
        <v>0</v>
      </c>
      <c r="BH580" s="17">
        <f t="shared" si="628"/>
        <v>0</v>
      </c>
      <c r="BI580" s="17">
        <f t="shared" si="629"/>
        <v>0</v>
      </c>
      <c r="BJ580" s="17">
        <f t="shared" si="630"/>
        <v>0</v>
      </c>
      <c r="BK580" s="17"/>
      <c r="BL580" s="17">
        <v>34</v>
      </c>
      <c r="BW580" s="17">
        <f t="shared" si="631"/>
        <v>12</v>
      </c>
      <c r="BX580" s="4" t="s">
        <v>351</v>
      </c>
    </row>
    <row r="581" spans="1:76" x14ac:dyDescent="0.25">
      <c r="A581" s="1" t="s">
        <v>1130</v>
      </c>
      <c r="B581" s="2" t="s">
        <v>456</v>
      </c>
      <c r="C581" s="2" t="s">
        <v>352</v>
      </c>
      <c r="D581" s="83" t="s">
        <v>353</v>
      </c>
      <c r="E581" s="84"/>
      <c r="F581" s="2" t="s">
        <v>354</v>
      </c>
      <c r="G581" s="17">
        <f>'Rozpočet - vybrané sloupce'!J496</f>
        <v>1.2</v>
      </c>
      <c r="H581" s="17">
        <f>'Rozpočet - vybrané sloupce'!K496</f>
        <v>0</v>
      </c>
      <c r="I581" s="74">
        <v>12</v>
      </c>
      <c r="J581" s="17">
        <f t="shared" si="606"/>
        <v>0</v>
      </c>
      <c r="K581" s="17">
        <f t="shared" si="607"/>
        <v>0</v>
      </c>
      <c r="L581" s="17">
        <f t="shared" si="608"/>
        <v>0</v>
      </c>
      <c r="M581" s="17">
        <f t="shared" si="609"/>
        <v>0</v>
      </c>
      <c r="N581" s="17">
        <v>0.25897999999999999</v>
      </c>
      <c r="O581" s="17">
        <f t="shared" si="610"/>
        <v>0.310776</v>
      </c>
      <c r="P581" s="75" t="s">
        <v>576</v>
      </c>
      <c r="Z581" s="17">
        <f t="shared" si="611"/>
        <v>0</v>
      </c>
      <c r="AB581" s="17">
        <f t="shared" si="612"/>
        <v>0</v>
      </c>
      <c r="AC581" s="17">
        <f t="shared" si="613"/>
        <v>0</v>
      </c>
      <c r="AD581" s="17">
        <f t="shared" si="614"/>
        <v>0</v>
      </c>
      <c r="AE581" s="17">
        <f t="shared" si="615"/>
        <v>0</v>
      </c>
      <c r="AF581" s="17">
        <f t="shared" si="616"/>
        <v>0</v>
      </c>
      <c r="AG581" s="17">
        <f t="shared" si="617"/>
        <v>0</v>
      </c>
      <c r="AH581" s="17">
        <f t="shared" si="618"/>
        <v>0</v>
      </c>
      <c r="AI581" s="14" t="s">
        <v>456</v>
      </c>
      <c r="AJ581" s="17">
        <f t="shared" si="619"/>
        <v>0</v>
      </c>
      <c r="AK581" s="17">
        <f t="shared" si="620"/>
        <v>0</v>
      </c>
      <c r="AL581" s="17">
        <f t="shared" si="621"/>
        <v>0</v>
      </c>
      <c r="AN581" s="17">
        <v>12</v>
      </c>
      <c r="AO581" s="17">
        <f>H581*0.488592777</f>
        <v>0</v>
      </c>
      <c r="AP581" s="17">
        <f>H581*(1-0.488592777)</f>
        <v>0</v>
      </c>
      <c r="AQ581" s="76" t="s">
        <v>575</v>
      </c>
      <c r="AV581" s="17">
        <f t="shared" si="622"/>
        <v>0</v>
      </c>
      <c r="AW581" s="17">
        <f t="shared" si="623"/>
        <v>0</v>
      </c>
      <c r="AX581" s="17">
        <f t="shared" si="624"/>
        <v>0</v>
      </c>
      <c r="AY581" s="76" t="s">
        <v>1040</v>
      </c>
      <c r="AZ581" s="76" t="s">
        <v>1124</v>
      </c>
      <c r="BA581" s="14" t="s">
        <v>1125</v>
      </c>
      <c r="BC581" s="17">
        <f t="shared" si="625"/>
        <v>0</v>
      </c>
      <c r="BD581" s="17">
        <f t="shared" si="626"/>
        <v>0</v>
      </c>
      <c r="BE581" s="17">
        <v>0</v>
      </c>
      <c r="BF581" s="17">
        <f t="shared" si="627"/>
        <v>0.310776</v>
      </c>
      <c r="BH581" s="17">
        <f t="shared" si="628"/>
        <v>0</v>
      </c>
      <c r="BI581" s="17">
        <f t="shared" si="629"/>
        <v>0</v>
      </c>
      <c r="BJ581" s="17">
        <f t="shared" si="630"/>
        <v>0</v>
      </c>
      <c r="BK581" s="17"/>
      <c r="BL581" s="17">
        <v>34</v>
      </c>
      <c r="BW581" s="17">
        <f t="shared" si="631"/>
        <v>12</v>
      </c>
      <c r="BX581" s="4" t="s">
        <v>353</v>
      </c>
    </row>
    <row r="582" spans="1:76" x14ac:dyDescent="0.25">
      <c r="A582" s="1" t="s">
        <v>1131</v>
      </c>
      <c r="B582" s="2" t="s">
        <v>456</v>
      </c>
      <c r="C582" s="2" t="s">
        <v>355</v>
      </c>
      <c r="D582" s="83" t="s">
        <v>356</v>
      </c>
      <c r="E582" s="84"/>
      <c r="F582" s="2" t="s">
        <v>88</v>
      </c>
      <c r="G582" s="17">
        <f>'Rozpočet - vybrané sloupce'!J497</f>
        <v>0.6</v>
      </c>
      <c r="H582" s="17">
        <f>'Rozpočet - vybrané sloupce'!K497</f>
        <v>0</v>
      </c>
      <c r="I582" s="74">
        <v>12</v>
      </c>
      <c r="J582" s="17">
        <f t="shared" si="606"/>
        <v>0</v>
      </c>
      <c r="K582" s="17">
        <f t="shared" si="607"/>
        <v>0</v>
      </c>
      <c r="L582" s="17">
        <f t="shared" si="608"/>
        <v>0</v>
      </c>
      <c r="M582" s="17">
        <f t="shared" si="609"/>
        <v>0</v>
      </c>
      <c r="N582" s="17">
        <v>0</v>
      </c>
      <c r="O582" s="17">
        <f t="shared" si="610"/>
        <v>0</v>
      </c>
      <c r="P582" s="75" t="s">
        <v>576</v>
      </c>
      <c r="Z582" s="17">
        <f t="shared" si="611"/>
        <v>0</v>
      </c>
      <c r="AB582" s="17">
        <f t="shared" si="612"/>
        <v>0</v>
      </c>
      <c r="AC582" s="17">
        <f t="shared" si="613"/>
        <v>0</v>
      </c>
      <c r="AD582" s="17">
        <f t="shared" si="614"/>
        <v>0</v>
      </c>
      <c r="AE582" s="17">
        <f t="shared" si="615"/>
        <v>0</v>
      </c>
      <c r="AF582" s="17">
        <f t="shared" si="616"/>
        <v>0</v>
      </c>
      <c r="AG582" s="17">
        <f t="shared" si="617"/>
        <v>0</v>
      </c>
      <c r="AH582" s="17">
        <f t="shared" si="618"/>
        <v>0</v>
      </c>
      <c r="AI582" s="14" t="s">
        <v>456</v>
      </c>
      <c r="AJ582" s="17">
        <f t="shared" si="619"/>
        <v>0</v>
      </c>
      <c r="AK582" s="17">
        <f t="shared" si="620"/>
        <v>0</v>
      </c>
      <c r="AL582" s="17">
        <f t="shared" si="621"/>
        <v>0</v>
      </c>
      <c r="AN582" s="17">
        <v>12</v>
      </c>
      <c r="AO582" s="17">
        <f>H582*0</f>
        <v>0</v>
      </c>
      <c r="AP582" s="17">
        <f>H582*(1-0)</f>
        <v>0</v>
      </c>
      <c r="AQ582" s="76" t="s">
        <v>585</v>
      </c>
      <c r="AV582" s="17">
        <f t="shared" si="622"/>
        <v>0</v>
      </c>
      <c r="AW582" s="17">
        <f t="shared" si="623"/>
        <v>0</v>
      </c>
      <c r="AX582" s="17">
        <f t="shared" si="624"/>
        <v>0</v>
      </c>
      <c r="AY582" s="76" t="s">
        <v>1040</v>
      </c>
      <c r="AZ582" s="76" t="s">
        <v>1124</v>
      </c>
      <c r="BA582" s="14" t="s">
        <v>1125</v>
      </c>
      <c r="BC582" s="17">
        <f t="shared" si="625"/>
        <v>0</v>
      </c>
      <c r="BD582" s="17">
        <f t="shared" si="626"/>
        <v>0</v>
      </c>
      <c r="BE582" s="17">
        <v>0</v>
      </c>
      <c r="BF582" s="17">
        <f t="shared" si="627"/>
        <v>0</v>
      </c>
      <c r="BH582" s="17">
        <f t="shared" si="628"/>
        <v>0</v>
      </c>
      <c r="BI582" s="17">
        <f t="shared" si="629"/>
        <v>0</v>
      </c>
      <c r="BJ582" s="17">
        <f t="shared" si="630"/>
        <v>0</v>
      </c>
      <c r="BK582" s="17"/>
      <c r="BL582" s="17">
        <v>34</v>
      </c>
      <c r="BW582" s="17">
        <f t="shared" si="631"/>
        <v>12</v>
      </c>
      <c r="BX582" s="4" t="s">
        <v>356</v>
      </c>
    </row>
    <row r="583" spans="1:76" x14ac:dyDescent="0.25">
      <c r="A583" s="71" t="s">
        <v>25</v>
      </c>
      <c r="B583" s="13" t="s">
        <v>456</v>
      </c>
      <c r="C583" s="13" t="s">
        <v>357</v>
      </c>
      <c r="D583" s="135" t="s">
        <v>358</v>
      </c>
      <c r="E583" s="136"/>
      <c r="F583" s="72" t="s">
        <v>23</v>
      </c>
      <c r="G583" s="72" t="s">
        <v>23</v>
      </c>
      <c r="H583" s="72" t="s">
        <v>23</v>
      </c>
      <c r="I583" s="72" t="s">
        <v>23</v>
      </c>
      <c r="J583" s="47">
        <f>SUM(J584:J586)</f>
        <v>0</v>
      </c>
      <c r="K583" s="47">
        <f>SUM(K584:K586)</f>
        <v>0</v>
      </c>
      <c r="L583" s="47">
        <f>SUM(L584:L586)</f>
        <v>0</v>
      </c>
      <c r="M583" s="47">
        <f>SUM(M584:M586)</f>
        <v>0</v>
      </c>
      <c r="N583" s="14" t="s">
        <v>25</v>
      </c>
      <c r="O583" s="47">
        <f>SUM(O584:O586)</f>
        <v>1.04016</v>
      </c>
      <c r="P583" s="73" t="s">
        <v>25</v>
      </c>
      <c r="AI583" s="14" t="s">
        <v>456</v>
      </c>
      <c r="AS583" s="47">
        <f>SUM(AJ584:AJ586)</f>
        <v>0</v>
      </c>
      <c r="AT583" s="47">
        <f>SUM(AK584:AK586)</f>
        <v>0</v>
      </c>
      <c r="AU583" s="47">
        <f>SUM(AL584:AL586)</f>
        <v>0</v>
      </c>
    </row>
    <row r="584" spans="1:76" x14ac:dyDescent="0.25">
      <c r="A584" s="1" t="s">
        <v>1132</v>
      </c>
      <c r="B584" s="2" t="s">
        <v>456</v>
      </c>
      <c r="C584" s="2" t="s">
        <v>359</v>
      </c>
      <c r="D584" s="83" t="s">
        <v>360</v>
      </c>
      <c r="E584" s="84"/>
      <c r="F584" s="2" t="s">
        <v>35</v>
      </c>
      <c r="G584" s="17">
        <f>'Rozpočet - vybrané sloupce'!J499</f>
        <v>16</v>
      </c>
      <c r="H584" s="17">
        <f>'Rozpočet - vybrané sloupce'!K499</f>
        <v>0</v>
      </c>
      <c r="I584" s="74">
        <v>12</v>
      </c>
      <c r="J584" s="17">
        <f>ROUND(G584*AO584,2)</f>
        <v>0</v>
      </c>
      <c r="K584" s="17">
        <f>ROUND(G584*AP584,2)</f>
        <v>0</v>
      </c>
      <c r="L584" s="17">
        <f>ROUND(G584*H584,2)</f>
        <v>0</v>
      </c>
      <c r="M584" s="17">
        <f>L584*(1+BW584/100)</f>
        <v>0</v>
      </c>
      <c r="N584" s="17">
        <v>1.298E-2</v>
      </c>
      <c r="O584" s="17">
        <f>G584*N584</f>
        <v>0.20768</v>
      </c>
      <c r="P584" s="75" t="s">
        <v>576</v>
      </c>
      <c r="Z584" s="17">
        <f>ROUND(IF(AQ584="5",BJ584,0),2)</f>
        <v>0</v>
      </c>
      <c r="AB584" s="17">
        <f>ROUND(IF(AQ584="1",BH584,0),2)</f>
        <v>0</v>
      </c>
      <c r="AC584" s="17">
        <f>ROUND(IF(AQ584="1",BI584,0),2)</f>
        <v>0</v>
      </c>
      <c r="AD584" s="17">
        <f>ROUND(IF(AQ584="7",BH584,0),2)</f>
        <v>0</v>
      </c>
      <c r="AE584" s="17">
        <f>ROUND(IF(AQ584="7",BI584,0),2)</f>
        <v>0</v>
      </c>
      <c r="AF584" s="17">
        <f>ROUND(IF(AQ584="2",BH584,0),2)</f>
        <v>0</v>
      </c>
      <c r="AG584" s="17">
        <f>ROUND(IF(AQ584="2",BI584,0),2)</f>
        <v>0</v>
      </c>
      <c r="AH584" s="17">
        <f>ROUND(IF(AQ584="0",BJ584,0),2)</f>
        <v>0</v>
      </c>
      <c r="AI584" s="14" t="s">
        <v>456</v>
      </c>
      <c r="AJ584" s="17">
        <f>IF(AN584=0,L584,0)</f>
        <v>0</v>
      </c>
      <c r="AK584" s="17">
        <f>IF(AN584=12,L584,0)</f>
        <v>0</v>
      </c>
      <c r="AL584" s="17">
        <f>IF(AN584=21,L584,0)</f>
        <v>0</v>
      </c>
      <c r="AN584" s="17">
        <v>12</v>
      </c>
      <c r="AO584" s="17">
        <f>H584*0.310217028</f>
        <v>0</v>
      </c>
      <c r="AP584" s="17">
        <f>H584*(1-0.310217028)</f>
        <v>0</v>
      </c>
      <c r="AQ584" s="76" t="s">
        <v>575</v>
      </c>
      <c r="AV584" s="17">
        <f>ROUND(AW584+AX584,2)</f>
        <v>0</v>
      </c>
      <c r="AW584" s="17">
        <f>ROUND(G584*AO584,2)</f>
        <v>0</v>
      </c>
      <c r="AX584" s="17">
        <f>ROUND(G584*AP584,2)</f>
        <v>0</v>
      </c>
      <c r="AY584" s="76" t="s">
        <v>1052</v>
      </c>
      <c r="AZ584" s="76" t="s">
        <v>1133</v>
      </c>
      <c r="BA584" s="14" t="s">
        <v>1125</v>
      </c>
      <c r="BC584" s="17">
        <f>AW584+AX584</f>
        <v>0</v>
      </c>
      <c r="BD584" s="17">
        <f>H584/(100-BE584)*100</f>
        <v>0</v>
      </c>
      <c r="BE584" s="17">
        <v>0</v>
      </c>
      <c r="BF584" s="17">
        <f>O584</f>
        <v>0.20768</v>
      </c>
      <c r="BH584" s="17">
        <f>G584*AO584</f>
        <v>0</v>
      </c>
      <c r="BI584" s="17">
        <f>G584*AP584</f>
        <v>0</v>
      </c>
      <c r="BJ584" s="17">
        <f>G584*H584</f>
        <v>0</v>
      </c>
      <c r="BK584" s="17"/>
      <c r="BL584" s="17">
        <v>411</v>
      </c>
      <c r="BW584" s="17">
        <f>I584</f>
        <v>12</v>
      </c>
      <c r="BX584" s="4" t="s">
        <v>360</v>
      </c>
    </row>
    <row r="585" spans="1:76" x14ac:dyDescent="0.25">
      <c r="A585" s="1" t="s">
        <v>1134</v>
      </c>
      <c r="B585" s="2" t="s">
        <v>456</v>
      </c>
      <c r="C585" s="2" t="s">
        <v>361</v>
      </c>
      <c r="D585" s="83" t="s">
        <v>362</v>
      </c>
      <c r="E585" s="84"/>
      <c r="F585" s="2" t="s">
        <v>35</v>
      </c>
      <c r="G585" s="17">
        <f>'Rozpočet - vybrané sloupce'!J500</f>
        <v>16</v>
      </c>
      <c r="H585" s="17">
        <f>'Rozpočet - vybrané sloupce'!K500</f>
        <v>0</v>
      </c>
      <c r="I585" s="74">
        <v>12</v>
      </c>
      <c r="J585" s="17">
        <f>ROUND(G585*AO585,2)</f>
        <v>0</v>
      </c>
      <c r="K585" s="17">
        <f>ROUND(G585*AP585,2)</f>
        <v>0</v>
      </c>
      <c r="L585" s="17">
        <f>ROUND(G585*H585,2)</f>
        <v>0</v>
      </c>
      <c r="M585" s="17">
        <f>L585*(1+BW585/100)</f>
        <v>0</v>
      </c>
      <c r="N585" s="17">
        <v>5.203E-2</v>
      </c>
      <c r="O585" s="17">
        <f>G585*N585</f>
        <v>0.83248</v>
      </c>
      <c r="P585" s="75" t="s">
        <v>576</v>
      </c>
      <c r="Z585" s="17">
        <f>ROUND(IF(AQ585="5",BJ585,0),2)</f>
        <v>0</v>
      </c>
      <c r="AB585" s="17">
        <f>ROUND(IF(AQ585="1",BH585,0),2)</f>
        <v>0</v>
      </c>
      <c r="AC585" s="17">
        <f>ROUND(IF(AQ585="1",BI585,0),2)</f>
        <v>0</v>
      </c>
      <c r="AD585" s="17">
        <f>ROUND(IF(AQ585="7",BH585,0),2)</f>
        <v>0</v>
      </c>
      <c r="AE585" s="17">
        <f>ROUND(IF(AQ585="7",BI585,0),2)</f>
        <v>0</v>
      </c>
      <c r="AF585" s="17">
        <f>ROUND(IF(AQ585="2",BH585,0),2)</f>
        <v>0</v>
      </c>
      <c r="AG585" s="17">
        <f>ROUND(IF(AQ585="2",BI585,0),2)</f>
        <v>0</v>
      </c>
      <c r="AH585" s="17">
        <f>ROUND(IF(AQ585="0",BJ585,0),2)</f>
        <v>0</v>
      </c>
      <c r="AI585" s="14" t="s">
        <v>456</v>
      </c>
      <c r="AJ585" s="17">
        <f>IF(AN585=0,L585,0)</f>
        <v>0</v>
      </c>
      <c r="AK585" s="17">
        <f>IF(AN585=12,L585,0)</f>
        <v>0</v>
      </c>
      <c r="AL585" s="17">
        <f>IF(AN585=21,L585,0)</f>
        <v>0</v>
      </c>
      <c r="AN585" s="17">
        <v>12</v>
      </c>
      <c r="AO585" s="17">
        <f>H585*0.1272</f>
        <v>0</v>
      </c>
      <c r="AP585" s="17">
        <f>H585*(1-0.1272)</f>
        <v>0</v>
      </c>
      <c r="AQ585" s="76" t="s">
        <v>575</v>
      </c>
      <c r="AV585" s="17">
        <f>ROUND(AW585+AX585,2)</f>
        <v>0</v>
      </c>
      <c r="AW585" s="17">
        <f>ROUND(G585*AO585,2)</f>
        <v>0</v>
      </c>
      <c r="AX585" s="17">
        <f>ROUND(G585*AP585,2)</f>
        <v>0</v>
      </c>
      <c r="AY585" s="76" t="s">
        <v>1052</v>
      </c>
      <c r="AZ585" s="76" t="s">
        <v>1133</v>
      </c>
      <c r="BA585" s="14" t="s">
        <v>1125</v>
      </c>
      <c r="BC585" s="17">
        <f>AW585+AX585</f>
        <v>0</v>
      </c>
      <c r="BD585" s="17">
        <f>H585/(100-BE585)*100</f>
        <v>0</v>
      </c>
      <c r="BE585" s="17">
        <v>0</v>
      </c>
      <c r="BF585" s="17">
        <f>O585</f>
        <v>0.83248</v>
      </c>
      <c r="BH585" s="17">
        <f>G585*AO585</f>
        <v>0</v>
      </c>
      <c r="BI585" s="17">
        <f>G585*AP585</f>
        <v>0</v>
      </c>
      <c r="BJ585" s="17">
        <f>G585*H585</f>
        <v>0</v>
      </c>
      <c r="BK585" s="17"/>
      <c r="BL585" s="17">
        <v>411</v>
      </c>
      <c r="BW585" s="17">
        <f>I585</f>
        <v>12</v>
      </c>
      <c r="BX585" s="4" t="s">
        <v>362</v>
      </c>
    </row>
    <row r="586" spans="1:76" x14ac:dyDescent="0.25">
      <c r="A586" s="1" t="s">
        <v>1135</v>
      </c>
      <c r="B586" s="2" t="s">
        <v>456</v>
      </c>
      <c r="C586" s="2" t="s">
        <v>355</v>
      </c>
      <c r="D586" s="83" t="s">
        <v>356</v>
      </c>
      <c r="E586" s="84"/>
      <c r="F586" s="2" t="s">
        <v>88</v>
      </c>
      <c r="G586" s="17">
        <f>'Rozpočet - vybrané sloupce'!J501</f>
        <v>1</v>
      </c>
      <c r="H586" s="17">
        <f>'Rozpočet - vybrané sloupce'!K501</f>
        <v>0</v>
      </c>
      <c r="I586" s="74">
        <v>12</v>
      </c>
      <c r="J586" s="17">
        <f>ROUND(G586*AO586,2)</f>
        <v>0</v>
      </c>
      <c r="K586" s="17">
        <f>ROUND(G586*AP586,2)</f>
        <v>0</v>
      </c>
      <c r="L586" s="17">
        <f>ROUND(G586*H586,2)</f>
        <v>0</v>
      </c>
      <c r="M586" s="17">
        <f>L586*(1+BW586/100)</f>
        <v>0</v>
      </c>
      <c r="N586" s="17">
        <v>0</v>
      </c>
      <c r="O586" s="17">
        <f>G586*N586</f>
        <v>0</v>
      </c>
      <c r="P586" s="75" t="s">
        <v>576</v>
      </c>
      <c r="Z586" s="17">
        <f>ROUND(IF(AQ586="5",BJ586,0),2)</f>
        <v>0</v>
      </c>
      <c r="AB586" s="17">
        <f>ROUND(IF(AQ586="1",BH586,0),2)</f>
        <v>0</v>
      </c>
      <c r="AC586" s="17">
        <f>ROUND(IF(AQ586="1",BI586,0),2)</f>
        <v>0</v>
      </c>
      <c r="AD586" s="17">
        <f>ROUND(IF(AQ586="7",BH586,0),2)</f>
        <v>0</v>
      </c>
      <c r="AE586" s="17">
        <f>ROUND(IF(AQ586="7",BI586,0),2)</f>
        <v>0</v>
      </c>
      <c r="AF586" s="17">
        <f>ROUND(IF(AQ586="2",BH586,0),2)</f>
        <v>0</v>
      </c>
      <c r="AG586" s="17">
        <f>ROUND(IF(AQ586="2",BI586,0),2)</f>
        <v>0</v>
      </c>
      <c r="AH586" s="17">
        <f>ROUND(IF(AQ586="0",BJ586,0),2)</f>
        <v>0</v>
      </c>
      <c r="AI586" s="14" t="s">
        <v>456</v>
      </c>
      <c r="AJ586" s="17">
        <f>IF(AN586=0,L586,0)</f>
        <v>0</v>
      </c>
      <c r="AK586" s="17">
        <f>IF(AN586=12,L586,0)</f>
        <v>0</v>
      </c>
      <c r="AL586" s="17">
        <f>IF(AN586=21,L586,0)</f>
        <v>0</v>
      </c>
      <c r="AN586" s="17">
        <v>12</v>
      </c>
      <c r="AO586" s="17">
        <f>H586*0</f>
        <v>0</v>
      </c>
      <c r="AP586" s="17">
        <f>H586*(1-0)</f>
        <v>0</v>
      </c>
      <c r="AQ586" s="76" t="s">
        <v>585</v>
      </c>
      <c r="AV586" s="17">
        <f>ROUND(AW586+AX586,2)</f>
        <v>0</v>
      </c>
      <c r="AW586" s="17">
        <f>ROUND(G586*AO586,2)</f>
        <v>0</v>
      </c>
      <c r="AX586" s="17">
        <f>ROUND(G586*AP586,2)</f>
        <v>0</v>
      </c>
      <c r="AY586" s="76" t="s">
        <v>1052</v>
      </c>
      <c r="AZ586" s="76" t="s">
        <v>1133</v>
      </c>
      <c r="BA586" s="14" t="s">
        <v>1125</v>
      </c>
      <c r="BC586" s="17">
        <f>AW586+AX586</f>
        <v>0</v>
      </c>
      <c r="BD586" s="17">
        <f>H586/(100-BE586)*100</f>
        <v>0</v>
      </c>
      <c r="BE586" s="17">
        <v>0</v>
      </c>
      <c r="BF586" s="17">
        <f>O586</f>
        <v>0</v>
      </c>
      <c r="BH586" s="17">
        <f>G586*AO586</f>
        <v>0</v>
      </c>
      <c r="BI586" s="17">
        <f>G586*AP586</f>
        <v>0</v>
      </c>
      <c r="BJ586" s="17">
        <f>G586*H586</f>
        <v>0</v>
      </c>
      <c r="BK586" s="17"/>
      <c r="BL586" s="17">
        <v>411</v>
      </c>
      <c r="BW586" s="17">
        <f>I586</f>
        <v>12</v>
      </c>
      <c r="BX586" s="4" t="s">
        <v>356</v>
      </c>
    </row>
    <row r="587" spans="1:76" x14ac:dyDescent="0.25">
      <c r="A587" s="71" t="s">
        <v>25</v>
      </c>
      <c r="B587" s="13" t="s">
        <v>456</v>
      </c>
      <c r="C587" s="13" t="s">
        <v>363</v>
      </c>
      <c r="D587" s="135" t="s">
        <v>364</v>
      </c>
      <c r="E587" s="136"/>
      <c r="F587" s="72" t="s">
        <v>23</v>
      </c>
      <c r="G587" s="72" t="s">
        <v>23</v>
      </c>
      <c r="H587" s="72" t="s">
        <v>23</v>
      </c>
      <c r="I587" s="72" t="s">
        <v>23</v>
      </c>
      <c r="J587" s="47">
        <f>SUM(J588:J590)</f>
        <v>0</v>
      </c>
      <c r="K587" s="47">
        <f>SUM(K588:K590)</f>
        <v>0</v>
      </c>
      <c r="L587" s="47">
        <f>SUM(L588:L590)</f>
        <v>0</v>
      </c>
      <c r="M587" s="47">
        <f>SUM(M588:M590)</f>
        <v>0</v>
      </c>
      <c r="N587" s="14" t="s">
        <v>25</v>
      </c>
      <c r="O587" s="47">
        <f>SUM(O588:O590)</f>
        <v>2.5499999999999997E-3</v>
      </c>
      <c r="P587" s="73" t="s">
        <v>25</v>
      </c>
      <c r="AI587" s="14" t="s">
        <v>456</v>
      </c>
      <c r="AS587" s="47">
        <f>SUM(AJ588:AJ590)</f>
        <v>0</v>
      </c>
      <c r="AT587" s="47">
        <f>SUM(AK588:AK590)</f>
        <v>0</v>
      </c>
      <c r="AU587" s="47">
        <f>SUM(AL588:AL590)</f>
        <v>0</v>
      </c>
    </row>
    <row r="588" spans="1:76" ht="25.5" x14ac:dyDescent="0.25">
      <c r="A588" s="1" t="s">
        <v>1136</v>
      </c>
      <c r="B588" s="2" t="s">
        <v>456</v>
      </c>
      <c r="C588" s="2" t="s">
        <v>365</v>
      </c>
      <c r="D588" s="83" t="s">
        <v>366</v>
      </c>
      <c r="E588" s="84"/>
      <c r="F588" s="2" t="s">
        <v>354</v>
      </c>
      <c r="G588" s="17">
        <f>'Rozpočet - vybrané sloupce'!J503</f>
        <v>3</v>
      </c>
      <c r="H588" s="17">
        <f>'Rozpočet - vybrané sloupce'!K503</f>
        <v>0</v>
      </c>
      <c r="I588" s="74">
        <v>12</v>
      </c>
      <c r="J588" s="17">
        <f>ROUND(G588*AO588,2)</f>
        <v>0</v>
      </c>
      <c r="K588" s="17">
        <f>ROUND(G588*AP588,2)</f>
        <v>0</v>
      </c>
      <c r="L588" s="17">
        <f>ROUND(G588*H588,2)</f>
        <v>0</v>
      </c>
      <c r="M588" s="17">
        <f>L588*(1+BW588/100)</f>
        <v>0</v>
      </c>
      <c r="N588" s="17">
        <v>8.4999999999999995E-4</v>
      </c>
      <c r="O588" s="17">
        <f>G588*N588</f>
        <v>2.5499999999999997E-3</v>
      </c>
      <c r="P588" s="75" t="s">
        <v>576</v>
      </c>
      <c r="Z588" s="17">
        <f>ROUND(IF(AQ588="5",BJ588,0),2)</f>
        <v>0</v>
      </c>
      <c r="AB588" s="17">
        <f>ROUND(IF(AQ588="1",BH588,0),2)</f>
        <v>0</v>
      </c>
      <c r="AC588" s="17">
        <f>ROUND(IF(AQ588="1",BI588,0),2)</f>
        <v>0</v>
      </c>
      <c r="AD588" s="17">
        <f>ROUND(IF(AQ588="7",BH588,0),2)</f>
        <v>0</v>
      </c>
      <c r="AE588" s="17">
        <f>ROUND(IF(AQ588="7",BI588,0),2)</f>
        <v>0</v>
      </c>
      <c r="AF588" s="17">
        <f>ROUND(IF(AQ588="2",BH588,0),2)</f>
        <v>0</v>
      </c>
      <c r="AG588" s="17">
        <f>ROUND(IF(AQ588="2",BI588,0),2)</f>
        <v>0</v>
      </c>
      <c r="AH588" s="17">
        <f>ROUND(IF(AQ588="0",BJ588,0),2)</f>
        <v>0</v>
      </c>
      <c r="AI588" s="14" t="s">
        <v>456</v>
      </c>
      <c r="AJ588" s="17">
        <f>IF(AN588=0,L588,0)</f>
        <v>0</v>
      </c>
      <c r="AK588" s="17">
        <f>IF(AN588=12,L588,0)</f>
        <v>0</v>
      </c>
      <c r="AL588" s="17">
        <f>IF(AN588=21,L588,0)</f>
        <v>0</v>
      </c>
      <c r="AN588" s="17">
        <v>12</v>
      </c>
      <c r="AO588" s="17">
        <f>H588*0.55103125</f>
        <v>0</v>
      </c>
      <c r="AP588" s="17">
        <f>H588*(1-0.55103125)</f>
        <v>0</v>
      </c>
      <c r="AQ588" s="76" t="s">
        <v>577</v>
      </c>
      <c r="AV588" s="17">
        <f>ROUND(AW588+AX588,2)</f>
        <v>0</v>
      </c>
      <c r="AW588" s="17">
        <f>ROUND(G588*AO588,2)</f>
        <v>0</v>
      </c>
      <c r="AX588" s="17">
        <f>ROUND(G588*AP588,2)</f>
        <v>0</v>
      </c>
      <c r="AY588" s="76" t="s">
        <v>1057</v>
      </c>
      <c r="AZ588" s="76" t="s">
        <v>1137</v>
      </c>
      <c r="BA588" s="14" t="s">
        <v>1125</v>
      </c>
      <c r="BC588" s="17">
        <f>AW588+AX588</f>
        <v>0</v>
      </c>
      <c r="BD588" s="17">
        <f>H588/(100-BE588)*100</f>
        <v>0</v>
      </c>
      <c r="BE588" s="17">
        <v>0</v>
      </c>
      <c r="BF588" s="17">
        <f>O588</f>
        <v>2.5499999999999997E-3</v>
      </c>
      <c r="BH588" s="17">
        <f>G588*AO588</f>
        <v>0</v>
      </c>
      <c r="BI588" s="17">
        <f>G588*AP588</f>
        <v>0</v>
      </c>
      <c r="BJ588" s="17">
        <f>G588*H588</f>
        <v>0</v>
      </c>
      <c r="BK588" s="17"/>
      <c r="BL588" s="17">
        <v>712</v>
      </c>
      <c r="BW588" s="17">
        <f>I588</f>
        <v>12</v>
      </c>
      <c r="BX588" s="4" t="s">
        <v>366</v>
      </c>
    </row>
    <row r="589" spans="1:76" x14ac:dyDescent="0.25">
      <c r="A589" s="1" t="s">
        <v>1138</v>
      </c>
      <c r="B589" s="2" t="s">
        <v>456</v>
      </c>
      <c r="C589" s="2" t="s">
        <v>367</v>
      </c>
      <c r="D589" s="83" t="s">
        <v>368</v>
      </c>
      <c r="E589" s="84"/>
      <c r="F589" s="2" t="s">
        <v>354</v>
      </c>
      <c r="G589" s="17">
        <f>'Rozpočet - vybrané sloupce'!J504</f>
        <v>3</v>
      </c>
      <c r="H589" s="17">
        <f>'Rozpočet - vybrané sloupce'!K504</f>
        <v>0</v>
      </c>
      <c r="I589" s="74">
        <v>12</v>
      </c>
      <c r="J589" s="17">
        <f>ROUND(G589*AO589,2)</f>
        <v>0</v>
      </c>
      <c r="K589" s="17">
        <f>ROUND(G589*AP589,2)</f>
        <v>0</v>
      </c>
      <c r="L589" s="17">
        <f>ROUND(G589*H589,2)</f>
        <v>0</v>
      </c>
      <c r="M589" s="17">
        <f>L589*(1+BW589/100)</f>
        <v>0</v>
      </c>
      <c r="N589" s="17">
        <v>0</v>
      </c>
      <c r="O589" s="17">
        <f>G589*N589</f>
        <v>0</v>
      </c>
      <c r="P589" s="75" t="s">
        <v>576</v>
      </c>
      <c r="Z589" s="17">
        <f>ROUND(IF(AQ589="5",BJ589,0),2)</f>
        <v>0</v>
      </c>
      <c r="AB589" s="17">
        <f>ROUND(IF(AQ589="1",BH589,0),2)</f>
        <v>0</v>
      </c>
      <c r="AC589" s="17">
        <f>ROUND(IF(AQ589="1",BI589,0),2)</f>
        <v>0</v>
      </c>
      <c r="AD589" s="17">
        <f>ROUND(IF(AQ589="7",BH589,0),2)</f>
        <v>0</v>
      </c>
      <c r="AE589" s="17">
        <f>ROUND(IF(AQ589="7",BI589,0),2)</f>
        <v>0</v>
      </c>
      <c r="AF589" s="17">
        <f>ROUND(IF(AQ589="2",BH589,0),2)</f>
        <v>0</v>
      </c>
      <c r="AG589" s="17">
        <f>ROUND(IF(AQ589="2",BI589,0),2)</f>
        <v>0</v>
      </c>
      <c r="AH589" s="17">
        <f>ROUND(IF(AQ589="0",BJ589,0),2)</f>
        <v>0</v>
      </c>
      <c r="AI589" s="14" t="s">
        <v>456</v>
      </c>
      <c r="AJ589" s="17">
        <f>IF(AN589=0,L589,0)</f>
        <v>0</v>
      </c>
      <c r="AK589" s="17">
        <f>IF(AN589=12,L589,0)</f>
        <v>0</v>
      </c>
      <c r="AL589" s="17">
        <f>IF(AN589=21,L589,0)</f>
        <v>0</v>
      </c>
      <c r="AN589" s="17">
        <v>12</v>
      </c>
      <c r="AO589" s="17">
        <f>H589*1</f>
        <v>0</v>
      </c>
      <c r="AP589" s="17">
        <f>H589*(1-1)</f>
        <v>0</v>
      </c>
      <c r="AQ589" s="76" t="s">
        <v>577</v>
      </c>
      <c r="AV589" s="17">
        <f>ROUND(AW589+AX589,2)</f>
        <v>0</v>
      </c>
      <c r="AW589" s="17">
        <f>ROUND(G589*AO589,2)</f>
        <v>0</v>
      </c>
      <c r="AX589" s="17">
        <f>ROUND(G589*AP589,2)</f>
        <v>0</v>
      </c>
      <c r="AY589" s="76" t="s">
        <v>1057</v>
      </c>
      <c r="AZ589" s="76" t="s">
        <v>1137</v>
      </c>
      <c r="BA589" s="14" t="s">
        <v>1125</v>
      </c>
      <c r="BC589" s="17">
        <f>AW589+AX589</f>
        <v>0</v>
      </c>
      <c r="BD589" s="17">
        <f>H589/(100-BE589)*100</f>
        <v>0</v>
      </c>
      <c r="BE589" s="17">
        <v>0</v>
      </c>
      <c r="BF589" s="17">
        <f>O589</f>
        <v>0</v>
      </c>
      <c r="BH589" s="17">
        <f>G589*AO589</f>
        <v>0</v>
      </c>
      <c r="BI589" s="17">
        <f>G589*AP589</f>
        <v>0</v>
      </c>
      <c r="BJ589" s="17">
        <f>G589*H589</f>
        <v>0</v>
      </c>
      <c r="BK589" s="17"/>
      <c r="BL589" s="17">
        <v>712</v>
      </c>
      <c r="BW589" s="17">
        <f>I589</f>
        <v>12</v>
      </c>
      <c r="BX589" s="4" t="s">
        <v>368</v>
      </c>
    </row>
    <row r="590" spans="1:76" x14ac:dyDescent="0.25">
      <c r="A590" s="1" t="s">
        <v>1139</v>
      </c>
      <c r="B590" s="2" t="s">
        <v>456</v>
      </c>
      <c r="C590" s="2" t="s">
        <v>369</v>
      </c>
      <c r="D590" s="83" t="s">
        <v>370</v>
      </c>
      <c r="E590" s="84"/>
      <c r="F590" s="2" t="s">
        <v>45</v>
      </c>
      <c r="G590" s="17">
        <f>'Rozpočet - vybrané sloupce'!J505</f>
        <v>0</v>
      </c>
      <c r="H590" s="17">
        <f>'Rozpočet - vybrané sloupce'!K505</f>
        <v>0</v>
      </c>
      <c r="I590" s="74">
        <v>12</v>
      </c>
      <c r="J590" s="17">
        <f>ROUND(G590*AO590,2)</f>
        <v>0</v>
      </c>
      <c r="K590" s="17">
        <f>ROUND(G590*AP590,2)</f>
        <v>0</v>
      </c>
      <c r="L590" s="17">
        <f>ROUND(G590*H590,2)</f>
        <v>0</v>
      </c>
      <c r="M590" s="17">
        <f>L590*(1+BW590/100)</f>
        <v>0</v>
      </c>
      <c r="N590" s="17">
        <v>0</v>
      </c>
      <c r="O590" s="17">
        <f>G590*N590</f>
        <v>0</v>
      </c>
      <c r="P590" s="75" t="s">
        <v>576</v>
      </c>
      <c r="Z590" s="17">
        <f>ROUND(IF(AQ590="5",BJ590,0),2)</f>
        <v>0</v>
      </c>
      <c r="AB590" s="17">
        <f>ROUND(IF(AQ590="1",BH590,0),2)</f>
        <v>0</v>
      </c>
      <c r="AC590" s="17">
        <f>ROUND(IF(AQ590="1",BI590,0),2)</f>
        <v>0</v>
      </c>
      <c r="AD590" s="17">
        <f>ROUND(IF(AQ590="7",BH590,0),2)</f>
        <v>0</v>
      </c>
      <c r="AE590" s="17">
        <f>ROUND(IF(AQ590="7",BI590,0),2)</f>
        <v>0</v>
      </c>
      <c r="AF590" s="17">
        <f>ROUND(IF(AQ590="2",BH590,0),2)</f>
        <v>0</v>
      </c>
      <c r="AG590" s="17">
        <f>ROUND(IF(AQ590="2",BI590,0),2)</f>
        <v>0</v>
      </c>
      <c r="AH590" s="17">
        <f>ROUND(IF(AQ590="0",BJ590,0),2)</f>
        <v>0</v>
      </c>
      <c r="AI590" s="14" t="s">
        <v>456</v>
      </c>
      <c r="AJ590" s="17">
        <f>IF(AN590=0,L590,0)</f>
        <v>0</v>
      </c>
      <c r="AK590" s="17">
        <f>IF(AN590=12,L590,0)</f>
        <v>0</v>
      </c>
      <c r="AL590" s="17">
        <f>IF(AN590=21,L590,0)</f>
        <v>0</v>
      </c>
      <c r="AN590" s="17">
        <v>12</v>
      </c>
      <c r="AO590" s="17">
        <f>H590*0</f>
        <v>0</v>
      </c>
      <c r="AP590" s="17">
        <f>H590*(1-0)</f>
        <v>0</v>
      </c>
      <c r="AQ590" s="76" t="s">
        <v>585</v>
      </c>
      <c r="AV590" s="17">
        <f>ROUND(AW590+AX590,2)</f>
        <v>0</v>
      </c>
      <c r="AW590" s="17">
        <f>ROUND(G590*AO590,2)</f>
        <v>0</v>
      </c>
      <c r="AX590" s="17">
        <f>ROUND(G590*AP590,2)</f>
        <v>0</v>
      </c>
      <c r="AY590" s="76" t="s">
        <v>1057</v>
      </c>
      <c r="AZ590" s="76" t="s">
        <v>1137</v>
      </c>
      <c r="BA590" s="14" t="s">
        <v>1125</v>
      </c>
      <c r="BC590" s="17">
        <f>AW590+AX590</f>
        <v>0</v>
      </c>
      <c r="BD590" s="17">
        <f>H590/(100-BE590)*100</f>
        <v>0</v>
      </c>
      <c r="BE590" s="17">
        <v>0</v>
      </c>
      <c r="BF590" s="17">
        <f>O590</f>
        <v>0</v>
      </c>
      <c r="BH590" s="17">
        <f>G590*AO590</f>
        <v>0</v>
      </c>
      <c r="BI590" s="17">
        <f>G590*AP590</f>
        <v>0</v>
      </c>
      <c r="BJ590" s="17">
        <f>G590*H590</f>
        <v>0</v>
      </c>
      <c r="BK590" s="17"/>
      <c r="BL590" s="17">
        <v>712</v>
      </c>
      <c r="BW590" s="17">
        <f>I590</f>
        <v>12</v>
      </c>
      <c r="BX590" s="4" t="s">
        <v>370</v>
      </c>
    </row>
    <row r="591" spans="1:76" x14ac:dyDescent="0.25">
      <c r="A591" s="71" t="s">
        <v>25</v>
      </c>
      <c r="B591" s="13" t="s">
        <v>456</v>
      </c>
      <c r="C591" s="13" t="s">
        <v>371</v>
      </c>
      <c r="D591" s="135" t="s">
        <v>372</v>
      </c>
      <c r="E591" s="136"/>
      <c r="F591" s="72" t="s">
        <v>23</v>
      </c>
      <c r="G591" s="72" t="s">
        <v>23</v>
      </c>
      <c r="H591" s="72" t="s">
        <v>23</v>
      </c>
      <c r="I591" s="72" t="s">
        <v>23</v>
      </c>
      <c r="J591" s="47">
        <f>SUM(J592:J592)</f>
        <v>0</v>
      </c>
      <c r="K591" s="47">
        <f>SUM(K592:K592)</f>
        <v>0</v>
      </c>
      <c r="L591" s="47">
        <f>SUM(L592:L592)</f>
        <v>0</v>
      </c>
      <c r="M591" s="47">
        <f>SUM(M592:M592)</f>
        <v>0</v>
      </c>
      <c r="N591" s="14" t="s">
        <v>25</v>
      </c>
      <c r="O591" s="47">
        <f>SUM(O592:O592)</f>
        <v>0</v>
      </c>
      <c r="P591" s="73" t="s">
        <v>25</v>
      </c>
      <c r="AI591" s="14" t="s">
        <v>456</v>
      </c>
      <c r="AS591" s="47">
        <f>SUM(AJ592:AJ592)</f>
        <v>0</v>
      </c>
      <c r="AT591" s="47">
        <f>SUM(AK592:AK592)</f>
        <v>0</v>
      </c>
      <c r="AU591" s="47">
        <f>SUM(AL592:AL592)</f>
        <v>0</v>
      </c>
    </row>
    <row r="592" spans="1:76" x14ac:dyDescent="0.25">
      <c r="A592" s="1" t="s">
        <v>1140</v>
      </c>
      <c r="B592" s="2" t="s">
        <v>456</v>
      </c>
      <c r="C592" s="2" t="s">
        <v>373</v>
      </c>
      <c r="D592" s="83" t="s">
        <v>374</v>
      </c>
      <c r="E592" s="84"/>
      <c r="F592" s="2" t="s">
        <v>40</v>
      </c>
      <c r="G592" s="17">
        <f>'Rozpočet - vybrané sloupce'!J507</f>
        <v>6</v>
      </c>
      <c r="H592" s="17">
        <f>'Rozpočet - vybrané sloupce'!K507</f>
        <v>0</v>
      </c>
      <c r="I592" s="74">
        <v>12</v>
      </c>
      <c r="J592" s="17">
        <f>ROUND(G592*AO592,2)</f>
        <v>0</v>
      </c>
      <c r="K592" s="17">
        <f>ROUND(G592*AP592,2)</f>
        <v>0</v>
      </c>
      <c r="L592" s="17">
        <f>ROUND(G592*H592,2)</f>
        <v>0</v>
      </c>
      <c r="M592" s="17">
        <f>L592*(1+BW592/100)</f>
        <v>0</v>
      </c>
      <c r="N592" s="17">
        <v>0</v>
      </c>
      <c r="O592" s="17">
        <f>G592*N592</f>
        <v>0</v>
      </c>
      <c r="P592" s="75" t="s">
        <v>576</v>
      </c>
      <c r="Z592" s="17">
        <f>ROUND(IF(AQ592="5",BJ592,0),2)</f>
        <v>0</v>
      </c>
      <c r="AB592" s="17">
        <f>ROUND(IF(AQ592="1",BH592,0),2)</f>
        <v>0</v>
      </c>
      <c r="AC592" s="17">
        <f>ROUND(IF(AQ592="1",BI592,0),2)</f>
        <v>0</v>
      </c>
      <c r="AD592" s="17">
        <f>ROUND(IF(AQ592="7",BH592,0),2)</f>
        <v>0</v>
      </c>
      <c r="AE592" s="17">
        <f>ROUND(IF(AQ592="7",BI592,0),2)</f>
        <v>0</v>
      </c>
      <c r="AF592" s="17">
        <f>ROUND(IF(AQ592="2",BH592,0),2)</f>
        <v>0</v>
      </c>
      <c r="AG592" s="17">
        <f>ROUND(IF(AQ592="2",BI592,0),2)</f>
        <v>0</v>
      </c>
      <c r="AH592" s="17">
        <f>ROUND(IF(AQ592="0",BJ592,0),2)</f>
        <v>0</v>
      </c>
      <c r="AI592" s="14" t="s">
        <v>456</v>
      </c>
      <c r="AJ592" s="17">
        <f>IF(AN592=0,L592,0)</f>
        <v>0</v>
      </c>
      <c r="AK592" s="17">
        <f>IF(AN592=12,L592,0)</f>
        <v>0</v>
      </c>
      <c r="AL592" s="17">
        <f>IF(AN592=21,L592,0)</f>
        <v>0</v>
      </c>
      <c r="AN592" s="17">
        <v>12</v>
      </c>
      <c r="AO592" s="17">
        <f>H592*0.5</f>
        <v>0</v>
      </c>
      <c r="AP592" s="17">
        <f>H592*(1-0.5)</f>
        <v>0</v>
      </c>
      <c r="AQ592" s="76" t="s">
        <v>577</v>
      </c>
      <c r="AV592" s="17">
        <f>ROUND(AW592+AX592,2)</f>
        <v>0</v>
      </c>
      <c r="AW592" s="17">
        <f>ROUND(G592*AO592,2)</f>
        <v>0</v>
      </c>
      <c r="AX592" s="17">
        <f>ROUND(G592*AP592,2)</f>
        <v>0</v>
      </c>
      <c r="AY592" s="76" t="s">
        <v>1062</v>
      </c>
      <c r="AZ592" s="76" t="s">
        <v>1141</v>
      </c>
      <c r="BA592" s="14" t="s">
        <v>1125</v>
      </c>
      <c r="BC592" s="17">
        <f>AW592+AX592</f>
        <v>0</v>
      </c>
      <c r="BD592" s="17">
        <f>H592/(100-BE592)*100</f>
        <v>0</v>
      </c>
      <c r="BE592" s="17">
        <v>0</v>
      </c>
      <c r="BF592" s="17">
        <f>O592</f>
        <v>0</v>
      </c>
      <c r="BH592" s="17">
        <f>G592*AO592</f>
        <v>0</v>
      </c>
      <c r="BI592" s="17">
        <f>G592*AP592</f>
        <v>0</v>
      </c>
      <c r="BJ592" s="17">
        <f>G592*H592</f>
        <v>0</v>
      </c>
      <c r="BK592" s="17"/>
      <c r="BL592" s="17">
        <v>74</v>
      </c>
      <c r="BW592" s="17">
        <f>I592</f>
        <v>12</v>
      </c>
      <c r="BX592" s="4" t="s">
        <v>374</v>
      </c>
    </row>
    <row r="593" spans="1:76" x14ac:dyDescent="0.25">
      <c r="A593" s="71" t="s">
        <v>25</v>
      </c>
      <c r="B593" s="13" t="s">
        <v>456</v>
      </c>
      <c r="C593" s="13" t="s">
        <v>375</v>
      </c>
      <c r="D593" s="135" t="s">
        <v>376</v>
      </c>
      <c r="E593" s="136"/>
      <c r="F593" s="72" t="s">
        <v>23</v>
      </c>
      <c r="G593" s="72" t="s">
        <v>23</v>
      </c>
      <c r="H593" s="72" t="s">
        <v>23</v>
      </c>
      <c r="I593" s="72" t="s">
        <v>23</v>
      </c>
      <c r="J593" s="47">
        <f>SUM(J594:J600)</f>
        <v>0</v>
      </c>
      <c r="K593" s="47">
        <f>SUM(K594:K600)</f>
        <v>0</v>
      </c>
      <c r="L593" s="47">
        <f>SUM(L594:L600)</f>
        <v>0</v>
      </c>
      <c r="M593" s="47">
        <f>SUM(M594:M600)</f>
        <v>0</v>
      </c>
      <c r="N593" s="14" t="s">
        <v>25</v>
      </c>
      <c r="O593" s="47">
        <f>SUM(O594:O600)</f>
        <v>0.20200799999999999</v>
      </c>
      <c r="P593" s="73" t="s">
        <v>25</v>
      </c>
      <c r="AI593" s="14" t="s">
        <v>456</v>
      </c>
      <c r="AS593" s="47">
        <f>SUM(AJ594:AJ600)</f>
        <v>0</v>
      </c>
      <c r="AT593" s="47">
        <f>SUM(AK594:AK600)</f>
        <v>0</v>
      </c>
      <c r="AU593" s="47">
        <f>SUM(AL594:AL600)</f>
        <v>0</v>
      </c>
    </row>
    <row r="594" spans="1:76" x14ac:dyDescent="0.25">
      <c r="A594" s="1" t="s">
        <v>1142</v>
      </c>
      <c r="B594" s="2" t="s">
        <v>456</v>
      </c>
      <c r="C594" s="2" t="s">
        <v>377</v>
      </c>
      <c r="D594" s="83" t="s">
        <v>378</v>
      </c>
      <c r="E594" s="84"/>
      <c r="F594" s="2" t="s">
        <v>379</v>
      </c>
      <c r="G594" s="17">
        <f>'Rozpočet - vybrané sloupce'!J509</f>
        <v>48</v>
      </c>
      <c r="H594" s="17">
        <f>'Rozpočet - vybrané sloupce'!K509</f>
        <v>0</v>
      </c>
      <c r="I594" s="74">
        <v>12</v>
      </c>
      <c r="J594" s="17">
        <f t="shared" ref="J594:J600" si="632">ROUND(G594*AO594,2)</f>
        <v>0</v>
      </c>
      <c r="K594" s="17">
        <f t="shared" ref="K594:K600" si="633">ROUND(G594*AP594,2)</f>
        <v>0</v>
      </c>
      <c r="L594" s="17">
        <f t="shared" ref="L594:L600" si="634">ROUND(G594*H594,2)</f>
        <v>0</v>
      </c>
      <c r="M594" s="17">
        <f t="shared" ref="M594:M600" si="635">L594*(1+BW594/100)</f>
        <v>0</v>
      </c>
      <c r="N594" s="17">
        <v>1.2E-4</v>
      </c>
      <c r="O594" s="17">
        <f t="shared" ref="O594:O600" si="636">G594*N594</f>
        <v>5.7600000000000004E-3</v>
      </c>
      <c r="P594" s="75" t="s">
        <v>576</v>
      </c>
      <c r="Z594" s="17">
        <f t="shared" ref="Z594:Z600" si="637">ROUND(IF(AQ594="5",BJ594,0),2)</f>
        <v>0</v>
      </c>
      <c r="AB594" s="17">
        <f t="shared" ref="AB594:AB600" si="638">ROUND(IF(AQ594="1",BH594,0),2)</f>
        <v>0</v>
      </c>
      <c r="AC594" s="17">
        <f t="shared" ref="AC594:AC600" si="639">ROUND(IF(AQ594="1",BI594,0),2)</f>
        <v>0</v>
      </c>
      <c r="AD594" s="17">
        <f t="shared" ref="AD594:AD600" si="640">ROUND(IF(AQ594="7",BH594,0),2)</f>
        <v>0</v>
      </c>
      <c r="AE594" s="17">
        <f t="shared" ref="AE594:AE600" si="641">ROUND(IF(AQ594="7",BI594,0),2)</f>
        <v>0</v>
      </c>
      <c r="AF594" s="17">
        <f t="shared" ref="AF594:AF600" si="642">ROUND(IF(AQ594="2",BH594,0),2)</f>
        <v>0</v>
      </c>
      <c r="AG594" s="17">
        <f t="shared" ref="AG594:AG600" si="643">ROUND(IF(AQ594="2",BI594,0),2)</f>
        <v>0</v>
      </c>
      <c r="AH594" s="17">
        <f t="shared" ref="AH594:AH600" si="644">ROUND(IF(AQ594="0",BJ594,0),2)</f>
        <v>0</v>
      </c>
      <c r="AI594" s="14" t="s">
        <v>456</v>
      </c>
      <c r="AJ594" s="17">
        <f t="shared" ref="AJ594:AJ600" si="645">IF(AN594=0,L594,0)</f>
        <v>0</v>
      </c>
      <c r="AK594" s="17">
        <f t="shared" ref="AK594:AK600" si="646">IF(AN594=12,L594,0)</f>
        <v>0</v>
      </c>
      <c r="AL594" s="17">
        <f t="shared" ref="AL594:AL600" si="647">IF(AN594=21,L594,0)</f>
        <v>0</v>
      </c>
      <c r="AN594" s="17">
        <v>12</v>
      </c>
      <c r="AO594" s="17">
        <f>H594*0.425441941</f>
        <v>0</v>
      </c>
      <c r="AP594" s="17">
        <f>H594*(1-0.425441941)</f>
        <v>0</v>
      </c>
      <c r="AQ594" s="76" t="s">
        <v>577</v>
      </c>
      <c r="AV594" s="17">
        <f t="shared" ref="AV594:AV600" si="648">ROUND(AW594+AX594,2)</f>
        <v>0</v>
      </c>
      <c r="AW594" s="17">
        <f t="shared" ref="AW594:AW600" si="649">ROUND(G594*AO594,2)</f>
        <v>0</v>
      </c>
      <c r="AX594" s="17">
        <f t="shared" ref="AX594:AX600" si="650">ROUND(G594*AP594,2)</f>
        <v>0</v>
      </c>
      <c r="AY594" s="76" t="s">
        <v>1065</v>
      </c>
      <c r="AZ594" s="76" t="s">
        <v>1143</v>
      </c>
      <c r="BA594" s="14" t="s">
        <v>1125</v>
      </c>
      <c r="BC594" s="17">
        <f t="shared" ref="BC594:BC600" si="651">AW594+AX594</f>
        <v>0</v>
      </c>
      <c r="BD594" s="17">
        <f t="shared" ref="BD594:BD600" si="652">H594/(100-BE594)*100</f>
        <v>0</v>
      </c>
      <c r="BE594" s="17">
        <v>0</v>
      </c>
      <c r="BF594" s="17">
        <f t="shared" ref="BF594:BF600" si="653">O594</f>
        <v>5.7600000000000004E-3</v>
      </c>
      <c r="BH594" s="17">
        <f t="shared" ref="BH594:BH600" si="654">G594*AO594</f>
        <v>0</v>
      </c>
      <c r="BI594" s="17">
        <f t="shared" ref="BI594:BI600" si="655">G594*AP594</f>
        <v>0</v>
      </c>
      <c r="BJ594" s="17">
        <f t="shared" ref="BJ594:BJ600" si="656">G594*H594</f>
        <v>0</v>
      </c>
      <c r="BK594" s="17"/>
      <c r="BL594" s="17">
        <v>767</v>
      </c>
      <c r="BW594" s="17">
        <f t="shared" ref="BW594:BW600" si="657">I594</f>
        <v>12</v>
      </c>
      <c r="BX594" s="4" t="s">
        <v>378</v>
      </c>
    </row>
    <row r="595" spans="1:76" x14ac:dyDescent="0.25">
      <c r="A595" s="1" t="s">
        <v>1144</v>
      </c>
      <c r="B595" s="2" t="s">
        <v>456</v>
      </c>
      <c r="C595" s="2" t="s">
        <v>380</v>
      </c>
      <c r="D595" s="83" t="s">
        <v>381</v>
      </c>
      <c r="E595" s="84"/>
      <c r="F595" s="2" t="s">
        <v>35</v>
      </c>
      <c r="G595" s="17">
        <f>'Rozpočet - vybrané sloupce'!J510</f>
        <v>24</v>
      </c>
      <c r="H595" s="17">
        <f>'Rozpočet - vybrané sloupce'!K510</f>
        <v>0</v>
      </c>
      <c r="I595" s="74">
        <v>12</v>
      </c>
      <c r="J595" s="17">
        <f t="shared" si="632"/>
        <v>0</v>
      </c>
      <c r="K595" s="17">
        <f t="shared" si="633"/>
        <v>0</v>
      </c>
      <c r="L595" s="17">
        <f t="shared" si="634"/>
        <v>0</v>
      </c>
      <c r="M595" s="17">
        <f t="shared" si="635"/>
        <v>0</v>
      </c>
      <c r="N595" s="17">
        <v>0</v>
      </c>
      <c r="O595" s="17">
        <f t="shared" si="636"/>
        <v>0</v>
      </c>
      <c r="P595" s="75" t="s">
        <v>576</v>
      </c>
      <c r="Z595" s="17">
        <f t="shared" si="637"/>
        <v>0</v>
      </c>
      <c r="AB595" s="17">
        <f t="shared" si="638"/>
        <v>0</v>
      </c>
      <c r="AC595" s="17">
        <f t="shared" si="639"/>
        <v>0</v>
      </c>
      <c r="AD595" s="17">
        <f t="shared" si="640"/>
        <v>0</v>
      </c>
      <c r="AE595" s="17">
        <f t="shared" si="641"/>
        <v>0</v>
      </c>
      <c r="AF595" s="17">
        <f t="shared" si="642"/>
        <v>0</v>
      </c>
      <c r="AG595" s="17">
        <f t="shared" si="643"/>
        <v>0</v>
      </c>
      <c r="AH595" s="17">
        <f t="shared" si="644"/>
        <v>0</v>
      </c>
      <c r="AI595" s="14" t="s">
        <v>456</v>
      </c>
      <c r="AJ595" s="17">
        <f t="shared" si="645"/>
        <v>0</v>
      </c>
      <c r="AK595" s="17">
        <f t="shared" si="646"/>
        <v>0</v>
      </c>
      <c r="AL595" s="17">
        <f t="shared" si="647"/>
        <v>0</v>
      </c>
      <c r="AN595" s="17">
        <v>12</v>
      </c>
      <c r="AO595" s="17">
        <f>H595*1</f>
        <v>0</v>
      </c>
      <c r="AP595" s="17">
        <f>H595*(1-1)</f>
        <v>0</v>
      </c>
      <c r="AQ595" s="76" t="s">
        <v>577</v>
      </c>
      <c r="AV595" s="17">
        <f t="shared" si="648"/>
        <v>0</v>
      </c>
      <c r="AW595" s="17">
        <f t="shared" si="649"/>
        <v>0</v>
      </c>
      <c r="AX595" s="17">
        <f t="shared" si="650"/>
        <v>0</v>
      </c>
      <c r="AY595" s="76" t="s">
        <v>1065</v>
      </c>
      <c r="AZ595" s="76" t="s">
        <v>1143</v>
      </c>
      <c r="BA595" s="14" t="s">
        <v>1125</v>
      </c>
      <c r="BC595" s="17">
        <f t="shared" si="651"/>
        <v>0</v>
      </c>
      <c r="BD595" s="17">
        <f t="shared" si="652"/>
        <v>0</v>
      </c>
      <c r="BE595" s="17">
        <v>0</v>
      </c>
      <c r="BF595" s="17">
        <f t="shared" si="653"/>
        <v>0</v>
      </c>
      <c r="BH595" s="17">
        <f t="shared" si="654"/>
        <v>0</v>
      </c>
      <c r="BI595" s="17">
        <f t="shared" si="655"/>
        <v>0</v>
      </c>
      <c r="BJ595" s="17">
        <f t="shared" si="656"/>
        <v>0</v>
      </c>
      <c r="BK595" s="17"/>
      <c r="BL595" s="17">
        <v>767</v>
      </c>
      <c r="BW595" s="17">
        <f t="shared" si="657"/>
        <v>12</v>
      </c>
      <c r="BX595" s="4" t="s">
        <v>381</v>
      </c>
    </row>
    <row r="596" spans="1:76" x14ac:dyDescent="0.25">
      <c r="A596" s="1" t="s">
        <v>1145</v>
      </c>
      <c r="B596" s="2" t="s">
        <v>456</v>
      </c>
      <c r="C596" s="2" t="s">
        <v>382</v>
      </c>
      <c r="D596" s="83" t="s">
        <v>383</v>
      </c>
      <c r="E596" s="84"/>
      <c r="F596" s="2" t="s">
        <v>35</v>
      </c>
      <c r="G596" s="17">
        <f>'Rozpočet - vybrané sloupce'!J511</f>
        <v>48</v>
      </c>
      <c r="H596" s="17">
        <f>'Rozpočet - vybrané sloupce'!K511</f>
        <v>0</v>
      </c>
      <c r="I596" s="74">
        <v>12</v>
      </c>
      <c r="J596" s="17">
        <f t="shared" si="632"/>
        <v>0</v>
      </c>
      <c r="K596" s="17">
        <f t="shared" si="633"/>
        <v>0</v>
      </c>
      <c r="L596" s="17">
        <f t="shared" si="634"/>
        <v>0</v>
      </c>
      <c r="M596" s="17">
        <f t="shared" si="635"/>
        <v>0</v>
      </c>
      <c r="N596" s="17">
        <v>0</v>
      </c>
      <c r="O596" s="17">
        <f t="shared" si="636"/>
        <v>0</v>
      </c>
      <c r="P596" s="75" t="s">
        <v>576</v>
      </c>
      <c r="Z596" s="17">
        <f t="shared" si="637"/>
        <v>0</v>
      </c>
      <c r="AB596" s="17">
        <f t="shared" si="638"/>
        <v>0</v>
      </c>
      <c r="AC596" s="17">
        <f t="shared" si="639"/>
        <v>0</v>
      </c>
      <c r="AD596" s="17">
        <f t="shared" si="640"/>
        <v>0</v>
      </c>
      <c r="AE596" s="17">
        <f t="shared" si="641"/>
        <v>0</v>
      </c>
      <c r="AF596" s="17">
        <f t="shared" si="642"/>
        <v>0</v>
      </c>
      <c r="AG596" s="17">
        <f t="shared" si="643"/>
        <v>0</v>
      </c>
      <c r="AH596" s="17">
        <f t="shared" si="644"/>
        <v>0</v>
      </c>
      <c r="AI596" s="14" t="s">
        <v>456</v>
      </c>
      <c r="AJ596" s="17">
        <f t="shared" si="645"/>
        <v>0</v>
      </c>
      <c r="AK596" s="17">
        <f t="shared" si="646"/>
        <v>0</v>
      </c>
      <c r="AL596" s="17">
        <f t="shared" si="647"/>
        <v>0</v>
      </c>
      <c r="AN596" s="17">
        <v>12</v>
      </c>
      <c r="AO596" s="17">
        <f>H596*1</f>
        <v>0</v>
      </c>
      <c r="AP596" s="17">
        <f>H596*(1-1)</f>
        <v>0</v>
      </c>
      <c r="AQ596" s="76" t="s">
        <v>577</v>
      </c>
      <c r="AV596" s="17">
        <f t="shared" si="648"/>
        <v>0</v>
      </c>
      <c r="AW596" s="17">
        <f t="shared" si="649"/>
        <v>0</v>
      </c>
      <c r="AX596" s="17">
        <f t="shared" si="650"/>
        <v>0</v>
      </c>
      <c r="AY596" s="76" t="s">
        <v>1065</v>
      </c>
      <c r="AZ596" s="76" t="s">
        <v>1143</v>
      </c>
      <c r="BA596" s="14" t="s">
        <v>1125</v>
      </c>
      <c r="BC596" s="17">
        <f t="shared" si="651"/>
        <v>0</v>
      </c>
      <c r="BD596" s="17">
        <f t="shared" si="652"/>
        <v>0</v>
      </c>
      <c r="BE596" s="17">
        <v>0</v>
      </c>
      <c r="BF596" s="17">
        <f t="shared" si="653"/>
        <v>0</v>
      </c>
      <c r="BH596" s="17">
        <f t="shared" si="654"/>
        <v>0</v>
      </c>
      <c r="BI596" s="17">
        <f t="shared" si="655"/>
        <v>0</v>
      </c>
      <c r="BJ596" s="17">
        <f t="shared" si="656"/>
        <v>0</v>
      </c>
      <c r="BK596" s="17"/>
      <c r="BL596" s="17">
        <v>767</v>
      </c>
      <c r="BW596" s="17">
        <f t="shared" si="657"/>
        <v>12</v>
      </c>
      <c r="BX596" s="4" t="s">
        <v>383</v>
      </c>
    </row>
    <row r="597" spans="1:76" x14ac:dyDescent="0.25">
      <c r="A597" s="1" t="s">
        <v>1146</v>
      </c>
      <c r="B597" s="2" t="s">
        <v>456</v>
      </c>
      <c r="C597" s="2" t="s">
        <v>384</v>
      </c>
      <c r="D597" s="83" t="s">
        <v>385</v>
      </c>
      <c r="E597" s="84"/>
      <c r="F597" s="2" t="s">
        <v>354</v>
      </c>
      <c r="G597" s="17">
        <f>'Rozpočet - vybrané sloupce'!J512</f>
        <v>15.6</v>
      </c>
      <c r="H597" s="17">
        <f>'Rozpočet - vybrané sloupce'!K512</f>
        <v>0</v>
      </c>
      <c r="I597" s="74">
        <v>12</v>
      </c>
      <c r="J597" s="17">
        <f t="shared" si="632"/>
        <v>0</v>
      </c>
      <c r="K597" s="17">
        <f t="shared" si="633"/>
        <v>0</v>
      </c>
      <c r="L597" s="17">
        <f t="shared" si="634"/>
        <v>0</v>
      </c>
      <c r="M597" s="17">
        <f t="shared" si="635"/>
        <v>0</v>
      </c>
      <c r="N597" s="17">
        <v>7.7499999999999999E-3</v>
      </c>
      <c r="O597" s="17">
        <f t="shared" si="636"/>
        <v>0.12089999999999999</v>
      </c>
      <c r="P597" s="75" t="s">
        <v>576</v>
      </c>
      <c r="Z597" s="17">
        <f t="shared" si="637"/>
        <v>0</v>
      </c>
      <c r="AB597" s="17">
        <f t="shared" si="638"/>
        <v>0</v>
      </c>
      <c r="AC597" s="17">
        <f t="shared" si="639"/>
        <v>0</v>
      </c>
      <c r="AD597" s="17">
        <f t="shared" si="640"/>
        <v>0</v>
      </c>
      <c r="AE597" s="17">
        <f t="shared" si="641"/>
        <v>0</v>
      </c>
      <c r="AF597" s="17">
        <f t="shared" si="642"/>
        <v>0</v>
      </c>
      <c r="AG597" s="17">
        <f t="shared" si="643"/>
        <v>0</v>
      </c>
      <c r="AH597" s="17">
        <f t="shared" si="644"/>
        <v>0</v>
      </c>
      <c r="AI597" s="14" t="s">
        <v>456</v>
      </c>
      <c r="AJ597" s="17">
        <f t="shared" si="645"/>
        <v>0</v>
      </c>
      <c r="AK597" s="17">
        <f t="shared" si="646"/>
        <v>0</v>
      </c>
      <c r="AL597" s="17">
        <f t="shared" si="647"/>
        <v>0</v>
      </c>
      <c r="AN597" s="17">
        <v>12</v>
      </c>
      <c r="AO597" s="17">
        <f>H597*0</f>
        <v>0</v>
      </c>
      <c r="AP597" s="17">
        <f>H597*(1-0)</f>
        <v>0</v>
      </c>
      <c r="AQ597" s="76" t="s">
        <v>577</v>
      </c>
      <c r="AV597" s="17">
        <f t="shared" si="648"/>
        <v>0</v>
      </c>
      <c r="AW597" s="17">
        <f t="shared" si="649"/>
        <v>0</v>
      </c>
      <c r="AX597" s="17">
        <f t="shared" si="650"/>
        <v>0</v>
      </c>
      <c r="AY597" s="76" t="s">
        <v>1065</v>
      </c>
      <c r="AZ597" s="76" t="s">
        <v>1143</v>
      </c>
      <c r="BA597" s="14" t="s">
        <v>1125</v>
      </c>
      <c r="BC597" s="17">
        <f t="shared" si="651"/>
        <v>0</v>
      </c>
      <c r="BD597" s="17">
        <f t="shared" si="652"/>
        <v>0</v>
      </c>
      <c r="BE597" s="17">
        <v>0</v>
      </c>
      <c r="BF597" s="17">
        <f t="shared" si="653"/>
        <v>0.12089999999999999</v>
      </c>
      <c r="BH597" s="17">
        <f t="shared" si="654"/>
        <v>0</v>
      </c>
      <c r="BI597" s="17">
        <f t="shared" si="655"/>
        <v>0</v>
      </c>
      <c r="BJ597" s="17">
        <f t="shared" si="656"/>
        <v>0</v>
      </c>
      <c r="BK597" s="17"/>
      <c r="BL597" s="17">
        <v>767</v>
      </c>
      <c r="BW597" s="17">
        <f t="shared" si="657"/>
        <v>12</v>
      </c>
      <c r="BX597" s="4" t="s">
        <v>385</v>
      </c>
    </row>
    <row r="598" spans="1:76" x14ac:dyDescent="0.25">
      <c r="A598" s="1" t="s">
        <v>1147</v>
      </c>
      <c r="B598" s="2" t="s">
        <v>456</v>
      </c>
      <c r="C598" s="2" t="s">
        <v>386</v>
      </c>
      <c r="D598" s="83" t="s">
        <v>387</v>
      </c>
      <c r="E598" s="84"/>
      <c r="F598" s="2" t="s">
        <v>354</v>
      </c>
      <c r="G598" s="17">
        <f>'Rozpočet - vybrané sloupce'!J513</f>
        <v>15.6</v>
      </c>
      <c r="H598" s="17">
        <f>'Rozpočet - vybrané sloupce'!K513</f>
        <v>0</v>
      </c>
      <c r="I598" s="74">
        <v>12</v>
      </c>
      <c r="J598" s="17">
        <f t="shared" si="632"/>
        <v>0</v>
      </c>
      <c r="K598" s="17">
        <f t="shared" si="633"/>
        <v>0</v>
      </c>
      <c r="L598" s="17">
        <f t="shared" si="634"/>
        <v>0</v>
      </c>
      <c r="M598" s="17">
        <f t="shared" si="635"/>
        <v>0</v>
      </c>
      <c r="N598" s="17">
        <v>0</v>
      </c>
      <c r="O598" s="17">
        <f t="shared" si="636"/>
        <v>0</v>
      </c>
      <c r="P598" s="75" t="s">
        <v>576</v>
      </c>
      <c r="Z598" s="17">
        <f t="shared" si="637"/>
        <v>0</v>
      </c>
      <c r="AB598" s="17">
        <f t="shared" si="638"/>
        <v>0</v>
      </c>
      <c r="AC598" s="17">
        <f t="shared" si="639"/>
        <v>0</v>
      </c>
      <c r="AD598" s="17">
        <f t="shared" si="640"/>
        <v>0</v>
      </c>
      <c r="AE598" s="17">
        <f t="shared" si="641"/>
        <v>0</v>
      </c>
      <c r="AF598" s="17">
        <f t="shared" si="642"/>
        <v>0</v>
      </c>
      <c r="AG598" s="17">
        <f t="shared" si="643"/>
        <v>0</v>
      </c>
      <c r="AH598" s="17">
        <f t="shared" si="644"/>
        <v>0</v>
      </c>
      <c r="AI598" s="14" t="s">
        <v>456</v>
      </c>
      <c r="AJ598" s="17">
        <f t="shared" si="645"/>
        <v>0</v>
      </c>
      <c r="AK598" s="17">
        <f t="shared" si="646"/>
        <v>0</v>
      </c>
      <c r="AL598" s="17">
        <f t="shared" si="647"/>
        <v>0</v>
      </c>
      <c r="AN598" s="17">
        <v>12</v>
      </c>
      <c r="AO598" s="17">
        <f>H598*0.336793108</f>
        <v>0</v>
      </c>
      <c r="AP598" s="17">
        <f>H598*(1-0.336793108)</f>
        <v>0</v>
      </c>
      <c r="AQ598" s="76" t="s">
        <v>577</v>
      </c>
      <c r="AV598" s="17">
        <f t="shared" si="648"/>
        <v>0</v>
      </c>
      <c r="AW598" s="17">
        <f t="shared" si="649"/>
        <v>0</v>
      </c>
      <c r="AX598" s="17">
        <f t="shared" si="650"/>
        <v>0</v>
      </c>
      <c r="AY598" s="76" t="s">
        <v>1065</v>
      </c>
      <c r="AZ598" s="76" t="s">
        <v>1143</v>
      </c>
      <c r="BA598" s="14" t="s">
        <v>1125</v>
      </c>
      <c r="BC598" s="17">
        <f t="shared" si="651"/>
        <v>0</v>
      </c>
      <c r="BD598" s="17">
        <f t="shared" si="652"/>
        <v>0</v>
      </c>
      <c r="BE598" s="17">
        <v>0</v>
      </c>
      <c r="BF598" s="17">
        <f t="shared" si="653"/>
        <v>0</v>
      </c>
      <c r="BH598" s="17">
        <f t="shared" si="654"/>
        <v>0</v>
      </c>
      <c r="BI598" s="17">
        <f t="shared" si="655"/>
        <v>0</v>
      </c>
      <c r="BJ598" s="17">
        <f t="shared" si="656"/>
        <v>0</v>
      </c>
      <c r="BK598" s="17"/>
      <c r="BL598" s="17">
        <v>767</v>
      </c>
      <c r="BW598" s="17">
        <f t="shared" si="657"/>
        <v>12</v>
      </c>
      <c r="BX598" s="4" t="s">
        <v>387</v>
      </c>
    </row>
    <row r="599" spans="1:76" x14ac:dyDescent="0.25">
      <c r="A599" s="1" t="s">
        <v>1148</v>
      </c>
      <c r="B599" s="2" t="s">
        <v>456</v>
      </c>
      <c r="C599" s="2" t="s">
        <v>388</v>
      </c>
      <c r="D599" s="83" t="s">
        <v>389</v>
      </c>
      <c r="E599" s="84"/>
      <c r="F599" s="2" t="s">
        <v>354</v>
      </c>
      <c r="G599" s="17">
        <f>'Rozpočet - vybrané sloupce'!J514</f>
        <v>15.6</v>
      </c>
      <c r="H599" s="17">
        <f>'Rozpočet - vybrané sloupce'!K514</f>
        <v>0</v>
      </c>
      <c r="I599" s="74">
        <v>12</v>
      </c>
      <c r="J599" s="17">
        <f t="shared" si="632"/>
        <v>0</v>
      </c>
      <c r="K599" s="17">
        <f t="shared" si="633"/>
        <v>0</v>
      </c>
      <c r="L599" s="17">
        <f t="shared" si="634"/>
        <v>0</v>
      </c>
      <c r="M599" s="17">
        <f t="shared" si="635"/>
        <v>0</v>
      </c>
      <c r="N599" s="17">
        <v>4.8300000000000001E-3</v>
      </c>
      <c r="O599" s="17">
        <f t="shared" si="636"/>
        <v>7.5347999999999998E-2</v>
      </c>
      <c r="P599" s="75" t="s">
        <v>576</v>
      </c>
      <c r="Z599" s="17">
        <f t="shared" si="637"/>
        <v>0</v>
      </c>
      <c r="AB599" s="17">
        <f t="shared" si="638"/>
        <v>0</v>
      </c>
      <c r="AC599" s="17">
        <f t="shared" si="639"/>
        <v>0</v>
      </c>
      <c r="AD599" s="17">
        <f t="shared" si="640"/>
        <v>0</v>
      </c>
      <c r="AE599" s="17">
        <f t="shared" si="641"/>
        <v>0</v>
      </c>
      <c r="AF599" s="17">
        <f t="shared" si="642"/>
        <v>0</v>
      </c>
      <c r="AG599" s="17">
        <f t="shared" si="643"/>
        <v>0</v>
      </c>
      <c r="AH599" s="17">
        <f t="shared" si="644"/>
        <v>0</v>
      </c>
      <c r="AI599" s="14" t="s">
        <v>456</v>
      </c>
      <c r="AJ599" s="17">
        <f t="shared" si="645"/>
        <v>0</v>
      </c>
      <c r="AK599" s="17">
        <f t="shared" si="646"/>
        <v>0</v>
      </c>
      <c r="AL599" s="17">
        <f t="shared" si="647"/>
        <v>0</v>
      </c>
      <c r="AN599" s="17">
        <v>12</v>
      </c>
      <c r="AO599" s="17">
        <f>H599*0.659006709</f>
        <v>0</v>
      </c>
      <c r="AP599" s="17">
        <f>H599*(1-0.659006709)</f>
        <v>0</v>
      </c>
      <c r="AQ599" s="76" t="s">
        <v>577</v>
      </c>
      <c r="AV599" s="17">
        <f t="shared" si="648"/>
        <v>0</v>
      </c>
      <c r="AW599" s="17">
        <f t="shared" si="649"/>
        <v>0</v>
      </c>
      <c r="AX599" s="17">
        <f t="shared" si="650"/>
        <v>0</v>
      </c>
      <c r="AY599" s="76" t="s">
        <v>1065</v>
      </c>
      <c r="AZ599" s="76" t="s">
        <v>1143</v>
      </c>
      <c r="BA599" s="14" t="s">
        <v>1125</v>
      </c>
      <c r="BC599" s="17">
        <f t="shared" si="651"/>
        <v>0</v>
      </c>
      <c r="BD599" s="17">
        <f t="shared" si="652"/>
        <v>0</v>
      </c>
      <c r="BE599" s="17">
        <v>0</v>
      </c>
      <c r="BF599" s="17">
        <f t="shared" si="653"/>
        <v>7.5347999999999998E-2</v>
      </c>
      <c r="BH599" s="17">
        <f t="shared" si="654"/>
        <v>0</v>
      </c>
      <c r="BI599" s="17">
        <f t="shared" si="655"/>
        <v>0</v>
      </c>
      <c r="BJ599" s="17">
        <f t="shared" si="656"/>
        <v>0</v>
      </c>
      <c r="BK599" s="17"/>
      <c r="BL599" s="17">
        <v>767</v>
      </c>
      <c r="BW599" s="17">
        <f t="shared" si="657"/>
        <v>12</v>
      </c>
      <c r="BX599" s="4" t="s">
        <v>389</v>
      </c>
    </row>
    <row r="600" spans="1:76" x14ac:dyDescent="0.25">
      <c r="A600" s="1" t="s">
        <v>1149</v>
      </c>
      <c r="B600" s="2" t="s">
        <v>456</v>
      </c>
      <c r="C600" s="2" t="s">
        <v>390</v>
      </c>
      <c r="D600" s="83" t="s">
        <v>391</v>
      </c>
      <c r="E600" s="84"/>
      <c r="F600" s="2" t="s">
        <v>45</v>
      </c>
      <c r="G600" s="17">
        <f>'Rozpočet - vybrané sloupce'!J515</f>
        <v>0</v>
      </c>
      <c r="H600" s="17">
        <f>'Rozpočet - vybrané sloupce'!K515</f>
        <v>0</v>
      </c>
      <c r="I600" s="74">
        <v>12</v>
      </c>
      <c r="J600" s="17">
        <f t="shared" si="632"/>
        <v>0</v>
      </c>
      <c r="K600" s="17">
        <f t="shared" si="633"/>
        <v>0</v>
      </c>
      <c r="L600" s="17">
        <f t="shared" si="634"/>
        <v>0</v>
      </c>
      <c r="M600" s="17">
        <f t="shared" si="635"/>
        <v>0</v>
      </c>
      <c r="N600" s="17">
        <v>0</v>
      </c>
      <c r="O600" s="17">
        <f t="shared" si="636"/>
        <v>0</v>
      </c>
      <c r="P600" s="75" t="s">
        <v>576</v>
      </c>
      <c r="Z600" s="17">
        <f t="shared" si="637"/>
        <v>0</v>
      </c>
      <c r="AB600" s="17">
        <f t="shared" si="638"/>
        <v>0</v>
      </c>
      <c r="AC600" s="17">
        <f t="shared" si="639"/>
        <v>0</v>
      </c>
      <c r="AD600" s="17">
        <f t="shared" si="640"/>
        <v>0</v>
      </c>
      <c r="AE600" s="17">
        <f t="shared" si="641"/>
        <v>0</v>
      </c>
      <c r="AF600" s="17">
        <f t="shared" si="642"/>
        <v>0</v>
      </c>
      <c r="AG600" s="17">
        <f t="shared" si="643"/>
        <v>0</v>
      </c>
      <c r="AH600" s="17">
        <f t="shared" si="644"/>
        <v>0</v>
      </c>
      <c r="AI600" s="14" t="s">
        <v>456</v>
      </c>
      <c r="AJ600" s="17">
        <f t="shared" si="645"/>
        <v>0</v>
      </c>
      <c r="AK600" s="17">
        <f t="shared" si="646"/>
        <v>0</v>
      </c>
      <c r="AL600" s="17">
        <f t="shared" si="647"/>
        <v>0</v>
      </c>
      <c r="AN600" s="17">
        <v>12</v>
      </c>
      <c r="AO600" s="17">
        <f>H600*0</f>
        <v>0</v>
      </c>
      <c r="AP600" s="17">
        <f>H600*(1-0)</f>
        <v>0</v>
      </c>
      <c r="AQ600" s="76" t="s">
        <v>585</v>
      </c>
      <c r="AV600" s="17">
        <f t="shared" si="648"/>
        <v>0</v>
      </c>
      <c r="AW600" s="17">
        <f t="shared" si="649"/>
        <v>0</v>
      </c>
      <c r="AX600" s="17">
        <f t="shared" si="650"/>
        <v>0</v>
      </c>
      <c r="AY600" s="76" t="s">
        <v>1065</v>
      </c>
      <c r="AZ600" s="76" t="s">
        <v>1143</v>
      </c>
      <c r="BA600" s="14" t="s">
        <v>1125</v>
      </c>
      <c r="BC600" s="17">
        <f t="shared" si="651"/>
        <v>0</v>
      </c>
      <c r="BD600" s="17">
        <f t="shared" si="652"/>
        <v>0</v>
      </c>
      <c r="BE600" s="17">
        <v>0</v>
      </c>
      <c r="BF600" s="17">
        <f t="shared" si="653"/>
        <v>0</v>
      </c>
      <c r="BH600" s="17">
        <f t="shared" si="654"/>
        <v>0</v>
      </c>
      <c r="BI600" s="17">
        <f t="shared" si="655"/>
        <v>0</v>
      </c>
      <c r="BJ600" s="17">
        <f t="shared" si="656"/>
        <v>0</v>
      </c>
      <c r="BK600" s="17"/>
      <c r="BL600" s="17">
        <v>767</v>
      </c>
      <c r="BW600" s="17">
        <f t="shared" si="657"/>
        <v>12</v>
      </c>
      <c r="BX600" s="4" t="s">
        <v>391</v>
      </c>
    </row>
    <row r="601" spans="1:76" x14ac:dyDescent="0.25">
      <c r="A601" s="71" t="s">
        <v>25</v>
      </c>
      <c r="B601" s="13" t="s">
        <v>456</v>
      </c>
      <c r="C601" s="13" t="s">
        <v>392</v>
      </c>
      <c r="D601" s="135" t="s">
        <v>393</v>
      </c>
      <c r="E601" s="136"/>
      <c r="F601" s="72" t="s">
        <v>23</v>
      </c>
      <c r="G601" s="72" t="s">
        <v>23</v>
      </c>
      <c r="H601" s="72" t="s">
        <v>23</v>
      </c>
      <c r="I601" s="72" t="s">
        <v>23</v>
      </c>
      <c r="J601" s="47" t="e">
        <f>SUM(J602:J607)</f>
        <v>#REF!</v>
      </c>
      <c r="K601" s="47" t="e">
        <f>SUM(K602:K607)</f>
        <v>#REF!</v>
      </c>
      <c r="L601" s="47" t="e">
        <f>SUM(L602:L607)</f>
        <v>#REF!</v>
      </c>
      <c r="M601" s="47" t="e">
        <f>SUM(M602:M607)</f>
        <v>#REF!</v>
      </c>
      <c r="N601" s="14" t="s">
        <v>25</v>
      </c>
      <c r="O601" s="47" t="e">
        <f>SUM(O602:O607)</f>
        <v>#REF!</v>
      </c>
      <c r="P601" s="73" t="s">
        <v>25</v>
      </c>
      <c r="AI601" s="14" t="s">
        <v>456</v>
      </c>
      <c r="AS601" s="47">
        <f>SUM(AJ602:AJ607)</f>
        <v>0</v>
      </c>
      <c r="AT601" s="47" t="e">
        <f>SUM(AK602:AK607)</f>
        <v>#REF!</v>
      </c>
      <c r="AU601" s="47">
        <f>SUM(AL602:AL607)</f>
        <v>0</v>
      </c>
    </row>
    <row r="602" spans="1:76" x14ac:dyDescent="0.25">
      <c r="A602" s="1" t="s">
        <v>1150</v>
      </c>
      <c r="B602" s="2" t="s">
        <v>456</v>
      </c>
      <c r="C602" s="2" t="s">
        <v>394</v>
      </c>
      <c r="D602" s="83" t="s">
        <v>395</v>
      </c>
      <c r="E602" s="84"/>
      <c r="F602" s="2" t="s">
        <v>354</v>
      </c>
      <c r="G602" s="17">
        <f>'Rozpočet - vybrané sloupce'!J517</f>
        <v>22.2</v>
      </c>
      <c r="H602" s="17">
        <f>'Rozpočet - vybrané sloupce'!K517</f>
        <v>0</v>
      </c>
      <c r="I602" s="74">
        <v>12</v>
      </c>
      <c r="J602" s="17">
        <f t="shared" ref="J602:J607" si="658">ROUND(G602*AO602,2)</f>
        <v>0</v>
      </c>
      <c r="K602" s="17">
        <f t="shared" ref="K602:K607" si="659">ROUND(G602*AP602,2)</f>
        <v>0</v>
      </c>
      <c r="L602" s="17">
        <f t="shared" ref="L602:L607" si="660">ROUND(G602*H602,2)</f>
        <v>0</v>
      </c>
      <c r="M602" s="17">
        <f t="shared" ref="M602:M607" si="661">L602*(1+BW602/100)</f>
        <v>0</v>
      </c>
      <c r="N602" s="17">
        <v>2.1000000000000001E-4</v>
      </c>
      <c r="O602" s="17">
        <f t="shared" ref="O602:O607" si="662">G602*N602</f>
        <v>4.6620000000000003E-3</v>
      </c>
      <c r="P602" s="75" t="s">
        <v>576</v>
      </c>
      <c r="Z602" s="17">
        <f t="shared" ref="Z602:Z607" si="663">ROUND(IF(AQ602="5",BJ602,0),2)</f>
        <v>0</v>
      </c>
      <c r="AB602" s="17">
        <f t="shared" ref="AB602:AB607" si="664">ROUND(IF(AQ602="1",BH602,0),2)</f>
        <v>0</v>
      </c>
      <c r="AC602" s="17">
        <f t="shared" ref="AC602:AC607" si="665">ROUND(IF(AQ602="1",BI602,0),2)</f>
        <v>0</v>
      </c>
      <c r="AD602" s="17">
        <f t="shared" ref="AD602:AD607" si="666">ROUND(IF(AQ602="7",BH602,0),2)</f>
        <v>0</v>
      </c>
      <c r="AE602" s="17">
        <f t="shared" ref="AE602:AE607" si="667">ROUND(IF(AQ602="7",BI602,0),2)</f>
        <v>0</v>
      </c>
      <c r="AF602" s="17">
        <f t="shared" ref="AF602:AF607" si="668">ROUND(IF(AQ602="2",BH602,0),2)</f>
        <v>0</v>
      </c>
      <c r="AG602" s="17">
        <f t="shared" ref="AG602:AG607" si="669">ROUND(IF(AQ602="2",BI602,0),2)</f>
        <v>0</v>
      </c>
      <c r="AH602" s="17">
        <f t="shared" ref="AH602:AH607" si="670">ROUND(IF(AQ602="0",BJ602,0),2)</f>
        <v>0</v>
      </c>
      <c r="AI602" s="14" t="s">
        <v>456</v>
      </c>
      <c r="AJ602" s="17">
        <f t="shared" ref="AJ602:AJ607" si="671">IF(AN602=0,L602,0)</f>
        <v>0</v>
      </c>
      <c r="AK602" s="17">
        <f t="shared" ref="AK602:AK607" si="672">IF(AN602=12,L602,0)</f>
        <v>0</v>
      </c>
      <c r="AL602" s="17">
        <f t="shared" ref="AL602:AL607" si="673">IF(AN602=21,L602,0)</f>
        <v>0</v>
      </c>
      <c r="AN602" s="17">
        <v>12</v>
      </c>
      <c r="AO602" s="17">
        <f>H602*0.446953798</f>
        <v>0</v>
      </c>
      <c r="AP602" s="17">
        <f>H602*(1-0.446953798)</f>
        <v>0</v>
      </c>
      <c r="AQ602" s="76" t="s">
        <v>577</v>
      </c>
      <c r="AV602" s="17">
        <f t="shared" ref="AV602:AV607" si="674">ROUND(AW602+AX602,2)</f>
        <v>0</v>
      </c>
      <c r="AW602" s="17">
        <f t="shared" ref="AW602:AW607" si="675">ROUND(G602*AO602,2)</f>
        <v>0</v>
      </c>
      <c r="AX602" s="17">
        <f t="shared" ref="AX602:AX607" si="676">ROUND(G602*AP602,2)</f>
        <v>0</v>
      </c>
      <c r="AY602" s="76" t="s">
        <v>1077</v>
      </c>
      <c r="AZ602" s="76" t="s">
        <v>1151</v>
      </c>
      <c r="BA602" s="14" t="s">
        <v>1125</v>
      </c>
      <c r="BC602" s="17">
        <f t="shared" ref="BC602:BC607" si="677">AW602+AX602</f>
        <v>0</v>
      </c>
      <c r="BD602" s="17">
        <f t="shared" ref="BD602:BD607" si="678">H602/(100-BE602)*100</f>
        <v>0</v>
      </c>
      <c r="BE602" s="17">
        <v>0</v>
      </c>
      <c r="BF602" s="17">
        <f t="shared" ref="BF602:BF607" si="679">O602</f>
        <v>4.6620000000000003E-3</v>
      </c>
      <c r="BH602" s="17">
        <f t="shared" ref="BH602:BH607" si="680">G602*AO602</f>
        <v>0</v>
      </c>
      <c r="BI602" s="17">
        <f t="shared" ref="BI602:BI607" si="681">G602*AP602</f>
        <v>0</v>
      </c>
      <c r="BJ602" s="17">
        <f t="shared" ref="BJ602:BJ607" si="682">G602*H602</f>
        <v>0</v>
      </c>
      <c r="BK602" s="17"/>
      <c r="BL602" s="17">
        <v>781</v>
      </c>
      <c r="BW602" s="17">
        <f t="shared" ref="BW602:BW607" si="683">I602</f>
        <v>12</v>
      </c>
      <c r="BX602" s="4" t="s">
        <v>395</v>
      </c>
    </row>
    <row r="603" spans="1:76" x14ac:dyDescent="0.25">
      <c r="A603" s="1" t="s">
        <v>1152</v>
      </c>
      <c r="B603" s="2" t="s">
        <v>456</v>
      </c>
      <c r="C603" s="2" t="s">
        <v>396</v>
      </c>
      <c r="D603" s="83" t="s">
        <v>397</v>
      </c>
      <c r="E603" s="84"/>
      <c r="F603" s="2" t="s">
        <v>354</v>
      </c>
      <c r="G603" s="17">
        <f>'Rozpočet - vybrané sloupce'!J518</f>
        <v>22.2</v>
      </c>
      <c r="H603" s="17">
        <f>'Rozpočet - vybrané sloupce'!K518</f>
        <v>0</v>
      </c>
      <c r="I603" s="74">
        <v>12</v>
      </c>
      <c r="J603" s="17">
        <f t="shared" si="658"/>
        <v>0</v>
      </c>
      <c r="K603" s="17">
        <f t="shared" si="659"/>
        <v>0</v>
      </c>
      <c r="L603" s="17">
        <f t="shared" si="660"/>
        <v>0</v>
      </c>
      <c r="M603" s="17">
        <f t="shared" si="661"/>
        <v>0</v>
      </c>
      <c r="N603" s="17">
        <v>0</v>
      </c>
      <c r="O603" s="17">
        <f t="shared" si="662"/>
        <v>0</v>
      </c>
      <c r="P603" s="75" t="s">
        <v>576</v>
      </c>
      <c r="Z603" s="17">
        <f t="shared" si="663"/>
        <v>0</v>
      </c>
      <c r="AB603" s="17">
        <f t="shared" si="664"/>
        <v>0</v>
      </c>
      <c r="AC603" s="17">
        <f t="shared" si="665"/>
        <v>0</v>
      </c>
      <c r="AD603" s="17">
        <f t="shared" si="666"/>
        <v>0</v>
      </c>
      <c r="AE603" s="17">
        <f t="shared" si="667"/>
        <v>0</v>
      </c>
      <c r="AF603" s="17">
        <f t="shared" si="668"/>
        <v>0</v>
      </c>
      <c r="AG603" s="17">
        <f t="shared" si="669"/>
        <v>0</v>
      </c>
      <c r="AH603" s="17">
        <f t="shared" si="670"/>
        <v>0</v>
      </c>
      <c r="AI603" s="14" t="s">
        <v>456</v>
      </c>
      <c r="AJ603" s="17">
        <f t="shared" si="671"/>
        <v>0</v>
      </c>
      <c r="AK603" s="17">
        <f t="shared" si="672"/>
        <v>0</v>
      </c>
      <c r="AL603" s="17">
        <f t="shared" si="673"/>
        <v>0</v>
      </c>
      <c r="AN603" s="17">
        <v>12</v>
      </c>
      <c r="AO603" s="17">
        <f>H603*0</f>
        <v>0</v>
      </c>
      <c r="AP603" s="17">
        <f>H603*(1-0)</f>
        <v>0</v>
      </c>
      <c r="AQ603" s="76" t="s">
        <v>577</v>
      </c>
      <c r="AV603" s="17">
        <f t="shared" si="674"/>
        <v>0</v>
      </c>
      <c r="AW603" s="17">
        <f t="shared" si="675"/>
        <v>0</v>
      </c>
      <c r="AX603" s="17">
        <f t="shared" si="676"/>
        <v>0</v>
      </c>
      <c r="AY603" s="76" t="s">
        <v>1077</v>
      </c>
      <c r="AZ603" s="76" t="s">
        <v>1151</v>
      </c>
      <c r="BA603" s="14" t="s">
        <v>1125</v>
      </c>
      <c r="BC603" s="17">
        <f t="shared" si="677"/>
        <v>0</v>
      </c>
      <c r="BD603" s="17">
        <f t="shared" si="678"/>
        <v>0</v>
      </c>
      <c r="BE603" s="17">
        <v>0</v>
      </c>
      <c r="BF603" s="17">
        <f t="shared" si="679"/>
        <v>0</v>
      </c>
      <c r="BH603" s="17">
        <f t="shared" si="680"/>
        <v>0</v>
      </c>
      <c r="BI603" s="17">
        <f t="shared" si="681"/>
        <v>0</v>
      </c>
      <c r="BJ603" s="17">
        <f t="shared" si="682"/>
        <v>0</v>
      </c>
      <c r="BK603" s="17"/>
      <c r="BL603" s="17">
        <v>781</v>
      </c>
      <c r="BW603" s="17">
        <f t="shared" si="683"/>
        <v>12</v>
      </c>
      <c r="BX603" s="4" t="s">
        <v>397</v>
      </c>
    </row>
    <row r="604" spans="1:76" x14ac:dyDescent="0.25">
      <c r="A604" s="1" t="s">
        <v>1153</v>
      </c>
      <c r="B604" s="2" t="s">
        <v>456</v>
      </c>
      <c r="C604" s="2" t="s">
        <v>400</v>
      </c>
      <c r="D604" s="83" t="s">
        <v>401</v>
      </c>
      <c r="E604" s="84"/>
      <c r="F604" s="2" t="s">
        <v>354</v>
      </c>
      <c r="G604" s="17">
        <f>'Rozpočet - vybrané sloupce'!J519</f>
        <v>24.5</v>
      </c>
      <c r="H604" s="17">
        <f>'Rozpočet - vybrané sloupce'!K519</f>
        <v>0</v>
      </c>
      <c r="I604" s="74">
        <v>12</v>
      </c>
      <c r="J604" s="17">
        <f t="shared" si="658"/>
        <v>0</v>
      </c>
      <c r="K604" s="17">
        <f t="shared" si="659"/>
        <v>0</v>
      </c>
      <c r="L604" s="17">
        <f t="shared" si="660"/>
        <v>0</v>
      </c>
      <c r="M604" s="17">
        <f t="shared" si="661"/>
        <v>0</v>
      </c>
      <c r="N604" s="17">
        <v>1.3599999999999999E-2</v>
      </c>
      <c r="O604" s="17">
        <f t="shared" si="662"/>
        <v>0.3332</v>
      </c>
      <c r="P604" s="75" t="s">
        <v>576</v>
      </c>
      <c r="Z604" s="17">
        <f t="shared" si="663"/>
        <v>0</v>
      </c>
      <c r="AB604" s="17">
        <f t="shared" si="664"/>
        <v>0</v>
      </c>
      <c r="AC604" s="17">
        <f t="shared" si="665"/>
        <v>0</v>
      </c>
      <c r="AD604" s="17">
        <f t="shared" si="666"/>
        <v>0</v>
      </c>
      <c r="AE604" s="17">
        <f t="shared" si="667"/>
        <v>0</v>
      </c>
      <c r="AF604" s="17">
        <f t="shared" si="668"/>
        <v>0</v>
      </c>
      <c r="AG604" s="17">
        <f t="shared" si="669"/>
        <v>0</v>
      </c>
      <c r="AH604" s="17">
        <f t="shared" si="670"/>
        <v>0</v>
      </c>
      <c r="AI604" s="14" t="s">
        <v>456</v>
      </c>
      <c r="AJ604" s="17">
        <f t="shared" si="671"/>
        <v>0</v>
      </c>
      <c r="AK604" s="17">
        <f t="shared" si="672"/>
        <v>0</v>
      </c>
      <c r="AL604" s="17">
        <f t="shared" si="673"/>
        <v>0</v>
      </c>
      <c r="AN604" s="17">
        <v>12</v>
      </c>
      <c r="AO604" s="17">
        <f>H604*1</f>
        <v>0</v>
      </c>
      <c r="AP604" s="17">
        <f>H604*(1-1)</f>
        <v>0</v>
      </c>
      <c r="AQ604" s="76" t="s">
        <v>577</v>
      </c>
      <c r="AV604" s="17">
        <f t="shared" si="674"/>
        <v>0</v>
      </c>
      <c r="AW604" s="17">
        <f t="shared" si="675"/>
        <v>0</v>
      </c>
      <c r="AX604" s="17">
        <f t="shared" si="676"/>
        <v>0</v>
      </c>
      <c r="AY604" s="76" t="s">
        <v>1077</v>
      </c>
      <c r="AZ604" s="76" t="s">
        <v>1151</v>
      </c>
      <c r="BA604" s="14" t="s">
        <v>1125</v>
      </c>
      <c r="BC604" s="17">
        <f t="shared" si="677"/>
        <v>0</v>
      </c>
      <c r="BD604" s="17">
        <f t="shared" si="678"/>
        <v>0</v>
      </c>
      <c r="BE604" s="17">
        <v>0</v>
      </c>
      <c r="BF604" s="17">
        <f t="shared" si="679"/>
        <v>0.3332</v>
      </c>
      <c r="BH604" s="17">
        <f t="shared" si="680"/>
        <v>0</v>
      </c>
      <c r="BI604" s="17">
        <f t="shared" si="681"/>
        <v>0</v>
      </c>
      <c r="BJ604" s="17">
        <f t="shared" si="682"/>
        <v>0</v>
      </c>
      <c r="BK604" s="17"/>
      <c r="BL604" s="17">
        <v>781</v>
      </c>
      <c r="BW604" s="17">
        <f t="shared" si="683"/>
        <v>12</v>
      </c>
      <c r="BX604" s="4" t="s">
        <v>401</v>
      </c>
    </row>
    <row r="605" spans="1:76" x14ac:dyDescent="0.25">
      <c r="A605" s="1" t="s">
        <v>1154</v>
      </c>
      <c r="B605" s="2" t="s">
        <v>456</v>
      </c>
      <c r="C605" s="2" t="s">
        <v>398</v>
      </c>
      <c r="D605" s="83" t="s">
        <v>399</v>
      </c>
      <c r="E605" s="84"/>
      <c r="F605" s="2" t="s">
        <v>354</v>
      </c>
      <c r="G605" s="17" t="e">
        <f>'Rozpočet - vybrané sloupce'!#REF!</f>
        <v>#REF!</v>
      </c>
      <c r="H605" s="17" t="e">
        <f>'Rozpočet - vybrané sloupce'!#REF!</f>
        <v>#REF!</v>
      </c>
      <c r="I605" s="74">
        <v>12</v>
      </c>
      <c r="J605" s="17" t="e">
        <f t="shared" si="658"/>
        <v>#REF!</v>
      </c>
      <c r="K605" s="17" t="e">
        <f t="shared" si="659"/>
        <v>#REF!</v>
      </c>
      <c r="L605" s="17" t="e">
        <f t="shared" si="660"/>
        <v>#REF!</v>
      </c>
      <c r="M605" s="17" t="e">
        <f t="shared" si="661"/>
        <v>#REF!</v>
      </c>
      <c r="N605" s="17">
        <v>0</v>
      </c>
      <c r="O605" s="17" t="e">
        <f t="shared" si="662"/>
        <v>#REF!</v>
      </c>
      <c r="P605" s="75" t="s">
        <v>576</v>
      </c>
      <c r="Z605" s="17">
        <f t="shared" si="663"/>
        <v>0</v>
      </c>
      <c r="AB605" s="17">
        <f t="shared" si="664"/>
        <v>0</v>
      </c>
      <c r="AC605" s="17">
        <f t="shared" si="665"/>
        <v>0</v>
      </c>
      <c r="AD605" s="17" t="e">
        <f t="shared" si="666"/>
        <v>#REF!</v>
      </c>
      <c r="AE605" s="17" t="e">
        <f t="shared" si="667"/>
        <v>#REF!</v>
      </c>
      <c r="AF605" s="17">
        <f t="shared" si="668"/>
        <v>0</v>
      </c>
      <c r="AG605" s="17">
        <f t="shared" si="669"/>
        <v>0</v>
      </c>
      <c r="AH605" s="17">
        <f t="shared" si="670"/>
        <v>0</v>
      </c>
      <c r="AI605" s="14" t="s">
        <v>456</v>
      </c>
      <c r="AJ605" s="17">
        <f t="shared" si="671"/>
        <v>0</v>
      </c>
      <c r="AK605" s="17" t="e">
        <f t="shared" si="672"/>
        <v>#REF!</v>
      </c>
      <c r="AL605" s="17">
        <f t="shared" si="673"/>
        <v>0</v>
      </c>
      <c r="AN605" s="17">
        <v>12</v>
      </c>
      <c r="AO605" s="17" t="e">
        <f>H605*0</f>
        <v>#REF!</v>
      </c>
      <c r="AP605" s="17" t="e">
        <f>H605*(1-0)</f>
        <v>#REF!</v>
      </c>
      <c r="AQ605" s="76" t="s">
        <v>577</v>
      </c>
      <c r="AV605" s="17" t="e">
        <f t="shared" si="674"/>
        <v>#REF!</v>
      </c>
      <c r="AW605" s="17" t="e">
        <f t="shared" si="675"/>
        <v>#REF!</v>
      </c>
      <c r="AX605" s="17" t="e">
        <f t="shared" si="676"/>
        <v>#REF!</v>
      </c>
      <c r="AY605" s="76" t="s">
        <v>1077</v>
      </c>
      <c r="AZ605" s="76" t="s">
        <v>1151</v>
      </c>
      <c r="BA605" s="14" t="s">
        <v>1125</v>
      </c>
      <c r="BC605" s="17" t="e">
        <f t="shared" si="677"/>
        <v>#REF!</v>
      </c>
      <c r="BD605" s="17" t="e">
        <f t="shared" si="678"/>
        <v>#REF!</v>
      </c>
      <c r="BE605" s="17">
        <v>0</v>
      </c>
      <c r="BF605" s="17" t="e">
        <f t="shared" si="679"/>
        <v>#REF!</v>
      </c>
      <c r="BH605" s="17" t="e">
        <f t="shared" si="680"/>
        <v>#REF!</v>
      </c>
      <c r="BI605" s="17" t="e">
        <f t="shared" si="681"/>
        <v>#REF!</v>
      </c>
      <c r="BJ605" s="17" t="e">
        <f t="shared" si="682"/>
        <v>#REF!</v>
      </c>
      <c r="BK605" s="17"/>
      <c r="BL605" s="17">
        <v>781</v>
      </c>
      <c r="BW605" s="17">
        <f t="shared" si="683"/>
        <v>12</v>
      </c>
      <c r="BX605" s="4" t="s">
        <v>399</v>
      </c>
    </row>
    <row r="606" spans="1:76" x14ac:dyDescent="0.25">
      <c r="A606" s="1" t="s">
        <v>1155</v>
      </c>
      <c r="B606" s="2" t="s">
        <v>456</v>
      </c>
      <c r="C606" s="2" t="s">
        <v>402</v>
      </c>
      <c r="D606" s="83" t="s">
        <v>403</v>
      </c>
      <c r="E606" s="84"/>
      <c r="F606" s="2" t="s">
        <v>35</v>
      </c>
      <c r="G606" s="17" t="e">
        <f>'Rozpočet - vybrané sloupce'!#REF!</f>
        <v>#REF!</v>
      </c>
      <c r="H606" s="17" t="e">
        <f>'Rozpočet - vybrané sloupce'!#REF!</f>
        <v>#REF!</v>
      </c>
      <c r="I606" s="74">
        <v>12</v>
      </c>
      <c r="J606" s="17" t="e">
        <f t="shared" si="658"/>
        <v>#REF!</v>
      </c>
      <c r="K606" s="17" t="e">
        <f t="shared" si="659"/>
        <v>#REF!</v>
      </c>
      <c r="L606" s="17" t="e">
        <f t="shared" si="660"/>
        <v>#REF!</v>
      </c>
      <c r="M606" s="17" t="e">
        <f t="shared" si="661"/>
        <v>#REF!</v>
      </c>
      <c r="N606" s="17">
        <v>3.0699999999999998E-3</v>
      </c>
      <c r="O606" s="17" t="e">
        <f t="shared" si="662"/>
        <v>#REF!</v>
      </c>
      <c r="P606" s="75" t="s">
        <v>576</v>
      </c>
      <c r="Z606" s="17">
        <f t="shared" si="663"/>
        <v>0</v>
      </c>
      <c r="AB606" s="17">
        <f t="shared" si="664"/>
        <v>0</v>
      </c>
      <c r="AC606" s="17">
        <f t="shared" si="665"/>
        <v>0</v>
      </c>
      <c r="AD606" s="17" t="e">
        <f t="shared" si="666"/>
        <v>#REF!</v>
      </c>
      <c r="AE606" s="17" t="e">
        <f t="shared" si="667"/>
        <v>#REF!</v>
      </c>
      <c r="AF606" s="17">
        <f t="shared" si="668"/>
        <v>0</v>
      </c>
      <c r="AG606" s="17">
        <f t="shared" si="669"/>
        <v>0</v>
      </c>
      <c r="AH606" s="17">
        <f t="shared" si="670"/>
        <v>0</v>
      </c>
      <c r="AI606" s="14" t="s">
        <v>456</v>
      </c>
      <c r="AJ606" s="17">
        <f t="shared" si="671"/>
        <v>0</v>
      </c>
      <c r="AK606" s="17" t="e">
        <f t="shared" si="672"/>
        <v>#REF!</v>
      </c>
      <c r="AL606" s="17">
        <f t="shared" si="673"/>
        <v>0</v>
      </c>
      <c r="AN606" s="17">
        <v>12</v>
      </c>
      <c r="AO606" s="17" t="e">
        <f>H606*0.283738739</f>
        <v>#REF!</v>
      </c>
      <c r="AP606" s="17" t="e">
        <f>H606*(1-0.283738739)</f>
        <v>#REF!</v>
      </c>
      <c r="AQ606" s="76" t="s">
        <v>577</v>
      </c>
      <c r="AV606" s="17" t="e">
        <f t="shared" si="674"/>
        <v>#REF!</v>
      </c>
      <c r="AW606" s="17" t="e">
        <f t="shared" si="675"/>
        <v>#REF!</v>
      </c>
      <c r="AX606" s="17" t="e">
        <f t="shared" si="676"/>
        <v>#REF!</v>
      </c>
      <c r="AY606" s="76" t="s">
        <v>1077</v>
      </c>
      <c r="AZ606" s="76" t="s">
        <v>1151</v>
      </c>
      <c r="BA606" s="14" t="s">
        <v>1125</v>
      </c>
      <c r="BC606" s="17" t="e">
        <f t="shared" si="677"/>
        <v>#REF!</v>
      </c>
      <c r="BD606" s="17" t="e">
        <f t="shared" si="678"/>
        <v>#REF!</v>
      </c>
      <c r="BE606" s="17">
        <v>0</v>
      </c>
      <c r="BF606" s="17" t="e">
        <f t="shared" si="679"/>
        <v>#REF!</v>
      </c>
      <c r="BH606" s="17" t="e">
        <f t="shared" si="680"/>
        <v>#REF!</v>
      </c>
      <c r="BI606" s="17" t="e">
        <f t="shared" si="681"/>
        <v>#REF!</v>
      </c>
      <c r="BJ606" s="17" t="e">
        <f t="shared" si="682"/>
        <v>#REF!</v>
      </c>
      <c r="BK606" s="17"/>
      <c r="BL606" s="17">
        <v>781</v>
      </c>
      <c r="BW606" s="17">
        <f t="shared" si="683"/>
        <v>12</v>
      </c>
      <c r="BX606" s="4" t="s">
        <v>403</v>
      </c>
    </row>
    <row r="607" spans="1:76" x14ac:dyDescent="0.25">
      <c r="A607" s="1" t="s">
        <v>1156</v>
      </c>
      <c r="B607" s="2" t="s">
        <v>456</v>
      </c>
      <c r="C607" s="2" t="s">
        <v>404</v>
      </c>
      <c r="D607" s="83" t="s">
        <v>405</v>
      </c>
      <c r="E607" s="84"/>
      <c r="F607" s="2" t="s">
        <v>45</v>
      </c>
      <c r="G607" s="17">
        <f>'Rozpočet - vybrané sloupce'!J520</f>
        <v>0</v>
      </c>
      <c r="H607" s="17">
        <f>'Rozpočet - vybrané sloupce'!K520</f>
        <v>0</v>
      </c>
      <c r="I607" s="74">
        <v>12</v>
      </c>
      <c r="J607" s="17">
        <f t="shared" si="658"/>
        <v>0</v>
      </c>
      <c r="K607" s="17">
        <f t="shared" si="659"/>
        <v>0</v>
      </c>
      <c r="L607" s="17">
        <f t="shared" si="660"/>
        <v>0</v>
      </c>
      <c r="M607" s="17">
        <f t="shared" si="661"/>
        <v>0</v>
      </c>
      <c r="N607" s="17">
        <v>0</v>
      </c>
      <c r="O607" s="17">
        <f t="shared" si="662"/>
        <v>0</v>
      </c>
      <c r="P607" s="75" t="s">
        <v>576</v>
      </c>
      <c r="Z607" s="17">
        <f t="shared" si="663"/>
        <v>0</v>
      </c>
      <c r="AB607" s="17">
        <f t="shared" si="664"/>
        <v>0</v>
      </c>
      <c r="AC607" s="17">
        <f t="shared" si="665"/>
        <v>0</v>
      </c>
      <c r="AD607" s="17">
        <f t="shared" si="666"/>
        <v>0</v>
      </c>
      <c r="AE607" s="17">
        <f t="shared" si="667"/>
        <v>0</v>
      </c>
      <c r="AF607" s="17">
        <f t="shared" si="668"/>
        <v>0</v>
      </c>
      <c r="AG607" s="17">
        <f t="shared" si="669"/>
        <v>0</v>
      </c>
      <c r="AH607" s="17">
        <f t="shared" si="670"/>
        <v>0</v>
      </c>
      <c r="AI607" s="14" t="s">
        <v>456</v>
      </c>
      <c r="AJ607" s="17">
        <f t="shared" si="671"/>
        <v>0</v>
      </c>
      <c r="AK607" s="17">
        <f t="shared" si="672"/>
        <v>0</v>
      </c>
      <c r="AL607" s="17">
        <f t="shared" si="673"/>
        <v>0</v>
      </c>
      <c r="AN607" s="17">
        <v>12</v>
      </c>
      <c r="AO607" s="17">
        <f>H607*0</f>
        <v>0</v>
      </c>
      <c r="AP607" s="17">
        <f>H607*(1-0)</f>
        <v>0</v>
      </c>
      <c r="AQ607" s="76" t="s">
        <v>585</v>
      </c>
      <c r="AV607" s="17">
        <f t="shared" si="674"/>
        <v>0</v>
      </c>
      <c r="AW607" s="17">
        <f t="shared" si="675"/>
        <v>0</v>
      </c>
      <c r="AX607" s="17">
        <f t="shared" si="676"/>
        <v>0</v>
      </c>
      <c r="AY607" s="76" t="s">
        <v>1077</v>
      </c>
      <c r="AZ607" s="76" t="s">
        <v>1151</v>
      </c>
      <c r="BA607" s="14" t="s">
        <v>1125</v>
      </c>
      <c r="BC607" s="17">
        <f t="shared" si="677"/>
        <v>0</v>
      </c>
      <c r="BD607" s="17">
        <f t="shared" si="678"/>
        <v>0</v>
      </c>
      <c r="BE607" s="17">
        <v>0</v>
      </c>
      <c r="BF607" s="17">
        <f t="shared" si="679"/>
        <v>0</v>
      </c>
      <c r="BH607" s="17">
        <f t="shared" si="680"/>
        <v>0</v>
      </c>
      <c r="BI607" s="17">
        <f t="shared" si="681"/>
        <v>0</v>
      </c>
      <c r="BJ607" s="17">
        <f t="shared" si="682"/>
        <v>0</v>
      </c>
      <c r="BK607" s="17"/>
      <c r="BL607" s="17">
        <v>781</v>
      </c>
      <c r="BW607" s="17">
        <f t="shared" si="683"/>
        <v>12</v>
      </c>
      <c r="BX607" s="4" t="s">
        <v>405</v>
      </c>
    </row>
    <row r="608" spans="1:76" x14ac:dyDescent="0.25">
      <c r="A608" s="71" t="s">
        <v>25</v>
      </c>
      <c r="B608" s="13" t="s">
        <v>456</v>
      </c>
      <c r="C608" s="13" t="s">
        <v>406</v>
      </c>
      <c r="D608" s="135" t="s">
        <v>407</v>
      </c>
      <c r="E608" s="136"/>
      <c r="F608" s="72" t="s">
        <v>23</v>
      </c>
      <c r="G608" s="72" t="s">
        <v>23</v>
      </c>
      <c r="H608" s="72" t="s">
        <v>23</v>
      </c>
      <c r="I608" s="72" t="s">
        <v>23</v>
      </c>
      <c r="J608" s="47">
        <f>SUM(J609:J610)</f>
        <v>0</v>
      </c>
      <c r="K608" s="47">
        <f>SUM(K609:K610)</f>
        <v>0</v>
      </c>
      <c r="L608" s="47">
        <f>SUM(L609:L610)</f>
        <v>0</v>
      </c>
      <c r="M608" s="47">
        <f>SUM(M609:M610)</f>
        <v>0</v>
      </c>
      <c r="N608" s="14" t="s">
        <v>25</v>
      </c>
      <c r="O608" s="47">
        <f>SUM(O609:O610)</f>
        <v>1.4132E-2</v>
      </c>
      <c r="P608" s="73" t="s">
        <v>25</v>
      </c>
      <c r="AI608" s="14" t="s">
        <v>456</v>
      </c>
      <c r="AS608" s="47">
        <f>SUM(AJ609:AJ610)</f>
        <v>0</v>
      </c>
      <c r="AT608" s="47">
        <f>SUM(AK609:AK610)</f>
        <v>0</v>
      </c>
      <c r="AU608" s="47">
        <f>SUM(AL609:AL610)</f>
        <v>0</v>
      </c>
    </row>
    <row r="609" spans="1:76" x14ac:dyDescent="0.25">
      <c r="A609" s="1" t="s">
        <v>1157</v>
      </c>
      <c r="B609" s="2" t="s">
        <v>456</v>
      </c>
      <c r="C609" s="2" t="s">
        <v>408</v>
      </c>
      <c r="D609" s="83" t="s">
        <v>409</v>
      </c>
      <c r="E609" s="84"/>
      <c r="F609" s="2" t="s">
        <v>354</v>
      </c>
      <c r="G609" s="17">
        <f>'Rozpočet - vybrané sloupce'!J522</f>
        <v>4.2</v>
      </c>
      <c r="H609" s="17">
        <f>'Rozpočet - vybrané sloupce'!K522</f>
        <v>0</v>
      </c>
      <c r="I609" s="74">
        <v>12</v>
      </c>
      <c r="J609" s="17">
        <f>ROUND(G609*AO609,2)</f>
        <v>0</v>
      </c>
      <c r="K609" s="17">
        <f>ROUND(G609*AP609,2)</f>
        <v>0</v>
      </c>
      <c r="L609" s="17">
        <f>ROUND(G609*H609,2)</f>
        <v>0</v>
      </c>
      <c r="M609" s="17">
        <f>L609*(1+BW609/100)</f>
        <v>0</v>
      </c>
      <c r="N609" s="17">
        <v>1.4599999999999999E-3</v>
      </c>
      <c r="O609" s="17">
        <f>G609*N609</f>
        <v>6.1320000000000003E-3</v>
      </c>
      <c r="P609" s="75" t="s">
        <v>576</v>
      </c>
      <c r="Z609" s="17">
        <f>ROUND(IF(AQ609="5",BJ609,0),2)</f>
        <v>0</v>
      </c>
      <c r="AB609" s="17">
        <f>ROUND(IF(AQ609="1",BH609,0),2)</f>
        <v>0</v>
      </c>
      <c r="AC609" s="17">
        <f>ROUND(IF(AQ609="1",BI609,0),2)</f>
        <v>0</v>
      </c>
      <c r="AD609" s="17">
        <f>ROUND(IF(AQ609="7",BH609,0),2)</f>
        <v>0</v>
      </c>
      <c r="AE609" s="17">
        <f>ROUND(IF(AQ609="7",BI609,0),2)</f>
        <v>0</v>
      </c>
      <c r="AF609" s="17">
        <f>ROUND(IF(AQ609="2",BH609,0),2)</f>
        <v>0</v>
      </c>
      <c r="AG609" s="17">
        <f>ROUND(IF(AQ609="2",BI609,0),2)</f>
        <v>0</v>
      </c>
      <c r="AH609" s="17">
        <f>ROUND(IF(AQ609="0",BJ609,0),2)</f>
        <v>0</v>
      </c>
      <c r="AI609" s="14" t="s">
        <v>456</v>
      </c>
      <c r="AJ609" s="17">
        <f>IF(AN609=0,L609,0)</f>
        <v>0</v>
      </c>
      <c r="AK609" s="17">
        <f>IF(AN609=12,L609,0)</f>
        <v>0</v>
      </c>
      <c r="AL609" s="17">
        <f>IF(AN609=21,L609,0)</f>
        <v>0</v>
      </c>
      <c r="AN609" s="17">
        <v>12</v>
      </c>
      <c r="AO609" s="17">
        <f>H609*0</f>
        <v>0</v>
      </c>
      <c r="AP609" s="17">
        <f>H609*(1-0)</f>
        <v>0</v>
      </c>
      <c r="AQ609" s="76" t="s">
        <v>577</v>
      </c>
      <c r="AV609" s="17">
        <f>ROUND(AW609+AX609,2)</f>
        <v>0</v>
      </c>
      <c r="AW609" s="17">
        <f>ROUND(G609*AO609,2)</f>
        <v>0</v>
      </c>
      <c r="AX609" s="17">
        <f>ROUND(G609*AP609,2)</f>
        <v>0</v>
      </c>
      <c r="AY609" s="76" t="s">
        <v>1089</v>
      </c>
      <c r="AZ609" s="76" t="s">
        <v>1151</v>
      </c>
      <c r="BA609" s="14" t="s">
        <v>1125</v>
      </c>
      <c r="BC609" s="17">
        <f>AW609+AX609</f>
        <v>0</v>
      </c>
      <c r="BD609" s="17">
        <f>H609/(100-BE609)*100</f>
        <v>0</v>
      </c>
      <c r="BE609" s="17">
        <v>0</v>
      </c>
      <c r="BF609" s="17">
        <f>O609</f>
        <v>6.1320000000000003E-3</v>
      </c>
      <c r="BH609" s="17">
        <f>G609*AO609</f>
        <v>0</v>
      </c>
      <c r="BI609" s="17">
        <f>G609*AP609</f>
        <v>0</v>
      </c>
      <c r="BJ609" s="17">
        <f>G609*H609</f>
        <v>0</v>
      </c>
      <c r="BK609" s="17"/>
      <c r="BL609" s="17">
        <v>783</v>
      </c>
      <c r="BW609" s="17">
        <f>I609</f>
        <v>12</v>
      </c>
      <c r="BX609" s="4" t="s">
        <v>409</v>
      </c>
    </row>
    <row r="610" spans="1:76" x14ac:dyDescent="0.25">
      <c r="A610" s="1" t="s">
        <v>1158</v>
      </c>
      <c r="B610" s="2" t="s">
        <v>456</v>
      </c>
      <c r="C610" s="2" t="s">
        <v>410</v>
      </c>
      <c r="D610" s="83" t="s">
        <v>411</v>
      </c>
      <c r="E610" s="84"/>
      <c r="F610" s="2" t="s">
        <v>412</v>
      </c>
      <c r="G610" s="17">
        <f>'Rozpočet - vybrané sloupce'!J523</f>
        <v>8</v>
      </c>
      <c r="H610" s="17">
        <f>'Rozpočet - vybrané sloupce'!K523</f>
        <v>0</v>
      </c>
      <c r="I610" s="74">
        <v>12</v>
      </c>
      <c r="J610" s="17">
        <f>ROUND(G610*AO610,2)</f>
        <v>0</v>
      </c>
      <c r="K610" s="17">
        <f>ROUND(G610*AP610,2)</f>
        <v>0</v>
      </c>
      <c r="L610" s="17">
        <f>ROUND(G610*H610,2)</f>
        <v>0</v>
      </c>
      <c r="M610" s="17">
        <f>L610*(1+BW610/100)</f>
        <v>0</v>
      </c>
      <c r="N610" s="17">
        <v>1E-3</v>
      </c>
      <c r="O610" s="17">
        <f>G610*N610</f>
        <v>8.0000000000000002E-3</v>
      </c>
      <c r="P610" s="75" t="s">
        <v>576</v>
      </c>
      <c r="Z610" s="17">
        <f>ROUND(IF(AQ610="5",BJ610,0),2)</f>
        <v>0</v>
      </c>
      <c r="AB610" s="17">
        <f>ROUND(IF(AQ610="1",BH610,0),2)</f>
        <v>0</v>
      </c>
      <c r="AC610" s="17">
        <f>ROUND(IF(AQ610="1",BI610,0),2)</f>
        <v>0</v>
      </c>
      <c r="AD610" s="17">
        <f>ROUND(IF(AQ610="7",BH610,0),2)</f>
        <v>0</v>
      </c>
      <c r="AE610" s="17">
        <f>ROUND(IF(AQ610="7",BI610,0),2)</f>
        <v>0</v>
      </c>
      <c r="AF610" s="17">
        <f>ROUND(IF(AQ610="2",BH610,0),2)</f>
        <v>0</v>
      </c>
      <c r="AG610" s="17">
        <f>ROUND(IF(AQ610="2",BI610,0),2)</f>
        <v>0</v>
      </c>
      <c r="AH610" s="17">
        <f>ROUND(IF(AQ610="0",BJ610,0),2)</f>
        <v>0</v>
      </c>
      <c r="AI610" s="14" t="s">
        <v>456</v>
      </c>
      <c r="AJ610" s="17">
        <f>IF(AN610=0,L610,0)</f>
        <v>0</v>
      </c>
      <c r="AK610" s="17">
        <f>IF(AN610=12,L610,0)</f>
        <v>0</v>
      </c>
      <c r="AL610" s="17">
        <f>IF(AN610=21,L610,0)</f>
        <v>0</v>
      </c>
      <c r="AN610" s="17">
        <v>12</v>
      </c>
      <c r="AO610" s="17">
        <f>H610*1</f>
        <v>0</v>
      </c>
      <c r="AP610" s="17">
        <f>H610*(1-1)</f>
        <v>0</v>
      </c>
      <c r="AQ610" s="76" t="s">
        <v>577</v>
      </c>
      <c r="AV610" s="17">
        <f>ROUND(AW610+AX610,2)</f>
        <v>0</v>
      </c>
      <c r="AW610" s="17">
        <f>ROUND(G610*AO610,2)</f>
        <v>0</v>
      </c>
      <c r="AX610" s="17">
        <f>ROUND(G610*AP610,2)</f>
        <v>0</v>
      </c>
      <c r="AY610" s="76" t="s">
        <v>1089</v>
      </c>
      <c r="AZ610" s="76" t="s">
        <v>1151</v>
      </c>
      <c r="BA610" s="14" t="s">
        <v>1125</v>
      </c>
      <c r="BC610" s="17">
        <f>AW610+AX610</f>
        <v>0</v>
      </c>
      <c r="BD610" s="17">
        <f>H610/(100-BE610)*100</f>
        <v>0</v>
      </c>
      <c r="BE610" s="17">
        <v>0</v>
      </c>
      <c r="BF610" s="17">
        <f>O610</f>
        <v>8.0000000000000002E-3</v>
      </c>
      <c r="BH610" s="17">
        <f>G610*AO610</f>
        <v>0</v>
      </c>
      <c r="BI610" s="17">
        <f>G610*AP610</f>
        <v>0</v>
      </c>
      <c r="BJ610" s="17">
        <f>G610*H610</f>
        <v>0</v>
      </c>
      <c r="BK610" s="17"/>
      <c r="BL610" s="17">
        <v>783</v>
      </c>
      <c r="BW610" s="17">
        <f>I610</f>
        <v>12</v>
      </c>
      <c r="BX610" s="4" t="s">
        <v>411</v>
      </c>
    </row>
    <row r="611" spans="1:76" x14ac:dyDescent="0.25">
      <c r="A611" s="71" t="s">
        <v>25</v>
      </c>
      <c r="B611" s="13" t="s">
        <v>456</v>
      </c>
      <c r="C611" s="13" t="s">
        <v>413</v>
      </c>
      <c r="D611" s="135" t="s">
        <v>414</v>
      </c>
      <c r="E611" s="136"/>
      <c r="F611" s="72" t="s">
        <v>23</v>
      </c>
      <c r="G611" s="72" t="s">
        <v>23</v>
      </c>
      <c r="H611" s="72" t="s">
        <v>23</v>
      </c>
      <c r="I611" s="72" t="s">
        <v>23</v>
      </c>
      <c r="J611" s="47">
        <f>SUM(J612:J612)</f>
        <v>0</v>
      </c>
      <c r="K611" s="47">
        <f>SUM(K612:K612)</f>
        <v>0</v>
      </c>
      <c r="L611" s="47">
        <f>SUM(L612:L612)</f>
        <v>0</v>
      </c>
      <c r="M611" s="47">
        <f>SUM(M612:M612)</f>
        <v>0</v>
      </c>
      <c r="N611" s="14" t="s">
        <v>25</v>
      </c>
      <c r="O611" s="47">
        <f>SUM(O612:O612)</f>
        <v>1.404E-2</v>
      </c>
      <c r="P611" s="73" t="s">
        <v>25</v>
      </c>
      <c r="AI611" s="14" t="s">
        <v>456</v>
      </c>
      <c r="AS611" s="47">
        <f>SUM(AJ612:AJ612)</f>
        <v>0</v>
      </c>
      <c r="AT611" s="47">
        <f>SUM(AK612:AK612)</f>
        <v>0</v>
      </c>
      <c r="AU611" s="47">
        <f>SUM(AL612:AL612)</f>
        <v>0</v>
      </c>
    </row>
    <row r="612" spans="1:76" x14ac:dyDescent="0.25">
      <c r="A612" s="1" t="s">
        <v>1159</v>
      </c>
      <c r="B612" s="2" t="s">
        <v>456</v>
      </c>
      <c r="C612" s="2" t="s">
        <v>415</v>
      </c>
      <c r="D612" s="83" t="s">
        <v>416</v>
      </c>
      <c r="E612" s="84"/>
      <c r="F612" s="2" t="s">
        <v>354</v>
      </c>
      <c r="G612" s="17">
        <f>'Rozpočet - vybrané sloupce'!J525</f>
        <v>36</v>
      </c>
      <c r="H612" s="17">
        <f>'Rozpočet - vybrané sloupce'!K525</f>
        <v>0</v>
      </c>
      <c r="I612" s="74">
        <v>12</v>
      </c>
      <c r="J612" s="17">
        <f>ROUND(G612*AO612,2)</f>
        <v>0</v>
      </c>
      <c r="K612" s="17">
        <f>ROUND(G612*AP612,2)</f>
        <v>0</v>
      </c>
      <c r="L612" s="17">
        <f>ROUND(G612*H612,2)</f>
        <v>0</v>
      </c>
      <c r="M612" s="17">
        <f>L612*(1+BW612/100)</f>
        <v>0</v>
      </c>
      <c r="N612" s="17">
        <v>3.8999999999999999E-4</v>
      </c>
      <c r="O612" s="17">
        <f>G612*N612</f>
        <v>1.404E-2</v>
      </c>
      <c r="P612" s="75" t="s">
        <v>576</v>
      </c>
      <c r="Z612" s="17">
        <f>ROUND(IF(AQ612="5",BJ612,0),2)</f>
        <v>0</v>
      </c>
      <c r="AB612" s="17">
        <f>ROUND(IF(AQ612="1",BH612,0),2)</f>
        <v>0</v>
      </c>
      <c r="AC612" s="17">
        <f>ROUND(IF(AQ612="1",BI612,0),2)</f>
        <v>0</v>
      </c>
      <c r="AD612" s="17">
        <f>ROUND(IF(AQ612="7",BH612,0),2)</f>
        <v>0</v>
      </c>
      <c r="AE612" s="17">
        <f>ROUND(IF(AQ612="7",BI612,0),2)</f>
        <v>0</v>
      </c>
      <c r="AF612" s="17">
        <f>ROUND(IF(AQ612="2",BH612,0),2)</f>
        <v>0</v>
      </c>
      <c r="AG612" s="17">
        <f>ROUND(IF(AQ612="2",BI612,0),2)</f>
        <v>0</v>
      </c>
      <c r="AH612" s="17">
        <f>ROUND(IF(AQ612="0",BJ612,0),2)</f>
        <v>0</v>
      </c>
      <c r="AI612" s="14" t="s">
        <v>456</v>
      </c>
      <c r="AJ612" s="17">
        <f>IF(AN612=0,L612,0)</f>
        <v>0</v>
      </c>
      <c r="AK612" s="17">
        <f>IF(AN612=12,L612,0)</f>
        <v>0</v>
      </c>
      <c r="AL612" s="17">
        <f>IF(AN612=21,L612,0)</f>
        <v>0</v>
      </c>
      <c r="AN612" s="17">
        <v>12</v>
      </c>
      <c r="AO612" s="17">
        <f>H612*0.201519693</f>
        <v>0</v>
      </c>
      <c r="AP612" s="17">
        <f>H612*(1-0.201519693)</f>
        <v>0</v>
      </c>
      <c r="AQ612" s="76" t="s">
        <v>577</v>
      </c>
      <c r="AV612" s="17">
        <f>ROUND(AW612+AX612,2)</f>
        <v>0</v>
      </c>
      <c r="AW612" s="17">
        <f>ROUND(G612*AO612,2)</f>
        <v>0</v>
      </c>
      <c r="AX612" s="17">
        <f>ROUND(G612*AP612,2)</f>
        <v>0</v>
      </c>
      <c r="AY612" s="76" t="s">
        <v>1093</v>
      </c>
      <c r="AZ612" s="76" t="s">
        <v>1151</v>
      </c>
      <c r="BA612" s="14" t="s">
        <v>1125</v>
      </c>
      <c r="BC612" s="17">
        <f>AW612+AX612</f>
        <v>0</v>
      </c>
      <c r="BD612" s="17">
        <f>H612/(100-BE612)*100</f>
        <v>0</v>
      </c>
      <c r="BE612" s="17">
        <v>0</v>
      </c>
      <c r="BF612" s="17">
        <f>O612</f>
        <v>1.404E-2</v>
      </c>
      <c r="BH612" s="17">
        <f>G612*AO612</f>
        <v>0</v>
      </c>
      <c r="BI612" s="17">
        <f>G612*AP612</f>
        <v>0</v>
      </c>
      <c r="BJ612" s="17">
        <f>G612*H612</f>
        <v>0</v>
      </c>
      <c r="BK612" s="17"/>
      <c r="BL612" s="17">
        <v>784</v>
      </c>
      <c r="BW612" s="17">
        <f>I612</f>
        <v>12</v>
      </c>
      <c r="BX612" s="4" t="s">
        <v>416</v>
      </c>
    </row>
    <row r="613" spans="1:76" x14ac:dyDescent="0.25">
      <c r="A613" s="71" t="s">
        <v>25</v>
      </c>
      <c r="B613" s="13" t="s">
        <v>456</v>
      </c>
      <c r="C613" s="13" t="s">
        <v>417</v>
      </c>
      <c r="D613" s="135" t="s">
        <v>418</v>
      </c>
      <c r="E613" s="136"/>
      <c r="F613" s="72" t="s">
        <v>23</v>
      </c>
      <c r="G613" s="72" t="s">
        <v>23</v>
      </c>
      <c r="H613" s="72" t="s">
        <v>23</v>
      </c>
      <c r="I613" s="72" t="s">
        <v>23</v>
      </c>
      <c r="J613" s="47" t="e">
        <f>SUM(J614:J614)</f>
        <v>#REF!</v>
      </c>
      <c r="K613" s="47" t="e">
        <f>SUM(K614:K614)</f>
        <v>#REF!</v>
      </c>
      <c r="L613" s="47" t="e">
        <f>SUM(L614:L614)</f>
        <v>#REF!</v>
      </c>
      <c r="M613" s="47" t="e">
        <f>SUM(M614:M614)</f>
        <v>#REF!</v>
      </c>
      <c r="N613" s="14" t="s">
        <v>25</v>
      </c>
      <c r="O613" s="47" t="e">
        <f>SUM(O614:O614)</f>
        <v>#REF!</v>
      </c>
      <c r="P613" s="73" t="s">
        <v>25</v>
      </c>
      <c r="AI613" s="14" t="s">
        <v>456</v>
      </c>
      <c r="AS613" s="47">
        <f>SUM(AJ614:AJ614)</f>
        <v>0</v>
      </c>
      <c r="AT613" s="47" t="e">
        <f>SUM(AK614:AK614)</f>
        <v>#REF!</v>
      </c>
      <c r="AU613" s="47">
        <f>SUM(AL614:AL614)</f>
        <v>0</v>
      </c>
    </row>
    <row r="614" spans="1:76" x14ac:dyDescent="0.25">
      <c r="A614" s="1" t="s">
        <v>1160</v>
      </c>
      <c r="B614" s="2" t="s">
        <v>456</v>
      </c>
      <c r="C614" s="2" t="s">
        <v>419</v>
      </c>
      <c r="D614" s="83" t="s">
        <v>420</v>
      </c>
      <c r="E614" s="84"/>
      <c r="F614" s="2" t="s">
        <v>354</v>
      </c>
      <c r="G614" s="17" t="e">
        <f>'Rozpočet - vybrané sloupce'!#REF!</f>
        <v>#REF!</v>
      </c>
      <c r="H614" s="17" t="e">
        <f>'Rozpočet - vybrané sloupce'!#REF!</f>
        <v>#REF!</v>
      </c>
      <c r="I614" s="74">
        <v>12</v>
      </c>
      <c r="J614" s="17" t="e">
        <f>ROUND(G614*AO614,2)</f>
        <v>#REF!</v>
      </c>
      <c r="K614" s="17" t="e">
        <f>ROUND(G614*AP614,2)</f>
        <v>#REF!</v>
      </c>
      <c r="L614" s="17" t="e">
        <f>ROUND(G614*H614,2)</f>
        <v>#REF!</v>
      </c>
      <c r="M614" s="17" t="e">
        <f>L614*(1+BW614/100)</f>
        <v>#REF!</v>
      </c>
      <c r="N614" s="17">
        <v>0</v>
      </c>
      <c r="O614" s="17" t="e">
        <f>G614*N614</f>
        <v>#REF!</v>
      </c>
      <c r="P614" s="75" t="s">
        <v>576</v>
      </c>
      <c r="Z614" s="17">
        <f>ROUND(IF(AQ614="5",BJ614,0),2)</f>
        <v>0</v>
      </c>
      <c r="AB614" s="17" t="e">
        <f>ROUND(IF(AQ614="1",BH614,0),2)</f>
        <v>#REF!</v>
      </c>
      <c r="AC614" s="17" t="e">
        <f>ROUND(IF(AQ614="1",BI614,0),2)</f>
        <v>#REF!</v>
      </c>
      <c r="AD614" s="17">
        <f>ROUND(IF(AQ614="7",BH614,0),2)</f>
        <v>0</v>
      </c>
      <c r="AE614" s="17">
        <f>ROUND(IF(AQ614="7",BI614,0),2)</f>
        <v>0</v>
      </c>
      <c r="AF614" s="17">
        <f>ROUND(IF(AQ614="2",BH614,0),2)</f>
        <v>0</v>
      </c>
      <c r="AG614" s="17">
        <f>ROUND(IF(AQ614="2",BI614,0),2)</f>
        <v>0</v>
      </c>
      <c r="AH614" s="17">
        <f>ROUND(IF(AQ614="0",BJ614,0),2)</f>
        <v>0</v>
      </c>
      <c r="AI614" s="14" t="s">
        <v>456</v>
      </c>
      <c r="AJ614" s="17">
        <f>IF(AN614=0,L614,0)</f>
        <v>0</v>
      </c>
      <c r="AK614" s="17" t="e">
        <f>IF(AN614=12,L614,0)</f>
        <v>#REF!</v>
      </c>
      <c r="AL614" s="17">
        <f>IF(AN614=21,L614,0)</f>
        <v>0</v>
      </c>
      <c r="AN614" s="17">
        <v>12</v>
      </c>
      <c r="AO614" s="17" t="e">
        <f>H614*0</f>
        <v>#REF!</v>
      </c>
      <c r="AP614" s="17" t="e">
        <f>H614*(1-0)</f>
        <v>#REF!</v>
      </c>
      <c r="AQ614" s="76" t="s">
        <v>575</v>
      </c>
      <c r="AV614" s="17" t="e">
        <f>ROUND(AW614+AX614,2)</f>
        <v>#REF!</v>
      </c>
      <c r="AW614" s="17" t="e">
        <f>ROUND(G614*AO614,2)</f>
        <v>#REF!</v>
      </c>
      <c r="AX614" s="17" t="e">
        <f>ROUND(G614*AP614,2)</f>
        <v>#REF!</v>
      </c>
      <c r="AY614" s="76" t="s">
        <v>1095</v>
      </c>
      <c r="AZ614" s="76" t="s">
        <v>1161</v>
      </c>
      <c r="BA614" s="14" t="s">
        <v>1125</v>
      </c>
      <c r="BC614" s="17" t="e">
        <f>AW614+AX614</f>
        <v>#REF!</v>
      </c>
      <c r="BD614" s="17" t="e">
        <f>H614/(100-BE614)*100</f>
        <v>#REF!</v>
      </c>
      <c r="BE614" s="17">
        <v>0</v>
      </c>
      <c r="BF614" s="17" t="e">
        <f>O614</f>
        <v>#REF!</v>
      </c>
      <c r="BH614" s="17" t="e">
        <f>G614*AO614</f>
        <v>#REF!</v>
      </c>
      <c r="BI614" s="17" t="e">
        <f>G614*AP614</f>
        <v>#REF!</v>
      </c>
      <c r="BJ614" s="17" t="e">
        <f>G614*H614</f>
        <v>#REF!</v>
      </c>
      <c r="BK614" s="17"/>
      <c r="BL614" s="17">
        <v>95</v>
      </c>
      <c r="BW614" s="17">
        <f>I614</f>
        <v>12</v>
      </c>
      <c r="BX614" s="4" t="s">
        <v>420</v>
      </c>
    </row>
    <row r="615" spans="1:76" x14ac:dyDescent="0.25">
      <c r="A615" s="71" t="s">
        <v>25</v>
      </c>
      <c r="B615" s="13" t="s">
        <v>456</v>
      </c>
      <c r="C615" s="13" t="s">
        <v>421</v>
      </c>
      <c r="D615" s="135" t="s">
        <v>422</v>
      </c>
      <c r="E615" s="136"/>
      <c r="F615" s="72" t="s">
        <v>23</v>
      </c>
      <c r="G615" s="72" t="s">
        <v>23</v>
      </c>
      <c r="H615" s="72" t="s">
        <v>23</v>
      </c>
      <c r="I615" s="72" t="s">
        <v>23</v>
      </c>
      <c r="J615" s="47">
        <f>SUM(J616:J616)</f>
        <v>0</v>
      </c>
      <c r="K615" s="47">
        <f>SUM(K616:K616)</f>
        <v>0</v>
      </c>
      <c r="L615" s="47">
        <f>SUM(L616:L616)</f>
        <v>0</v>
      </c>
      <c r="M615" s="47">
        <f>SUM(M616:M616)</f>
        <v>0</v>
      </c>
      <c r="N615" s="14" t="s">
        <v>25</v>
      </c>
      <c r="O615" s="47">
        <f>SUM(O616:O616)</f>
        <v>3.0255270000000003</v>
      </c>
      <c r="P615" s="73" t="s">
        <v>25</v>
      </c>
      <c r="AI615" s="14" t="s">
        <v>456</v>
      </c>
      <c r="AS615" s="47">
        <f>SUM(AJ616:AJ616)</f>
        <v>0</v>
      </c>
      <c r="AT615" s="47">
        <f>SUM(AK616:AK616)</f>
        <v>0</v>
      </c>
      <c r="AU615" s="47">
        <f>SUM(AL616:AL616)</f>
        <v>0</v>
      </c>
    </row>
    <row r="616" spans="1:76" x14ac:dyDescent="0.25">
      <c r="A616" s="1" t="s">
        <v>1162</v>
      </c>
      <c r="B616" s="2" t="s">
        <v>456</v>
      </c>
      <c r="C616" s="2" t="s">
        <v>423</v>
      </c>
      <c r="D616" s="83" t="s">
        <v>424</v>
      </c>
      <c r="E616" s="84"/>
      <c r="F616" s="2" t="s">
        <v>354</v>
      </c>
      <c r="G616" s="17">
        <f>'Rozpočet - vybrané sloupce'!J527</f>
        <v>28.1</v>
      </c>
      <c r="H616" s="17">
        <f>'Rozpočet - vybrané sloupce'!K527</f>
        <v>0</v>
      </c>
      <c r="I616" s="74">
        <v>12</v>
      </c>
      <c r="J616" s="17">
        <f>ROUND(G616*AO616,2)</f>
        <v>0</v>
      </c>
      <c r="K616" s="17">
        <f>ROUND(G616*AP616,2)</f>
        <v>0</v>
      </c>
      <c r="L616" s="17">
        <f>ROUND(G616*H616,2)</f>
        <v>0</v>
      </c>
      <c r="M616" s="17">
        <f>L616*(1+BW616/100)</f>
        <v>0</v>
      </c>
      <c r="N616" s="17">
        <v>0.10767</v>
      </c>
      <c r="O616" s="17">
        <f>G616*N616</f>
        <v>3.0255270000000003</v>
      </c>
      <c r="P616" s="75" t="s">
        <v>1098</v>
      </c>
      <c r="Z616" s="17">
        <f>ROUND(IF(AQ616="5",BJ616,0),2)</f>
        <v>0</v>
      </c>
      <c r="AB616" s="17">
        <f>ROUND(IF(AQ616="1",BH616,0),2)</f>
        <v>0</v>
      </c>
      <c r="AC616" s="17">
        <f>ROUND(IF(AQ616="1",BI616,0),2)</f>
        <v>0</v>
      </c>
      <c r="AD616" s="17">
        <f>ROUND(IF(AQ616="7",BH616,0),2)</f>
        <v>0</v>
      </c>
      <c r="AE616" s="17">
        <f>ROUND(IF(AQ616="7",BI616,0),2)</f>
        <v>0</v>
      </c>
      <c r="AF616" s="17">
        <f>ROUND(IF(AQ616="2",BH616,0),2)</f>
        <v>0</v>
      </c>
      <c r="AG616" s="17">
        <f>ROUND(IF(AQ616="2",BI616,0),2)</f>
        <v>0</v>
      </c>
      <c r="AH616" s="17">
        <f>ROUND(IF(AQ616="0",BJ616,0),2)</f>
        <v>0</v>
      </c>
      <c r="AI616" s="14" t="s">
        <v>456</v>
      </c>
      <c r="AJ616" s="17">
        <f>IF(AN616=0,L616,0)</f>
        <v>0</v>
      </c>
      <c r="AK616" s="17">
        <f>IF(AN616=12,L616,0)</f>
        <v>0</v>
      </c>
      <c r="AL616" s="17">
        <f>IF(AN616=21,L616,0)</f>
        <v>0</v>
      </c>
      <c r="AN616" s="17">
        <v>12</v>
      </c>
      <c r="AO616" s="17">
        <f>H616*0.197033562</f>
        <v>0</v>
      </c>
      <c r="AP616" s="17">
        <f>H616*(1-0.197033562)</f>
        <v>0</v>
      </c>
      <c r="AQ616" s="76" t="s">
        <v>575</v>
      </c>
      <c r="AV616" s="17">
        <f>ROUND(AW616+AX616,2)</f>
        <v>0</v>
      </c>
      <c r="AW616" s="17">
        <f>ROUND(G616*AO616,2)</f>
        <v>0</v>
      </c>
      <c r="AX616" s="17">
        <f>ROUND(G616*AP616,2)</f>
        <v>0</v>
      </c>
      <c r="AY616" s="76" t="s">
        <v>1099</v>
      </c>
      <c r="AZ616" s="76" t="s">
        <v>1161</v>
      </c>
      <c r="BA616" s="14" t="s">
        <v>1125</v>
      </c>
      <c r="BC616" s="17">
        <f>AW616+AX616</f>
        <v>0</v>
      </c>
      <c r="BD616" s="17">
        <f>H616/(100-BE616)*100</f>
        <v>0</v>
      </c>
      <c r="BE616" s="17">
        <v>0</v>
      </c>
      <c r="BF616" s="17">
        <f>O616</f>
        <v>3.0255270000000003</v>
      </c>
      <c r="BH616" s="17">
        <f>G616*AO616</f>
        <v>0</v>
      </c>
      <c r="BI616" s="17">
        <f>G616*AP616</f>
        <v>0</v>
      </c>
      <c r="BJ616" s="17">
        <f>G616*H616</f>
        <v>0</v>
      </c>
      <c r="BK616" s="17"/>
      <c r="BL616" s="17">
        <v>96</v>
      </c>
      <c r="BW616" s="17">
        <f>I616</f>
        <v>12</v>
      </c>
      <c r="BX616" s="4" t="s">
        <v>424</v>
      </c>
    </row>
    <row r="617" spans="1:76" x14ac:dyDescent="0.25">
      <c r="A617" s="71" t="s">
        <v>25</v>
      </c>
      <c r="B617" s="13" t="s">
        <v>456</v>
      </c>
      <c r="C617" s="13" t="s">
        <v>425</v>
      </c>
      <c r="D617" s="135" t="s">
        <v>426</v>
      </c>
      <c r="E617" s="136"/>
      <c r="F617" s="72" t="s">
        <v>23</v>
      </c>
      <c r="G617" s="72" t="s">
        <v>23</v>
      </c>
      <c r="H617" s="72" t="s">
        <v>23</v>
      </c>
      <c r="I617" s="72" t="s">
        <v>23</v>
      </c>
      <c r="J617" s="47" t="e">
        <f>SUM(J618:J622)</f>
        <v>#REF!</v>
      </c>
      <c r="K617" s="47" t="e">
        <f>SUM(K618:K622)</f>
        <v>#REF!</v>
      </c>
      <c r="L617" s="47" t="e">
        <f>SUM(L618:L622)</f>
        <v>#REF!</v>
      </c>
      <c r="M617" s="47" t="e">
        <f>SUM(M618:M622)</f>
        <v>#REF!</v>
      </c>
      <c r="N617" s="14" t="s">
        <v>25</v>
      </c>
      <c r="O617" s="47" t="e">
        <f>SUM(O618:O622)</f>
        <v>#REF!</v>
      </c>
      <c r="P617" s="73" t="s">
        <v>25</v>
      </c>
      <c r="AI617" s="14" t="s">
        <v>456</v>
      </c>
      <c r="AS617" s="47">
        <f>SUM(AJ618:AJ622)</f>
        <v>0</v>
      </c>
      <c r="AT617" s="47" t="e">
        <f>SUM(AK618:AK622)</f>
        <v>#REF!</v>
      </c>
      <c r="AU617" s="47">
        <f>SUM(AL618:AL622)</f>
        <v>0</v>
      </c>
    </row>
    <row r="618" spans="1:76" x14ac:dyDescent="0.25">
      <c r="A618" s="1" t="s">
        <v>1163</v>
      </c>
      <c r="B618" s="2" t="s">
        <v>456</v>
      </c>
      <c r="C618" s="2" t="s">
        <v>427</v>
      </c>
      <c r="D618" s="83" t="s">
        <v>428</v>
      </c>
      <c r="E618" s="84"/>
      <c r="F618" s="2" t="s">
        <v>35</v>
      </c>
      <c r="G618" s="17">
        <f>'Rozpočet - vybrané sloupce'!J529</f>
        <v>12</v>
      </c>
      <c r="H618" s="17">
        <f>'Rozpočet - vybrané sloupce'!K529</f>
        <v>0</v>
      </c>
      <c r="I618" s="74">
        <v>12</v>
      </c>
      <c r="J618" s="17">
        <f>ROUND(G618*AO618,2)</f>
        <v>0</v>
      </c>
      <c r="K618" s="17">
        <f>ROUND(G618*AP618,2)</f>
        <v>0</v>
      </c>
      <c r="L618" s="17">
        <f>ROUND(G618*H618,2)</f>
        <v>0</v>
      </c>
      <c r="M618" s="17">
        <f>L618*(1+BW618/100)</f>
        <v>0</v>
      </c>
      <c r="N618" s="17">
        <v>0.09</v>
      </c>
      <c r="O618" s="17">
        <f>G618*N618</f>
        <v>1.08</v>
      </c>
      <c r="P618" s="75" t="s">
        <v>576</v>
      </c>
      <c r="Z618" s="17">
        <f>ROUND(IF(AQ618="5",BJ618,0),2)</f>
        <v>0</v>
      </c>
      <c r="AB618" s="17">
        <f>ROUND(IF(AQ618="1",BH618,0),2)</f>
        <v>0</v>
      </c>
      <c r="AC618" s="17">
        <f>ROUND(IF(AQ618="1",BI618,0),2)</f>
        <v>0</v>
      </c>
      <c r="AD618" s="17">
        <f>ROUND(IF(AQ618="7",BH618,0),2)</f>
        <v>0</v>
      </c>
      <c r="AE618" s="17">
        <f>ROUND(IF(AQ618="7",BI618,0),2)</f>
        <v>0</v>
      </c>
      <c r="AF618" s="17">
        <f>ROUND(IF(AQ618="2",BH618,0),2)</f>
        <v>0</v>
      </c>
      <c r="AG618" s="17">
        <f>ROUND(IF(AQ618="2",BI618,0),2)</f>
        <v>0</v>
      </c>
      <c r="AH618" s="17">
        <f>ROUND(IF(AQ618="0",BJ618,0),2)</f>
        <v>0</v>
      </c>
      <c r="AI618" s="14" t="s">
        <v>456</v>
      </c>
      <c r="AJ618" s="17">
        <f>IF(AN618=0,L618,0)</f>
        <v>0</v>
      </c>
      <c r="AK618" s="17">
        <f>IF(AN618=12,L618,0)</f>
        <v>0</v>
      </c>
      <c r="AL618" s="17">
        <f>IF(AN618=21,L618,0)</f>
        <v>0</v>
      </c>
      <c r="AN618" s="17">
        <v>12</v>
      </c>
      <c r="AO618" s="17">
        <f>H618*0</f>
        <v>0</v>
      </c>
      <c r="AP618" s="17">
        <f>H618*(1-0)</f>
        <v>0</v>
      </c>
      <c r="AQ618" s="76" t="s">
        <v>575</v>
      </c>
      <c r="AV618" s="17">
        <f>ROUND(AW618+AX618,2)</f>
        <v>0</v>
      </c>
      <c r="AW618" s="17">
        <f>ROUND(G618*AO618,2)</f>
        <v>0</v>
      </c>
      <c r="AX618" s="17">
        <f>ROUND(G618*AP618,2)</f>
        <v>0</v>
      </c>
      <c r="AY618" s="76" t="s">
        <v>1101</v>
      </c>
      <c r="AZ618" s="76" t="s">
        <v>1161</v>
      </c>
      <c r="BA618" s="14" t="s">
        <v>1125</v>
      </c>
      <c r="BC618" s="17">
        <f>AW618+AX618</f>
        <v>0</v>
      </c>
      <c r="BD618" s="17">
        <f>H618/(100-BE618)*100</f>
        <v>0</v>
      </c>
      <c r="BE618" s="17">
        <v>0</v>
      </c>
      <c r="BF618" s="17">
        <f>O618</f>
        <v>1.08</v>
      </c>
      <c r="BH618" s="17">
        <f>G618*AO618</f>
        <v>0</v>
      </c>
      <c r="BI618" s="17">
        <f>G618*AP618</f>
        <v>0</v>
      </c>
      <c r="BJ618" s="17">
        <f>G618*H618</f>
        <v>0</v>
      </c>
      <c r="BK618" s="17"/>
      <c r="BL618" s="17">
        <v>97</v>
      </c>
      <c r="BW618" s="17">
        <f>I618</f>
        <v>12</v>
      </c>
      <c r="BX618" s="4" t="s">
        <v>428</v>
      </c>
    </row>
    <row r="619" spans="1:76" x14ac:dyDescent="0.25">
      <c r="A619" s="1" t="s">
        <v>1164</v>
      </c>
      <c r="B619" s="2" t="s">
        <v>456</v>
      </c>
      <c r="C619" s="2" t="s">
        <v>429</v>
      </c>
      <c r="D619" s="83" t="s">
        <v>430</v>
      </c>
      <c r="E619" s="84"/>
      <c r="F619" s="2" t="s">
        <v>31</v>
      </c>
      <c r="G619" s="17">
        <f>'Rozpočet - vybrané sloupce'!J530</f>
        <v>4.8</v>
      </c>
      <c r="H619" s="17">
        <f>'Rozpočet - vybrané sloupce'!K530</f>
        <v>0</v>
      </c>
      <c r="I619" s="74">
        <v>12</v>
      </c>
      <c r="J619" s="17">
        <f>ROUND(G619*AO619,2)</f>
        <v>0</v>
      </c>
      <c r="K619" s="17">
        <f>ROUND(G619*AP619,2)</f>
        <v>0</v>
      </c>
      <c r="L619" s="17">
        <f>ROUND(G619*H619,2)</f>
        <v>0</v>
      </c>
      <c r="M619" s="17">
        <f>L619*(1+BW619/100)</f>
        <v>0</v>
      </c>
      <c r="N619" s="17">
        <v>2.1239999999999998E-2</v>
      </c>
      <c r="O619" s="17">
        <f>G619*N619</f>
        <v>0.10195199999999999</v>
      </c>
      <c r="P619" s="75" t="s">
        <v>576</v>
      </c>
      <c r="Z619" s="17">
        <f>ROUND(IF(AQ619="5",BJ619,0),2)</f>
        <v>0</v>
      </c>
      <c r="AB619" s="17">
        <f>ROUND(IF(AQ619="1",BH619,0),2)</f>
        <v>0</v>
      </c>
      <c r="AC619" s="17">
        <f>ROUND(IF(AQ619="1",BI619,0),2)</f>
        <v>0</v>
      </c>
      <c r="AD619" s="17">
        <f>ROUND(IF(AQ619="7",BH619,0),2)</f>
        <v>0</v>
      </c>
      <c r="AE619" s="17">
        <f>ROUND(IF(AQ619="7",BI619,0),2)</f>
        <v>0</v>
      </c>
      <c r="AF619" s="17">
        <f>ROUND(IF(AQ619="2",BH619,0),2)</f>
        <v>0</v>
      </c>
      <c r="AG619" s="17">
        <f>ROUND(IF(AQ619="2",BI619,0),2)</f>
        <v>0</v>
      </c>
      <c r="AH619" s="17">
        <f>ROUND(IF(AQ619="0",BJ619,0),2)</f>
        <v>0</v>
      </c>
      <c r="AI619" s="14" t="s">
        <v>456</v>
      </c>
      <c r="AJ619" s="17">
        <f>IF(AN619=0,L619,0)</f>
        <v>0</v>
      </c>
      <c r="AK619" s="17">
        <f>IF(AN619=12,L619,0)</f>
        <v>0</v>
      </c>
      <c r="AL619" s="17">
        <f>IF(AN619=21,L619,0)</f>
        <v>0</v>
      </c>
      <c r="AN619" s="17">
        <v>12</v>
      </c>
      <c r="AO619" s="17">
        <f>H619*0.298441161</f>
        <v>0</v>
      </c>
      <c r="AP619" s="17">
        <f>H619*(1-0.298441161)</f>
        <v>0</v>
      </c>
      <c r="AQ619" s="76" t="s">
        <v>575</v>
      </c>
      <c r="AV619" s="17">
        <f>ROUND(AW619+AX619,2)</f>
        <v>0</v>
      </c>
      <c r="AW619" s="17">
        <f>ROUND(G619*AO619,2)</f>
        <v>0</v>
      </c>
      <c r="AX619" s="17">
        <f>ROUND(G619*AP619,2)</f>
        <v>0</v>
      </c>
      <c r="AY619" s="76" t="s">
        <v>1101</v>
      </c>
      <c r="AZ619" s="76" t="s">
        <v>1161</v>
      </c>
      <c r="BA619" s="14" t="s">
        <v>1125</v>
      </c>
      <c r="BC619" s="17">
        <f>AW619+AX619</f>
        <v>0</v>
      </c>
      <c r="BD619" s="17">
        <f>H619/(100-BE619)*100</f>
        <v>0</v>
      </c>
      <c r="BE619" s="17">
        <v>0</v>
      </c>
      <c r="BF619" s="17">
        <f>O619</f>
        <v>0.10195199999999999</v>
      </c>
      <c r="BH619" s="17">
        <f>G619*AO619</f>
        <v>0</v>
      </c>
      <c r="BI619" s="17">
        <f>G619*AP619</f>
        <v>0</v>
      </c>
      <c r="BJ619" s="17">
        <f>G619*H619</f>
        <v>0</v>
      </c>
      <c r="BK619" s="17"/>
      <c r="BL619" s="17">
        <v>97</v>
      </c>
      <c r="BW619" s="17">
        <f>I619</f>
        <v>12</v>
      </c>
      <c r="BX619" s="4" t="s">
        <v>430</v>
      </c>
    </row>
    <row r="620" spans="1:76" x14ac:dyDescent="0.25">
      <c r="A620" s="1" t="s">
        <v>1165</v>
      </c>
      <c r="B620" s="2" t="s">
        <v>456</v>
      </c>
      <c r="C620" s="2" t="s">
        <v>431</v>
      </c>
      <c r="D620" s="83" t="s">
        <v>432</v>
      </c>
      <c r="E620" s="84"/>
      <c r="F620" s="2" t="s">
        <v>31</v>
      </c>
      <c r="G620" s="17" t="e">
        <f>'Rozpočet - vybrané sloupce'!#REF!</f>
        <v>#REF!</v>
      </c>
      <c r="H620" s="17" t="e">
        <f>'Rozpočet - vybrané sloupce'!#REF!</f>
        <v>#REF!</v>
      </c>
      <c r="I620" s="74">
        <v>12</v>
      </c>
      <c r="J620" s="17" t="e">
        <f>ROUND(G620*AO620,2)</f>
        <v>#REF!</v>
      </c>
      <c r="K620" s="17" t="e">
        <f>ROUND(G620*AP620,2)</f>
        <v>#REF!</v>
      </c>
      <c r="L620" s="17" t="e">
        <f>ROUND(G620*H620,2)</f>
        <v>#REF!</v>
      </c>
      <c r="M620" s="17" t="e">
        <f>L620*(1+BW620/100)</f>
        <v>#REF!</v>
      </c>
      <c r="N620" s="17">
        <v>1.0000000000000001E-5</v>
      </c>
      <c r="O620" s="17" t="e">
        <f>G620*N620</f>
        <v>#REF!</v>
      </c>
      <c r="P620" s="75" t="s">
        <v>576</v>
      </c>
      <c r="Z620" s="17">
        <f>ROUND(IF(AQ620="5",BJ620,0),2)</f>
        <v>0</v>
      </c>
      <c r="AB620" s="17" t="e">
        <f>ROUND(IF(AQ620="1",BH620,0),2)</f>
        <v>#REF!</v>
      </c>
      <c r="AC620" s="17" t="e">
        <f>ROUND(IF(AQ620="1",BI620,0),2)</f>
        <v>#REF!</v>
      </c>
      <c r="AD620" s="17">
        <f>ROUND(IF(AQ620="7",BH620,0),2)</f>
        <v>0</v>
      </c>
      <c r="AE620" s="17">
        <f>ROUND(IF(AQ620="7",BI620,0),2)</f>
        <v>0</v>
      </c>
      <c r="AF620" s="17">
        <f>ROUND(IF(AQ620="2",BH620,0),2)</f>
        <v>0</v>
      </c>
      <c r="AG620" s="17">
        <f>ROUND(IF(AQ620="2",BI620,0),2)</f>
        <v>0</v>
      </c>
      <c r="AH620" s="17">
        <f>ROUND(IF(AQ620="0",BJ620,0),2)</f>
        <v>0</v>
      </c>
      <c r="AI620" s="14" t="s">
        <v>456</v>
      </c>
      <c r="AJ620" s="17">
        <f>IF(AN620=0,L620,0)</f>
        <v>0</v>
      </c>
      <c r="AK620" s="17" t="e">
        <f>IF(AN620=12,L620,0)</f>
        <v>#REF!</v>
      </c>
      <c r="AL620" s="17">
        <f>IF(AN620=21,L620,0)</f>
        <v>0</v>
      </c>
      <c r="AN620" s="17">
        <v>12</v>
      </c>
      <c r="AO620" s="17" t="e">
        <f>H620*0.197158338</f>
        <v>#REF!</v>
      </c>
      <c r="AP620" s="17" t="e">
        <f>H620*(1-0.197158338)</f>
        <v>#REF!</v>
      </c>
      <c r="AQ620" s="76" t="s">
        <v>575</v>
      </c>
      <c r="AV620" s="17" t="e">
        <f>ROUND(AW620+AX620,2)</f>
        <v>#REF!</v>
      </c>
      <c r="AW620" s="17" t="e">
        <f>ROUND(G620*AO620,2)</f>
        <v>#REF!</v>
      </c>
      <c r="AX620" s="17" t="e">
        <f>ROUND(G620*AP620,2)</f>
        <v>#REF!</v>
      </c>
      <c r="AY620" s="76" t="s">
        <v>1101</v>
      </c>
      <c r="AZ620" s="76" t="s">
        <v>1161</v>
      </c>
      <c r="BA620" s="14" t="s">
        <v>1125</v>
      </c>
      <c r="BC620" s="17" t="e">
        <f>AW620+AX620</f>
        <v>#REF!</v>
      </c>
      <c r="BD620" s="17" t="e">
        <f>H620/(100-BE620)*100</f>
        <v>#REF!</v>
      </c>
      <c r="BE620" s="17">
        <v>0</v>
      </c>
      <c r="BF620" s="17" t="e">
        <f>O620</f>
        <v>#REF!</v>
      </c>
      <c r="BH620" s="17" t="e">
        <f>G620*AO620</f>
        <v>#REF!</v>
      </c>
      <c r="BI620" s="17" t="e">
        <f>G620*AP620</f>
        <v>#REF!</v>
      </c>
      <c r="BJ620" s="17" t="e">
        <f>G620*H620</f>
        <v>#REF!</v>
      </c>
      <c r="BK620" s="17"/>
      <c r="BL620" s="17">
        <v>97</v>
      </c>
      <c r="BW620" s="17">
        <f>I620</f>
        <v>12</v>
      </c>
      <c r="BX620" s="4" t="s">
        <v>432</v>
      </c>
    </row>
    <row r="621" spans="1:76" x14ac:dyDescent="0.25">
      <c r="A621" s="1" t="s">
        <v>1166</v>
      </c>
      <c r="B621" s="2" t="s">
        <v>456</v>
      </c>
      <c r="C621" s="2" t="s">
        <v>433</v>
      </c>
      <c r="D621" s="83" t="s">
        <v>434</v>
      </c>
      <c r="E621" s="84"/>
      <c r="F621" s="2" t="s">
        <v>31</v>
      </c>
      <c r="G621" s="17" t="e">
        <f>'Rozpočet - vybrané sloupce'!#REF!</f>
        <v>#REF!</v>
      </c>
      <c r="H621" s="17" t="e">
        <f>'Rozpočet - vybrané sloupce'!#REF!</f>
        <v>#REF!</v>
      </c>
      <c r="I621" s="74">
        <v>12</v>
      </c>
      <c r="J621" s="17" t="e">
        <f>ROUND(G621*AO621,2)</f>
        <v>#REF!</v>
      </c>
      <c r="K621" s="17" t="e">
        <f>ROUND(G621*AP621,2)</f>
        <v>#REF!</v>
      </c>
      <c r="L621" s="17" t="e">
        <f>ROUND(G621*H621,2)</f>
        <v>#REF!</v>
      </c>
      <c r="M621" s="17" t="e">
        <f>L621*(1+BW621/100)</f>
        <v>#REF!</v>
      </c>
      <c r="N621" s="17">
        <v>0</v>
      </c>
      <c r="O621" s="17" t="e">
        <f>G621*N621</f>
        <v>#REF!</v>
      </c>
      <c r="P621" s="75" t="s">
        <v>576</v>
      </c>
      <c r="Z621" s="17">
        <f>ROUND(IF(AQ621="5",BJ621,0),2)</f>
        <v>0</v>
      </c>
      <c r="AB621" s="17" t="e">
        <f>ROUND(IF(AQ621="1",BH621,0),2)</f>
        <v>#REF!</v>
      </c>
      <c r="AC621" s="17" t="e">
        <f>ROUND(IF(AQ621="1",BI621,0),2)</f>
        <v>#REF!</v>
      </c>
      <c r="AD621" s="17">
        <f>ROUND(IF(AQ621="7",BH621,0),2)</f>
        <v>0</v>
      </c>
      <c r="AE621" s="17">
        <f>ROUND(IF(AQ621="7",BI621,0),2)</f>
        <v>0</v>
      </c>
      <c r="AF621" s="17">
        <f>ROUND(IF(AQ621="2",BH621,0),2)</f>
        <v>0</v>
      </c>
      <c r="AG621" s="17">
        <f>ROUND(IF(AQ621="2",BI621,0),2)</f>
        <v>0</v>
      </c>
      <c r="AH621" s="17">
        <f>ROUND(IF(AQ621="0",BJ621,0),2)</f>
        <v>0</v>
      </c>
      <c r="AI621" s="14" t="s">
        <v>456</v>
      </c>
      <c r="AJ621" s="17">
        <f>IF(AN621=0,L621,0)</f>
        <v>0</v>
      </c>
      <c r="AK621" s="17" t="e">
        <f>IF(AN621=12,L621,0)</f>
        <v>#REF!</v>
      </c>
      <c r="AL621" s="17">
        <f>IF(AN621=21,L621,0)</f>
        <v>0</v>
      </c>
      <c r="AN621" s="17">
        <v>12</v>
      </c>
      <c r="AO621" s="17" t="e">
        <f>H621*0</f>
        <v>#REF!</v>
      </c>
      <c r="AP621" s="17" t="e">
        <f>H621*(1-0)</f>
        <v>#REF!</v>
      </c>
      <c r="AQ621" s="76" t="s">
        <v>575</v>
      </c>
      <c r="AV621" s="17" t="e">
        <f>ROUND(AW621+AX621,2)</f>
        <v>#REF!</v>
      </c>
      <c r="AW621" s="17" t="e">
        <f>ROUND(G621*AO621,2)</f>
        <v>#REF!</v>
      </c>
      <c r="AX621" s="17" t="e">
        <f>ROUND(G621*AP621,2)</f>
        <v>#REF!</v>
      </c>
      <c r="AY621" s="76" t="s">
        <v>1101</v>
      </c>
      <c r="AZ621" s="76" t="s">
        <v>1161</v>
      </c>
      <c r="BA621" s="14" t="s">
        <v>1125</v>
      </c>
      <c r="BC621" s="17" t="e">
        <f>AW621+AX621</f>
        <v>#REF!</v>
      </c>
      <c r="BD621" s="17" t="e">
        <f>H621/(100-BE621)*100</f>
        <v>#REF!</v>
      </c>
      <c r="BE621" s="17">
        <v>0</v>
      </c>
      <c r="BF621" s="17" t="e">
        <f>O621</f>
        <v>#REF!</v>
      </c>
      <c r="BH621" s="17" t="e">
        <f>G621*AO621</f>
        <v>#REF!</v>
      </c>
      <c r="BI621" s="17" t="e">
        <f>G621*AP621</f>
        <v>#REF!</v>
      </c>
      <c r="BJ621" s="17" t="e">
        <f>G621*H621</f>
        <v>#REF!</v>
      </c>
      <c r="BK621" s="17"/>
      <c r="BL621" s="17">
        <v>97</v>
      </c>
      <c r="BW621" s="17">
        <f>I621</f>
        <v>12</v>
      </c>
      <c r="BX621" s="4" t="s">
        <v>434</v>
      </c>
    </row>
    <row r="622" spans="1:76" x14ac:dyDescent="0.25">
      <c r="A622" s="1" t="s">
        <v>1167</v>
      </c>
      <c r="B622" s="2" t="s">
        <v>456</v>
      </c>
      <c r="C622" s="2" t="s">
        <v>435</v>
      </c>
      <c r="D622" s="83" t="s">
        <v>436</v>
      </c>
      <c r="E622" s="84"/>
      <c r="F622" s="2" t="s">
        <v>31</v>
      </c>
      <c r="G622" s="17" t="e">
        <f>'Rozpočet - vybrané sloupce'!#REF!</f>
        <v>#REF!</v>
      </c>
      <c r="H622" s="17" t="e">
        <f>'Rozpočet - vybrané sloupce'!#REF!</f>
        <v>#REF!</v>
      </c>
      <c r="I622" s="74">
        <v>12</v>
      </c>
      <c r="J622" s="17" t="e">
        <f>ROUND(G622*AO622,2)</f>
        <v>#REF!</v>
      </c>
      <c r="K622" s="17" t="e">
        <f>ROUND(G622*AP622,2)</f>
        <v>#REF!</v>
      </c>
      <c r="L622" s="17" t="e">
        <f>ROUND(G622*H622,2)</f>
        <v>#REF!</v>
      </c>
      <c r="M622" s="17" t="e">
        <f>L622*(1+BW622/100)</f>
        <v>#REF!</v>
      </c>
      <c r="N622" s="17">
        <v>1.34E-3</v>
      </c>
      <c r="O622" s="17" t="e">
        <f>G622*N622</f>
        <v>#REF!</v>
      </c>
      <c r="P622" s="75" t="s">
        <v>576</v>
      </c>
      <c r="Z622" s="17">
        <f>ROUND(IF(AQ622="5",BJ622,0),2)</f>
        <v>0</v>
      </c>
      <c r="AB622" s="17" t="e">
        <f>ROUND(IF(AQ622="1",BH622,0),2)</f>
        <v>#REF!</v>
      </c>
      <c r="AC622" s="17" t="e">
        <f>ROUND(IF(AQ622="1",BI622,0),2)</f>
        <v>#REF!</v>
      </c>
      <c r="AD622" s="17">
        <f>ROUND(IF(AQ622="7",BH622,0),2)</f>
        <v>0</v>
      </c>
      <c r="AE622" s="17">
        <f>ROUND(IF(AQ622="7",BI622,0),2)</f>
        <v>0</v>
      </c>
      <c r="AF622" s="17">
        <f>ROUND(IF(AQ622="2",BH622,0),2)</f>
        <v>0</v>
      </c>
      <c r="AG622" s="17">
        <f>ROUND(IF(AQ622="2",BI622,0),2)</f>
        <v>0</v>
      </c>
      <c r="AH622" s="17">
        <f>ROUND(IF(AQ622="0",BJ622,0),2)</f>
        <v>0</v>
      </c>
      <c r="AI622" s="14" t="s">
        <v>456</v>
      </c>
      <c r="AJ622" s="17">
        <f>IF(AN622=0,L622,0)</f>
        <v>0</v>
      </c>
      <c r="AK622" s="17" t="e">
        <f>IF(AN622=12,L622,0)</f>
        <v>#REF!</v>
      </c>
      <c r="AL622" s="17">
        <f>IF(AN622=21,L622,0)</f>
        <v>0</v>
      </c>
      <c r="AN622" s="17">
        <v>12</v>
      </c>
      <c r="AO622" s="17" t="e">
        <f>H622*0.087136891</f>
        <v>#REF!</v>
      </c>
      <c r="AP622" s="17" t="e">
        <f>H622*(1-0.087136891)</f>
        <v>#REF!</v>
      </c>
      <c r="AQ622" s="76" t="s">
        <v>575</v>
      </c>
      <c r="AV622" s="17" t="e">
        <f>ROUND(AW622+AX622,2)</f>
        <v>#REF!</v>
      </c>
      <c r="AW622" s="17" t="e">
        <f>ROUND(G622*AO622,2)</f>
        <v>#REF!</v>
      </c>
      <c r="AX622" s="17" t="e">
        <f>ROUND(G622*AP622,2)</f>
        <v>#REF!</v>
      </c>
      <c r="AY622" s="76" t="s">
        <v>1101</v>
      </c>
      <c r="AZ622" s="76" t="s">
        <v>1161</v>
      </c>
      <c r="BA622" s="14" t="s">
        <v>1125</v>
      </c>
      <c r="BC622" s="17" t="e">
        <f>AW622+AX622</f>
        <v>#REF!</v>
      </c>
      <c r="BD622" s="17" t="e">
        <f>H622/(100-BE622)*100</f>
        <v>#REF!</v>
      </c>
      <c r="BE622" s="17">
        <v>0</v>
      </c>
      <c r="BF622" s="17" t="e">
        <f>O622</f>
        <v>#REF!</v>
      </c>
      <c r="BH622" s="17" t="e">
        <f>G622*AO622</f>
        <v>#REF!</v>
      </c>
      <c r="BI622" s="17" t="e">
        <f>G622*AP622</f>
        <v>#REF!</v>
      </c>
      <c r="BJ622" s="17" t="e">
        <f>G622*H622</f>
        <v>#REF!</v>
      </c>
      <c r="BK622" s="17"/>
      <c r="BL622" s="17">
        <v>97</v>
      </c>
      <c r="BW622" s="17">
        <f>I622</f>
        <v>12</v>
      </c>
      <c r="BX622" s="4" t="s">
        <v>436</v>
      </c>
    </row>
    <row r="623" spans="1:76" x14ac:dyDescent="0.25">
      <c r="A623" s="71" t="s">
        <v>25</v>
      </c>
      <c r="B623" s="13" t="s">
        <v>456</v>
      </c>
      <c r="C623" s="13" t="s">
        <v>437</v>
      </c>
      <c r="D623" s="135" t="s">
        <v>438</v>
      </c>
      <c r="E623" s="136"/>
      <c r="F623" s="72" t="s">
        <v>23</v>
      </c>
      <c r="G623" s="72" t="s">
        <v>23</v>
      </c>
      <c r="H623" s="72" t="s">
        <v>23</v>
      </c>
      <c r="I623" s="72" t="s">
        <v>23</v>
      </c>
      <c r="J623" s="47">
        <f>SUM(J624:J631)</f>
        <v>0</v>
      </c>
      <c r="K623" s="47">
        <f>SUM(K624:K631)</f>
        <v>0</v>
      </c>
      <c r="L623" s="47">
        <f>SUM(L624:L631)</f>
        <v>0</v>
      </c>
      <c r="M623" s="47">
        <f>SUM(M624:M631)</f>
        <v>0</v>
      </c>
      <c r="N623" s="14" t="s">
        <v>25</v>
      </c>
      <c r="O623" s="47">
        <f>SUM(O624:O631)</f>
        <v>0</v>
      </c>
      <c r="P623" s="73" t="s">
        <v>25</v>
      </c>
      <c r="AI623" s="14" t="s">
        <v>456</v>
      </c>
      <c r="AS623" s="47">
        <f>SUM(AJ624:AJ631)</f>
        <v>0</v>
      </c>
      <c r="AT623" s="47">
        <f>SUM(AK624:AK631)</f>
        <v>0</v>
      </c>
      <c r="AU623" s="47">
        <f>SUM(AL624:AL631)</f>
        <v>0</v>
      </c>
    </row>
    <row r="624" spans="1:76" x14ac:dyDescent="0.25">
      <c r="A624" s="1" t="s">
        <v>1168</v>
      </c>
      <c r="B624" s="2" t="s">
        <v>456</v>
      </c>
      <c r="C624" s="2" t="s">
        <v>439</v>
      </c>
      <c r="D624" s="83" t="s">
        <v>440</v>
      </c>
      <c r="E624" s="84"/>
      <c r="F624" s="2" t="s">
        <v>441</v>
      </c>
      <c r="G624" s="17">
        <f>'Rozpočet - vybrané sloupce'!J532</f>
        <v>30</v>
      </c>
      <c r="H624" s="17">
        <f>'Rozpočet - vybrané sloupce'!K532</f>
        <v>0</v>
      </c>
      <c r="I624" s="74">
        <v>12</v>
      </c>
      <c r="J624" s="17">
        <f t="shared" ref="J624:J631" si="684">ROUND(G624*AO624,2)</f>
        <v>0</v>
      </c>
      <c r="K624" s="17">
        <f t="shared" ref="K624:K631" si="685">ROUND(G624*AP624,2)</f>
        <v>0</v>
      </c>
      <c r="L624" s="17">
        <f t="shared" ref="L624:L631" si="686">ROUND(G624*H624,2)</f>
        <v>0</v>
      </c>
      <c r="M624" s="17">
        <f t="shared" ref="M624:M631" si="687">L624*(1+BW624/100)</f>
        <v>0</v>
      </c>
      <c r="N624" s="17">
        <v>0</v>
      </c>
      <c r="O624" s="17">
        <f t="shared" ref="O624:O631" si="688">G624*N624</f>
        <v>0</v>
      </c>
      <c r="P624" s="75" t="s">
        <v>576</v>
      </c>
      <c r="Z624" s="17">
        <f t="shared" ref="Z624:Z631" si="689">ROUND(IF(AQ624="5",BJ624,0),2)</f>
        <v>0</v>
      </c>
      <c r="AB624" s="17">
        <f t="shared" ref="AB624:AB631" si="690">ROUND(IF(AQ624="1",BH624,0),2)</f>
        <v>0</v>
      </c>
      <c r="AC624" s="17">
        <f t="shared" ref="AC624:AC631" si="691">ROUND(IF(AQ624="1",BI624,0),2)</f>
        <v>0</v>
      </c>
      <c r="AD624" s="17">
        <f t="shared" ref="AD624:AD631" si="692">ROUND(IF(AQ624="7",BH624,0),2)</f>
        <v>0</v>
      </c>
      <c r="AE624" s="17">
        <f t="shared" ref="AE624:AE631" si="693">ROUND(IF(AQ624="7",BI624,0),2)</f>
        <v>0</v>
      </c>
      <c r="AF624" s="17">
        <f t="shared" ref="AF624:AF631" si="694">ROUND(IF(AQ624="2",BH624,0),2)</f>
        <v>0</v>
      </c>
      <c r="AG624" s="17">
        <f t="shared" ref="AG624:AG631" si="695">ROUND(IF(AQ624="2",BI624,0),2)</f>
        <v>0</v>
      </c>
      <c r="AH624" s="17">
        <f t="shared" ref="AH624:AH631" si="696">ROUND(IF(AQ624="0",BJ624,0),2)</f>
        <v>0</v>
      </c>
      <c r="AI624" s="14" t="s">
        <v>456</v>
      </c>
      <c r="AJ624" s="17">
        <f t="shared" ref="AJ624:AJ631" si="697">IF(AN624=0,L624,0)</f>
        <v>0</v>
      </c>
      <c r="AK624" s="17">
        <f t="shared" ref="AK624:AK631" si="698">IF(AN624=12,L624,0)</f>
        <v>0</v>
      </c>
      <c r="AL624" s="17">
        <f t="shared" ref="AL624:AL631" si="699">IF(AN624=21,L624,0)</f>
        <v>0</v>
      </c>
      <c r="AN624" s="17">
        <v>12</v>
      </c>
      <c r="AO624" s="17">
        <f t="shared" ref="AO624:AO631" si="700">H624*0</f>
        <v>0</v>
      </c>
      <c r="AP624" s="17">
        <f t="shared" ref="AP624:AP631" si="701">H624*(1-0)</f>
        <v>0</v>
      </c>
      <c r="AQ624" s="76" t="s">
        <v>575</v>
      </c>
      <c r="AV624" s="17">
        <f t="shared" ref="AV624:AV631" si="702">ROUND(AW624+AX624,2)</f>
        <v>0</v>
      </c>
      <c r="AW624" s="17">
        <f t="shared" ref="AW624:AW631" si="703">ROUND(G624*AO624,2)</f>
        <v>0</v>
      </c>
      <c r="AX624" s="17">
        <f t="shared" ref="AX624:AX631" si="704">ROUND(G624*AP624,2)</f>
        <v>0</v>
      </c>
      <c r="AY624" s="76" t="s">
        <v>1111</v>
      </c>
      <c r="AZ624" s="76" t="s">
        <v>1161</v>
      </c>
      <c r="BA624" s="14" t="s">
        <v>1125</v>
      </c>
      <c r="BC624" s="17">
        <f t="shared" ref="BC624:BC631" si="705">AW624+AX624</f>
        <v>0</v>
      </c>
      <c r="BD624" s="17">
        <f t="shared" ref="BD624:BD631" si="706">H624/(100-BE624)*100</f>
        <v>0</v>
      </c>
      <c r="BE624" s="17">
        <v>0</v>
      </c>
      <c r="BF624" s="17">
        <f t="shared" ref="BF624:BF631" si="707">O624</f>
        <v>0</v>
      </c>
      <c r="BH624" s="17">
        <f t="shared" ref="BH624:BH631" si="708">G624*AO624</f>
        <v>0</v>
      </c>
      <c r="BI624" s="17">
        <f t="shared" ref="BI624:BI631" si="709">G624*AP624</f>
        <v>0</v>
      </c>
      <c r="BJ624" s="17">
        <f t="shared" ref="BJ624:BJ631" si="710">G624*H624</f>
        <v>0</v>
      </c>
      <c r="BK624" s="17"/>
      <c r="BL624" s="17"/>
      <c r="BW624" s="17">
        <f t="shared" ref="BW624:BW631" si="711">I624</f>
        <v>12</v>
      </c>
      <c r="BX624" s="4" t="s">
        <v>440</v>
      </c>
    </row>
    <row r="625" spans="1:76" x14ac:dyDescent="0.25">
      <c r="A625" s="1" t="s">
        <v>1169</v>
      </c>
      <c r="B625" s="2" t="s">
        <v>456</v>
      </c>
      <c r="C625" s="2" t="s">
        <v>442</v>
      </c>
      <c r="D625" s="83" t="s">
        <v>443</v>
      </c>
      <c r="E625" s="84"/>
      <c r="F625" s="2" t="s">
        <v>88</v>
      </c>
      <c r="G625" s="17">
        <f>'Rozpočet - vybrané sloupce'!J533</f>
        <v>4.5</v>
      </c>
      <c r="H625" s="17">
        <f>'Rozpočet - vybrané sloupce'!K533</f>
        <v>0</v>
      </c>
      <c r="I625" s="74">
        <v>12</v>
      </c>
      <c r="J625" s="17">
        <f t="shared" si="684"/>
        <v>0</v>
      </c>
      <c r="K625" s="17">
        <f t="shared" si="685"/>
        <v>0</v>
      </c>
      <c r="L625" s="17">
        <f t="shared" si="686"/>
        <v>0</v>
      </c>
      <c r="M625" s="17">
        <f t="shared" si="687"/>
        <v>0</v>
      </c>
      <c r="N625" s="17">
        <v>0</v>
      </c>
      <c r="O625" s="17">
        <f t="shared" si="688"/>
        <v>0</v>
      </c>
      <c r="P625" s="75" t="s">
        <v>576</v>
      </c>
      <c r="Z625" s="17">
        <f t="shared" si="689"/>
        <v>0</v>
      </c>
      <c r="AB625" s="17">
        <f t="shared" si="690"/>
        <v>0</v>
      </c>
      <c r="AC625" s="17">
        <f t="shared" si="691"/>
        <v>0</v>
      </c>
      <c r="AD625" s="17">
        <f t="shared" si="692"/>
        <v>0</v>
      </c>
      <c r="AE625" s="17">
        <f t="shared" si="693"/>
        <v>0</v>
      </c>
      <c r="AF625" s="17">
        <f t="shared" si="694"/>
        <v>0</v>
      </c>
      <c r="AG625" s="17">
        <f t="shared" si="695"/>
        <v>0</v>
      </c>
      <c r="AH625" s="17">
        <f t="shared" si="696"/>
        <v>0</v>
      </c>
      <c r="AI625" s="14" t="s">
        <v>456</v>
      </c>
      <c r="AJ625" s="17">
        <f t="shared" si="697"/>
        <v>0</v>
      </c>
      <c r="AK625" s="17">
        <f t="shared" si="698"/>
        <v>0</v>
      </c>
      <c r="AL625" s="17">
        <f t="shared" si="699"/>
        <v>0</v>
      </c>
      <c r="AN625" s="17">
        <v>12</v>
      </c>
      <c r="AO625" s="17">
        <f t="shared" si="700"/>
        <v>0</v>
      </c>
      <c r="AP625" s="17">
        <f t="shared" si="701"/>
        <v>0</v>
      </c>
      <c r="AQ625" s="76" t="s">
        <v>585</v>
      </c>
      <c r="AV625" s="17">
        <f t="shared" si="702"/>
        <v>0</v>
      </c>
      <c r="AW625" s="17">
        <f t="shared" si="703"/>
        <v>0</v>
      </c>
      <c r="AX625" s="17">
        <f t="shared" si="704"/>
        <v>0</v>
      </c>
      <c r="AY625" s="76" t="s">
        <v>1111</v>
      </c>
      <c r="AZ625" s="76" t="s">
        <v>1161</v>
      </c>
      <c r="BA625" s="14" t="s">
        <v>1125</v>
      </c>
      <c r="BC625" s="17">
        <f t="shared" si="705"/>
        <v>0</v>
      </c>
      <c r="BD625" s="17">
        <f t="shared" si="706"/>
        <v>0</v>
      </c>
      <c r="BE625" s="17">
        <v>0</v>
      </c>
      <c r="BF625" s="17">
        <f t="shared" si="707"/>
        <v>0</v>
      </c>
      <c r="BH625" s="17">
        <f t="shared" si="708"/>
        <v>0</v>
      </c>
      <c r="BI625" s="17">
        <f t="shared" si="709"/>
        <v>0</v>
      </c>
      <c r="BJ625" s="17">
        <f t="shared" si="710"/>
        <v>0</v>
      </c>
      <c r="BK625" s="17"/>
      <c r="BL625" s="17"/>
      <c r="BW625" s="17">
        <f t="shared" si="711"/>
        <v>12</v>
      </c>
      <c r="BX625" s="4" t="s">
        <v>443</v>
      </c>
    </row>
    <row r="626" spans="1:76" x14ac:dyDescent="0.25">
      <c r="A626" s="1" t="s">
        <v>1170</v>
      </c>
      <c r="B626" s="2" t="s">
        <v>456</v>
      </c>
      <c r="C626" s="2" t="s">
        <v>444</v>
      </c>
      <c r="D626" s="83" t="s">
        <v>445</v>
      </c>
      <c r="E626" s="84"/>
      <c r="F626" s="2" t="s">
        <v>88</v>
      </c>
      <c r="G626" s="17">
        <f>'Rozpočet - vybrané sloupce'!J534</f>
        <v>4.5</v>
      </c>
      <c r="H626" s="17">
        <f>'Rozpočet - vybrané sloupce'!K534</f>
        <v>0</v>
      </c>
      <c r="I626" s="74">
        <v>12</v>
      </c>
      <c r="J626" s="17">
        <f t="shared" si="684"/>
        <v>0</v>
      </c>
      <c r="K626" s="17">
        <f t="shared" si="685"/>
        <v>0</v>
      </c>
      <c r="L626" s="17">
        <f t="shared" si="686"/>
        <v>0</v>
      </c>
      <c r="M626" s="17">
        <f t="shared" si="687"/>
        <v>0</v>
      </c>
      <c r="N626" s="17">
        <v>0</v>
      </c>
      <c r="O626" s="17">
        <f t="shared" si="688"/>
        <v>0</v>
      </c>
      <c r="P626" s="75" t="s">
        <v>576</v>
      </c>
      <c r="Z626" s="17">
        <f t="shared" si="689"/>
        <v>0</v>
      </c>
      <c r="AB626" s="17">
        <f t="shared" si="690"/>
        <v>0</v>
      </c>
      <c r="AC626" s="17">
        <f t="shared" si="691"/>
        <v>0</v>
      </c>
      <c r="AD626" s="17">
        <f t="shared" si="692"/>
        <v>0</v>
      </c>
      <c r="AE626" s="17">
        <f t="shared" si="693"/>
        <v>0</v>
      </c>
      <c r="AF626" s="17">
        <f t="shared" si="694"/>
        <v>0</v>
      </c>
      <c r="AG626" s="17">
        <f t="shared" si="695"/>
        <v>0</v>
      </c>
      <c r="AH626" s="17">
        <f t="shared" si="696"/>
        <v>0</v>
      </c>
      <c r="AI626" s="14" t="s">
        <v>456</v>
      </c>
      <c r="AJ626" s="17">
        <f t="shared" si="697"/>
        <v>0</v>
      </c>
      <c r="AK626" s="17">
        <f t="shared" si="698"/>
        <v>0</v>
      </c>
      <c r="AL626" s="17">
        <f t="shared" si="699"/>
        <v>0</v>
      </c>
      <c r="AN626" s="17">
        <v>12</v>
      </c>
      <c r="AO626" s="17">
        <f t="shared" si="700"/>
        <v>0</v>
      </c>
      <c r="AP626" s="17">
        <f t="shared" si="701"/>
        <v>0</v>
      </c>
      <c r="AQ626" s="76" t="s">
        <v>585</v>
      </c>
      <c r="AV626" s="17">
        <f t="shared" si="702"/>
        <v>0</v>
      </c>
      <c r="AW626" s="17">
        <f t="shared" si="703"/>
        <v>0</v>
      </c>
      <c r="AX626" s="17">
        <f t="shared" si="704"/>
        <v>0</v>
      </c>
      <c r="AY626" s="76" t="s">
        <v>1111</v>
      </c>
      <c r="AZ626" s="76" t="s">
        <v>1161</v>
      </c>
      <c r="BA626" s="14" t="s">
        <v>1125</v>
      </c>
      <c r="BC626" s="17">
        <f t="shared" si="705"/>
        <v>0</v>
      </c>
      <c r="BD626" s="17">
        <f t="shared" si="706"/>
        <v>0</v>
      </c>
      <c r="BE626" s="17">
        <v>0</v>
      </c>
      <c r="BF626" s="17">
        <f t="shared" si="707"/>
        <v>0</v>
      </c>
      <c r="BH626" s="17">
        <f t="shared" si="708"/>
        <v>0</v>
      </c>
      <c r="BI626" s="17">
        <f t="shared" si="709"/>
        <v>0</v>
      </c>
      <c r="BJ626" s="17">
        <f t="shared" si="710"/>
        <v>0</v>
      </c>
      <c r="BK626" s="17"/>
      <c r="BL626" s="17"/>
      <c r="BW626" s="17">
        <f t="shared" si="711"/>
        <v>12</v>
      </c>
      <c r="BX626" s="4" t="s">
        <v>445</v>
      </c>
    </row>
    <row r="627" spans="1:76" x14ac:dyDescent="0.25">
      <c r="A627" s="1" t="s">
        <v>1171</v>
      </c>
      <c r="B627" s="2" t="s">
        <v>456</v>
      </c>
      <c r="C627" s="2" t="s">
        <v>446</v>
      </c>
      <c r="D627" s="83" t="s">
        <v>447</v>
      </c>
      <c r="E627" s="84"/>
      <c r="F627" s="2" t="s">
        <v>88</v>
      </c>
      <c r="G627" s="17">
        <f>'Rozpočet - vybrané sloupce'!J535</f>
        <v>4.5</v>
      </c>
      <c r="H627" s="17">
        <f>'Rozpočet - vybrané sloupce'!K535</f>
        <v>0</v>
      </c>
      <c r="I627" s="74">
        <v>12</v>
      </c>
      <c r="J627" s="17">
        <f t="shared" si="684"/>
        <v>0</v>
      </c>
      <c r="K627" s="17">
        <f t="shared" si="685"/>
        <v>0</v>
      </c>
      <c r="L627" s="17">
        <f t="shared" si="686"/>
        <v>0</v>
      </c>
      <c r="M627" s="17">
        <f t="shared" si="687"/>
        <v>0</v>
      </c>
      <c r="N627" s="17">
        <v>0</v>
      </c>
      <c r="O627" s="17">
        <f t="shared" si="688"/>
        <v>0</v>
      </c>
      <c r="P627" s="75" t="s">
        <v>576</v>
      </c>
      <c r="Z627" s="17">
        <f t="shared" si="689"/>
        <v>0</v>
      </c>
      <c r="AB627" s="17">
        <f t="shared" si="690"/>
        <v>0</v>
      </c>
      <c r="AC627" s="17">
        <f t="shared" si="691"/>
        <v>0</v>
      </c>
      <c r="AD627" s="17">
        <f t="shared" si="692"/>
        <v>0</v>
      </c>
      <c r="AE627" s="17">
        <f t="shared" si="693"/>
        <v>0</v>
      </c>
      <c r="AF627" s="17">
        <f t="shared" si="694"/>
        <v>0</v>
      </c>
      <c r="AG627" s="17">
        <f t="shared" si="695"/>
        <v>0</v>
      </c>
      <c r="AH627" s="17">
        <f t="shared" si="696"/>
        <v>0</v>
      </c>
      <c r="AI627" s="14" t="s">
        <v>456</v>
      </c>
      <c r="AJ627" s="17">
        <f t="shared" si="697"/>
        <v>0</v>
      </c>
      <c r="AK627" s="17">
        <f t="shared" si="698"/>
        <v>0</v>
      </c>
      <c r="AL627" s="17">
        <f t="shared" si="699"/>
        <v>0</v>
      </c>
      <c r="AN627" s="17">
        <v>12</v>
      </c>
      <c r="AO627" s="17">
        <f t="shared" si="700"/>
        <v>0</v>
      </c>
      <c r="AP627" s="17">
        <f t="shared" si="701"/>
        <v>0</v>
      </c>
      <c r="AQ627" s="76" t="s">
        <v>585</v>
      </c>
      <c r="AV627" s="17">
        <f t="shared" si="702"/>
        <v>0</v>
      </c>
      <c r="AW627" s="17">
        <f t="shared" si="703"/>
        <v>0</v>
      </c>
      <c r="AX627" s="17">
        <f t="shared" si="704"/>
        <v>0</v>
      </c>
      <c r="AY627" s="76" t="s">
        <v>1111</v>
      </c>
      <c r="AZ627" s="76" t="s">
        <v>1161</v>
      </c>
      <c r="BA627" s="14" t="s">
        <v>1125</v>
      </c>
      <c r="BC627" s="17">
        <f t="shared" si="705"/>
        <v>0</v>
      </c>
      <c r="BD627" s="17">
        <f t="shared" si="706"/>
        <v>0</v>
      </c>
      <c r="BE627" s="17">
        <v>0</v>
      </c>
      <c r="BF627" s="17">
        <f t="shared" si="707"/>
        <v>0</v>
      </c>
      <c r="BH627" s="17">
        <f t="shared" si="708"/>
        <v>0</v>
      </c>
      <c r="BI627" s="17">
        <f t="shared" si="709"/>
        <v>0</v>
      </c>
      <c r="BJ627" s="17">
        <f t="shared" si="710"/>
        <v>0</v>
      </c>
      <c r="BK627" s="17"/>
      <c r="BL627" s="17"/>
      <c r="BW627" s="17">
        <f t="shared" si="711"/>
        <v>12</v>
      </c>
      <c r="BX627" s="4" t="s">
        <v>447</v>
      </c>
    </row>
    <row r="628" spans="1:76" x14ac:dyDescent="0.25">
      <c r="A628" s="1" t="s">
        <v>1172</v>
      </c>
      <c r="B628" s="2" t="s">
        <v>456</v>
      </c>
      <c r="C628" s="2" t="s">
        <v>448</v>
      </c>
      <c r="D628" s="83" t="s">
        <v>449</v>
      </c>
      <c r="E628" s="84"/>
      <c r="F628" s="2" t="s">
        <v>88</v>
      </c>
      <c r="G628" s="17">
        <f>'Rozpočet - vybrané sloupce'!J536</f>
        <v>4.5</v>
      </c>
      <c r="H628" s="17">
        <f>'Rozpočet - vybrané sloupce'!K536</f>
        <v>0</v>
      </c>
      <c r="I628" s="74">
        <v>12</v>
      </c>
      <c r="J628" s="17">
        <f t="shared" si="684"/>
        <v>0</v>
      </c>
      <c r="K628" s="17">
        <f t="shared" si="685"/>
        <v>0</v>
      </c>
      <c r="L628" s="17">
        <f t="shared" si="686"/>
        <v>0</v>
      </c>
      <c r="M628" s="17">
        <f t="shared" si="687"/>
        <v>0</v>
      </c>
      <c r="N628" s="17">
        <v>0</v>
      </c>
      <c r="O628" s="17">
        <f t="shared" si="688"/>
        <v>0</v>
      </c>
      <c r="P628" s="75" t="s">
        <v>576</v>
      </c>
      <c r="Z628" s="17">
        <f t="shared" si="689"/>
        <v>0</v>
      </c>
      <c r="AB628" s="17">
        <f t="shared" si="690"/>
        <v>0</v>
      </c>
      <c r="AC628" s="17">
        <f t="shared" si="691"/>
        <v>0</v>
      </c>
      <c r="AD628" s="17">
        <f t="shared" si="692"/>
        <v>0</v>
      </c>
      <c r="AE628" s="17">
        <f t="shared" si="693"/>
        <v>0</v>
      </c>
      <c r="AF628" s="17">
        <f t="shared" si="694"/>
        <v>0</v>
      </c>
      <c r="AG628" s="17">
        <f t="shared" si="695"/>
        <v>0</v>
      </c>
      <c r="AH628" s="17">
        <f t="shared" si="696"/>
        <v>0</v>
      </c>
      <c r="AI628" s="14" t="s">
        <v>456</v>
      </c>
      <c r="AJ628" s="17">
        <f t="shared" si="697"/>
        <v>0</v>
      </c>
      <c r="AK628" s="17">
        <f t="shared" si="698"/>
        <v>0</v>
      </c>
      <c r="AL628" s="17">
        <f t="shared" si="699"/>
        <v>0</v>
      </c>
      <c r="AN628" s="17">
        <v>12</v>
      </c>
      <c r="AO628" s="17">
        <f t="shared" si="700"/>
        <v>0</v>
      </c>
      <c r="AP628" s="17">
        <f t="shared" si="701"/>
        <v>0</v>
      </c>
      <c r="AQ628" s="76" t="s">
        <v>585</v>
      </c>
      <c r="AV628" s="17">
        <f t="shared" si="702"/>
        <v>0</v>
      </c>
      <c r="AW628" s="17">
        <f t="shared" si="703"/>
        <v>0</v>
      </c>
      <c r="AX628" s="17">
        <f t="shared" si="704"/>
        <v>0</v>
      </c>
      <c r="AY628" s="76" t="s">
        <v>1111</v>
      </c>
      <c r="AZ628" s="76" t="s">
        <v>1161</v>
      </c>
      <c r="BA628" s="14" t="s">
        <v>1125</v>
      </c>
      <c r="BC628" s="17">
        <f t="shared" si="705"/>
        <v>0</v>
      </c>
      <c r="BD628" s="17">
        <f t="shared" si="706"/>
        <v>0</v>
      </c>
      <c r="BE628" s="17">
        <v>0</v>
      </c>
      <c r="BF628" s="17">
        <f t="shared" si="707"/>
        <v>0</v>
      </c>
      <c r="BH628" s="17">
        <f t="shared" si="708"/>
        <v>0</v>
      </c>
      <c r="BI628" s="17">
        <f t="shared" si="709"/>
        <v>0</v>
      </c>
      <c r="BJ628" s="17">
        <f t="shared" si="710"/>
        <v>0</v>
      </c>
      <c r="BK628" s="17"/>
      <c r="BL628" s="17"/>
      <c r="BW628" s="17">
        <f t="shared" si="711"/>
        <v>12</v>
      </c>
      <c r="BX628" s="4" t="s">
        <v>449</v>
      </c>
    </row>
    <row r="629" spans="1:76" x14ac:dyDescent="0.25">
      <c r="A629" s="1" t="s">
        <v>1173</v>
      </c>
      <c r="B629" s="2" t="s">
        <v>456</v>
      </c>
      <c r="C629" s="2" t="s">
        <v>450</v>
      </c>
      <c r="D629" s="83" t="s">
        <v>451</v>
      </c>
      <c r="E629" s="84"/>
      <c r="F629" s="2" t="s">
        <v>88</v>
      </c>
      <c r="G629" s="17">
        <f>'Rozpočet - vybrané sloupce'!J537</f>
        <v>45</v>
      </c>
      <c r="H629" s="17">
        <f>'Rozpočet - vybrané sloupce'!K537</f>
        <v>0</v>
      </c>
      <c r="I629" s="74">
        <v>12</v>
      </c>
      <c r="J629" s="17">
        <f t="shared" si="684"/>
        <v>0</v>
      </c>
      <c r="K629" s="17">
        <f t="shared" si="685"/>
        <v>0</v>
      </c>
      <c r="L629" s="17">
        <f t="shared" si="686"/>
        <v>0</v>
      </c>
      <c r="M629" s="17">
        <f t="shared" si="687"/>
        <v>0</v>
      </c>
      <c r="N629" s="17">
        <v>0</v>
      </c>
      <c r="O629" s="17">
        <f t="shared" si="688"/>
        <v>0</v>
      </c>
      <c r="P629" s="75" t="s">
        <v>576</v>
      </c>
      <c r="Z629" s="17">
        <f t="shared" si="689"/>
        <v>0</v>
      </c>
      <c r="AB629" s="17">
        <f t="shared" si="690"/>
        <v>0</v>
      </c>
      <c r="AC629" s="17">
        <f t="shared" si="691"/>
        <v>0</v>
      </c>
      <c r="AD629" s="17">
        <f t="shared" si="692"/>
        <v>0</v>
      </c>
      <c r="AE629" s="17">
        <f t="shared" si="693"/>
        <v>0</v>
      </c>
      <c r="AF629" s="17">
        <f t="shared" si="694"/>
        <v>0</v>
      </c>
      <c r="AG629" s="17">
        <f t="shared" si="695"/>
        <v>0</v>
      </c>
      <c r="AH629" s="17">
        <f t="shared" si="696"/>
        <v>0</v>
      </c>
      <c r="AI629" s="14" t="s">
        <v>456</v>
      </c>
      <c r="AJ629" s="17">
        <f t="shared" si="697"/>
        <v>0</v>
      </c>
      <c r="AK629" s="17">
        <f t="shared" si="698"/>
        <v>0</v>
      </c>
      <c r="AL629" s="17">
        <f t="shared" si="699"/>
        <v>0</v>
      </c>
      <c r="AN629" s="17">
        <v>12</v>
      </c>
      <c r="AO629" s="17">
        <f t="shared" si="700"/>
        <v>0</v>
      </c>
      <c r="AP629" s="17">
        <f t="shared" si="701"/>
        <v>0</v>
      </c>
      <c r="AQ629" s="76" t="s">
        <v>585</v>
      </c>
      <c r="AV629" s="17">
        <f t="shared" si="702"/>
        <v>0</v>
      </c>
      <c r="AW629" s="17">
        <f t="shared" si="703"/>
        <v>0</v>
      </c>
      <c r="AX629" s="17">
        <f t="shared" si="704"/>
        <v>0</v>
      </c>
      <c r="AY629" s="76" t="s">
        <v>1111</v>
      </c>
      <c r="AZ629" s="76" t="s">
        <v>1161</v>
      </c>
      <c r="BA629" s="14" t="s">
        <v>1125</v>
      </c>
      <c r="BC629" s="17">
        <f t="shared" si="705"/>
        <v>0</v>
      </c>
      <c r="BD629" s="17">
        <f t="shared" si="706"/>
        <v>0</v>
      </c>
      <c r="BE629" s="17">
        <v>0</v>
      </c>
      <c r="BF629" s="17">
        <f t="shared" si="707"/>
        <v>0</v>
      </c>
      <c r="BH629" s="17">
        <f t="shared" si="708"/>
        <v>0</v>
      </c>
      <c r="BI629" s="17">
        <f t="shared" si="709"/>
        <v>0</v>
      </c>
      <c r="BJ629" s="17">
        <f t="shared" si="710"/>
        <v>0</v>
      </c>
      <c r="BK629" s="17"/>
      <c r="BL629" s="17"/>
      <c r="BW629" s="17">
        <f t="shared" si="711"/>
        <v>12</v>
      </c>
      <c r="BX629" s="4" t="s">
        <v>451</v>
      </c>
    </row>
    <row r="630" spans="1:76" x14ac:dyDescent="0.25">
      <c r="A630" s="1" t="s">
        <v>1174</v>
      </c>
      <c r="B630" s="2" t="s">
        <v>456</v>
      </c>
      <c r="C630" s="2" t="s">
        <v>452</v>
      </c>
      <c r="D630" s="83" t="s">
        <v>453</v>
      </c>
      <c r="E630" s="84"/>
      <c r="F630" s="2" t="s">
        <v>88</v>
      </c>
      <c r="G630" s="17">
        <f>'Rozpočet - vybrané sloupce'!J538</f>
        <v>4.2</v>
      </c>
      <c r="H630" s="17">
        <f>'Rozpočet - vybrané sloupce'!K538</f>
        <v>0</v>
      </c>
      <c r="I630" s="74">
        <v>12</v>
      </c>
      <c r="J630" s="17">
        <f t="shared" si="684"/>
        <v>0</v>
      </c>
      <c r="K630" s="17">
        <f t="shared" si="685"/>
        <v>0</v>
      </c>
      <c r="L630" s="17">
        <f t="shared" si="686"/>
        <v>0</v>
      </c>
      <c r="M630" s="17">
        <f t="shared" si="687"/>
        <v>0</v>
      </c>
      <c r="N630" s="17">
        <v>0</v>
      </c>
      <c r="O630" s="17">
        <f t="shared" si="688"/>
        <v>0</v>
      </c>
      <c r="P630" s="75" t="s">
        <v>576</v>
      </c>
      <c r="Z630" s="17">
        <f t="shared" si="689"/>
        <v>0</v>
      </c>
      <c r="AB630" s="17">
        <f t="shared" si="690"/>
        <v>0</v>
      </c>
      <c r="AC630" s="17">
        <f t="shared" si="691"/>
        <v>0</v>
      </c>
      <c r="AD630" s="17">
        <f t="shared" si="692"/>
        <v>0</v>
      </c>
      <c r="AE630" s="17">
        <f t="shared" si="693"/>
        <v>0</v>
      </c>
      <c r="AF630" s="17">
        <f t="shared" si="694"/>
        <v>0</v>
      </c>
      <c r="AG630" s="17">
        <f t="shared" si="695"/>
        <v>0</v>
      </c>
      <c r="AH630" s="17">
        <f t="shared" si="696"/>
        <v>0</v>
      </c>
      <c r="AI630" s="14" t="s">
        <v>456</v>
      </c>
      <c r="AJ630" s="17">
        <f t="shared" si="697"/>
        <v>0</v>
      </c>
      <c r="AK630" s="17">
        <f t="shared" si="698"/>
        <v>0</v>
      </c>
      <c r="AL630" s="17">
        <f t="shared" si="699"/>
        <v>0</v>
      </c>
      <c r="AN630" s="17">
        <v>12</v>
      </c>
      <c r="AO630" s="17">
        <f t="shared" si="700"/>
        <v>0</v>
      </c>
      <c r="AP630" s="17">
        <f t="shared" si="701"/>
        <v>0</v>
      </c>
      <c r="AQ630" s="76" t="s">
        <v>585</v>
      </c>
      <c r="AV630" s="17">
        <f t="shared" si="702"/>
        <v>0</v>
      </c>
      <c r="AW630" s="17">
        <f t="shared" si="703"/>
        <v>0</v>
      </c>
      <c r="AX630" s="17">
        <f t="shared" si="704"/>
        <v>0</v>
      </c>
      <c r="AY630" s="76" t="s">
        <v>1111</v>
      </c>
      <c r="AZ630" s="76" t="s">
        <v>1161</v>
      </c>
      <c r="BA630" s="14" t="s">
        <v>1125</v>
      </c>
      <c r="BC630" s="17">
        <f t="shared" si="705"/>
        <v>0</v>
      </c>
      <c r="BD630" s="17">
        <f t="shared" si="706"/>
        <v>0</v>
      </c>
      <c r="BE630" s="17">
        <v>0</v>
      </c>
      <c r="BF630" s="17">
        <f t="shared" si="707"/>
        <v>0</v>
      </c>
      <c r="BH630" s="17">
        <f t="shared" si="708"/>
        <v>0</v>
      </c>
      <c r="BI630" s="17">
        <f t="shared" si="709"/>
        <v>0</v>
      </c>
      <c r="BJ630" s="17">
        <f t="shared" si="710"/>
        <v>0</v>
      </c>
      <c r="BK630" s="17"/>
      <c r="BL630" s="17"/>
      <c r="BW630" s="17">
        <f t="shared" si="711"/>
        <v>12</v>
      </c>
      <c r="BX630" s="4" t="s">
        <v>453</v>
      </c>
    </row>
    <row r="631" spans="1:76" x14ac:dyDescent="0.25">
      <c r="A631" s="1" t="s">
        <v>1175</v>
      </c>
      <c r="B631" s="2" t="s">
        <v>456</v>
      </c>
      <c r="C631" s="2" t="s">
        <v>454</v>
      </c>
      <c r="D631" s="83" t="s">
        <v>455</v>
      </c>
      <c r="E631" s="84"/>
      <c r="F631" s="2" t="s">
        <v>88</v>
      </c>
      <c r="G631" s="17">
        <f>'Rozpočet - vybrané sloupce'!J539</f>
        <v>0.3</v>
      </c>
      <c r="H631" s="17">
        <f>'Rozpočet - vybrané sloupce'!K539</f>
        <v>0</v>
      </c>
      <c r="I631" s="74">
        <v>12</v>
      </c>
      <c r="J631" s="17">
        <f t="shared" si="684"/>
        <v>0</v>
      </c>
      <c r="K631" s="17">
        <f t="shared" si="685"/>
        <v>0</v>
      </c>
      <c r="L631" s="17">
        <f t="shared" si="686"/>
        <v>0</v>
      </c>
      <c r="M631" s="17">
        <f t="shared" si="687"/>
        <v>0</v>
      </c>
      <c r="N631" s="17">
        <v>0</v>
      </c>
      <c r="O631" s="17">
        <f t="shared" si="688"/>
        <v>0</v>
      </c>
      <c r="P631" s="75" t="s">
        <v>576</v>
      </c>
      <c r="Z631" s="17">
        <f t="shared" si="689"/>
        <v>0</v>
      </c>
      <c r="AB631" s="17">
        <f t="shared" si="690"/>
        <v>0</v>
      </c>
      <c r="AC631" s="17">
        <f t="shared" si="691"/>
        <v>0</v>
      </c>
      <c r="AD631" s="17">
        <f t="shared" si="692"/>
        <v>0</v>
      </c>
      <c r="AE631" s="17">
        <f t="shared" si="693"/>
        <v>0</v>
      </c>
      <c r="AF631" s="17">
        <f t="shared" si="694"/>
        <v>0</v>
      </c>
      <c r="AG631" s="17">
        <f t="shared" si="695"/>
        <v>0</v>
      </c>
      <c r="AH631" s="17">
        <f t="shared" si="696"/>
        <v>0</v>
      </c>
      <c r="AI631" s="14" t="s">
        <v>456</v>
      </c>
      <c r="AJ631" s="17">
        <f t="shared" si="697"/>
        <v>0</v>
      </c>
      <c r="AK631" s="17">
        <f t="shared" si="698"/>
        <v>0</v>
      </c>
      <c r="AL631" s="17">
        <f t="shared" si="699"/>
        <v>0</v>
      </c>
      <c r="AN631" s="17">
        <v>12</v>
      </c>
      <c r="AO631" s="17">
        <f t="shared" si="700"/>
        <v>0</v>
      </c>
      <c r="AP631" s="17">
        <f t="shared" si="701"/>
        <v>0</v>
      </c>
      <c r="AQ631" s="76" t="s">
        <v>585</v>
      </c>
      <c r="AV631" s="17">
        <f t="shared" si="702"/>
        <v>0</v>
      </c>
      <c r="AW631" s="17">
        <f t="shared" si="703"/>
        <v>0</v>
      </c>
      <c r="AX631" s="17">
        <f t="shared" si="704"/>
        <v>0</v>
      </c>
      <c r="AY631" s="76" t="s">
        <v>1111</v>
      </c>
      <c r="AZ631" s="76" t="s">
        <v>1161</v>
      </c>
      <c r="BA631" s="14" t="s">
        <v>1125</v>
      </c>
      <c r="BC631" s="17">
        <f t="shared" si="705"/>
        <v>0</v>
      </c>
      <c r="BD631" s="17">
        <f t="shared" si="706"/>
        <v>0</v>
      </c>
      <c r="BE631" s="17">
        <v>0</v>
      </c>
      <c r="BF631" s="17">
        <f t="shared" si="707"/>
        <v>0</v>
      </c>
      <c r="BH631" s="17">
        <f t="shared" si="708"/>
        <v>0</v>
      </c>
      <c r="BI631" s="17">
        <f t="shared" si="709"/>
        <v>0</v>
      </c>
      <c r="BJ631" s="17">
        <f t="shared" si="710"/>
        <v>0</v>
      </c>
      <c r="BK631" s="17"/>
      <c r="BL631" s="17"/>
      <c r="BW631" s="17">
        <f t="shared" si="711"/>
        <v>12</v>
      </c>
      <c r="BX631" s="4" t="s">
        <v>455</v>
      </c>
    </row>
    <row r="632" spans="1:76" x14ac:dyDescent="0.25">
      <c r="A632" s="71" t="s">
        <v>25</v>
      </c>
      <c r="B632" s="13" t="s">
        <v>458</v>
      </c>
      <c r="C632" s="13" t="s">
        <v>25</v>
      </c>
      <c r="D632" s="135" t="s">
        <v>459</v>
      </c>
      <c r="E632" s="136"/>
      <c r="F632" s="72" t="s">
        <v>23</v>
      </c>
      <c r="G632" s="72" t="s">
        <v>23</v>
      </c>
      <c r="H632" s="72" t="s">
        <v>23</v>
      </c>
      <c r="I632" s="72" t="s">
        <v>23</v>
      </c>
      <c r="J632" s="47" t="e">
        <f>J633+J641+J645+J649+J651+J659+J666+J669+J671+J673+J675+J681</f>
        <v>#REF!</v>
      </c>
      <c r="K632" s="47" t="e">
        <f>K633+K641+K645+K649+K651+K659+K666+K669+K671+K673+K675+K681</f>
        <v>#REF!</v>
      </c>
      <c r="L632" s="47" t="e">
        <f>L633+L641+L645+L649+L651+L659+L666+L669+L671+L673+L675+L681</f>
        <v>#REF!</v>
      </c>
      <c r="M632" s="47" t="e">
        <f>M633+M641+M645+M649+M651+M659+M666+M669+M671+M673+M675+M681</f>
        <v>#REF!</v>
      </c>
      <c r="N632" s="14" t="s">
        <v>25</v>
      </c>
      <c r="O632" s="47" t="e">
        <f>O633+O641+O645+O649+O651+O659+O666+O669+O671+O673+O675+O681</f>
        <v>#REF!</v>
      </c>
      <c r="P632" s="73" t="s">
        <v>25</v>
      </c>
    </row>
    <row r="633" spans="1:76" x14ac:dyDescent="0.25">
      <c r="A633" s="71" t="s">
        <v>25</v>
      </c>
      <c r="B633" s="13" t="s">
        <v>458</v>
      </c>
      <c r="C633" s="13" t="s">
        <v>340</v>
      </c>
      <c r="D633" s="135" t="s">
        <v>341</v>
      </c>
      <c r="E633" s="136"/>
      <c r="F633" s="72" t="s">
        <v>23</v>
      </c>
      <c r="G633" s="72" t="s">
        <v>23</v>
      </c>
      <c r="H633" s="72" t="s">
        <v>23</v>
      </c>
      <c r="I633" s="72" t="s">
        <v>23</v>
      </c>
      <c r="J633" s="47">
        <f>SUM(J634:J640)</f>
        <v>0</v>
      </c>
      <c r="K633" s="47">
        <f>SUM(K634:K640)</f>
        <v>0</v>
      </c>
      <c r="L633" s="47">
        <f>SUM(L634:L640)</f>
        <v>0</v>
      </c>
      <c r="M633" s="47">
        <f>SUM(M634:M640)</f>
        <v>0</v>
      </c>
      <c r="N633" s="14" t="s">
        <v>25</v>
      </c>
      <c r="O633" s="47">
        <f>SUM(O634:O640)</f>
        <v>0.31365599999999999</v>
      </c>
      <c r="P633" s="73" t="s">
        <v>25</v>
      </c>
      <c r="AI633" s="14" t="s">
        <v>458</v>
      </c>
      <c r="AS633" s="47">
        <f>SUM(AJ634:AJ640)</f>
        <v>0</v>
      </c>
      <c r="AT633" s="47">
        <f>SUM(AK634:AK640)</f>
        <v>0</v>
      </c>
      <c r="AU633" s="47">
        <f>SUM(AL634:AL640)</f>
        <v>0</v>
      </c>
    </row>
    <row r="634" spans="1:76" x14ac:dyDescent="0.25">
      <c r="A634" s="1" t="s">
        <v>1176</v>
      </c>
      <c r="B634" s="2" t="s">
        <v>458</v>
      </c>
      <c r="C634" s="2" t="s">
        <v>342</v>
      </c>
      <c r="D634" s="83" t="s">
        <v>343</v>
      </c>
      <c r="E634" s="84"/>
      <c r="F634" s="2" t="s">
        <v>40</v>
      </c>
      <c r="G634" s="17">
        <f>'Rozpočet - vybrané sloupce'!J542</f>
        <v>12</v>
      </c>
      <c r="H634" s="17">
        <f>'Rozpočet - vybrané sloupce'!K542</f>
        <v>0</v>
      </c>
      <c r="I634" s="74">
        <v>12</v>
      </c>
      <c r="J634" s="17">
        <f t="shared" ref="J634:J640" si="712">ROUND(G634*AO634,2)</f>
        <v>0</v>
      </c>
      <c r="K634" s="17">
        <f t="shared" ref="K634:K640" si="713">ROUND(G634*AP634,2)</f>
        <v>0</v>
      </c>
      <c r="L634" s="17">
        <f t="shared" ref="L634:L640" si="714">ROUND(G634*H634,2)</f>
        <v>0</v>
      </c>
      <c r="M634" s="17">
        <f t="shared" ref="M634:M640" si="715">L634*(1+BW634/100)</f>
        <v>0</v>
      </c>
      <c r="N634" s="17">
        <v>0</v>
      </c>
      <c r="O634" s="17">
        <f t="shared" ref="O634:O640" si="716">G634*N634</f>
        <v>0</v>
      </c>
      <c r="P634" s="75" t="s">
        <v>576</v>
      </c>
      <c r="Z634" s="17">
        <f t="shared" ref="Z634:Z640" si="717">ROUND(IF(AQ634="5",BJ634,0),2)</f>
        <v>0</v>
      </c>
      <c r="AB634" s="17">
        <f t="shared" ref="AB634:AB640" si="718">ROUND(IF(AQ634="1",BH634,0),2)</f>
        <v>0</v>
      </c>
      <c r="AC634" s="17">
        <f t="shared" ref="AC634:AC640" si="719">ROUND(IF(AQ634="1",BI634,0),2)</f>
        <v>0</v>
      </c>
      <c r="AD634" s="17">
        <f t="shared" ref="AD634:AD640" si="720">ROUND(IF(AQ634="7",BH634,0),2)</f>
        <v>0</v>
      </c>
      <c r="AE634" s="17">
        <f t="shared" ref="AE634:AE640" si="721">ROUND(IF(AQ634="7",BI634,0),2)</f>
        <v>0</v>
      </c>
      <c r="AF634" s="17">
        <f t="shared" ref="AF634:AF640" si="722">ROUND(IF(AQ634="2",BH634,0),2)</f>
        <v>0</v>
      </c>
      <c r="AG634" s="17">
        <f t="shared" ref="AG634:AG640" si="723">ROUND(IF(AQ634="2",BI634,0),2)</f>
        <v>0</v>
      </c>
      <c r="AH634" s="17">
        <f t="shared" ref="AH634:AH640" si="724">ROUND(IF(AQ634="0",BJ634,0),2)</f>
        <v>0</v>
      </c>
      <c r="AI634" s="14" t="s">
        <v>458</v>
      </c>
      <c r="AJ634" s="17">
        <f t="shared" ref="AJ634:AJ640" si="725">IF(AN634=0,L634,0)</f>
        <v>0</v>
      </c>
      <c r="AK634" s="17">
        <f t="shared" ref="AK634:AK640" si="726">IF(AN634=12,L634,0)</f>
        <v>0</v>
      </c>
      <c r="AL634" s="17">
        <f t="shared" ref="AL634:AL640" si="727">IF(AN634=21,L634,0)</f>
        <v>0</v>
      </c>
      <c r="AN634" s="17">
        <v>12</v>
      </c>
      <c r="AO634" s="17">
        <f>H634*0</f>
        <v>0</v>
      </c>
      <c r="AP634" s="17">
        <f>H634*(1-0)</f>
        <v>0</v>
      </c>
      <c r="AQ634" s="76" t="s">
        <v>575</v>
      </c>
      <c r="AV634" s="17">
        <f t="shared" ref="AV634:AV640" si="728">ROUND(AW634+AX634,2)</f>
        <v>0</v>
      </c>
      <c r="AW634" s="17">
        <f t="shared" ref="AW634:AW640" si="729">ROUND(G634*AO634,2)</f>
        <v>0</v>
      </c>
      <c r="AX634" s="17">
        <f t="shared" ref="AX634:AX640" si="730">ROUND(G634*AP634,2)</f>
        <v>0</v>
      </c>
      <c r="AY634" s="76" t="s">
        <v>1040</v>
      </c>
      <c r="AZ634" s="76" t="s">
        <v>1177</v>
      </c>
      <c r="BA634" s="14" t="s">
        <v>1178</v>
      </c>
      <c r="BC634" s="17">
        <f t="shared" ref="BC634:BC640" si="731">AW634+AX634</f>
        <v>0</v>
      </c>
      <c r="BD634" s="17">
        <f t="shared" ref="BD634:BD640" si="732">H634/(100-BE634)*100</f>
        <v>0</v>
      </c>
      <c r="BE634" s="17">
        <v>0</v>
      </c>
      <c r="BF634" s="17">
        <f t="shared" ref="BF634:BF640" si="733">O634</f>
        <v>0</v>
      </c>
      <c r="BH634" s="17">
        <f t="shared" ref="BH634:BH640" si="734">G634*AO634</f>
        <v>0</v>
      </c>
      <c r="BI634" s="17">
        <f t="shared" ref="BI634:BI640" si="735">G634*AP634</f>
        <v>0</v>
      </c>
      <c r="BJ634" s="17">
        <f t="shared" ref="BJ634:BJ640" si="736">G634*H634</f>
        <v>0</v>
      </c>
      <c r="BK634" s="17"/>
      <c r="BL634" s="17">
        <v>34</v>
      </c>
      <c r="BW634" s="17">
        <f t="shared" ref="BW634:BW640" si="737">I634</f>
        <v>12</v>
      </c>
      <c r="BX634" s="4" t="s">
        <v>343</v>
      </c>
    </row>
    <row r="635" spans="1:76" x14ac:dyDescent="0.25">
      <c r="A635" s="1" t="s">
        <v>1179</v>
      </c>
      <c r="B635" s="2" t="s">
        <v>458</v>
      </c>
      <c r="C635" s="2" t="s">
        <v>344</v>
      </c>
      <c r="D635" s="83" t="s">
        <v>345</v>
      </c>
      <c r="E635" s="84"/>
      <c r="F635" s="2" t="s">
        <v>40</v>
      </c>
      <c r="G635" s="17">
        <f>'Rozpočet - vybrané sloupce'!J543</f>
        <v>12</v>
      </c>
      <c r="H635" s="17">
        <f>'Rozpočet - vybrané sloupce'!K543</f>
        <v>0</v>
      </c>
      <c r="I635" s="74">
        <v>12</v>
      </c>
      <c r="J635" s="17">
        <f t="shared" si="712"/>
        <v>0</v>
      </c>
      <c r="K635" s="17">
        <f t="shared" si="713"/>
        <v>0</v>
      </c>
      <c r="L635" s="17">
        <f t="shared" si="714"/>
        <v>0</v>
      </c>
      <c r="M635" s="17">
        <f t="shared" si="715"/>
        <v>0</v>
      </c>
      <c r="N635" s="17">
        <v>0</v>
      </c>
      <c r="O635" s="17">
        <f t="shared" si="716"/>
        <v>0</v>
      </c>
      <c r="P635" s="75" t="s">
        <v>576</v>
      </c>
      <c r="Z635" s="17">
        <f t="shared" si="717"/>
        <v>0</v>
      </c>
      <c r="AB635" s="17">
        <f t="shared" si="718"/>
        <v>0</v>
      </c>
      <c r="AC635" s="17">
        <f t="shared" si="719"/>
        <v>0</v>
      </c>
      <c r="AD635" s="17">
        <f t="shared" si="720"/>
        <v>0</v>
      </c>
      <c r="AE635" s="17">
        <f t="shared" si="721"/>
        <v>0</v>
      </c>
      <c r="AF635" s="17">
        <f t="shared" si="722"/>
        <v>0</v>
      </c>
      <c r="AG635" s="17">
        <f t="shared" si="723"/>
        <v>0</v>
      </c>
      <c r="AH635" s="17">
        <f t="shared" si="724"/>
        <v>0</v>
      </c>
      <c r="AI635" s="14" t="s">
        <v>458</v>
      </c>
      <c r="AJ635" s="17">
        <f t="shared" si="725"/>
        <v>0</v>
      </c>
      <c r="AK635" s="17">
        <f t="shared" si="726"/>
        <v>0</v>
      </c>
      <c r="AL635" s="17">
        <f t="shared" si="727"/>
        <v>0</v>
      </c>
      <c r="AN635" s="17">
        <v>12</v>
      </c>
      <c r="AO635" s="17">
        <f>H635*0</f>
        <v>0</v>
      </c>
      <c r="AP635" s="17">
        <f>H635*(1-0)</f>
        <v>0</v>
      </c>
      <c r="AQ635" s="76" t="s">
        <v>575</v>
      </c>
      <c r="AV635" s="17">
        <f t="shared" si="728"/>
        <v>0</v>
      </c>
      <c r="AW635" s="17">
        <f t="shared" si="729"/>
        <v>0</v>
      </c>
      <c r="AX635" s="17">
        <f t="shared" si="730"/>
        <v>0</v>
      </c>
      <c r="AY635" s="76" t="s">
        <v>1040</v>
      </c>
      <c r="AZ635" s="76" t="s">
        <v>1177</v>
      </c>
      <c r="BA635" s="14" t="s">
        <v>1178</v>
      </c>
      <c r="BC635" s="17">
        <f t="shared" si="731"/>
        <v>0</v>
      </c>
      <c r="BD635" s="17">
        <f t="shared" si="732"/>
        <v>0</v>
      </c>
      <c r="BE635" s="17">
        <v>0</v>
      </c>
      <c r="BF635" s="17">
        <f t="shared" si="733"/>
        <v>0</v>
      </c>
      <c r="BH635" s="17">
        <f t="shared" si="734"/>
        <v>0</v>
      </c>
      <c r="BI635" s="17">
        <f t="shared" si="735"/>
        <v>0</v>
      </c>
      <c r="BJ635" s="17">
        <f t="shared" si="736"/>
        <v>0</v>
      </c>
      <c r="BK635" s="17"/>
      <c r="BL635" s="17">
        <v>34</v>
      </c>
      <c r="BW635" s="17">
        <f t="shared" si="737"/>
        <v>12</v>
      </c>
      <c r="BX635" s="4" t="s">
        <v>345</v>
      </c>
    </row>
    <row r="636" spans="1:76" x14ac:dyDescent="0.25">
      <c r="A636" s="1" t="s">
        <v>1180</v>
      </c>
      <c r="B636" s="2" t="s">
        <v>458</v>
      </c>
      <c r="C636" s="2" t="s">
        <v>346</v>
      </c>
      <c r="D636" s="83" t="s">
        <v>347</v>
      </c>
      <c r="E636" s="84"/>
      <c r="F636" s="2" t="s">
        <v>35</v>
      </c>
      <c r="G636" s="17">
        <f>'Rozpočet - vybrané sloupce'!J544</f>
        <v>12</v>
      </c>
      <c r="H636" s="17">
        <f>'Rozpočet - vybrané sloupce'!K544</f>
        <v>0</v>
      </c>
      <c r="I636" s="74">
        <v>12</v>
      </c>
      <c r="J636" s="17">
        <f t="shared" si="712"/>
        <v>0</v>
      </c>
      <c r="K636" s="17">
        <f t="shared" si="713"/>
        <v>0</v>
      </c>
      <c r="L636" s="17">
        <f t="shared" si="714"/>
        <v>0</v>
      </c>
      <c r="M636" s="17">
        <f t="shared" si="715"/>
        <v>0</v>
      </c>
      <c r="N636" s="17">
        <v>0</v>
      </c>
      <c r="O636" s="17">
        <f t="shared" si="716"/>
        <v>0</v>
      </c>
      <c r="P636" s="75" t="s">
        <v>576</v>
      </c>
      <c r="Z636" s="17">
        <f t="shared" si="717"/>
        <v>0</v>
      </c>
      <c r="AB636" s="17">
        <f t="shared" si="718"/>
        <v>0</v>
      </c>
      <c r="AC636" s="17">
        <f t="shared" si="719"/>
        <v>0</v>
      </c>
      <c r="AD636" s="17">
        <f t="shared" si="720"/>
        <v>0</v>
      </c>
      <c r="AE636" s="17">
        <f t="shared" si="721"/>
        <v>0</v>
      </c>
      <c r="AF636" s="17">
        <f t="shared" si="722"/>
        <v>0</v>
      </c>
      <c r="AG636" s="17">
        <f t="shared" si="723"/>
        <v>0</v>
      </c>
      <c r="AH636" s="17">
        <f t="shared" si="724"/>
        <v>0</v>
      </c>
      <c r="AI636" s="14" t="s">
        <v>458</v>
      </c>
      <c r="AJ636" s="17">
        <f t="shared" si="725"/>
        <v>0</v>
      </c>
      <c r="AK636" s="17">
        <f t="shared" si="726"/>
        <v>0</v>
      </c>
      <c r="AL636" s="17">
        <f t="shared" si="727"/>
        <v>0</v>
      </c>
      <c r="AN636" s="17">
        <v>12</v>
      </c>
      <c r="AO636" s="17">
        <f>H636*1</f>
        <v>0</v>
      </c>
      <c r="AP636" s="17">
        <f>H636*(1-1)</f>
        <v>0</v>
      </c>
      <c r="AQ636" s="76" t="s">
        <v>575</v>
      </c>
      <c r="AV636" s="17">
        <f t="shared" si="728"/>
        <v>0</v>
      </c>
      <c r="AW636" s="17">
        <f t="shared" si="729"/>
        <v>0</v>
      </c>
      <c r="AX636" s="17">
        <f t="shared" si="730"/>
        <v>0</v>
      </c>
      <c r="AY636" s="76" t="s">
        <v>1040</v>
      </c>
      <c r="AZ636" s="76" t="s">
        <v>1177</v>
      </c>
      <c r="BA636" s="14" t="s">
        <v>1178</v>
      </c>
      <c r="BC636" s="17">
        <f t="shared" si="731"/>
        <v>0</v>
      </c>
      <c r="BD636" s="17">
        <f t="shared" si="732"/>
        <v>0</v>
      </c>
      <c r="BE636" s="17">
        <v>0</v>
      </c>
      <c r="BF636" s="17">
        <f t="shared" si="733"/>
        <v>0</v>
      </c>
      <c r="BH636" s="17">
        <f t="shared" si="734"/>
        <v>0</v>
      </c>
      <c r="BI636" s="17">
        <f t="shared" si="735"/>
        <v>0</v>
      </c>
      <c r="BJ636" s="17">
        <f t="shared" si="736"/>
        <v>0</v>
      </c>
      <c r="BK636" s="17"/>
      <c r="BL636" s="17">
        <v>34</v>
      </c>
      <c r="BW636" s="17">
        <f t="shared" si="737"/>
        <v>12</v>
      </c>
      <c r="BX636" s="4" t="s">
        <v>347</v>
      </c>
    </row>
    <row r="637" spans="1:76" x14ac:dyDescent="0.25">
      <c r="A637" s="1" t="s">
        <v>1181</v>
      </c>
      <c r="B637" s="2" t="s">
        <v>458</v>
      </c>
      <c r="C637" s="2" t="s">
        <v>348</v>
      </c>
      <c r="D637" s="83" t="s">
        <v>349</v>
      </c>
      <c r="E637" s="84"/>
      <c r="F637" s="2" t="s">
        <v>35</v>
      </c>
      <c r="G637" s="17">
        <f>'Rozpočet - vybrané sloupce'!J545</f>
        <v>12</v>
      </c>
      <c r="H637" s="17">
        <f>'Rozpočet - vybrané sloupce'!K545</f>
        <v>0</v>
      </c>
      <c r="I637" s="74">
        <v>12</v>
      </c>
      <c r="J637" s="17">
        <f t="shared" si="712"/>
        <v>0</v>
      </c>
      <c r="K637" s="17">
        <f t="shared" si="713"/>
        <v>0</v>
      </c>
      <c r="L637" s="17">
        <f t="shared" si="714"/>
        <v>0</v>
      </c>
      <c r="M637" s="17">
        <f t="shared" si="715"/>
        <v>0</v>
      </c>
      <c r="N637" s="17">
        <v>2.4000000000000001E-4</v>
      </c>
      <c r="O637" s="17">
        <f t="shared" si="716"/>
        <v>2.8800000000000002E-3</v>
      </c>
      <c r="P637" s="75" t="s">
        <v>576</v>
      </c>
      <c r="Z637" s="17">
        <f t="shared" si="717"/>
        <v>0</v>
      </c>
      <c r="AB637" s="17">
        <f t="shared" si="718"/>
        <v>0</v>
      </c>
      <c r="AC637" s="17">
        <f t="shared" si="719"/>
        <v>0</v>
      </c>
      <c r="AD637" s="17">
        <f t="shared" si="720"/>
        <v>0</v>
      </c>
      <c r="AE637" s="17">
        <f t="shared" si="721"/>
        <v>0</v>
      </c>
      <c r="AF637" s="17">
        <f t="shared" si="722"/>
        <v>0</v>
      </c>
      <c r="AG637" s="17">
        <f t="shared" si="723"/>
        <v>0</v>
      </c>
      <c r="AH637" s="17">
        <f t="shared" si="724"/>
        <v>0</v>
      </c>
      <c r="AI637" s="14" t="s">
        <v>458</v>
      </c>
      <c r="AJ637" s="17">
        <f t="shared" si="725"/>
        <v>0</v>
      </c>
      <c r="AK637" s="17">
        <f t="shared" si="726"/>
        <v>0</v>
      </c>
      <c r="AL637" s="17">
        <f t="shared" si="727"/>
        <v>0</v>
      </c>
      <c r="AN637" s="17">
        <v>12</v>
      </c>
      <c r="AO637" s="17">
        <f>H637*0.02254062</f>
        <v>0</v>
      </c>
      <c r="AP637" s="17">
        <f>H637*(1-0.02254062)</f>
        <v>0</v>
      </c>
      <c r="AQ637" s="76" t="s">
        <v>575</v>
      </c>
      <c r="AV637" s="17">
        <f t="shared" si="728"/>
        <v>0</v>
      </c>
      <c r="AW637" s="17">
        <f t="shared" si="729"/>
        <v>0</v>
      </c>
      <c r="AX637" s="17">
        <f t="shared" si="730"/>
        <v>0</v>
      </c>
      <c r="AY637" s="76" t="s">
        <v>1040</v>
      </c>
      <c r="AZ637" s="76" t="s">
        <v>1177</v>
      </c>
      <c r="BA637" s="14" t="s">
        <v>1178</v>
      </c>
      <c r="BC637" s="17">
        <f t="shared" si="731"/>
        <v>0</v>
      </c>
      <c r="BD637" s="17">
        <f t="shared" si="732"/>
        <v>0</v>
      </c>
      <c r="BE637" s="17">
        <v>0</v>
      </c>
      <c r="BF637" s="17">
        <f t="shared" si="733"/>
        <v>2.8800000000000002E-3</v>
      </c>
      <c r="BH637" s="17">
        <f t="shared" si="734"/>
        <v>0</v>
      </c>
      <c r="BI637" s="17">
        <f t="shared" si="735"/>
        <v>0</v>
      </c>
      <c r="BJ637" s="17">
        <f t="shared" si="736"/>
        <v>0</v>
      </c>
      <c r="BK637" s="17"/>
      <c r="BL637" s="17">
        <v>34</v>
      </c>
      <c r="BW637" s="17">
        <f t="shared" si="737"/>
        <v>12</v>
      </c>
      <c r="BX637" s="4" t="s">
        <v>349</v>
      </c>
    </row>
    <row r="638" spans="1:76" x14ac:dyDescent="0.25">
      <c r="A638" s="1" t="s">
        <v>1182</v>
      </c>
      <c r="B638" s="2" t="s">
        <v>458</v>
      </c>
      <c r="C638" s="2" t="s">
        <v>350</v>
      </c>
      <c r="D638" s="83" t="s">
        <v>351</v>
      </c>
      <c r="E638" s="84"/>
      <c r="F638" s="2" t="s">
        <v>35</v>
      </c>
      <c r="G638" s="17">
        <f>'Rozpočet - vybrané sloupce'!J546</f>
        <v>12</v>
      </c>
      <c r="H638" s="17">
        <f>'Rozpočet - vybrané sloupce'!K546</f>
        <v>0</v>
      </c>
      <c r="I638" s="74">
        <v>12</v>
      </c>
      <c r="J638" s="17">
        <f t="shared" si="712"/>
        <v>0</v>
      </c>
      <c r="K638" s="17">
        <f t="shared" si="713"/>
        <v>0</v>
      </c>
      <c r="L638" s="17">
        <f t="shared" si="714"/>
        <v>0</v>
      </c>
      <c r="M638" s="17">
        <f t="shared" si="715"/>
        <v>0</v>
      </c>
      <c r="N638" s="17">
        <v>0</v>
      </c>
      <c r="O638" s="17">
        <f t="shared" si="716"/>
        <v>0</v>
      </c>
      <c r="P638" s="75" t="s">
        <v>576</v>
      </c>
      <c r="Z638" s="17">
        <f t="shared" si="717"/>
        <v>0</v>
      </c>
      <c r="AB638" s="17">
        <f t="shared" si="718"/>
        <v>0</v>
      </c>
      <c r="AC638" s="17">
        <f t="shared" si="719"/>
        <v>0</v>
      </c>
      <c r="AD638" s="17">
        <f t="shared" si="720"/>
        <v>0</v>
      </c>
      <c r="AE638" s="17">
        <f t="shared" si="721"/>
        <v>0</v>
      </c>
      <c r="AF638" s="17">
        <f t="shared" si="722"/>
        <v>0</v>
      </c>
      <c r="AG638" s="17">
        <f t="shared" si="723"/>
        <v>0</v>
      </c>
      <c r="AH638" s="17">
        <f t="shared" si="724"/>
        <v>0</v>
      </c>
      <c r="AI638" s="14" t="s">
        <v>458</v>
      </c>
      <c r="AJ638" s="17">
        <f t="shared" si="725"/>
        <v>0</v>
      </c>
      <c r="AK638" s="17">
        <f t="shared" si="726"/>
        <v>0</v>
      </c>
      <c r="AL638" s="17">
        <f t="shared" si="727"/>
        <v>0</v>
      </c>
      <c r="AN638" s="17">
        <v>12</v>
      </c>
      <c r="AO638" s="17">
        <f>H638*1</f>
        <v>0</v>
      </c>
      <c r="AP638" s="17">
        <f>H638*(1-1)</f>
        <v>0</v>
      </c>
      <c r="AQ638" s="76" t="s">
        <v>575</v>
      </c>
      <c r="AV638" s="17">
        <f t="shared" si="728"/>
        <v>0</v>
      </c>
      <c r="AW638" s="17">
        <f t="shared" si="729"/>
        <v>0</v>
      </c>
      <c r="AX638" s="17">
        <f t="shared" si="730"/>
        <v>0</v>
      </c>
      <c r="AY638" s="76" t="s">
        <v>1040</v>
      </c>
      <c r="AZ638" s="76" t="s">
        <v>1177</v>
      </c>
      <c r="BA638" s="14" t="s">
        <v>1178</v>
      </c>
      <c r="BC638" s="17">
        <f t="shared" si="731"/>
        <v>0</v>
      </c>
      <c r="BD638" s="17">
        <f t="shared" si="732"/>
        <v>0</v>
      </c>
      <c r="BE638" s="17">
        <v>0</v>
      </c>
      <c r="BF638" s="17">
        <f t="shared" si="733"/>
        <v>0</v>
      </c>
      <c r="BH638" s="17">
        <f t="shared" si="734"/>
        <v>0</v>
      </c>
      <c r="BI638" s="17">
        <f t="shared" si="735"/>
        <v>0</v>
      </c>
      <c r="BJ638" s="17">
        <f t="shared" si="736"/>
        <v>0</v>
      </c>
      <c r="BK638" s="17"/>
      <c r="BL638" s="17">
        <v>34</v>
      </c>
      <c r="BW638" s="17">
        <f t="shared" si="737"/>
        <v>12</v>
      </c>
      <c r="BX638" s="4" t="s">
        <v>351</v>
      </c>
    </row>
    <row r="639" spans="1:76" x14ac:dyDescent="0.25">
      <c r="A639" s="1" t="s">
        <v>1183</v>
      </c>
      <c r="B639" s="2" t="s">
        <v>458</v>
      </c>
      <c r="C639" s="2" t="s">
        <v>352</v>
      </c>
      <c r="D639" s="83" t="s">
        <v>353</v>
      </c>
      <c r="E639" s="84"/>
      <c r="F639" s="2" t="s">
        <v>354</v>
      </c>
      <c r="G639" s="17">
        <f>'Rozpočet - vybrané sloupce'!J547</f>
        <v>1.2</v>
      </c>
      <c r="H639" s="17">
        <f>'Rozpočet - vybrané sloupce'!K547</f>
        <v>0</v>
      </c>
      <c r="I639" s="74">
        <v>12</v>
      </c>
      <c r="J639" s="17">
        <f t="shared" si="712"/>
        <v>0</v>
      </c>
      <c r="K639" s="17">
        <f t="shared" si="713"/>
        <v>0</v>
      </c>
      <c r="L639" s="17">
        <f t="shared" si="714"/>
        <v>0</v>
      </c>
      <c r="M639" s="17">
        <f t="shared" si="715"/>
        <v>0</v>
      </c>
      <c r="N639" s="17">
        <v>0.25897999999999999</v>
      </c>
      <c r="O639" s="17">
        <f t="shared" si="716"/>
        <v>0.310776</v>
      </c>
      <c r="P639" s="75" t="s">
        <v>576</v>
      </c>
      <c r="Z639" s="17">
        <f t="shared" si="717"/>
        <v>0</v>
      </c>
      <c r="AB639" s="17">
        <f t="shared" si="718"/>
        <v>0</v>
      </c>
      <c r="AC639" s="17">
        <f t="shared" si="719"/>
        <v>0</v>
      </c>
      <c r="AD639" s="17">
        <f t="shared" si="720"/>
        <v>0</v>
      </c>
      <c r="AE639" s="17">
        <f t="shared" si="721"/>
        <v>0</v>
      </c>
      <c r="AF639" s="17">
        <f t="shared" si="722"/>
        <v>0</v>
      </c>
      <c r="AG639" s="17">
        <f t="shared" si="723"/>
        <v>0</v>
      </c>
      <c r="AH639" s="17">
        <f t="shared" si="724"/>
        <v>0</v>
      </c>
      <c r="AI639" s="14" t="s">
        <v>458</v>
      </c>
      <c r="AJ639" s="17">
        <f t="shared" si="725"/>
        <v>0</v>
      </c>
      <c r="AK639" s="17">
        <f t="shared" si="726"/>
        <v>0</v>
      </c>
      <c r="AL639" s="17">
        <f t="shared" si="727"/>
        <v>0</v>
      </c>
      <c r="AN639" s="17">
        <v>12</v>
      </c>
      <c r="AO639" s="17">
        <f>H639*0.488592777</f>
        <v>0</v>
      </c>
      <c r="AP639" s="17">
        <f>H639*(1-0.488592777)</f>
        <v>0</v>
      </c>
      <c r="AQ639" s="76" t="s">
        <v>575</v>
      </c>
      <c r="AV639" s="17">
        <f t="shared" si="728"/>
        <v>0</v>
      </c>
      <c r="AW639" s="17">
        <f t="shared" si="729"/>
        <v>0</v>
      </c>
      <c r="AX639" s="17">
        <f t="shared" si="730"/>
        <v>0</v>
      </c>
      <c r="AY639" s="76" t="s">
        <v>1040</v>
      </c>
      <c r="AZ639" s="76" t="s">
        <v>1177</v>
      </c>
      <c r="BA639" s="14" t="s">
        <v>1178</v>
      </c>
      <c r="BC639" s="17">
        <f t="shared" si="731"/>
        <v>0</v>
      </c>
      <c r="BD639" s="17">
        <f t="shared" si="732"/>
        <v>0</v>
      </c>
      <c r="BE639" s="17">
        <v>0</v>
      </c>
      <c r="BF639" s="17">
        <f t="shared" si="733"/>
        <v>0.310776</v>
      </c>
      <c r="BH639" s="17">
        <f t="shared" si="734"/>
        <v>0</v>
      </c>
      <c r="BI639" s="17">
        <f t="shared" si="735"/>
        <v>0</v>
      </c>
      <c r="BJ639" s="17">
        <f t="shared" si="736"/>
        <v>0</v>
      </c>
      <c r="BK639" s="17"/>
      <c r="BL639" s="17">
        <v>34</v>
      </c>
      <c r="BW639" s="17">
        <f t="shared" si="737"/>
        <v>12</v>
      </c>
      <c r="BX639" s="4" t="s">
        <v>353</v>
      </c>
    </row>
    <row r="640" spans="1:76" x14ac:dyDescent="0.25">
      <c r="A640" s="1" t="s">
        <v>1184</v>
      </c>
      <c r="B640" s="2" t="s">
        <v>458</v>
      </c>
      <c r="C640" s="2" t="s">
        <v>355</v>
      </c>
      <c r="D640" s="83" t="s">
        <v>356</v>
      </c>
      <c r="E640" s="84"/>
      <c r="F640" s="2" t="s">
        <v>88</v>
      </c>
      <c r="G640" s="17">
        <f>'Rozpočet - vybrané sloupce'!J548</f>
        <v>0.6</v>
      </c>
      <c r="H640" s="17">
        <f>'Rozpočet - vybrané sloupce'!K548</f>
        <v>0</v>
      </c>
      <c r="I640" s="74">
        <v>12</v>
      </c>
      <c r="J640" s="17">
        <f t="shared" si="712"/>
        <v>0</v>
      </c>
      <c r="K640" s="17">
        <f t="shared" si="713"/>
        <v>0</v>
      </c>
      <c r="L640" s="17">
        <f t="shared" si="714"/>
        <v>0</v>
      </c>
      <c r="M640" s="17">
        <f t="shared" si="715"/>
        <v>0</v>
      </c>
      <c r="N640" s="17">
        <v>0</v>
      </c>
      <c r="O640" s="17">
        <f t="shared" si="716"/>
        <v>0</v>
      </c>
      <c r="P640" s="75" t="s">
        <v>576</v>
      </c>
      <c r="Z640" s="17">
        <f t="shared" si="717"/>
        <v>0</v>
      </c>
      <c r="AB640" s="17">
        <f t="shared" si="718"/>
        <v>0</v>
      </c>
      <c r="AC640" s="17">
        <f t="shared" si="719"/>
        <v>0</v>
      </c>
      <c r="AD640" s="17">
        <f t="shared" si="720"/>
        <v>0</v>
      </c>
      <c r="AE640" s="17">
        <f t="shared" si="721"/>
        <v>0</v>
      </c>
      <c r="AF640" s="17">
        <f t="shared" si="722"/>
        <v>0</v>
      </c>
      <c r="AG640" s="17">
        <f t="shared" si="723"/>
        <v>0</v>
      </c>
      <c r="AH640" s="17">
        <f t="shared" si="724"/>
        <v>0</v>
      </c>
      <c r="AI640" s="14" t="s">
        <v>458</v>
      </c>
      <c r="AJ640" s="17">
        <f t="shared" si="725"/>
        <v>0</v>
      </c>
      <c r="AK640" s="17">
        <f t="shared" si="726"/>
        <v>0</v>
      </c>
      <c r="AL640" s="17">
        <f t="shared" si="727"/>
        <v>0</v>
      </c>
      <c r="AN640" s="17">
        <v>12</v>
      </c>
      <c r="AO640" s="17">
        <f>H640*0</f>
        <v>0</v>
      </c>
      <c r="AP640" s="17">
        <f>H640*(1-0)</f>
        <v>0</v>
      </c>
      <c r="AQ640" s="76" t="s">
        <v>585</v>
      </c>
      <c r="AV640" s="17">
        <f t="shared" si="728"/>
        <v>0</v>
      </c>
      <c r="AW640" s="17">
        <f t="shared" si="729"/>
        <v>0</v>
      </c>
      <c r="AX640" s="17">
        <f t="shared" si="730"/>
        <v>0</v>
      </c>
      <c r="AY640" s="76" t="s">
        <v>1040</v>
      </c>
      <c r="AZ640" s="76" t="s">
        <v>1177</v>
      </c>
      <c r="BA640" s="14" t="s">
        <v>1178</v>
      </c>
      <c r="BC640" s="17">
        <f t="shared" si="731"/>
        <v>0</v>
      </c>
      <c r="BD640" s="17">
        <f t="shared" si="732"/>
        <v>0</v>
      </c>
      <c r="BE640" s="17">
        <v>0</v>
      </c>
      <c r="BF640" s="17">
        <f t="shared" si="733"/>
        <v>0</v>
      </c>
      <c r="BH640" s="17">
        <f t="shared" si="734"/>
        <v>0</v>
      </c>
      <c r="BI640" s="17">
        <f t="shared" si="735"/>
        <v>0</v>
      </c>
      <c r="BJ640" s="17">
        <f t="shared" si="736"/>
        <v>0</v>
      </c>
      <c r="BK640" s="17"/>
      <c r="BL640" s="17">
        <v>34</v>
      </c>
      <c r="BW640" s="17">
        <f t="shared" si="737"/>
        <v>12</v>
      </c>
      <c r="BX640" s="4" t="s">
        <v>356</v>
      </c>
    </row>
    <row r="641" spans="1:76" x14ac:dyDescent="0.25">
      <c r="A641" s="71" t="s">
        <v>25</v>
      </c>
      <c r="B641" s="13" t="s">
        <v>458</v>
      </c>
      <c r="C641" s="13" t="s">
        <v>357</v>
      </c>
      <c r="D641" s="135" t="s">
        <v>358</v>
      </c>
      <c r="E641" s="136"/>
      <c r="F641" s="72" t="s">
        <v>23</v>
      </c>
      <c r="G641" s="72" t="s">
        <v>23</v>
      </c>
      <c r="H641" s="72" t="s">
        <v>23</v>
      </c>
      <c r="I641" s="72" t="s">
        <v>23</v>
      </c>
      <c r="J641" s="47">
        <f>SUM(J642:J644)</f>
        <v>0</v>
      </c>
      <c r="K641" s="47">
        <f>SUM(K642:K644)</f>
        <v>0</v>
      </c>
      <c r="L641" s="47">
        <f>SUM(L642:L644)</f>
        <v>0</v>
      </c>
      <c r="M641" s="47">
        <f>SUM(M642:M644)</f>
        <v>0</v>
      </c>
      <c r="N641" s="14" t="s">
        <v>25</v>
      </c>
      <c r="O641" s="47">
        <f>SUM(O642:O644)</f>
        <v>1.04016</v>
      </c>
      <c r="P641" s="73" t="s">
        <v>25</v>
      </c>
      <c r="AI641" s="14" t="s">
        <v>458</v>
      </c>
      <c r="AS641" s="47">
        <f>SUM(AJ642:AJ644)</f>
        <v>0</v>
      </c>
      <c r="AT641" s="47">
        <f>SUM(AK642:AK644)</f>
        <v>0</v>
      </c>
      <c r="AU641" s="47">
        <f>SUM(AL642:AL644)</f>
        <v>0</v>
      </c>
    </row>
    <row r="642" spans="1:76" x14ac:dyDescent="0.25">
      <c r="A642" s="1" t="s">
        <v>1185</v>
      </c>
      <c r="B642" s="2" t="s">
        <v>458</v>
      </c>
      <c r="C642" s="2" t="s">
        <v>359</v>
      </c>
      <c r="D642" s="83" t="s">
        <v>360</v>
      </c>
      <c r="E642" s="84"/>
      <c r="F642" s="2" t="s">
        <v>35</v>
      </c>
      <c r="G642" s="17">
        <f>'Rozpočet - vybrané sloupce'!J550</f>
        <v>16</v>
      </c>
      <c r="H642" s="17">
        <f>'Rozpočet - vybrané sloupce'!K550</f>
        <v>0</v>
      </c>
      <c r="I642" s="74">
        <v>12</v>
      </c>
      <c r="J642" s="17">
        <f>ROUND(G642*AO642,2)</f>
        <v>0</v>
      </c>
      <c r="K642" s="17">
        <f>ROUND(G642*AP642,2)</f>
        <v>0</v>
      </c>
      <c r="L642" s="17">
        <f>ROUND(G642*H642,2)</f>
        <v>0</v>
      </c>
      <c r="M642" s="17">
        <f>L642*(1+BW642/100)</f>
        <v>0</v>
      </c>
      <c r="N642" s="17">
        <v>1.298E-2</v>
      </c>
      <c r="O642" s="17">
        <f>G642*N642</f>
        <v>0.20768</v>
      </c>
      <c r="P642" s="75" t="s">
        <v>576</v>
      </c>
      <c r="Z642" s="17">
        <f>ROUND(IF(AQ642="5",BJ642,0),2)</f>
        <v>0</v>
      </c>
      <c r="AB642" s="17">
        <f>ROUND(IF(AQ642="1",BH642,0),2)</f>
        <v>0</v>
      </c>
      <c r="AC642" s="17">
        <f>ROUND(IF(AQ642="1",BI642,0),2)</f>
        <v>0</v>
      </c>
      <c r="AD642" s="17">
        <f>ROUND(IF(AQ642="7",BH642,0),2)</f>
        <v>0</v>
      </c>
      <c r="AE642" s="17">
        <f>ROUND(IF(AQ642="7",BI642,0),2)</f>
        <v>0</v>
      </c>
      <c r="AF642" s="17">
        <f>ROUND(IF(AQ642="2",BH642,0),2)</f>
        <v>0</v>
      </c>
      <c r="AG642" s="17">
        <f>ROUND(IF(AQ642="2",BI642,0),2)</f>
        <v>0</v>
      </c>
      <c r="AH642" s="17">
        <f>ROUND(IF(AQ642="0",BJ642,0),2)</f>
        <v>0</v>
      </c>
      <c r="AI642" s="14" t="s">
        <v>458</v>
      </c>
      <c r="AJ642" s="17">
        <f>IF(AN642=0,L642,0)</f>
        <v>0</v>
      </c>
      <c r="AK642" s="17">
        <f>IF(AN642=12,L642,0)</f>
        <v>0</v>
      </c>
      <c r="AL642" s="17">
        <f>IF(AN642=21,L642,0)</f>
        <v>0</v>
      </c>
      <c r="AN642" s="17">
        <v>12</v>
      </c>
      <c r="AO642" s="17">
        <f>H642*0.310217028</f>
        <v>0</v>
      </c>
      <c r="AP642" s="17">
        <f>H642*(1-0.310217028)</f>
        <v>0</v>
      </c>
      <c r="AQ642" s="76" t="s">
        <v>575</v>
      </c>
      <c r="AV642" s="17">
        <f>ROUND(AW642+AX642,2)</f>
        <v>0</v>
      </c>
      <c r="AW642" s="17">
        <f>ROUND(G642*AO642,2)</f>
        <v>0</v>
      </c>
      <c r="AX642" s="17">
        <f>ROUND(G642*AP642,2)</f>
        <v>0</v>
      </c>
      <c r="AY642" s="76" t="s">
        <v>1052</v>
      </c>
      <c r="AZ642" s="76" t="s">
        <v>1186</v>
      </c>
      <c r="BA642" s="14" t="s">
        <v>1178</v>
      </c>
      <c r="BC642" s="17">
        <f>AW642+AX642</f>
        <v>0</v>
      </c>
      <c r="BD642" s="17">
        <f>H642/(100-BE642)*100</f>
        <v>0</v>
      </c>
      <c r="BE642" s="17">
        <v>0</v>
      </c>
      <c r="BF642" s="17">
        <f>O642</f>
        <v>0.20768</v>
      </c>
      <c r="BH642" s="17">
        <f>G642*AO642</f>
        <v>0</v>
      </c>
      <c r="BI642" s="17">
        <f>G642*AP642</f>
        <v>0</v>
      </c>
      <c r="BJ642" s="17">
        <f>G642*H642</f>
        <v>0</v>
      </c>
      <c r="BK642" s="17"/>
      <c r="BL642" s="17">
        <v>411</v>
      </c>
      <c r="BW642" s="17">
        <f>I642</f>
        <v>12</v>
      </c>
      <c r="BX642" s="4" t="s">
        <v>360</v>
      </c>
    </row>
    <row r="643" spans="1:76" x14ac:dyDescent="0.25">
      <c r="A643" s="1" t="s">
        <v>1187</v>
      </c>
      <c r="B643" s="2" t="s">
        <v>458</v>
      </c>
      <c r="C643" s="2" t="s">
        <v>361</v>
      </c>
      <c r="D643" s="83" t="s">
        <v>362</v>
      </c>
      <c r="E643" s="84"/>
      <c r="F643" s="2" t="s">
        <v>35</v>
      </c>
      <c r="G643" s="17">
        <f>'Rozpočet - vybrané sloupce'!J551</f>
        <v>16</v>
      </c>
      <c r="H643" s="17">
        <f>'Rozpočet - vybrané sloupce'!K551</f>
        <v>0</v>
      </c>
      <c r="I643" s="74">
        <v>12</v>
      </c>
      <c r="J643" s="17">
        <f>ROUND(G643*AO643,2)</f>
        <v>0</v>
      </c>
      <c r="K643" s="17">
        <f>ROUND(G643*AP643,2)</f>
        <v>0</v>
      </c>
      <c r="L643" s="17">
        <f>ROUND(G643*H643,2)</f>
        <v>0</v>
      </c>
      <c r="M643" s="17">
        <f>L643*(1+BW643/100)</f>
        <v>0</v>
      </c>
      <c r="N643" s="17">
        <v>5.203E-2</v>
      </c>
      <c r="O643" s="17">
        <f>G643*N643</f>
        <v>0.83248</v>
      </c>
      <c r="P643" s="75" t="s">
        <v>576</v>
      </c>
      <c r="Z643" s="17">
        <f>ROUND(IF(AQ643="5",BJ643,0),2)</f>
        <v>0</v>
      </c>
      <c r="AB643" s="17">
        <f>ROUND(IF(AQ643="1",BH643,0),2)</f>
        <v>0</v>
      </c>
      <c r="AC643" s="17">
        <f>ROUND(IF(AQ643="1",BI643,0),2)</f>
        <v>0</v>
      </c>
      <c r="AD643" s="17">
        <f>ROUND(IF(AQ643="7",BH643,0),2)</f>
        <v>0</v>
      </c>
      <c r="AE643" s="17">
        <f>ROUND(IF(AQ643="7",BI643,0),2)</f>
        <v>0</v>
      </c>
      <c r="AF643" s="17">
        <f>ROUND(IF(AQ643="2",BH643,0),2)</f>
        <v>0</v>
      </c>
      <c r="AG643" s="17">
        <f>ROUND(IF(AQ643="2",BI643,0),2)</f>
        <v>0</v>
      </c>
      <c r="AH643" s="17">
        <f>ROUND(IF(AQ643="0",BJ643,0),2)</f>
        <v>0</v>
      </c>
      <c r="AI643" s="14" t="s">
        <v>458</v>
      </c>
      <c r="AJ643" s="17">
        <f>IF(AN643=0,L643,0)</f>
        <v>0</v>
      </c>
      <c r="AK643" s="17">
        <f>IF(AN643=12,L643,0)</f>
        <v>0</v>
      </c>
      <c r="AL643" s="17">
        <f>IF(AN643=21,L643,0)</f>
        <v>0</v>
      </c>
      <c r="AN643" s="17">
        <v>12</v>
      </c>
      <c r="AO643" s="17">
        <f>H643*0.1272</f>
        <v>0</v>
      </c>
      <c r="AP643" s="17">
        <f>H643*(1-0.1272)</f>
        <v>0</v>
      </c>
      <c r="AQ643" s="76" t="s">
        <v>575</v>
      </c>
      <c r="AV643" s="17">
        <f>ROUND(AW643+AX643,2)</f>
        <v>0</v>
      </c>
      <c r="AW643" s="17">
        <f>ROUND(G643*AO643,2)</f>
        <v>0</v>
      </c>
      <c r="AX643" s="17">
        <f>ROUND(G643*AP643,2)</f>
        <v>0</v>
      </c>
      <c r="AY643" s="76" t="s">
        <v>1052</v>
      </c>
      <c r="AZ643" s="76" t="s">
        <v>1186</v>
      </c>
      <c r="BA643" s="14" t="s">
        <v>1178</v>
      </c>
      <c r="BC643" s="17">
        <f>AW643+AX643</f>
        <v>0</v>
      </c>
      <c r="BD643" s="17">
        <f>H643/(100-BE643)*100</f>
        <v>0</v>
      </c>
      <c r="BE643" s="17">
        <v>0</v>
      </c>
      <c r="BF643" s="17">
        <f>O643</f>
        <v>0.83248</v>
      </c>
      <c r="BH643" s="17">
        <f>G643*AO643</f>
        <v>0</v>
      </c>
      <c r="BI643" s="17">
        <f>G643*AP643</f>
        <v>0</v>
      </c>
      <c r="BJ643" s="17">
        <f>G643*H643</f>
        <v>0</v>
      </c>
      <c r="BK643" s="17"/>
      <c r="BL643" s="17">
        <v>411</v>
      </c>
      <c r="BW643" s="17">
        <f>I643</f>
        <v>12</v>
      </c>
      <c r="BX643" s="4" t="s">
        <v>362</v>
      </c>
    </row>
    <row r="644" spans="1:76" x14ac:dyDescent="0.25">
      <c r="A644" s="1" t="s">
        <v>1188</v>
      </c>
      <c r="B644" s="2" t="s">
        <v>458</v>
      </c>
      <c r="C644" s="2" t="s">
        <v>355</v>
      </c>
      <c r="D644" s="83" t="s">
        <v>356</v>
      </c>
      <c r="E644" s="84"/>
      <c r="F644" s="2" t="s">
        <v>88</v>
      </c>
      <c r="G644" s="17">
        <f>'Rozpočet - vybrané sloupce'!J552</f>
        <v>1</v>
      </c>
      <c r="H644" s="17">
        <f>'Rozpočet - vybrané sloupce'!K552</f>
        <v>0</v>
      </c>
      <c r="I644" s="74">
        <v>12</v>
      </c>
      <c r="J644" s="17">
        <f>ROUND(G644*AO644,2)</f>
        <v>0</v>
      </c>
      <c r="K644" s="17">
        <f>ROUND(G644*AP644,2)</f>
        <v>0</v>
      </c>
      <c r="L644" s="17">
        <f>ROUND(G644*H644,2)</f>
        <v>0</v>
      </c>
      <c r="M644" s="17">
        <f>L644*(1+BW644/100)</f>
        <v>0</v>
      </c>
      <c r="N644" s="17">
        <v>0</v>
      </c>
      <c r="O644" s="17">
        <f>G644*N644</f>
        <v>0</v>
      </c>
      <c r="P644" s="75" t="s">
        <v>576</v>
      </c>
      <c r="Z644" s="17">
        <f>ROUND(IF(AQ644="5",BJ644,0),2)</f>
        <v>0</v>
      </c>
      <c r="AB644" s="17">
        <f>ROUND(IF(AQ644="1",BH644,0),2)</f>
        <v>0</v>
      </c>
      <c r="AC644" s="17">
        <f>ROUND(IF(AQ644="1",BI644,0),2)</f>
        <v>0</v>
      </c>
      <c r="AD644" s="17">
        <f>ROUND(IF(AQ644="7",BH644,0),2)</f>
        <v>0</v>
      </c>
      <c r="AE644" s="17">
        <f>ROUND(IF(AQ644="7",BI644,0),2)</f>
        <v>0</v>
      </c>
      <c r="AF644" s="17">
        <f>ROUND(IF(AQ644="2",BH644,0),2)</f>
        <v>0</v>
      </c>
      <c r="AG644" s="17">
        <f>ROUND(IF(AQ644="2",BI644,0),2)</f>
        <v>0</v>
      </c>
      <c r="AH644" s="17">
        <f>ROUND(IF(AQ644="0",BJ644,0),2)</f>
        <v>0</v>
      </c>
      <c r="AI644" s="14" t="s">
        <v>458</v>
      </c>
      <c r="AJ644" s="17">
        <f>IF(AN644=0,L644,0)</f>
        <v>0</v>
      </c>
      <c r="AK644" s="17">
        <f>IF(AN644=12,L644,0)</f>
        <v>0</v>
      </c>
      <c r="AL644" s="17">
        <f>IF(AN644=21,L644,0)</f>
        <v>0</v>
      </c>
      <c r="AN644" s="17">
        <v>12</v>
      </c>
      <c r="AO644" s="17">
        <f>H644*0</f>
        <v>0</v>
      </c>
      <c r="AP644" s="17">
        <f>H644*(1-0)</f>
        <v>0</v>
      </c>
      <c r="AQ644" s="76" t="s">
        <v>585</v>
      </c>
      <c r="AV644" s="17">
        <f>ROUND(AW644+AX644,2)</f>
        <v>0</v>
      </c>
      <c r="AW644" s="17">
        <f>ROUND(G644*AO644,2)</f>
        <v>0</v>
      </c>
      <c r="AX644" s="17">
        <f>ROUND(G644*AP644,2)</f>
        <v>0</v>
      </c>
      <c r="AY644" s="76" t="s">
        <v>1052</v>
      </c>
      <c r="AZ644" s="76" t="s">
        <v>1186</v>
      </c>
      <c r="BA644" s="14" t="s">
        <v>1178</v>
      </c>
      <c r="BC644" s="17">
        <f>AW644+AX644</f>
        <v>0</v>
      </c>
      <c r="BD644" s="17">
        <f>H644/(100-BE644)*100</f>
        <v>0</v>
      </c>
      <c r="BE644" s="17">
        <v>0</v>
      </c>
      <c r="BF644" s="17">
        <f>O644</f>
        <v>0</v>
      </c>
      <c r="BH644" s="17">
        <f>G644*AO644</f>
        <v>0</v>
      </c>
      <c r="BI644" s="17">
        <f>G644*AP644</f>
        <v>0</v>
      </c>
      <c r="BJ644" s="17">
        <f>G644*H644</f>
        <v>0</v>
      </c>
      <c r="BK644" s="17"/>
      <c r="BL644" s="17">
        <v>411</v>
      </c>
      <c r="BW644" s="17">
        <f>I644</f>
        <v>12</v>
      </c>
      <c r="BX644" s="4" t="s">
        <v>356</v>
      </c>
    </row>
    <row r="645" spans="1:76" x14ac:dyDescent="0.25">
      <c r="A645" s="71" t="s">
        <v>25</v>
      </c>
      <c r="B645" s="13" t="s">
        <v>458</v>
      </c>
      <c r="C645" s="13" t="s">
        <v>363</v>
      </c>
      <c r="D645" s="135" t="s">
        <v>364</v>
      </c>
      <c r="E645" s="136"/>
      <c r="F645" s="72" t="s">
        <v>23</v>
      </c>
      <c r="G645" s="72" t="s">
        <v>23</v>
      </c>
      <c r="H645" s="72" t="s">
        <v>23</v>
      </c>
      <c r="I645" s="72" t="s">
        <v>23</v>
      </c>
      <c r="J645" s="47">
        <f>SUM(J646:J648)</f>
        <v>0</v>
      </c>
      <c r="K645" s="47">
        <f>SUM(K646:K648)</f>
        <v>0</v>
      </c>
      <c r="L645" s="47">
        <f>SUM(L646:L648)</f>
        <v>0</v>
      </c>
      <c r="M645" s="47">
        <f>SUM(M646:M648)</f>
        <v>0</v>
      </c>
      <c r="N645" s="14" t="s">
        <v>25</v>
      </c>
      <c r="O645" s="47">
        <f>SUM(O646:O648)</f>
        <v>3.3999999999999998E-3</v>
      </c>
      <c r="P645" s="73" t="s">
        <v>25</v>
      </c>
      <c r="AI645" s="14" t="s">
        <v>458</v>
      </c>
      <c r="AS645" s="47">
        <f>SUM(AJ646:AJ648)</f>
        <v>0</v>
      </c>
      <c r="AT645" s="47">
        <f>SUM(AK646:AK648)</f>
        <v>0</v>
      </c>
      <c r="AU645" s="47">
        <f>SUM(AL646:AL648)</f>
        <v>0</v>
      </c>
    </row>
    <row r="646" spans="1:76" ht="25.5" x14ac:dyDescent="0.25">
      <c r="A646" s="1" t="s">
        <v>1189</v>
      </c>
      <c r="B646" s="2" t="s">
        <v>458</v>
      </c>
      <c r="C646" s="2" t="s">
        <v>365</v>
      </c>
      <c r="D646" s="83" t="s">
        <v>366</v>
      </c>
      <c r="E646" s="84"/>
      <c r="F646" s="2" t="s">
        <v>354</v>
      </c>
      <c r="G646" s="17">
        <f>'Rozpočet - vybrané sloupce'!J554</f>
        <v>4</v>
      </c>
      <c r="H646" s="17">
        <f>'Rozpočet - vybrané sloupce'!K554</f>
        <v>0</v>
      </c>
      <c r="I646" s="74">
        <v>12</v>
      </c>
      <c r="J646" s="17">
        <f>ROUND(G646*AO646,2)</f>
        <v>0</v>
      </c>
      <c r="K646" s="17">
        <f>ROUND(G646*AP646,2)</f>
        <v>0</v>
      </c>
      <c r="L646" s="17">
        <f>ROUND(G646*H646,2)</f>
        <v>0</v>
      </c>
      <c r="M646" s="17">
        <f>L646*(1+BW646/100)</f>
        <v>0</v>
      </c>
      <c r="N646" s="17">
        <v>8.4999999999999995E-4</v>
      </c>
      <c r="O646" s="17">
        <f>G646*N646</f>
        <v>3.3999999999999998E-3</v>
      </c>
      <c r="P646" s="75" t="s">
        <v>576</v>
      </c>
      <c r="Z646" s="17">
        <f>ROUND(IF(AQ646="5",BJ646,0),2)</f>
        <v>0</v>
      </c>
      <c r="AB646" s="17">
        <f>ROUND(IF(AQ646="1",BH646,0),2)</f>
        <v>0</v>
      </c>
      <c r="AC646" s="17">
        <f>ROUND(IF(AQ646="1",BI646,0),2)</f>
        <v>0</v>
      </c>
      <c r="AD646" s="17">
        <f>ROUND(IF(AQ646="7",BH646,0),2)</f>
        <v>0</v>
      </c>
      <c r="AE646" s="17">
        <f>ROUND(IF(AQ646="7",BI646,0),2)</f>
        <v>0</v>
      </c>
      <c r="AF646" s="17">
        <f>ROUND(IF(AQ646="2",BH646,0),2)</f>
        <v>0</v>
      </c>
      <c r="AG646" s="17">
        <f>ROUND(IF(AQ646="2",BI646,0),2)</f>
        <v>0</v>
      </c>
      <c r="AH646" s="17">
        <f>ROUND(IF(AQ646="0",BJ646,0),2)</f>
        <v>0</v>
      </c>
      <c r="AI646" s="14" t="s">
        <v>458</v>
      </c>
      <c r="AJ646" s="17">
        <f>IF(AN646=0,L646,0)</f>
        <v>0</v>
      </c>
      <c r="AK646" s="17">
        <f>IF(AN646=12,L646,0)</f>
        <v>0</v>
      </c>
      <c r="AL646" s="17">
        <f>IF(AN646=21,L646,0)</f>
        <v>0</v>
      </c>
      <c r="AN646" s="17">
        <v>12</v>
      </c>
      <c r="AO646" s="17">
        <f>H646*0.55103125</f>
        <v>0</v>
      </c>
      <c r="AP646" s="17">
        <f>H646*(1-0.55103125)</f>
        <v>0</v>
      </c>
      <c r="AQ646" s="76" t="s">
        <v>577</v>
      </c>
      <c r="AV646" s="17">
        <f>ROUND(AW646+AX646,2)</f>
        <v>0</v>
      </c>
      <c r="AW646" s="17">
        <f>ROUND(G646*AO646,2)</f>
        <v>0</v>
      </c>
      <c r="AX646" s="17">
        <f>ROUND(G646*AP646,2)</f>
        <v>0</v>
      </c>
      <c r="AY646" s="76" t="s">
        <v>1057</v>
      </c>
      <c r="AZ646" s="76" t="s">
        <v>1190</v>
      </c>
      <c r="BA646" s="14" t="s">
        <v>1178</v>
      </c>
      <c r="BC646" s="17">
        <f>AW646+AX646</f>
        <v>0</v>
      </c>
      <c r="BD646" s="17">
        <f>H646/(100-BE646)*100</f>
        <v>0</v>
      </c>
      <c r="BE646" s="17">
        <v>0</v>
      </c>
      <c r="BF646" s="17">
        <f>O646</f>
        <v>3.3999999999999998E-3</v>
      </c>
      <c r="BH646" s="17">
        <f>G646*AO646</f>
        <v>0</v>
      </c>
      <c r="BI646" s="17">
        <f>G646*AP646</f>
        <v>0</v>
      </c>
      <c r="BJ646" s="17">
        <f>G646*H646</f>
        <v>0</v>
      </c>
      <c r="BK646" s="17"/>
      <c r="BL646" s="17">
        <v>712</v>
      </c>
      <c r="BW646" s="17">
        <f>I646</f>
        <v>12</v>
      </c>
      <c r="BX646" s="4" t="s">
        <v>366</v>
      </c>
    </row>
    <row r="647" spans="1:76" x14ac:dyDescent="0.25">
      <c r="A647" s="1" t="s">
        <v>1191</v>
      </c>
      <c r="B647" s="2" t="s">
        <v>458</v>
      </c>
      <c r="C647" s="2" t="s">
        <v>369</v>
      </c>
      <c r="D647" s="83" t="s">
        <v>370</v>
      </c>
      <c r="E647" s="84"/>
      <c r="F647" s="2" t="s">
        <v>45</v>
      </c>
      <c r="G647" s="17">
        <f>'Rozpočet - vybrané sloupce'!J555</f>
        <v>0</v>
      </c>
      <c r="H647" s="17">
        <f>'Rozpočet - vybrané sloupce'!K555</f>
        <v>0</v>
      </c>
      <c r="I647" s="74">
        <v>12</v>
      </c>
      <c r="J647" s="17">
        <f>ROUND(G647*AO647,2)</f>
        <v>0</v>
      </c>
      <c r="K647" s="17">
        <f>ROUND(G647*AP647,2)</f>
        <v>0</v>
      </c>
      <c r="L647" s="17">
        <f>ROUND(G647*H647,2)</f>
        <v>0</v>
      </c>
      <c r="M647" s="17">
        <f>L647*(1+BW647/100)</f>
        <v>0</v>
      </c>
      <c r="N647" s="17">
        <v>0</v>
      </c>
      <c r="O647" s="17">
        <f>G647*N647</f>
        <v>0</v>
      </c>
      <c r="P647" s="75" t="s">
        <v>576</v>
      </c>
      <c r="Z647" s="17">
        <f>ROUND(IF(AQ647="5",BJ647,0),2)</f>
        <v>0</v>
      </c>
      <c r="AB647" s="17">
        <f>ROUND(IF(AQ647="1",BH647,0),2)</f>
        <v>0</v>
      </c>
      <c r="AC647" s="17">
        <f>ROUND(IF(AQ647="1",BI647,0),2)</f>
        <v>0</v>
      </c>
      <c r="AD647" s="17">
        <f>ROUND(IF(AQ647="7",BH647,0),2)</f>
        <v>0</v>
      </c>
      <c r="AE647" s="17">
        <f>ROUND(IF(AQ647="7",BI647,0),2)</f>
        <v>0</v>
      </c>
      <c r="AF647" s="17">
        <f>ROUND(IF(AQ647="2",BH647,0),2)</f>
        <v>0</v>
      </c>
      <c r="AG647" s="17">
        <f>ROUND(IF(AQ647="2",BI647,0),2)</f>
        <v>0</v>
      </c>
      <c r="AH647" s="17">
        <f>ROUND(IF(AQ647="0",BJ647,0),2)</f>
        <v>0</v>
      </c>
      <c r="AI647" s="14" t="s">
        <v>458</v>
      </c>
      <c r="AJ647" s="17">
        <f>IF(AN647=0,L647,0)</f>
        <v>0</v>
      </c>
      <c r="AK647" s="17">
        <f>IF(AN647=12,L647,0)</f>
        <v>0</v>
      </c>
      <c r="AL647" s="17">
        <f>IF(AN647=21,L647,0)</f>
        <v>0</v>
      </c>
      <c r="AN647" s="17">
        <v>12</v>
      </c>
      <c r="AO647" s="17">
        <f>H647*0</f>
        <v>0</v>
      </c>
      <c r="AP647" s="17">
        <f>H647*(1-0)</f>
        <v>0</v>
      </c>
      <c r="AQ647" s="76" t="s">
        <v>585</v>
      </c>
      <c r="AV647" s="17">
        <f>ROUND(AW647+AX647,2)</f>
        <v>0</v>
      </c>
      <c r="AW647" s="17">
        <f>ROUND(G647*AO647,2)</f>
        <v>0</v>
      </c>
      <c r="AX647" s="17">
        <f>ROUND(G647*AP647,2)</f>
        <v>0</v>
      </c>
      <c r="AY647" s="76" t="s">
        <v>1057</v>
      </c>
      <c r="AZ647" s="76" t="s">
        <v>1190</v>
      </c>
      <c r="BA647" s="14" t="s">
        <v>1178</v>
      </c>
      <c r="BC647" s="17">
        <f>AW647+AX647</f>
        <v>0</v>
      </c>
      <c r="BD647" s="17">
        <f>H647/(100-BE647)*100</f>
        <v>0</v>
      </c>
      <c r="BE647" s="17">
        <v>0</v>
      </c>
      <c r="BF647" s="17">
        <f>O647</f>
        <v>0</v>
      </c>
      <c r="BH647" s="17">
        <f>G647*AO647</f>
        <v>0</v>
      </c>
      <c r="BI647" s="17">
        <f>G647*AP647</f>
        <v>0</v>
      </c>
      <c r="BJ647" s="17">
        <f>G647*H647</f>
        <v>0</v>
      </c>
      <c r="BK647" s="17"/>
      <c r="BL647" s="17">
        <v>712</v>
      </c>
      <c r="BW647" s="17">
        <f>I647</f>
        <v>12</v>
      </c>
      <c r="BX647" s="4" t="s">
        <v>370</v>
      </c>
    </row>
    <row r="648" spans="1:76" x14ac:dyDescent="0.25">
      <c r="A648" s="1" t="s">
        <v>1192</v>
      </c>
      <c r="B648" s="2" t="s">
        <v>458</v>
      </c>
      <c r="C648" s="2" t="s">
        <v>367</v>
      </c>
      <c r="D648" s="83" t="s">
        <v>368</v>
      </c>
      <c r="E648" s="84"/>
      <c r="F648" s="2" t="s">
        <v>354</v>
      </c>
      <c r="G648" s="17">
        <f>'Rozpočet - vybrané sloupce'!J556</f>
        <v>4</v>
      </c>
      <c r="H648" s="17">
        <f>'Rozpočet - vybrané sloupce'!K556</f>
        <v>0</v>
      </c>
      <c r="I648" s="74">
        <v>12</v>
      </c>
      <c r="J648" s="17">
        <f>ROUND(G648*AO648,2)</f>
        <v>0</v>
      </c>
      <c r="K648" s="17">
        <f>ROUND(G648*AP648,2)</f>
        <v>0</v>
      </c>
      <c r="L648" s="17">
        <f>ROUND(G648*H648,2)</f>
        <v>0</v>
      </c>
      <c r="M648" s="17">
        <f>L648*(1+BW648/100)</f>
        <v>0</v>
      </c>
      <c r="N648" s="17">
        <v>0</v>
      </c>
      <c r="O648" s="17">
        <f>G648*N648</f>
        <v>0</v>
      </c>
      <c r="P648" s="75" t="s">
        <v>576</v>
      </c>
      <c r="Z648" s="17">
        <f>ROUND(IF(AQ648="5",BJ648,0),2)</f>
        <v>0</v>
      </c>
      <c r="AB648" s="17">
        <f>ROUND(IF(AQ648="1",BH648,0),2)</f>
        <v>0</v>
      </c>
      <c r="AC648" s="17">
        <f>ROUND(IF(AQ648="1",BI648,0),2)</f>
        <v>0</v>
      </c>
      <c r="AD648" s="17">
        <f>ROUND(IF(AQ648="7",BH648,0),2)</f>
        <v>0</v>
      </c>
      <c r="AE648" s="17">
        <f>ROUND(IF(AQ648="7",BI648,0),2)</f>
        <v>0</v>
      </c>
      <c r="AF648" s="17">
        <f>ROUND(IF(AQ648="2",BH648,0),2)</f>
        <v>0</v>
      </c>
      <c r="AG648" s="17">
        <f>ROUND(IF(AQ648="2",BI648,0),2)</f>
        <v>0</v>
      </c>
      <c r="AH648" s="17">
        <f>ROUND(IF(AQ648="0",BJ648,0),2)</f>
        <v>0</v>
      </c>
      <c r="AI648" s="14" t="s">
        <v>458</v>
      </c>
      <c r="AJ648" s="17">
        <f>IF(AN648=0,L648,0)</f>
        <v>0</v>
      </c>
      <c r="AK648" s="17">
        <f>IF(AN648=12,L648,0)</f>
        <v>0</v>
      </c>
      <c r="AL648" s="17">
        <f>IF(AN648=21,L648,0)</f>
        <v>0</v>
      </c>
      <c r="AN648" s="17">
        <v>12</v>
      </c>
      <c r="AO648" s="17">
        <f>H648*1</f>
        <v>0</v>
      </c>
      <c r="AP648" s="17">
        <f>H648*(1-1)</f>
        <v>0</v>
      </c>
      <c r="AQ648" s="76" t="s">
        <v>577</v>
      </c>
      <c r="AV648" s="17">
        <f>ROUND(AW648+AX648,2)</f>
        <v>0</v>
      </c>
      <c r="AW648" s="17">
        <f>ROUND(G648*AO648,2)</f>
        <v>0</v>
      </c>
      <c r="AX648" s="17">
        <f>ROUND(G648*AP648,2)</f>
        <v>0</v>
      </c>
      <c r="AY648" s="76" t="s">
        <v>1057</v>
      </c>
      <c r="AZ648" s="76" t="s">
        <v>1190</v>
      </c>
      <c r="BA648" s="14" t="s">
        <v>1178</v>
      </c>
      <c r="BC648" s="17">
        <f>AW648+AX648</f>
        <v>0</v>
      </c>
      <c r="BD648" s="17">
        <f>H648/(100-BE648)*100</f>
        <v>0</v>
      </c>
      <c r="BE648" s="17">
        <v>0</v>
      </c>
      <c r="BF648" s="17">
        <f>O648</f>
        <v>0</v>
      </c>
      <c r="BH648" s="17">
        <f>G648*AO648</f>
        <v>0</v>
      </c>
      <c r="BI648" s="17">
        <f>G648*AP648</f>
        <v>0</v>
      </c>
      <c r="BJ648" s="17">
        <f>G648*H648</f>
        <v>0</v>
      </c>
      <c r="BK648" s="17"/>
      <c r="BL648" s="17">
        <v>712</v>
      </c>
      <c r="BW648" s="17">
        <f>I648</f>
        <v>12</v>
      </c>
      <c r="BX648" s="4" t="s">
        <v>368</v>
      </c>
    </row>
    <row r="649" spans="1:76" x14ac:dyDescent="0.25">
      <c r="A649" s="71" t="s">
        <v>25</v>
      </c>
      <c r="B649" s="13" t="s">
        <v>458</v>
      </c>
      <c r="C649" s="13" t="s">
        <v>371</v>
      </c>
      <c r="D649" s="135" t="s">
        <v>372</v>
      </c>
      <c r="E649" s="136"/>
      <c r="F649" s="72" t="s">
        <v>23</v>
      </c>
      <c r="G649" s="72" t="s">
        <v>23</v>
      </c>
      <c r="H649" s="72" t="s">
        <v>23</v>
      </c>
      <c r="I649" s="72" t="s">
        <v>23</v>
      </c>
      <c r="J649" s="47">
        <f>SUM(J650:J650)</f>
        <v>0</v>
      </c>
      <c r="K649" s="47">
        <f>SUM(K650:K650)</f>
        <v>0</v>
      </c>
      <c r="L649" s="47">
        <f>SUM(L650:L650)</f>
        <v>0</v>
      </c>
      <c r="M649" s="47">
        <f>SUM(M650:M650)</f>
        <v>0</v>
      </c>
      <c r="N649" s="14" t="s">
        <v>25</v>
      </c>
      <c r="O649" s="47">
        <f>SUM(O650:O650)</f>
        <v>0</v>
      </c>
      <c r="P649" s="73" t="s">
        <v>25</v>
      </c>
      <c r="AI649" s="14" t="s">
        <v>458</v>
      </c>
      <c r="AS649" s="47">
        <f>SUM(AJ650:AJ650)</f>
        <v>0</v>
      </c>
      <c r="AT649" s="47">
        <f>SUM(AK650:AK650)</f>
        <v>0</v>
      </c>
      <c r="AU649" s="47">
        <f>SUM(AL650:AL650)</f>
        <v>0</v>
      </c>
    </row>
    <row r="650" spans="1:76" x14ac:dyDescent="0.25">
      <c r="A650" s="1" t="s">
        <v>1193</v>
      </c>
      <c r="B650" s="2" t="s">
        <v>458</v>
      </c>
      <c r="C650" s="2" t="s">
        <v>373</v>
      </c>
      <c r="D650" s="83" t="s">
        <v>374</v>
      </c>
      <c r="E650" s="84"/>
      <c r="F650" s="2" t="s">
        <v>40</v>
      </c>
      <c r="G650" s="17">
        <f>'Rozpočet - vybrané sloupce'!J558</f>
        <v>7</v>
      </c>
      <c r="H650" s="17">
        <f>'Rozpočet - vybrané sloupce'!K558</f>
        <v>0</v>
      </c>
      <c r="I650" s="74">
        <v>12</v>
      </c>
      <c r="J650" s="17">
        <f>ROUND(G650*AO650,2)</f>
        <v>0</v>
      </c>
      <c r="K650" s="17">
        <f>ROUND(G650*AP650,2)</f>
        <v>0</v>
      </c>
      <c r="L650" s="17">
        <f>ROUND(G650*H650,2)</f>
        <v>0</v>
      </c>
      <c r="M650" s="17">
        <f>L650*(1+BW650/100)</f>
        <v>0</v>
      </c>
      <c r="N650" s="17">
        <v>0</v>
      </c>
      <c r="O650" s="17">
        <f>G650*N650</f>
        <v>0</v>
      </c>
      <c r="P650" s="75" t="s">
        <v>576</v>
      </c>
      <c r="Z650" s="17">
        <f>ROUND(IF(AQ650="5",BJ650,0),2)</f>
        <v>0</v>
      </c>
      <c r="AB650" s="17">
        <f>ROUND(IF(AQ650="1",BH650,0),2)</f>
        <v>0</v>
      </c>
      <c r="AC650" s="17">
        <f>ROUND(IF(AQ650="1",BI650,0),2)</f>
        <v>0</v>
      </c>
      <c r="AD650" s="17">
        <f>ROUND(IF(AQ650="7",BH650,0),2)</f>
        <v>0</v>
      </c>
      <c r="AE650" s="17">
        <f>ROUND(IF(AQ650="7",BI650,0),2)</f>
        <v>0</v>
      </c>
      <c r="AF650" s="17">
        <f>ROUND(IF(AQ650="2",BH650,0),2)</f>
        <v>0</v>
      </c>
      <c r="AG650" s="17">
        <f>ROUND(IF(AQ650="2",BI650,0),2)</f>
        <v>0</v>
      </c>
      <c r="AH650" s="17">
        <f>ROUND(IF(AQ650="0",BJ650,0),2)</f>
        <v>0</v>
      </c>
      <c r="AI650" s="14" t="s">
        <v>458</v>
      </c>
      <c r="AJ650" s="17">
        <f>IF(AN650=0,L650,0)</f>
        <v>0</v>
      </c>
      <c r="AK650" s="17">
        <f>IF(AN650=12,L650,0)</f>
        <v>0</v>
      </c>
      <c r="AL650" s="17">
        <f>IF(AN650=21,L650,0)</f>
        <v>0</v>
      </c>
      <c r="AN650" s="17">
        <v>12</v>
      </c>
      <c r="AO650" s="17">
        <f>H650*0.5</f>
        <v>0</v>
      </c>
      <c r="AP650" s="17">
        <f>H650*(1-0.5)</f>
        <v>0</v>
      </c>
      <c r="AQ650" s="76" t="s">
        <v>577</v>
      </c>
      <c r="AV650" s="17">
        <f>ROUND(AW650+AX650,2)</f>
        <v>0</v>
      </c>
      <c r="AW650" s="17">
        <f>ROUND(G650*AO650,2)</f>
        <v>0</v>
      </c>
      <c r="AX650" s="17">
        <f>ROUND(G650*AP650,2)</f>
        <v>0</v>
      </c>
      <c r="AY650" s="76" t="s">
        <v>1062</v>
      </c>
      <c r="AZ650" s="76" t="s">
        <v>1194</v>
      </c>
      <c r="BA650" s="14" t="s">
        <v>1178</v>
      </c>
      <c r="BC650" s="17">
        <f>AW650+AX650</f>
        <v>0</v>
      </c>
      <c r="BD650" s="17">
        <f>H650/(100-BE650)*100</f>
        <v>0</v>
      </c>
      <c r="BE650" s="17">
        <v>0</v>
      </c>
      <c r="BF650" s="17">
        <f>O650</f>
        <v>0</v>
      </c>
      <c r="BH650" s="17">
        <f>G650*AO650</f>
        <v>0</v>
      </c>
      <c r="BI650" s="17">
        <f>G650*AP650</f>
        <v>0</v>
      </c>
      <c r="BJ650" s="17">
        <f>G650*H650</f>
        <v>0</v>
      </c>
      <c r="BK650" s="17"/>
      <c r="BL650" s="17">
        <v>74</v>
      </c>
      <c r="BW650" s="17">
        <f>I650</f>
        <v>12</v>
      </c>
      <c r="BX650" s="4" t="s">
        <v>374</v>
      </c>
    </row>
    <row r="651" spans="1:76" x14ac:dyDescent="0.25">
      <c r="A651" s="71" t="s">
        <v>25</v>
      </c>
      <c r="B651" s="13" t="s">
        <v>458</v>
      </c>
      <c r="C651" s="13" t="s">
        <v>375</v>
      </c>
      <c r="D651" s="135" t="s">
        <v>376</v>
      </c>
      <c r="E651" s="136"/>
      <c r="F651" s="72" t="s">
        <v>23</v>
      </c>
      <c r="G651" s="72" t="s">
        <v>23</v>
      </c>
      <c r="H651" s="72" t="s">
        <v>23</v>
      </c>
      <c r="I651" s="72" t="s">
        <v>23</v>
      </c>
      <c r="J651" s="47">
        <f>SUM(J652:J658)</f>
        <v>0</v>
      </c>
      <c r="K651" s="47">
        <f>SUM(K652:K658)</f>
        <v>0</v>
      </c>
      <c r="L651" s="47">
        <f>SUM(L652:L658)</f>
        <v>0</v>
      </c>
      <c r="M651" s="47">
        <f>SUM(M652:M658)</f>
        <v>0</v>
      </c>
      <c r="N651" s="14" t="s">
        <v>25</v>
      </c>
      <c r="O651" s="47">
        <f>SUM(O652:O658)</f>
        <v>0.20200799999999999</v>
      </c>
      <c r="P651" s="73" t="s">
        <v>25</v>
      </c>
      <c r="AI651" s="14" t="s">
        <v>458</v>
      </c>
      <c r="AS651" s="47">
        <f>SUM(AJ652:AJ658)</f>
        <v>0</v>
      </c>
      <c r="AT651" s="47">
        <f>SUM(AK652:AK658)</f>
        <v>0</v>
      </c>
      <c r="AU651" s="47">
        <f>SUM(AL652:AL658)</f>
        <v>0</v>
      </c>
    </row>
    <row r="652" spans="1:76" x14ac:dyDescent="0.25">
      <c r="A652" s="1" t="s">
        <v>1195</v>
      </c>
      <c r="B652" s="2" t="s">
        <v>458</v>
      </c>
      <c r="C652" s="2" t="s">
        <v>377</v>
      </c>
      <c r="D652" s="83" t="s">
        <v>378</v>
      </c>
      <c r="E652" s="84"/>
      <c r="F652" s="2" t="s">
        <v>379</v>
      </c>
      <c r="G652" s="17">
        <f>'Rozpočet - vybrané sloupce'!J560</f>
        <v>48</v>
      </c>
      <c r="H652" s="17">
        <f>'Rozpočet - vybrané sloupce'!K560</f>
        <v>0</v>
      </c>
      <c r="I652" s="74">
        <v>12</v>
      </c>
      <c r="J652" s="17">
        <f t="shared" ref="J652:J658" si="738">ROUND(G652*AO652,2)</f>
        <v>0</v>
      </c>
      <c r="K652" s="17">
        <f t="shared" ref="K652:K658" si="739">ROUND(G652*AP652,2)</f>
        <v>0</v>
      </c>
      <c r="L652" s="17">
        <f t="shared" ref="L652:L658" si="740">ROUND(G652*H652,2)</f>
        <v>0</v>
      </c>
      <c r="M652" s="17">
        <f t="shared" ref="M652:M658" si="741">L652*(1+BW652/100)</f>
        <v>0</v>
      </c>
      <c r="N652" s="17">
        <v>1.2E-4</v>
      </c>
      <c r="O652" s="17">
        <f t="shared" ref="O652:O658" si="742">G652*N652</f>
        <v>5.7600000000000004E-3</v>
      </c>
      <c r="P652" s="75" t="s">
        <v>576</v>
      </c>
      <c r="Z652" s="17">
        <f t="shared" ref="Z652:Z658" si="743">ROUND(IF(AQ652="5",BJ652,0),2)</f>
        <v>0</v>
      </c>
      <c r="AB652" s="17">
        <f t="shared" ref="AB652:AB658" si="744">ROUND(IF(AQ652="1",BH652,0),2)</f>
        <v>0</v>
      </c>
      <c r="AC652" s="17">
        <f t="shared" ref="AC652:AC658" si="745">ROUND(IF(AQ652="1",BI652,0),2)</f>
        <v>0</v>
      </c>
      <c r="AD652" s="17">
        <f t="shared" ref="AD652:AD658" si="746">ROUND(IF(AQ652="7",BH652,0),2)</f>
        <v>0</v>
      </c>
      <c r="AE652" s="17">
        <f t="shared" ref="AE652:AE658" si="747">ROUND(IF(AQ652="7",BI652,0),2)</f>
        <v>0</v>
      </c>
      <c r="AF652" s="17">
        <f t="shared" ref="AF652:AF658" si="748">ROUND(IF(AQ652="2",BH652,0),2)</f>
        <v>0</v>
      </c>
      <c r="AG652" s="17">
        <f t="shared" ref="AG652:AG658" si="749">ROUND(IF(AQ652="2",BI652,0),2)</f>
        <v>0</v>
      </c>
      <c r="AH652" s="17">
        <f t="shared" ref="AH652:AH658" si="750">ROUND(IF(AQ652="0",BJ652,0),2)</f>
        <v>0</v>
      </c>
      <c r="AI652" s="14" t="s">
        <v>458</v>
      </c>
      <c r="AJ652" s="17">
        <f t="shared" ref="AJ652:AJ658" si="751">IF(AN652=0,L652,0)</f>
        <v>0</v>
      </c>
      <c r="AK652" s="17">
        <f t="shared" ref="AK652:AK658" si="752">IF(AN652=12,L652,0)</f>
        <v>0</v>
      </c>
      <c r="AL652" s="17">
        <f t="shared" ref="AL652:AL658" si="753">IF(AN652=21,L652,0)</f>
        <v>0</v>
      </c>
      <c r="AN652" s="17">
        <v>12</v>
      </c>
      <c r="AO652" s="17">
        <f>H652*0.425441941</f>
        <v>0</v>
      </c>
      <c r="AP652" s="17">
        <f>H652*(1-0.425441941)</f>
        <v>0</v>
      </c>
      <c r="AQ652" s="76" t="s">
        <v>577</v>
      </c>
      <c r="AV652" s="17">
        <f t="shared" ref="AV652:AV658" si="754">ROUND(AW652+AX652,2)</f>
        <v>0</v>
      </c>
      <c r="AW652" s="17">
        <f t="shared" ref="AW652:AW658" si="755">ROUND(G652*AO652,2)</f>
        <v>0</v>
      </c>
      <c r="AX652" s="17">
        <f t="shared" ref="AX652:AX658" si="756">ROUND(G652*AP652,2)</f>
        <v>0</v>
      </c>
      <c r="AY652" s="76" t="s">
        <v>1065</v>
      </c>
      <c r="AZ652" s="76" t="s">
        <v>1196</v>
      </c>
      <c r="BA652" s="14" t="s">
        <v>1178</v>
      </c>
      <c r="BC652" s="17">
        <f t="shared" ref="BC652:BC658" si="757">AW652+AX652</f>
        <v>0</v>
      </c>
      <c r="BD652" s="17">
        <f t="shared" ref="BD652:BD658" si="758">H652/(100-BE652)*100</f>
        <v>0</v>
      </c>
      <c r="BE652" s="17">
        <v>0</v>
      </c>
      <c r="BF652" s="17">
        <f t="shared" ref="BF652:BF658" si="759">O652</f>
        <v>5.7600000000000004E-3</v>
      </c>
      <c r="BH652" s="17">
        <f t="shared" ref="BH652:BH658" si="760">G652*AO652</f>
        <v>0</v>
      </c>
      <c r="BI652" s="17">
        <f t="shared" ref="BI652:BI658" si="761">G652*AP652</f>
        <v>0</v>
      </c>
      <c r="BJ652" s="17">
        <f t="shared" ref="BJ652:BJ658" si="762">G652*H652</f>
        <v>0</v>
      </c>
      <c r="BK652" s="17"/>
      <c r="BL652" s="17">
        <v>767</v>
      </c>
      <c r="BW652" s="17">
        <f t="shared" ref="BW652:BW658" si="763">I652</f>
        <v>12</v>
      </c>
      <c r="BX652" s="4" t="s">
        <v>378</v>
      </c>
    </row>
    <row r="653" spans="1:76" x14ac:dyDescent="0.25">
      <c r="A653" s="1" t="s">
        <v>1197</v>
      </c>
      <c r="B653" s="2" t="s">
        <v>458</v>
      </c>
      <c r="C653" s="2" t="s">
        <v>380</v>
      </c>
      <c r="D653" s="83" t="s">
        <v>381</v>
      </c>
      <c r="E653" s="84"/>
      <c r="F653" s="2" t="s">
        <v>35</v>
      </c>
      <c r="G653" s="17">
        <f>'Rozpočet - vybrané sloupce'!J561</f>
        <v>24</v>
      </c>
      <c r="H653" s="17">
        <f>'Rozpočet - vybrané sloupce'!K561</f>
        <v>0</v>
      </c>
      <c r="I653" s="74">
        <v>12</v>
      </c>
      <c r="J653" s="17">
        <f t="shared" si="738"/>
        <v>0</v>
      </c>
      <c r="K653" s="17">
        <f t="shared" si="739"/>
        <v>0</v>
      </c>
      <c r="L653" s="17">
        <f t="shared" si="740"/>
        <v>0</v>
      </c>
      <c r="M653" s="17">
        <f t="shared" si="741"/>
        <v>0</v>
      </c>
      <c r="N653" s="17">
        <v>0</v>
      </c>
      <c r="O653" s="17">
        <f t="shared" si="742"/>
        <v>0</v>
      </c>
      <c r="P653" s="75" t="s">
        <v>576</v>
      </c>
      <c r="Z653" s="17">
        <f t="shared" si="743"/>
        <v>0</v>
      </c>
      <c r="AB653" s="17">
        <f t="shared" si="744"/>
        <v>0</v>
      </c>
      <c r="AC653" s="17">
        <f t="shared" si="745"/>
        <v>0</v>
      </c>
      <c r="AD653" s="17">
        <f t="shared" si="746"/>
        <v>0</v>
      </c>
      <c r="AE653" s="17">
        <f t="shared" si="747"/>
        <v>0</v>
      </c>
      <c r="AF653" s="17">
        <f t="shared" si="748"/>
        <v>0</v>
      </c>
      <c r="AG653" s="17">
        <f t="shared" si="749"/>
        <v>0</v>
      </c>
      <c r="AH653" s="17">
        <f t="shared" si="750"/>
        <v>0</v>
      </c>
      <c r="AI653" s="14" t="s">
        <v>458</v>
      </c>
      <c r="AJ653" s="17">
        <f t="shared" si="751"/>
        <v>0</v>
      </c>
      <c r="AK653" s="17">
        <f t="shared" si="752"/>
        <v>0</v>
      </c>
      <c r="AL653" s="17">
        <f t="shared" si="753"/>
        <v>0</v>
      </c>
      <c r="AN653" s="17">
        <v>12</v>
      </c>
      <c r="AO653" s="17">
        <f>H653*1</f>
        <v>0</v>
      </c>
      <c r="AP653" s="17">
        <f>H653*(1-1)</f>
        <v>0</v>
      </c>
      <c r="AQ653" s="76" t="s">
        <v>577</v>
      </c>
      <c r="AV653" s="17">
        <f t="shared" si="754"/>
        <v>0</v>
      </c>
      <c r="AW653" s="17">
        <f t="shared" si="755"/>
        <v>0</v>
      </c>
      <c r="AX653" s="17">
        <f t="shared" si="756"/>
        <v>0</v>
      </c>
      <c r="AY653" s="76" t="s">
        <v>1065</v>
      </c>
      <c r="AZ653" s="76" t="s">
        <v>1196</v>
      </c>
      <c r="BA653" s="14" t="s">
        <v>1178</v>
      </c>
      <c r="BC653" s="17">
        <f t="shared" si="757"/>
        <v>0</v>
      </c>
      <c r="BD653" s="17">
        <f t="shared" si="758"/>
        <v>0</v>
      </c>
      <c r="BE653" s="17">
        <v>0</v>
      </c>
      <c r="BF653" s="17">
        <f t="shared" si="759"/>
        <v>0</v>
      </c>
      <c r="BH653" s="17">
        <f t="shared" si="760"/>
        <v>0</v>
      </c>
      <c r="BI653" s="17">
        <f t="shared" si="761"/>
        <v>0</v>
      </c>
      <c r="BJ653" s="17">
        <f t="shared" si="762"/>
        <v>0</v>
      </c>
      <c r="BK653" s="17"/>
      <c r="BL653" s="17">
        <v>767</v>
      </c>
      <c r="BW653" s="17">
        <f t="shared" si="763"/>
        <v>12</v>
      </c>
      <c r="BX653" s="4" t="s">
        <v>381</v>
      </c>
    </row>
    <row r="654" spans="1:76" x14ac:dyDescent="0.25">
      <c r="A654" s="1" t="s">
        <v>1198</v>
      </c>
      <c r="B654" s="2" t="s">
        <v>458</v>
      </c>
      <c r="C654" s="2" t="s">
        <v>382</v>
      </c>
      <c r="D654" s="83" t="s">
        <v>383</v>
      </c>
      <c r="E654" s="84"/>
      <c r="F654" s="2" t="s">
        <v>35</v>
      </c>
      <c r="G654" s="17">
        <f>'Rozpočet - vybrané sloupce'!J562</f>
        <v>48</v>
      </c>
      <c r="H654" s="17">
        <f>'Rozpočet - vybrané sloupce'!K562</f>
        <v>0</v>
      </c>
      <c r="I654" s="74">
        <v>12</v>
      </c>
      <c r="J654" s="17">
        <f t="shared" si="738"/>
        <v>0</v>
      </c>
      <c r="K654" s="17">
        <f t="shared" si="739"/>
        <v>0</v>
      </c>
      <c r="L654" s="17">
        <f t="shared" si="740"/>
        <v>0</v>
      </c>
      <c r="M654" s="17">
        <f t="shared" si="741"/>
        <v>0</v>
      </c>
      <c r="N654" s="17">
        <v>0</v>
      </c>
      <c r="O654" s="17">
        <f t="shared" si="742"/>
        <v>0</v>
      </c>
      <c r="P654" s="75" t="s">
        <v>576</v>
      </c>
      <c r="Z654" s="17">
        <f t="shared" si="743"/>
        <v>0</v>
      </c>
      <c r="AB654" s="17">
        <f t="shared" si="744"/>
        <v>0</v>
      </c>
      <c r="AC654" s="17">
        <f t="shared" si="745"/>
        <v>0</v>
      </c>
      <c r="AD654" s="17">
        <f t="shared" si="746"/>
        <v>0</v>
      </c>
      <c r="AE654" s="17">
        <f t="shared" si="747"/>
        <v>0</v>
      </c>
      <c r="AF654" s="17">
        <f t="shared" si="748"/>
        <v>0</v>
      </c>
      <c r="AG654" s="17">
        <f t="shared" si="749"/>
        <v>0</v>
      </c>
      <c r="AH654" s="17">
        <f t="shared" si="750"/>
        <v>0</v>
      </c>
      <c r="AI654" s="14" t="s">
        <v>458</v>
      </c>
      <c r="AJ654" s="17">
        <f t="shared" si="751"/>
        <v>0</v>
      </c>
      <c r="AK654" s="17">
        <f t="shared" si="752"/>
        <v>0</v>
      </c>
      <c r="AL654" s="17">
        <f t="shared" si="753"/>
        <v>0</v>
      </c>
      <c r="AN654" s="17">
        <v>12</v>
      </c>
      <c r="AO654" s="17">
        <f>H654*1</f>
        <v>0</v>
      </c>
      <c r="AP654" s="17">
        <f>H654*(1-1)</f>
        <v>0</v>
      </c>
      <c r="AQ654" s="76" t="s">
        <v>577</v>
      </c>
      <c r="AV654" s="17">
        <f t="shared" si="754"/>
        <v>0</v>
      </c>
      <c r="AW654" s="17">
        <f t="shared" si="755"/>
        <v>0</v>
      </c>
      <c r="AX654" s="17">
        <f t="shared" si="756"/>
        <v>0</v>
      </c>
      <c r="AY654" s="76" t="s">
        <v>1065</v>
      </c>
      <c r="AZ654" s="76" t="s">
        <v>1196</v>
      </c>
      <c r="BA654" s="14" t="s">
        <v>1178</v>
      </c>
      <c r="BC654" s="17">
        <f t="shared" si="757"/>
        <v>0</v>
      </c>
      <c r="BD654" s="17">
        <f t="shared" si="758"/>
        <v>0</v>
      </c>
      <c r="BE654" s="17">
        <v>0</v>
      </c>
      <c r="BF654" s="17">
        <f t="shared" si="759"/>
        <v>0</v>
      </c>
      <c r="BH654" s="17">
        <f t="shared" si="760"/>
        <v>0</v>
      </c>
      <c r="BI654" s="17">
        <f t="shared" si="761"/>
        <v>0</v>
      </c>
      <c r="BJ654" s="17">
        <f t="shared" si="762"/>
        <v>0</v>
      </c>
      <c r="BK654" s="17"/>
      <c r="BL654" s="17">
        <v>767</v>
      </c>
      <c r="BW654" s="17">
        <f t="shared" si="763"/>
        <v>12</v>
      </c>
      <c r="BX654" s="4" t="s">
        <v>383</v>
      </c>
    </row>
    <row r="655" spans="1:76" x14ac:dyDescent="0.25">
      <c r="A655" s="1" t="s">
        <v>1199</v>
      </c>
      <c r="B655" s="2" t="s">
        <v>458</v>
      </c>
      <c r="C655" s="2" t="s">
        <v>384</v>
      </c>
      <c r="D655" s="83" t="s">
        <v>385</v>
      </c>
      <c r="E655" s="84"/>
      <c r="F655" s="2" t="s">
        <v>354</v>
      </c>
      <c r="G655" s="17">
        <f>'Rozpočet - vybrané sloupce'!J563</f>
        <v>15.6</v>
      </c>
      <c r="H655" s="17">
        <f>'Rozpočet - vybrané sloupce'!K563</f>
        <v>0</v>
      </c>
      <c r="I655" s="74">
        <v>12</v>
      </c>
      <c r="J655" s="17">
        <f t="shared" si="738"/>
        <v>0</v>
      </c>
      <c r="K655" s="17">
        <f t="shared" si="739"/>
        <v>0</v>
      </c>
      <c r="L655" s="17">
        <f t="shared" si="740"/>
        <v>0</v>
      </c>
      <c r="M655" s="17">
        <f t="shared" si="741"/>
        <v>0</v>
      </c>
      <c r="N655" s="17">
        <v>7.7499999999999999E-3</v>
      </c>
      <c r="O655" s="17">
        <f t="shared" si="742"/>
        <v>0.12089999999999999</v>
      </c>
      <c r="P655" s="75" t="s">
        <v>576</v>
      </c>
      <c r="Z655" s="17">
        <f t="shared" si="743"/>
        <v>0</v>
      </c>
      <c r="AB655" s="17">
        <f t="shared" si="744"/>
        <v>0</v>
      </c>
      <c r="AC655" s="17">
        <f t="shared" si="745"/>
        <v>0</v>
      </c>
      <c r="AD655" s="17">
        <f t="shared" si="746"/>
        <v>0</v>
      </c>
      <c r="AE655" s="17">
        <f t="shared" si="747"/>
        <v>0</v>
      </c>
      <c r="AF655" s="17">
        <f t="shared" si="748"/>
        <v>0</v>
      </c>
      <c r="AG655" s="17">
        <f t="shared" si="749"/>
        <v>0</v>
      </c>
      <c r="AH655" s="17">
        <f t="shared" si="750"/>
        <v>0</v>
      </c>
      <c r="AI655" s="14" t="s">
        <v>458</v>
      </c>
      <c r="AJ655" s="17">
        <f t="shared" si="751"/>
        <v>0</v>
      </c>
      <c r="AK655" s="17">
        <f t="shared" si="752"/>
        <v>0</v>
      </c>
      <c r="AL655" s="17">
        <f t="shared" si="753"/>
        <v>0</v>
      </c>
      <c r="AN655" s="17">
        <v>12</v>
      </c>
      <c r="AO655" s="17">
        <f>H655*0</f>
        <v>0</v>
      </c>
      <c r="AP655" s="17">
        <f>H655*(1-0)</f>
        <v>0</v>
      </c>
      <c r="AQ655" s="76" t="s">
        <v>577</v>
      </c>
      <c r="AV655" s="17">
        <f t="shared" si="754"/>
        <v>0</v>
      </c>
      <c r="AW655" s="17">
        <f t="shared" si="755"/>
        <v>0</v>
      </c>
      <c r="AX655" s="17">
        <f t="shared" si="756"/>
        <v>0</v>
      </c>
      <c r="AY655" s="76" t="s">
        <v>1065</v>
      </c>
      <c r="AZ655" s="76" t="s">
        <v>1196</v>
      </c>
      <c r="BA655" s="14" t="s">
        <v>1178</v>
      </c>
      <c r="BC655" s="17">
        <f t="shared" si="757"/>
        <v>0</v>
      </c>
      <c r="BD655" s="17">
        <f t="shared" si="758"/>
        <v>0</v>
      </c>
      <c r="BE655" s="17">
        <v>0</v>
      </c>
      <c r="BF655" s="17">
        <f t="shared" si="759"/>
        <v>0.12089999999999999</v>
      </c>
      <c r="BH655" s="17">
        <f t="shared" si="760"/>
        <v>0</v>
      </c>
      <c r="BI655" s="17">
        <f t="shared" si="761"/>
        <v>0</v>
      </c>
      <c r="BJ655" s="17">
        <f t="shared" si="762"/>
        <v>0</v>
      </c>
      <c r="BK655" s="17"/>
      <c r="BL655" s="17">
        <v>767</v>
      </c>
      <c r="BW655" s="17">
        <f t="shared" si="763"/>
        <v>12</v>
      </c>
      <c r="BX655" s="4" t="s">
        <v>385</v>
      </c>
    </row>
    <row r="656" spans="1:76" x14ac:dyDescent="0.25">
      <c r="A656" s="1" t="s">
        <v>1200</v>
      </c>
      <c r="B656" s="2" t="s">
        <v>458</v>
      </c>
      <c r="C656" s="2" t="s">
        <v>386</v>
      </c>
      <c r="D656" s="83" t="s">
        <v>387</v>
      </c>
      <c r="E656" s="84"/>
      <c r="F656" s="2" t="s">
        <v>354</v>
      </c>
      <c r="G656" s="17">
        <f>'Rozpočet - vybrané sloupce'!J564</f>
        <v>15.6</v>
      </c>
      <c r="H656" s="17">
        <f>'Rozpočet - vybrané sloupce'!K564</f>
        <v>0</v>
      </c>
      <c r="I656" s="74">
        <v>12</v>
      </c>
      <c r="J656" s="17">
        <f t="shared" si="738"/>
        <v>0</v>
      </c>
      <c r="K656" s="17">
        <f t="shared" si="739"/>
        <v>0</v>
      </c>
      <c r="L656" s="17">
        <f t="shared" si="740"/>
        <v>0</v>
      </c>
      <c r="M656" s="17">
        <f t="shared" si="741"/>
        <v>0</v>
      </c>
      <c r="N656" s="17">
        <v>0</v>
      </c>
      <c r="O656" s="17">
        <f t="shared" si="742"/>
        <v>0</v>
      </c>
      <c r="P656" s="75" t="s">
        <v>576</v>
      </c>
      <c r="Z656" s="17">
        <f t="shared" si="743"/>
        <v>0</v>
      </c>
      <c r="AB656" s="17">
        <f t="shared" si="744"/>
        <v>0</v>
      </c>
      <c r="AC656" s="17">
        <f t="shared" si="745"/>
        <v>0</v>
      </c>
      <c r="AD656" s="17">
        <f t="shared" si="746"/>
        <v>0</v>
      </c>
      <c r="AE656" s="17">
        <f t="shared" si="747"/>
        <v>0</v>
      </c>
      <c r="AF656" s="17">
        <f t="shared" si="748"/>
        <v>0</v>
      </c>
      <c r="AG656" s="17">
        <f t="shared" si="749"/>
        <v>0</v>
      </c>
      <c r="AH656" s="17">
        <f t="shared" si="750"/>
        <v>0</v>
      </c>
      <c r="AI656" s="14" t="s">
        <v>458</v>
      </c>
      <c r="AJ656" s="17">
        <f t="shared" si="751"/>
        <v>0</v>
      </c>
      <c r="AK656" s="17">
        <f t="shared" si="752"/>
        <v>0</v>
      </c>
      <c r="AL656" s="17">
        <f t="shared" si="753"/>
        <v>0</v>
      </c>
      <c r="AN656" s="17">
        <v>12</v>
      </c>
      <c r="AO656" s="17">
        <f>H656*0.336793108</f>
        <v>0</v>
      </c>
      <c r="AP656" s="17">
        <f>H656*(1-0.336793108)</f>
        <v>0</v>
      </c>
      <c r="AQ656" s="76" t="s">
        <v>577</v>
      </c>
      <c r="AV656" s="17">
        <f t="shared" si="754"/>
        <v>0</v>
      </c>
      <c r="AW656" s="17">
        <f t="shared" si="755"/>
        <v>0</v>
      </c>
      <c r="AX656" s="17">
        <f t="shared" si="756"/>
        <v>0</v>
      </c>
      <c r="AY656" s="76" t="s">
        <v>1065</v>
      </c>
      <c r="AZ656" s="76" t="s">
        <v>1196</v>
      </c>
      <c r="BA656" s="14" t="s">
        <v>1178</v>
      </c>
      <c r="BC656" s="17">
        <f t="shared" si="757"/>
        <v>0</v>
      </c>
      <c r="BD656" s="17">
        <f t="shared" si="758"/>
        <v>0</v>
      </c>
      <c r="BE656" s="17">
        <v>0</v>
      </c>
      <c r="BF656" s="17">
        <f t="shared" si="759"/>
        <v>0</v>
      </c>
      <c r="BH656" s="17">
        <f t="shared" si="760"/>
        <v>0</v>
      </c>
      <c r="BI656" s="17">
        <f t="shared" si="761"/>
        <v>0</v>
      </c>
      <c r="BJ656" s="17">
        <f t="shared" si="762"/>
        <v>0</v>
      </c>
      <c r="BK656" s="17"/>
      <c r="BL656" s="17">
        <v>767</v>
      </c>
      <c r="BW656" s="17">
        <f t="shared" si="763"/>
        <v>12</v>
      </c>
      <c r="BX656" s="4" t="s">
        <v>387</v>
      </c>
    </row>
    <row r="657" spans="1:76" x14ac:dyDescent="0.25">
      <c r="A657" s="1" t="s">
        <v>1201</v>
      </c>
      <c r="B657" s="2" t="s">
        <v>458</v>
      </c>
      <c r="C657" s="2" t="s">
        <v>388</v>
      </c>
      <c r="D657" s="83" t="s">
        <v>389</v>
      </c>
      <c r="E657" s="84"/>
      <c r="F657" s="2" t="s">
        <v>354</v>
      </c>
      <c r="G657" s="17">
        <f>'Rozpočet - vybrané sloupce'!J565</f>
        <v>15.6</v>
      </c>
      <c r="H657" s="17">
        <f>'Rozpočet - vybrané sloupce'!K565</f>
        <v>0</v>
      </c>
      <c r="I657" s="74">
        <v>12</v>
      </c>
      <c r="J657" s="17">
        <f t="shared" si="738"/>
        <v>0</v>
      </c>
      <c r="K657" s="17">
        <f t="shared" si="739"/>
        <v>0</v>
      </c>
      <c r="L657" s="17">
        <f t="shared" si="740"/>
        <v>0</v>
      </c>
      <c r="M657" s="17">
        <f t="shared" si="741"/>
        <v>0</v>
      </c>
      <c r="N657" s="17">
        <v>4.8300000000000001E-3</v>
      </c>
      <c r="O657" s="17">
        <f t="shared" si="742"/>
        <v>7.5347999999999998E-2</v>
      </c>
      <c r="P657" s="75" t="s">
        <v>576</v>
      </c>
      <c r="Z657" s="17">
        <f t="shared" si="743"/>
        <v>0</v>
      </c>
      <c r="AB657" s="17">
        <f t="shared" si="744"/>
        <v>0</v>
      </c>
      <c r="AC657" s="17">
        <f t="shared" si="745"/>
        <v>0</v>
      </c>
      <c r="AD657" s="17">
        <f t="shared" si="746"/>
        <v>0</v>
      </c>
      <c r="AE657" s="17">
        <f t="shared" si="747"/>
        <v>0</v>
      </c>
      <c r="AF657" s="17">
        <f t="shared" si="748"/>
        <v>0</v>
      </c>
      <c r="AG657" s="17">
        <f t="shared" si="749"/>
        <v>0</v>
      </c>
      <c r="AH657" s="17">
        <f t="shared" si="750"/>
        <v>0</v>
      </c>
      <c r="AI657" s="14" t="s">
        <v>458</v>
      </c>
      <c r="AJ657" s="17">
        <f t="shared" si="751"/>
        <v>0</v>
      </c>
      <c r="AK657" s="17">
        <f t="shared" si="752"/>
        <v>0</v>
      </c>
      <c r="AL657" s="17">
        <f t="shared" si="753"/>
        <v>0</v>
      </c>
      <c r="AN657" s="17">
        <v>12</v>
      </c>
      <c r="AO657" s="17">
        <f>H657*0.659006709</f>
        <v>0</v>
      </c>
      <c r="AP657" s="17">
        <f>H657*(1-0.659006709)</f>
        <v>0</v>
      </c>
      <c r="AQ657" s="76" t="s">
        <v>577</v>
      </c>
      <c r="AV657" s="17">
        <f t="shared" si="754"/>
        <v>0</v>
      </c>
      <c r="AW657" s="17">
        <f t="shared" si="755"/>
        <v>0</v>
      </c>
      <c r="AX657" s="17">
        <f t="shared" si="756"/>
        <v>0</v>
      </c>
      <c r="AY657" s="76" t="s">
        <v>1065</v>
      </c>
      <c r="AZ657" s="76" t="s">
        <v>1196</v>
      </c>
      <c r="BA657" s="14" t="s">
        <v>1178</v>
      </c>
      <c r="BC657" s="17">
        <f t="shared" si="757"/>
        <v>0</v>
      </c>
      <c r="BD657" s="17">
        <f t="shared" si="758"/>
        <v>0</v>
      </c>
      <c r="BE657" s="17">
        <v>0</v>
      </c>
      <c r="BF657" s="17">
        <f t="shared" si="759"/>
        <v>7.5347999999999998E-2</v>
      </c>
      <c r="BH657" s="17">
        <f t="shared" si="760"/>
        <v>0</v>
      </c>
      <c r="BI657" s="17">
        <f t="shared" si="761"/>
        <v>0</v>
      </c>
      <c r="BJ657" s="17">
        <f t="shared" si="762"/>
        <v>0</v>
      </c>
      <c r="BK657" s="17"/>
      <c r="BL657" s="17">
        <v>767</v>
      </c>
      <c r="BW657" s="17">
        <f t="shared" si="763"/>
        <v>12</v>
      </c>
      <c r="BX657" s="4" t="s">
        <v>389</v>
      </c>
    </row>
    <row r="658" spans="1:76" x14ac:dyDescent="0.25">
      <c r="A658" s="1" t="s">
        <v>1202</v>
      </c>
      <c r="B658" s="2" t="s">
        <v>458</v>
      </c>
      <c r="C658" s="2" t="s">
        <v>390</v>
      </c>
      <c r="D658" s="83" t="s">
        <v>391</v>
      </c>
      <c r="E658" s="84"/>
      <c r="F658" s="2" t="s">
        <v>45</v>
      </c>
      <c r="G658" s="17">
        <f>'Rozpočet - vybrané sloupce'!J566</f>
        <v>0</v>
      </c>
      <c r="H658" s="17">
        <f>'Rozpočet - vybrané sloupce'!K566</f>
        <v>0</v>
      </c>
      <c r="I658" s="74">
        <v>12</v>
      </c>
      <c r="J658" s="17">
        <f t="shared" si="738"/>
        <v>0</v>
      </c>
      <c r="K658" s="17">
        <f t="shared" si="739"/>
        <v>0</v>
      </c>
      <c r="L658" s="17">
        <f t="shared" si="740"/>
        <v>0</v>
      </c>
      <c r="M658" s="17">
        <f t="shared" si="741"/>
        <v>0</v>
      </c>
      <c r="N658" s="17">
        <v>0</v>
      </c>
      <c r="O658" s="17">
        <f t="shared" si="742"/>
        <v>0</v>
      </c>
      <c r="P658" s="75" t="s">
        <v>576</v>
      </c>
      <c r="Z658" s="17">
        <f t="shared" si="743"/>
        <v>0</v>
      </c>
      <c r="AB658" s="17">
        <f t="shared" si="744"/>
        <v>0</v>
      </c>
      <c r="AC658" s="17">
        <f t="shared" si="745"/>
        <v>0</v>
      </c>
      <c r="AD658" s="17">
        <f t="shared" si="746"/>
        <v>0</v>
      </c>
      <c r="AE658" s="17">
        <f t="shared" si="747"/>
        <v>0</v>
      </c>
      <c r="AF658" s="17">
        <f t="shared" si="748"/>
        <v>0</v>
      </c>
      <c r="AG658" s="17">
        <f t="shared" si="749"/>
        <v>0</v>
      </c>
      <c r="AH658" s="17">
        <f t="shared" si="750"/>
        <v>0</v>
      </c>
      <c r="AI658" s="14" t="s">
        <v>458</v>
      </c>
      <c r="AJ658" s="17">
        <f t="shared" si="751"/>
        <v>0</v>
      </c>
      <c r="AK658" s="17">
        <f t="shared" si="752"/>
        <v>0</v>
      </c>
      <c r="AL658" s="17">
        <f t="shared" si="753"/>
        <v>0</v>
      </c>
      <c r="AN658" s="17">
        <v>12</v>
      </c>
      <c r="AO658" s="17">
        <f>H658*0</f>
        <v>0</v>
      </c>
      <c r="AP658" s="17">
        <f>H658*(1-0)</f>
        <v>0</v>
      </c>
      <c r="AQ658" s="76" t="s">
        <v>585</v>
      </c>
      <c r="AV658" s="17">
        <f t="shared" si="754"/>
        <v>0</v>
      </c>
      <c r="AW658" s="17">
        <f t="shared" si="755"/>
        <v>0</v>
      </c>
      <c r="AX658" s="17">
        <f t="shared" si="756"/>
        <v>0</v>
      </c>
      <c r="AY658" s="76" t="s">
        <v>1065</v>
      </c>
      <c r="AZ658" s="76" t="s">
        <v>1196</v>
      </c>
      <c r="BA658" s="14" t="s">
        <v>1178</v>
      </c>
      <c r="BC658" s="17">
        <f t="shared" si="757"/>
        <v>0</v>
      </c>
      <c r="BD658" s="17">
        <f t="shared" si="758"/>
        <v>0</v>
      </c>
      <c r="BE658" s="17">
        <v>0</v>
      </c>
      <c r="BF658" s="17">
        <f t="shared" si="759"/>
        <v>0</v>
      </c>
      <c r="BH658" s="17">
        <f t="shared" si="760"/>
        <v>0</v>
      </c>
      <c r="BI658" s="17">
        <f t="shared" si="761"/>
        <v>0</v>
      </c>
      <c r="BJ658" s="17">
        <f t="shared" si="762"/>
        <v>0</v>
      </c>
      <c r="BK658" s="17"/>
      <c r="BL658" s="17">
        <v>767</v>
      </c>
      <c r="BW658" s="17">
        <f t="shared" si="763"/>
        <v>12</v>
      </c>
      <c r="BX658" s="4" t="s">
        <v>391</v>
      </c>
    </row>
    <row r="659" spans="1:76" x14ac:dyDescent="0.25">
      <c r="A659" s="71" t="s">
        <v>25</v>
      </c>
      <c r="B659" s="13" t="s">
        <v>458</v>
      </c>
      <c r="C659" s="13" t="s">
        <v>392</v>
      </c>
      <c r="D659" s="135" t="s">
        <v>393</v>
      </c>
      <c r="E659" s="136"/>
      <c r="F659" s="72" t="s">
        <v>23</v>
      </c>
      <c r="G659" s="72" t="s">
        <v>23</v>
      </c>
      <c r="H659" s="72" t="s">
        <v>23</v>
      </c>
      <c r="I659" s="72" t="s">
        <v>23</v>
      </c>
      <c r="J659" s="47" t="e">
        <f>SUM(J660:J665)</f>
        <v>#REF!</v>
      </c>
      <c r="K659" s="47" t="e">
        <f>SUM(K660:K665)</f>
        <v>#REF!</v>
      </c>
      <c r="L659" s="47" t="e">
        <f>SUM(L660:L665)</f>
        <v>#REF!</v>
      </c>
      <c r="M659" s="47" t="e">
        <f>SUM(M660:M665)</f>
        <v>#REF!</v>
      </c>
      <c r="N659" s="14" t="s">
        <v>25</v>
      </c>
      <c r="O659" s="47" t="e">
        <f>SUM(O660:O665)</f>
        <v>#REF!</v>
      </c>
      <c r="P659" s="73" t="s">
        <v>25</v>
      </c>
      <c r="AI659" s="14" t="s">
        <v>458</v>
      </c>
      <c r="AS659" s="47">
        <f>SUM(AJ660:AJ665)</f>
        <v>0</v>
      </c>
      <c r="AT659" s="47" t="e">
        <f>SUM(AK660:AK665)</f>
        <v>#REF!</v>
      </c>
      <c r="AU659" s="47">
        <f>SUM(AL660:AL665)</f>
        <v>0</v>
      </c>
    </row>
    <row r="660" spans="1:76" x14ac:dyDescent="0.25">
      <c r="A660" s="1" t="s">
        <v>1203</v>
      </c>
      <c r="B660" s="2" t="s">
        <v>458</v>
      </c>
      <c r="C660" s="2" t="s">
        <v>394</v>
      </c>
      <c r="D660" s="83" t="s">
        <v>395</v>
      </c>
      <c r="E660" s="84"/>
      <c r="F660" s="2" t="s">
        <v>354</v>
      </c>
      <c r="G660" s="17">
        <f>'Rozpočet - vybrané sloupce'!J568</f>
        <v>22.2</v>
      </c>
      <c r="H660" s="17">
        <f>'Rozpočet - vybrané sloupce'!K568</f>
        <v>0</v>
      </c>
      <c r="I660" s="74">
        <v>12</v>
      </c>
      <c r="J660" s="17">
        <f t="shared" ref="J660:J665" si="764">ROUND(G660*AO660,2)</f>
        <v>0</v>
      </c>
      <c r="K660" s="17">
        <f t="shared" ref="K660:K665" si="765">ROUND(G660*AP660,2)</f>
        <v>0</v>
      </c>
      <c r="L660" s="17">
        <f t="shared" ref="L660:L665" si="766">ROUND(G660*H660,2)</f>
        <v>0</v>
      </c>
      <c r="M660" s="17">
        <f t="shared" ref="M660:M665" si="767">L660*(1+BW660/100)</f>
        <v>0</v>
      </c>
      <c r="N660" s="17">
        <v>2.1000000000000001E-4</v>
      </c>
      <c r="O660" s="17">
        <f t="shared" ref="O660:O665" si="768">G660*N660</f>
        <v>4.6620000000000003E-3</v>
      </c>
      <c r="P660" s="75" t="s">
        <v>576</v>
      </c>
      <c r="Z660" s="17">
        <f t="shared" ref="Z660:Z665" si="769">ROUND(IF(AQ660="5",BJ660,0),2)</f>
        <v>0</v>
      </c>
      <c r="AB660" s="17">
        <f t="shared" ref="AB660:AB665" si="770">ROUND(IF(AQ660="1",BH660,0),2)</f>
        <v>0</v>
      </c>
      <c r="AC660" s="17">
        <f t="shared" ref="AC660:AC665" si="771">ROUND(IF(AQ660="1",BI660,0),2)</f>
        <v>0</v>
      </c>
      <c r="AD660" s="17">
        <f t="shared" ref="AD660:AD665" si="772">ROUND(IF(AQ660="7",BH660,0),2)</f>
        <v>0</v>
      </c>
      <c r="AE660" s="17">
        <f t="shared" ref="AE660:AE665" si="773">ROUND(IF(AQ660="7",BI660,0),2)</f>
        <v>0</v>
      </c>
      <c r="AF660" s="17">
        <f t="shared" ref="AF660:AF665" si="774">ROUND(IF(AQ660="2",BH660,0),2)</f>
        <v>0</v>
      </c>
      <c r="AG660" s="17">
        <f t="shared" ref="AG660:AG665" si="775">ROUND(IF(AQ660="2",BI660,0),2)</f>
        <v>0</v>
      </c>
      <c r="AH660" s="17">
        <f t="shared" ref="AH660:AH665" si="776">ROUND(IF(AQ660="0",BJ660,0),2)</f>
        <v>0</v>
      </c>
      <c r="AI660" s="14" t="s">
        <v>458</v>
      </c>
      <c r="AJ660" s="17">
        <f t="shared" ref="AJ660:AJ665" si="777">IF(AN660=0,L660,0)</f>
        <v>0</v>
      </c>
      <c r="AK660" s="17">
        <f t="shared" ref="AK660:AK665" si="778">IF(AN660=12,L660,0)</f>
        <v>0</v>
      </c>
      <c r="AL660" s="17">
        <f t="shared" ref="AL660:AL665" si="779">IF(AN660=21,L660,0)</f>
        <v>0</v>
      </c>
      <c r="AN660" s="17">
        <v>12</v>
      </c>
      <c r="AO660" s="17">
        <f>H660*0.446953798</f>
        <v>0</v>
      </c>
      <c r="AP660" s="17">
        <f>H660*(1-0.446953798)</f>
        <v>0</v>
      </c>
      <c r="AQ660" s="76" t="s">
        <v>577</v>
      </c>
      <c r="AV660" s="17">
        <f t="shared" ref="AV660:AV665" si="780">ROUND(AW660+AX660,2)</f>
        <v>0</v>
      </c>
      <c r="AW660" s="17">
        <f t="shared" ref="AW660:AW665" si="781">ROUND(G660*AO660,2)</f>
        <v>0</v>
      </c>
      <c r="AX660" s="17">
        <f t="shared" ref="AX660:AX665" si="782">ROUND(G660*AP660,2)</f>
        <v>0</v>
      </c>
      <c r="AY660" s="76" t="s">
        <v>1077</v>
      </c>
      <c r="AZ660" s="76" t="s">
        <v>1204</v>
      </c>
      <c r="BA660" s="14" t="s">
        <v>1178</v>
      </c>
      <c r="BC660" s="17">
        <f t="shared" ref="BC660:BC665" si="783">AW660+AX660</f>
        <v>0</v>
      </c>
      <c r="BD660" s="17">
        <f t="shared" ref="BD660:BD665" si="784">H660/(100-BE660)*100</f>
        <v>0</v>
      </c>
      <c r="BE660" s="17">
        <v>0</v>
      </c>
      <c r="BF660" s="17">
        <f t="shared" ref="BF660:BF665" si="785">O660</f>
        <v>4.6620000000000003E-3</v>
      </c>
      <c r="BH660" s="17">
        <f t="shared" ref="BH660:BH665" si="786">G660*AO660</f>
        <v>0</v>
      </c>
      <c r="BI660" s="17">
        <f t="shared" ref="BI660:BI665" si="787">G660*AP660</f>
        <v>0</v>
      </c>
      <c r="BJ660" s="17">
        <f t="shared" ref="BJ660:BJ665" si="788">G660*H660</f>
        <v>0</v>
      </c>
      <c r="BK660" s="17"/>
      <c r="BL660" s="17">
        <v>781</v>
      </c>
      <c r="BW660" s="17">
        <f t="shared" ref="BW660:BW665" si="789">I660</f>
        <v>12</v>
      </c>
      <c r="BX660" s="4" t="s">
        <v>395</v>
      </c>
    </row>
    <row r="661" spans="1:76" x14ac:dyDescent="0.25">
      <c r="A661" s="1" t="s">
        <v>1205</v>
      </c>
      <c r="B661" s="2" t="s">
        <v>458</v>
      </c>
      <c r="C661" s="2" t="s">
        <v>396</v>
      </c>
      <c r="D661" s="83" t="s">
        <v>397</v>
      </c>
      <c r="E661" s="84"/>
      <c r="F661" s="2" t="s">
        <v>354</v>
      </c>
      <c r="G661" s="17">
        <f>'Rozpočet - vybrané sloupce'!J569</f>
        <v>22.2</v>
      </c>
      <c r="H661" s="17">
        <f>'Rozpočet - vybrané sloupce'!K569</f>
        <v>0</v>
      </c>
      <c r="I661" s="74">
        <v>12</v>
      </c>
      <c r="J661" s="17">
        <f t="shared" si="764"/>
        <v>0</v>
      </c>
      <c r="K661" s="17">
        <f t="shared" si="765"/>
        <v>0</v>
      </c>
      <c r="L661" s="17">
        <f t="shared" si="766"/>
        <v>0</v>
      </c>
      <c r="M661" s="17">
        <f t="shared" si="767"/>
        <v>0</v>
      </c>
      <c r="N661" s="17">
        <v>0</v>
      </c>
      <c r="O661" s="17">
        <f t="shared" si="768"/>
        <v>0</v>
      </c>
      <c r="P661" s="75" t="s">
        <v>576</v>
      </c>
      <c r="Z661" s="17">
        <f t="shared" si="769"/>
        <v>0</v>
      </c>
      <c r="AB661" s="17">
        <f t="shared" si="770"/>
        <v>0</v>
      </c>
      <c r="AC661" s="17">
        <f t="shared" si="771"/>
        <v>0</v>
      </c>
      <c r="AD661" s="17">
        <f t="shared" si="772"/>
        <v>0</v>
      </c>
      <c r="AE661" s="17">
        <f t="shared" si="773"/>
        <v>0</v>
      </c>
      <c r="AF661" s="17">
        <f t="shared" si="774"/>
        <v>0</v>
      </c>
      <c r="AG661" s="17">
        <f t="shared" si="775"/>
        <v>0</v>
      </c>
      <c r="AH661" s="17">
        <f t="shared" si="776"/>
        <v>0</v>
      </c>
      <c r="AI661" s="14" t="s">
        <v>458</v>
      </c>
      <c r="AJ661" s="17">
        <f t="shared" si="777"/>
        <v>0</v>
      </c>
      <c r="AK661" s="17">
        <f t="shared" si="778"/>
        <v>0</v>
      </c>
      <c r="AL661" s="17">
        <f t="shared" si="779"/>
        <v>0</v>
      </c>
      <c r="AN661" s="17">
        <v>12</v>
      </c>
      <c r="AO661" s="17">
        <f>H661*0</f>
        <v>0</v>
      </c>
      <c r="AP661" s="17">
        <f>H661*(1-0)</f>
        <v>0</v>
      </c>
      <c r="AQ661" s="76" t="s">
        <v>577</v>
      </c>
      <c r="AV661" s="17">
        <f t="shared" si="780"/>
        <v>0</v>
      </c>
      <c r="AW661" s="17">
        <f t="shared" si="781"/>
        <v>0</v>
      </c>
      <c r="AX661" s="17">
        <f t="shared" si="782"/>
        <v>0</v>
      </c>
      <c r="AY661" s="76" t="s">
        <v>1077</v>
      </c>
      <c r="AZ661" s="76" t="s">
        <v>1204</v>
      </c>
      <c r="BA661" s="14" t="s">
        <v>1178</v>
      </c>
      <c r="BC661" s="17">
        <f t="shared" si="783"/>
        <v>0</v>
      </c>
      <c r="BD661" s="17">
        <f t="shared" si="784"/>
        <v>0</v>
      </c>
      <c r="BE661" s="17">
        <v>0</v>
      </c>
      <c r="BF661" s="17">
        <f t="shared" si="785"/>
        <v>0</v>
      </c>
      <c r="BH661" s="17">
        <f t="shared" si="786"/>
        <v>0</v>
      </c>
      <c r="BI661" s="17">
        <f t="shared" si="787"/>
        <v>0</v>
      </c>
      <c r="BJ661" s="17">
        <f t="shared" si="788"/>
        <v>0</v>
      </c>
      <c r="BK661" s="17"/>
      <c r="BL661" s="17">
        <v>781</v>
      </c>
      <c r="BW661" s="17">
        <f t="shared" si="789"/>
        <v>12</v>
      </c>
      <c r="BX661" s="4" t="s">
        <v>397</v>
      </c>
    </row>
    <row r="662" spans="1:76" x14ac:dyDescent="0.25">
      <c r="A662" s="1" t="s">
        <v>1206</v>
      </c>
      <c r="B662" s="2" t="s">
        <v>458</v>
      </c>
      <c r="C662" s="2" t="s">
        <v>400</v>
      </c>
      <c r="D662" s="83" t="s">
        <v>401</v>
      </c>
      <c r="E662" s="84"/>
      <c r="F662" s="2" t="s">
        <v>354</v>
      </c>
      <c r="G662" s="17">
        <f>'Rozpočet - vybrané sloupce'!J570</f>
        <v>24.5</v>
      </c>
      <c r="H662" s="17">
        <f>'Rozpočet - vybrané sloupce'!K570</f>
        <v>0</v>
      </c>
      <c r="I662" s="74">
        <v>12</v>
      </c>
      <c r="J662" s="17">
        <f t="shared" si="764"/>
        <v>0</v>
      </c>
      <c r="K662" s="17">
        <f t="shared" si="765"/>
        <v>0</v>
      </c>
      <c r="L662" s="17">
        <f t="shared" si="766"/>
        <v>0</v>
      </c>
      <c r="M662" s="17">
        <f t="shared" si="767"/>
        <v>0</v>
      </c>
      <c r="N662" s="17">
        <v>1.3599999999999999E-2</v>
      </c>
      <c r="O662" s="17">
        <f t="shared" si="768"/>
        <v>0.3332</v>
      </c>
      <c r="P662" s="75" t="s">
        <v>576</v>
      </c>
      <c r="Z662" s="17">
        <f t="shared" si="769"/>
        <v>0</v>
      </c>
      <c r="AB662" s="17">
        <f t="shared" si="770"/>
        <v>0</v>
      </c>
      <c r="AC662" s="17">
        <f t="shared" si="771"/>
        <v>0</v>
      </c>
      <c r="AD662" s="17">
        <f t="shared" si="772"/>
        <v>0</v>
      </c>
      <c r="AE662" s="17">
        <f t="shared" si="773"/>
        <v>0</v>
      </c>
      <c r="AF662" s="17">
        <f t="shared" si="774"/>
        <v>0</v>
      </c>
      <c r="AG662" s="17">
        <f t="shared" si="775"/>
        <v>0</v>
      </c>
      <c r="AH662" s="17">
        <f t="shared" si="776"/>
        <v>0</v>
      </c>
      <c r="AI662" s="14" t="s">
        <v>458</v>
      </c>
      <c r="AJ662" s="17">
        <f t="shared" si="777"/>
        <v>0</v>
      </c>
      <c r="AK662" s="17">
        <f t="shared" si="778"/>
        <v>0</v>
      </c>
      <c r="AL662" s="17">
        <f t="shared" si="779"/>
        <v>0</v>
      </c>
      <c r="AN662" s="17">
        <v>12</v>
      </c>
      <c r="AO662" s="17">
        <f>H662*1</f>
        <v>0</v>
      </c>
      <c r="AP662" s="17">
        <f>H662*(1-1)</f>
        <v>0</v>
      </c>
      <c r="AQ662" s="76" t="s">
        <v>577</v>
      </c>
      <c r="AV662" s="17">
        <f t="shared" si="780"/>
        <v>0</v>
      </c>
      <c r="AW662" s="17">
        <f t="shared" si="781"/>
        <v>0</v>
      </c>
      <c r="AX662" s="17">
        <f t="shared" si="782"/>
        <v>0</v>
      </c>
      <c r="AY662" s="76" t="s">
        <v>1077</v>
      </c>
      <c r="AZ662" s="76" t="s">
        <v>1204</v>
      </c>
      <c r="BA662" s="14" t="s">
        <v>1178</v>
      </c>
      <c r="BC662" s="17">
        <f t="shared" si="783"/>
        <v>0</v>
      </c>
      <c r="BD662" s="17">
        <f t="shared" si="784"/>
        <v>0</v>
      </c>
      <c r="BE662" s="17">
        <v>0</v>
      </c>
      <c r="BF662" s="17">
        <f t="shared" si="785"/>
        <v>0.3332</v>
      </c>
      <c r="BH662" s="17">
        <f t="shared" si="786"/>
        <v>0</v>
      </c>
      <c r="BI662" s="17">
        <f t="shared" si="787"/>
        <v>0</v>
      </c>
      <c r="BJ662" s="17">
        <f t="shared" si="788"/>
        <v>0</v>
      </c>
      <c r="BK662" s="17"/>
      <c r="BL662" s="17">
        <v>781</v>
      </c>
      <c r="BW662" s="17">
        <f t="shared" si="789"/>
        <v>12</v>
      </c>
      <c r="BX662" s="4" t="s">
        <v>401</v>
      </c>
    </row>
    <row r="663" spans="1:76" x14ac:dyDescent="0.25">
      <c r="A663" s="1" t="s">
        <v>1207</v>
      </c>
      <c r="B663" s="2" t="s">
        <v>458</v>
      </c>
      <c r="C663" s="2" t="s">
        <v>398</v>
      </c>
      <c r="D663" s="83" t="s">
        <v>399</v>
      </c>
      <c r="E663" s="84"/>
      <c r="F663" s="2" t="s">
        <v>354</v>
      </c>
      <c r="G663" s="17" t="e">
        <f>'Rozpočet - vybrané sloupce'!#REF!</f>
        <v>#REF!</v>
      </c>
      <c r="H663" s="17" t="e">
        <f>'Rozpočet - vybrané sloupce'!#REF!</f>
        <v>#REF!</v>
      </c>
      <c r="I663" s="74">
        <v>12</v>
      </c>
      <c r="J663" s="17" t="e">
        <f t="shared" si="764"/>
        <v>#REF!</v>
      </c>
      <c r="K663" s="17" t="e">
        <f t="shared" si="765"/>
        <v>#REF!</v>
      </c>
      <c r="L663" s="17" t="e">
        <f t="shared" si="766"/>
        <v>#REF!</v>
      </c>
      <c r="M663" s="17" t="e">
        <f t="shared" si="767"/>
        <v>#REF!</v>
      </c>
      <c r="N663" s="17">
        <v>0</v>
      </c>
      <c r="O663" s="17" t="e">
        <f t="shared" si="768"/>
        <v>#REF!</v>
      </c>
      <c r="P663" s="75" t="s">
        <v>576</v>
      </c>
      <c r="Z663" s="17">
        <f t="shared" si="769"/>
        <v>0</v>
      </c>
      <c r="AB663" s="17">
        <f t="shared" si="770"/>
        <v>0</v>
      </c>
      <c r="AC663" s="17">
        <f t="shared" si="771"/>
        <v>0</v>
      </c>
      <c r="AD663" s="17" t="e">
        <f t="shared" si="772"/>
        <v>#REF!</v>
      </c>
      <c r="AE663" s="17" t="e">
        <f t="shared" si="773"/>
        <v>#REF!</v>
      </c>
      <c r="AF663" s="17">
        <f t="shared" si="774"/>
        <v>0</v>
      </c>
      <c r="AG663" s="17">
        <f t="shared" si="775"/>
        <v>0</v>
      </c>
      <c r="AH663" s="17">
        <f t="shared" si="776"/>
        <v>0</v>
      </c>
      <c r="AI663" s="14" t="s">
        <v>458</v>
      </c>
      <c r="AJ663" s="17">
        <f t="shared" si="777"/>
        <v>0</v>
      </c>
      <c r="AK663" s="17" t="e">
        <f t="shared" si="778"/>
        <v>#REF!</v>
      </c>
      <c r="AL663" s="17">
        <f t="shared" si="779"/>
        <v>0</v>
      </c>
      <c r="AN663" s="17">
        <v>12</v>
      </c>
      <c r="AO663" s="17" t="e">
        <f>H663*0</f>
        <v>#REF!</v>
      </c>
      <c r="AP663" s="17" t="e">
        <f>H663*(1-0)</f>
        <v>#REF!</v>
      </c>
      <c r="AQ663" s="76" t="s">
        <v>577</v>
      </c>
      <c r="AV663" s="17" t="e">
        <f t="shared" si="780"/>
        <v>#REF!</v>
      </c>
      <c r="AW663" s="17" t="e">
        <f t="shared" si="781"/>
        <v>#REF!</v>
      </c>
      <c r="AX663" s="17" t="e">
        <f t="shared" si="782"/>
        <v>#REF!</v>
      </c>
      <c r="AY663" s="76" t="s">
        <v>1077</v>
      </c>
      <c r="AZ663" s="76" t="s">
        <v>1204</v>
      </c>
      <c r="BA663" s="14" t="s">
        <v>1178</v>
      </c>
      <c r="BC663" s="17" t="e">
        <f t="shared" si="783"/>
        <v>#REF!</v>
      </c>
      <c r="BD663" s="17" t="e">
        <f t="shared" si="784"/>
        <v>#REF!</v>
      </c>
      <c r="BE663" s="17">
        <v>0</v>
      </c>
      <c r="BF663" s="17" t="e">
        <f t="shared" si="785"/>
        <v>#REF!</v>
      </c>
      <c r="BH663" s="17" t="e">
        <f t="shared" si="786"/>
        <v>#REF!</v>
      </c>
      <c r="BI663" s="17" t="e">
        <f t="shared" si="787"/>
        <v>#REF!</v>
      </c>
      <c r="BJ663" s="17" t="e">
        <f t="shared" si="788"/>
        <v>#REF!</v>
      </c>
      <c r="BK663" s="17"/>
      <c r="BL663" s="17">
        <v>781</v>
      </c>
      <c r="BW663" s="17">
        <f t="shared" si="789"/>
        <v>12</v>
      </c>
      <c r="BX663" s="4" t="s">
        <v>399</v>
      </c>
    </row>
    <row r="664" spans="1:76" x14ac:dyDescent="0.25">
      <c r="A664" s="1" t="s">
        <v>1208</v>
      </c>
      <c r="B664" s="2" t="s">
        <v>458</v>
      </c>
      <c r="C664" s="2" t="s">
        <v>402</v>
      </c>
      <c r="D664" s="83" t="s">
        <v>403</v>
      </c>
      <c r="E664" s="84"/>
      <c r="F664" s="2" t="s">
        <v>35</v>
      </c>
      <c r="G664" s="17" t="e">
        <f>'Rozpočet - vybrané sloupce'!#REF!</f>
        <v>#REF!</v>
      </c>
      <c r="H664" s="17" t="e">
        <f>'Rozpočet - vybrané sloupce'!#REF!</f>
        <v>#REF!</v>
      </c>
      <c r="I664" s="74">
        <v>12</v>
      </c>
      <c r="J664" s="17" t="e">
        <f t="shared" si="764"/>
        <v>#REF!</v>
      </c>
      <c r="K664" s="17" t="e">
        <f t="shared" si="765"/>
        <v>#REF!</v>
      </c>
      <c r="L664" s="17" t="e">
        <f t="shared" si="766"/>
        <v>#REF!</v>
      </c>
      <c r="M664" s="17" t="e">
        <f t="shared" si="767"/>
        <v>#REF!</v>
      </c>
      <c r="N664" s="17">
        <v>3.0699999999999998E-3</v>
      </c>
      <c r="O664" s="17" t="e">
        <f t="shared" si="768"/>
        <v>#REF!</v>
      </c>
      <c r="P664" s="75" t="s">
        <v>576</v>
      </c>
      <c r="Z664" s="17">
        <f t="shared" si="769"/>
        <v>0</v>
      </c>
      <c r="AB664" s="17">
        <f t="shared" si="770"/>
        <v>0</v>
      </c>
      <c r="AC664" s="17">
        <f t="shared" si="771"/>
        <v>0</v>
      </c>
      <c r="AD664" s="17" t="e">
        <f t="shared" si="772"/>
        <v>#REF!</v>
      </c>
      <c r="AE664" s="17" t="e">
        <f t="shared" si="773"/>
        <v>#REF!</v>
      </c>
      <c r="AF664" s="17">
        <f t="shared" si="774"/>
        <v>0</v>
      </c>
      <c r="AG664" s="17">
        <f t="shared" si="775"/>
        <v>0</v>
      </c>
      <c r="AH664" s="17">
        <f t="shared" si="776"/>
        <v>0</v>
      </c>
      <c r="AI664" s="14" t="s">
        <v>458</v>
      </c>
      <c r="AJ664" s="17">
        <f t="shared" si="777"/>
        <v>0</v>
      </c>
      <c r="AK664" s="17" t="e">
        <f t="shared" si="778"/>
        <v>#REF!</v>
      </c>
      <c r="AL664" s="17">
        <f t="shared" si="779"/>
        <v>0</v>
      </c>
      <c r="AN664" s="17">
        <v>12</v>
      </c>
      <c r="AO664" s="17" t="e">
        <f>H664*0.283738739</f>
        <v>#REF!</v>
      </c>
      <c r="AP664" s="17" t="e">
        <f>H664*(1-0.283738739)</f>
        <v>#REF!</v>
      </c>
      <c r="AQ664" s="76" t="s">
        <v>577</v>
      </c>
      <c r="AV664" s="17" t="e">
        <f t="shared" si="780"/>
        <v>#REF!</v>
      </c>
      <c r="AW664" s="17" t="e">
        <f t="shared" si="781"/>
        <v>#REF!</v>
      </c>
      <c r="AX664" s="17" t="e">
        <f t="shared" si="782"/>
        <v>#REF!</v>
      </c>
      <c r="AY664" s="76" t="s">
        <v>1077</v>
      </c>
      <c r="AZ664" s="76" t="s">
        <v>1204</v>
      </c>
      <c r="BA664" s="14" t="s">
        <v>1178</v>
      </c>
      <c r="BC664" s="17" t="e">
        <f t="shared" si="783"/>
        <v>#REF!</v>
      </c>
      <c r="BD664" s="17" t="e">
        <f t="shared" si="784"/>
        <v>#REF!</v>
      </c>
      <c r="BE664" s="17">
        <v>0</v>
      </c>
      <c r="BF664" s="17" t="e">
        <f t="shared" si="785"/>
        <v>#REF!</v>
      </c>
      <c r="BH664" s="17" t="e">
        <f t="shared" si="786"/>
        <v>#REF!</v>
      </c>
      <c r="BI664" s="17" t="e">
        <f t="shared" si="787"/>
        <v>#REF!</v>
      </c>
      <c r="BJ664" s="17" t="e">
        <f t="shared" si="788"/>
        <v>#REF!</v>
      </c>
      <c r="BK664" s="17"/>
      <c r="BL664" s="17">
        <v>781</v>
      </c>
      <c r="BW664" s="17">
        <f t="shared" si="789"/>
        <v>12</v>
      </c>
      <c r="BX664" s="4" t="s">
        <v>403</v>
      </c>
    </row>
    <row r="665" spans="1:76" x14ac:dyDescent="0.25">
      <c r="A665" s="1" t="s">
        <v>1209</v>
      </c>
      <c r="B665" s="2" t="s">
        <v>458</v>
      </c>
      <c r="C665" s="2" t="s">
        <v>404</v>
      </c>
      <c r="D665" s="83" t="s">
        <v>405</v>
      </c>
      <c r="E665" s="84"/>
      <c r="F665" s="2" t="s">
        <v>45</v>
      </c>
      <c r="G665" s="17">
        <f>'Rozpočet - vybrané sloupce'!J571</f>
        <v>0</v>
      </c>
      <c r="H665" s="17">
        <f>'Rozpočet - vybrané sloupce'!K571</f>
        <v>0</v>
      </c>
      <c r="I665" s="74">
        <v>12</v>
      </c>
      <c r="J665" s="17">
        <f t="shared" si="764"/>
        <v>0</v>
      </c>
      <c r="K665" s="17">
        <f t="shared" si="765"/>
        <v>0</v>
      </c>
      <c r="L665" s="17">
        <f t="shared" si="766"/>
        <v>0</v>
      </c>
      <c r="M665" s="17">
        <f t="shared" si="767"/>
        <v>0</v>
      </c>
      <c r="N665" s="17">
        <v>0</v>
      </c>
      <c r="O665" s="17">
        <f t="shared" si="768"/>
        <v>0</v>
      </c>
      <c r="P665" s="75" t="s">
        <v>576</v>
      </c>
      <c r="Z665" s="17">
        <f t="shared" si="769"/>
        <v>0</v>
      </c>
      <c r="AB665" s="17">
        <f t="shared" si="770"/>
        <v>0</v>
      </c>
      <c r="AC665" s="17">
        <f t="shared" si="771"/>
        <v>0</v>
      </c>
      <c r="AD665" s="17">
        <f t="shared" si="772"/>
        <v>0</v>
      </c>
      <c r="AE665" s="17">
        <f t="shared" si="773"/>
        <v>0</v>
      </c>
      <c r="AF665" s="17">
        <f t="shared" si="774"/>
        <v>0</v>
      </c>
      <c r="AG665" s="17">
        <f t="shared" si="775"/>
        <v>0</v>
      </c>
      <c r="AH665" s="17">
        <f t="shared" si="776"/>
        <v>0</v>
      </c>
      <c r="AI665" s="14" t="s">
        <v>458</v>
      </c>
      <c r="AJ665" s="17">
        <f t="shared" si="777"/>
        <v>0</v>
      </c>
      <c r="AK665" s="17">
        <f t="shared" si="778"/>
        <v>0</v>
      </c>
      <c r="AL665" s="17">
        <f t="shared" si="779"/>
        <v>0</v>
      </c>
      <c r="AN665" s="17">
        <v>12</v>
      </c>
      <c r="AO665" s="17">
        <f>H665*0</f>
        <v>0</v>
      </c>
      <c r="AP665" s="17">
        <f>H665*(1-0)</f>
        <v>0</v>
      </c>
      <c r="AQ665" s="76" t="s">
        <v>585</v>
      </c>
      <c r="AV665" s="17">
        <f t="shared" si="780"/>
        <v>0</v>
      </c>
      <c r="AW665" s="17">
        <f t="shared" si="781"/>
        <v>0</v>
      </c>
      <c r="AX665" s="17">
        <f t="shared" si="782"/>
        <v>0</v>
      </c>
      <c r="AY665" s="76" t="s">
        <v>1077</v>
      </c>
      <c r="AZ665" s="76" t="s">
        <v>1204</v>
      </c>
      <c r="BA665" s="14" t="s">
        <v>1178</v>
      </c>
      <c r="BC665" s="17">
        <f t="shared" si="783"/>
        <v>0</v>
      </c>
      <c r="BD665" s="17">
        <f t="shared" si="784"/>
        <v>0</v>
      </c>
      <c r="BE665" s="17">
        <v>0</v>
      </c>
      <c r="BF665" s="17">
        <f t="shared" si="785"/>
        <v>0</v>
      </c>
      <c r="BH665" s="17">
        <f t="shared" si="786"/>
        <v>0</v>
      </c>
      <c r="BI665" s="17">
        <f t="shared" si="787"/>
        <v>0</v>
      </c>
      <c r="BJ665" s="17">
        <f t="shared" si="788"/>
        <v>0</v>
      </c>
      <c r="BK665" s="17"/>
      <c r="BL665" s="17">
        <v>781</v>
      </c>
      <c r="BW665" s="17">
        <f t="shared" si="789"/>
        <v>12</v>
      </c>
      <c r="BX665" s="4" t="s">
        <v>405</v>
      </c>
    </row>
    <row r="666" spans="1:76" x14ac:dyDescent="0.25">
      <c r="A666" s="71" t="s">
        <v>25</v>
      </c>
      <c r="B666" s="13" t="s">
        <v>458</v>
      </c>
      <c r="C666" s="13" t="s">
        <v>406</v>
      </c>
      <c r="D666" s="135" t="s">
        <v>407</v>
      </c>
      <c r="E666" s="136"/>
      <c r="F666" s="72" t="s">
        <v>23</v>
      </c>
      <c r="G666" s="72" t="s">
        <v>23</v>
      </c>
      <c r="H666" s="72" t="s">
        <v>23</v>
      </c>
      <c r="I666" s="72" t="s">
        <v>23</v>
      </c>
      <c r="J666" s="47">
        <f>SUM(J667:J668)</f>
        <v>0</v>
      </c>
      <c r="K666" s="47">
        <f>SUM(K667:K668)</f>
        <v>0</v>
      </c>
      <c r="L666" s="47">
        <f>SUM(L667:L668)</f>
        <v>0</v>
      </c>
      <c r="M666" s="47">
        <f>SUM(M667:M668)</f>
        <v>0</v>
      </c>
      <c r="N666" s="14" t="s">
        <v>25</v>
      </c>
      <c r="O666" s="47">
        <f>SUM(O667:O668)</f>
        <v>1.4132E-2</v>
      </c>
      <c r="P666" s="73" t="s">
        <v>25</v>
      </c>
      <c r="AI666" s="14" t="s">
        <v>458</v>
      </c>
      <c r="AS666" s="47">
        <f>SUM(AJ667:AJ668)</f>
        <v>0</v>
      </c>
      <c r="AT666" s="47">
        <f>SUM(AK667:AK668)</f>
        <v>0</v>
      </c>
      <c r="AU666" s="47">
        <f>SUM(AL667:AL668)</f>
        <v>0</v>
      </c>
    </row>
    <row r="667" spans="1:76" x14ac:dyDescent="0.25">
      <c r="A667" s="1" t="s">
        <v>1210</v>
      </c>
      <c r="B667" s="2" t="s">
        <v>458</v>
      </c>
      <c r="C667" s="2" t="s">
        <v>408</v>
      </c>
      <c r="D667" s="83" t="s">
        <v>409</v>
      </c>
      <c r="E667" s="84"/>
      <c r="F667" s="2" t="s">
        <v>354</v>
      </c>
      <c r="G667" s="17">
        <f>'Rozpočet - vybrané sloupce'!J573</f>
        <v>4.2</v>
      </c>
      <c r="H667" s="17">
        <f>'Rozpočet - vybrané sloupce'!K573</f>
        <v>0</v>
      </c>
      <c r="I667" s="74">
        <v>12</v>
      </c>
      <c r="J667" s="17">
        <f>ROUND(G667*AO667,2)</f>
        <v>0</v>
      </c>
      <c r="K667" s="17">
        <f>ROUND(G667*AP667,2)</f>
        <v>0</v>
      </c>
      <c r="L667" s="17">
        <f>ROUND(G667*H667,2)</f>
        <v>0</v>
      </c>
      <c r="M667" s="17">
        <f>L667*(1+BW667/100)</f>
        <v>0</v>
      </c>
      <c r="N667" s="17">
        <v>1.4599999999999999E-3</v>
      </c>
      <c r="O667" s="17">
        <f>G667*N667</f>
        <v>6.1320000000000003E-3</v>
      </c>
      <c r="P667" s="75" t="s">
        <v>576</v>
      </c>
      <c r="Z667" s="17">
        <f>ROUND(IF(AQ667="5",BJ667,0),2)</f>
        <v>0</v>
      </c>
      <c r="AB667" s="17">
        <f>ROUND(IF(AQ667="1",BH667,0),2)</f>
        <v>0</v>
      </c>
      <c r="AC667" s="17">
        <f>ROUND(IF(AQ667="1",BI667,0),2)</f>
        <v>0</v>
      </c>
      <c r="AD667" s="17">
        <f>ROUND(IF(AQ667="7",BH667,0),2)</f>
        <v>0</v>
      </c>
      <c r="AE667" s="17">
        <f>ROUND(IF(AQ667="7",BI667,0),2)</f>
        <v>0</v>
      </c>
      <c r="AF667" s="17">
        <f>ROUND(IF(AQ667="2",BH667,0),2)</f>
        <v>0</v>
      </c>
      <c r="AG667" s="17">
        <f>ROUND(IF(AQ667="2",BI667,0),2)</f>
        <v>0</v>
      </c>
      <c r="AH667" s="17">
        <f>ROUND(IF(AQ667="0",BJ667,0),2)</f>
        <v>0</v>
      </c>
      <c r="AI667" s="14" t="s">
        <v>458</v>
      </c>
      <c r="AJ667" s="17">
        <f>IF(AN667=0,L667,0)</f>
        <v>0</v>
      </c>
      <c r="AK667" s="17">
        <f>IF(AN667=12,L667,0)</f>
        <v>0</v>
      </c>
      <c r="AL667" s="17">
        <f>IF(AN667=21,L667,0)</f>
        <v>0</v>
      </c>
      <c r="AN667" s="17">
        <v>12</v>
      </c>
      <c r="AO667" s="17">
        <f>H667*0</f>
        <v>0</v>
      </c>
      <c r="AP667" s="17">
        <f>H667*(1-0)</f>
        <v>0</v>
      </c>
      <c r="AQ667" s="76" t="s">
        <v>577</v>
      </c>
      <c r="AV667" s="17">
        <f>ROUND(AW667+AX667,2)</f>
        <v>0</v>
      </c>
      <c r="AW667" s="17">
        <f>ROUND(G667*AO667,2)</f>
        <v>0</v>
      </c>
      <c r="AX667" s="17">
        <f>ROUND(G667*AP667,2)</f>
        <v>0</v>
      </c>
      <c r="AY667" s="76" t="s">
        <v>1089</v>
      </c>
      <c r="AZ667" s="76" t="s">
        <v>1204</v>
      </c>
      <c r="BA667" s="14" t="s">
        <v>1178</v>
      </c>
      <c r="BC667" s="17">
        <f>AW667+AX667</f>
        <v>0</v>
      </c>
      <c r="BD667" s="17">
        <f>H667/(100-BE667)*100</f>
        <v>0</v>
      </c>
      <c r="BE667" s="17">
        <v>0</v>
      </c>
      <c r="BF667" s="17">
        <f>O667</f>
        <v>6.1320000000000003E-3</v>
      </c>
      <c r="BH667" s="17">
        <f>G667*AO667</f>
        <v>0</v>
      </c>
      <c r="BI667" s="17">
        <f>G667*AP667</f>
        <v>0</v>
      </c>
      <c r="BJ667" s="17">
        <f>G667*H667</f>
        <v>0</v>
      </c>
      <c r="BK667" s="17"/>
      <c r="BL667" s="17">
        <v>783</v>
      </c>
      <c r="BW667" s="17">
        <f>I667</f>
        <v>12</v>
      </c>
      <c r="BX667" s="4" t="s">
        <v>409</v>
      </c>
    </row>
    <row r="668" spans="1:76" x14ac:dyDescent="0.25">
      <c r="A668" s="1" t="s">
        <v>1211</v>
      </c>
      <c r="B668" s="2" t="s">
        <v>458</v>
      </c>
      <c r="C668" s="2" t="s">
        <v>410</v>
      </c>
      <c r="D668" s="83" t="s">
        <v>411</v>
      </c>
      <c r="E668" s="84"/>
      <c r="F668" s="2" t="s">
        <v>412</v>
      </c>
      <c r="G668" s="17">
        <f>'Rozpočet - vybrané sloupce'!J574</f>
        <v>8</v>
      </c>
      <c r="H668" s="17">
        <f>'Rozpočet - vybrané sloupce'!K574</f>
        <v>0</v>
      </c>
      <c r="I668" s="74">
        <v>12</v>
      </c>
      <c r="J668" s="17">
        <f>ROUND(G668*AO668,2)</f>
        <v>0</v>
      </c>
      <c r="K668" s="17">
        <f>ROUND(G668*AP668,2)</f>
        <v>0</v>
      </c>
      <c r="L668" s="17">
        <f>ROUND(G668*H668,2)</f>
        <v>0</v>
      </c>
      <c r="M668" s="17">
        <f>L668*(1+BW668/100)</f>
        <v>0</v>
      </c>
      <c r="N668" s="17">
        <v>1E-3</v>
      </c>
      <c r="O668" s="17">
        <f>G668*N668</f>
        <v>8.0000000000000002E-3</v>
      </c>
      <c r="P668" s="75" t="s">
        <v>576</v>
      </c>
      <c r="Z668" s="17">
        <f>ROUND(IF(AQ668="5",BJ668,0),2)</f>
        <v>0</v>
      </c>
      <c r="AB668" s="17">
        <f>ROUND(IF(AQ668="1",BH668,0),2)</f>
        <v>0</v>
      </c>
      <c r="AC668" s="17">
        <f>ROUND(IF(AQ668="1",BI668,0),2)</f>
        <v>0</v>
      </c>
      <c r="AD668" s="17">
        <f>ROUND(IF(AQ668="7",BH668,0),2)</f>
        <v>0</v>
      </c>
      <c r="AE668" s="17">
        <f>ROUND(IF(AQ668="7",BI668,0),2)</f>
        <v>0</v>
      </c>
      <c r="AF668" s="17">
        <f>ROUND(IF(AQ668="2",BH668,0),2)</f>
        <v>0</v>
      </c>
      <c r="AG668" s="17">
        <f>ROUND(IF(AQ668="2",BI668,0),2)</f>
        <v>0</v>
      </c>
      <c r="AH668" s="17">
        <f>ROUND(IF(AQ668="0",BJ668,0),2)</f>
        <v>0</v>
      </c>
      <c r="AI668" s="14" t="s">
        <v>458</v>
      </c>
      <c r="AJ668" s="17">
        <f>IF(AN668=0,L668,0)</f>
        <v>0</v>
      </c>
      <c r="AK668" s="17">
        <f>IF(AN668=12,L668,0)</f>
        <v>0</v>
      </c>
      <c r="AL668" s="17">
        <f>IF(AN668=21,L668,0)</f>
        <v>0</v>
      </c>
      <c r="AN668" s="17">
        <v>12</v>
      </c>
      <c r="AO668" s="17">
        <f>H668*1</f>
        <v>0</v>
      </c>
      <c r="AP668" s="17">
        <f>H668*(1-1)</f>
        <v>0</v>
      </c>
      <c r="AQ668" s="76" t="s">
        <v>577</v>
      </c>
      <c r="AV668" s="17">
        <f>ROUND(AW668+AX668,2)</f>
        <v>0</v>
      </c>
      <c r="AW668" s="17">
        <f>ROUND(G668*AO668,2)</f>
        <v>0</v>
      </c>
      <c r="AX668" s="17">
        <f>ROUND(G668*AP668,2)</f>
        <v>0</v>
      </c>
      <c r="AY668" s="76" t="s">
        <v>1089</v>
      </c>
      <c r="AZ668" s="76" t="s">
        <v>1204</v>
      </c>
      <c r="BA668" s="14" t="s">
        <v>1178</v>
      </c>
      <c r="BC668" s="17">
        <f>AW668+AX668</f>
        <v>0</v>
      </c>
      <c r="BD668" s="17">
        <f>H668/(100-BE668)*100</f>
        <v>0</v>
      </c>
      <c r="BE668" s="17">
        <v>0</v>
      </c>
      <c r="BF668" s="17">
        <f>O668</f>
        <v>8.0000000000000002E-3</v>
      </c>
      <c r="BH668" s="17">
        <f>G668*AO668</f>
        <v>0</v>
      </c>
      <c r="BI668" s="17">
        <f>G668*AP668</f>
        <v>0</v>
      </c>
      <c r="BJ668" s="17">
        <f>G668*H668</f>
        <v>0</v>
      </c>
      <c r="BK668" s="17"/>
      <c r="BL668" s="17">
        <v>783</v>
      </c>
      <c r="BW668" s="17">
        <f>I668</f>
        <v>12</v>
      </c>
      <c r="BX668" s="4" t="s">
        <v>411</v>
      </c>
    </row>
    <row r="669" spans="1:76" x14ac:dyDescent="0.25">
      <c r="A669" s="71" t="s">
        <v>25</v>
      </c>
      <c r="B669" s="13" t="s">
        <v>458</v>
      </c>
      <c r="C669" s="13" t="s">
        <v>413</v>
      </c>
      <c r="D669" s="135" t="s">
        <v>414</v>
      </c>
      <c r="E669" s="136"/>
      <c r="F669" s="72" t="s">
        <v>23</v>
      </c>
      <c r="G669" s="72" t="s">
        <v>23</v>
      </c>
      <c r="H669" s="72" t="s">
        <v>23</v>
      </c>
      <c r="I669" s="72" t="s">
        <v>23</v>
      </c>
      <c r="J669" s="47">
        <f>SUM(J670:J670)</f>
        <v>0</v>
      </c>
      <c r="K669" s="47">
        <f>SUM(K670:K670)</f>
        <v>0</v>
      </c>
      <c r="L669" s="47">
        <f>SUM(L670:L670)</f>
        <v>0</v>
      </c>
      <c r="M669" s="47">
        <f>SUM(M670:M670)</f>
        <v>0</v>
      </c>
      <c r="N669" s="14" t="s">
        <v>25</v>
      </c>
      <c r="O669" s="47">
        <f>SUM(O670:O670)</f>
        <v>1.404E-2</v>
      </c>
      <c r="P669" s="73" t="s">
        <v>25</v>
      </c>
      <c r="AI669" s="14" t="s">
        <v>458</v>
      </c>
      <c r="AS669" s="47">
        <f>SUM(AJ670:AJ670)</f>
        <v>0</v>
      </c>
      <c r="AT669" s="47">
        <f>SUM(AK670:AK670)</f>
        <v>0</v>
      </c>
      <c r="AU669" s="47">
        <f>SUM(AL670:AL670)</f>
        <v>0</v>
      </c>
    </row>
    <row r="670" spans="1:76" x14ac:dyDescent="0.25">
      <c r="A670" s="1" t="s">
        <v>1212</v>
      </c>
      <c r="B670" s="2" t="s">
        <v>458</v>
      </c>
      <c r="C670" s="2" t="s">
        <v>415</v>
      </c>
      <c r="D670" s="83" t="s">
        <v>416</v>
      </c>
      <c r="E670" s="84"/>
      <c r="F670" s="2" t="s">
        <v>354</v>
      </c>
      <c r="G670" s="17">
        <f>'Rozpočet - vybrané sloupce'!J576</f>
        <v>36</v>
      </c>
      <c r="H670" s="17">
        <f>'Rozpočet - vybrané sloupce'!K576</f>
        <v>0</v>
      </c>
      <c r="I670" s="74">
        <v>12</v>
      </c>
      <c r="J670" s="17">
        <f>ROUND(G670*AO670,2)</f>
        <v>0</v>
      </c>
      <c r="K670" s="17">
        <f>ROUND(G670*AP670,2)</f>
        <v>0</v>
      </c>
      <c r="L670" s="17">
        <f>ROUND(G670*H670,2)</f>
        <v>0</v>
      </c>
      <c r="M670" s="17">
        <f>L670*(1+BW670/100)</f>
        <v>0</v>
      </c>
      <c r="N670" s="17">
        <v>3.8999999999999999E-4</v>
      </c>
      <c r="O670" s="17">
        <f>G670*N670</f>
        <v>1.404E-2</v>
      </c>
      <c r="P670" s="75" t="s">
        <v>576</v>
      </c>
      <c r="Z670" s="17">
        <f>ROUND(IF(AQ670="5",BJ670,0),2)</f>
        <v>0</v>
      </c>
      <c r="AB670" s="17">
        <f>ROUND(IF(AQ670="1",BH670,0),2)</f>
        <v>0</v>
      </c>
      <c r="AC670" s="17">
        <f>ROUND(IF(AQ670="1",BI670,0),2)</f>
        <v>0</v>
      </c>
      <c r="AD670" s="17">
        <f>ROUND(IF(AQ670="7",BH670,0),2)</f>
        <v>0</v>
      </c>
      <c r="AE670" s="17">
        <f>ROUND(IF(AQ670="7",BI670,0),2)</f>
        <v>0</v>
      </c>
      <c r="AF670" s="17">
        <f>ROUND(IF(AQ670="2",BH670,0),2)</f>
        <v>0</v>
      </c>
      <c r="AG670" s="17">
        <f>ROUND(IF(AQ670="2",BI670,0),2)</f>
        <v>0</v>
      </c>
      <c r="AH670" s="17">
        <f>ROUND(IF(AQ670="0",BJ670,0),2)</f>
        <v>0</v>
      </c>
      <c r="AI670" s="14" t="s">
        <v>458</v>
      </c>
      <c r="AJ670" s="17">
        <f>IF(AN670=0,L670,0)</f>
        <v>0</v>
      </c>
      <c r="AK670" s="17">
        <f>IF(AN670=12,L670,0)</f>
        <v>0</v>
      </c>
      <c r="AL670" s="17">
        <f>IF(AN670=21,L670,0)</f>
        <v>0</v>
      </c>
      <c r="AN670" s="17">
        <v>12</v>
      </c>
      <c r="AO670" s="17">
        <f>H670*0.201519693</f>
        <v>0</v>
      </c>
      <c r="AP670" s="17">
        <f>H670*(1-0.201519693)</f>
        <v>0</v>
      </c>
      <c r="AQ670" s="76" t="s">
        <v>577</v>
      </c>
      <c r="AV670" s="17">
        <f>ROUND(AW670+AX670,2)</f>
        <v>0</v>
      </c>
      <c r="AW670" s="17">
        <f>ROUND(G670*AO670,2)</f>
        <v>0</v>
      </c>
      <c r="AX670" s="17">
        <f>ROUND(G670*AP670,2)</f>
        <v>0</v>
      </c>
      <c r="AY670" s="76" t="s">
        <v>1093</v>
      </c>
      <c r="AZ670" s="76" t="s">
        <v>1204</v>
      </c>
      <c r="BA670" s="14" t="s">
        <v>1178</v>
      </c>
      <c r="BC670" s="17">
        <f>AW670+AX670</f>
        <v>0</v>
      </c>
      <c r="BD670" s="17">
        <f>H670/(100-BE670)*100</f>
        <v>0</v>
      </c>
      <c r="BE670" s="17">
        <v>0</v>
      </c>
      <c r="BF670" s="17">
        <f>O670</f>
        <v>1.404E-2</v>
      </c>
      <c r="BH670" s="17">
        <f>G670*AO670</f>
        <v>0</v>
      </c>
      <c r="BI670" s="17">
        <f>G670*AP670</f>
        <v>0</v>
      </c>
      <c r="BJ670" s="17">
        <f>G670*H670</f>
        <v>0</v>
      </c>
      <c r="BK670" s="17"/>
      <c r="BL670" s="17">
        <v>784</v>
      </c>
      <c r="BW670" s="17">
        <f>I670</f>
        <v>12</v>
      </c>
      <c r="BX670" s="4" t="s">
        <v>416</v>
      </c>
    </row>
    <row r="671" spans="1:76" x14ac:dyDescent="0.25">
      <c r="A671" s="71" t="s">
        <v>25</v>
      </c>
      <c r="B671" s="13" t="s">
        <v>458</v>
      </c>
      <c r="C671" s="13" t="s">
        <v>417</v>
      </c>
      <c r="D671" s="135" t="s">
        <v>418</v>
      </c>
      <c r="E671" s="136"/>
      <c r="F671" s="72" t="s">
        <v>23</v>
      </c>
      <c r="G671" s="72" t="s">
        <v>23</v>
      </c>
      <c r="H671" s="72" t="s">
        <v>23</v>
      </c>
      <c r="I671" s="72" t="s">
        <v>23</v>
      </c>
      <c r="J671" s="47" t="e">
        <f>SUM(J672:J672)</f>
        <v>#REF!</v>
      </c>
      <c r="K671" s="47" t="e">
        <f>SUM(K672:K672)</f>
        <v>#REF!</v>
      </c>
      <c r="L671" s="47" t="e">
        <f>SUM(L672:L672)</f>
        <v>#REF!</v>
      </c>
      <c r="M671" s="47" t="e">
        <f>SUM(M672:M672)</f>
        <v>#REF!</v>
      </c>
      <c r="N671" s="14" t="s">
        <v>25</v>
      </c>
      <c r="O671" s="47" t="e">
        <f>SUM(O672:O672)</f>
        <v>#REF!</v>
      </c>
      <c r="P671" s="73" t="s">
        <v>25</v>
      </c>
      <c r="AI671" s="14" t="s">
        <v>458</v>
      </c>
      <c r="AS671" s="47">
        <f>SUM(AJ672:AJ672)</f>
        <v>0</v>
      </c>
      <c r="AT671" s="47" t="e">
        <f>SUM(AK672:AK672)</f>
        <v>#REF!</v>
      </c>
      <c r="AU671" s="47">
        <f>SUM(AL672:AL672)</f>
        <v>0</v>
      </c>
    </row>
    <row r="672" spans="1:76" x14ac:dyDescent="0.25">
      <c r="A672" s="1" t="s">
        <v>1213</v>
      </c>
      <c r="B672" s="2" t="s">
        <v>458</v>
      </c>
      <c r="C672" s="2" t="s">
        <v>419</v>
      </c>
      <c r="D672" s="83" t="s">
        <v>420</v>
      </c>
      <c r="E672" s="84"/>
      <c r="F672" s="2" t="s">
        <v>354</v>
      </c>
      <c r="G672" s="17" t="e">
        <f>'Rozpočet - vybrané sloupce'!#REF!</f>
        <v>#REF!</v>
      </c>
      <c r="H672" s="17" t="e">
        <f>'Rozpočet - vybrané sloupce'!#REF!</f>
        <v>#REF!</v>
      </c>
      <c r="I672" s="74">
        <v>12</v>
      </c>
      <c r="J672" s="17" t="e">
        <f>ROUND(G672*AO672,2)</f>
        <v>#REF!</v>
      </c>
      <c r="K672" s="17" t="e">
        <f>ROUND(G672*AP672,2)</f>
        <v>#REF!</v>
      </c>
      <c r="L672" s="17" t="e">
        <f>ROUND(G672*H672,2)</f>
        <v>#REF!</v>
      </c>
      <c r="M672" s="17" t="e">
        <f>L672*(1+BW672/100)</f>
        <v>#REF!</v>
      </c>
      <c r="N672" s="17">
        <v>0</v>
      </c>
      <c r="O672" s="17" t="e">
        <f>G672*N672</f>
        <v>#REF!</v>
      </c>
      <c r="P672" s="75" t="s">
        <v>576</v>
      </c>
      <c r="Z672" s="17">
        <f>ROUND(IF(AQ672="5",BJ672,0),2)</f>
        <v>0</v>
      </c>
      <c r="AB672" s="17" t="e">
        <f>ROUND(IF(AQ672="1",BH672,0),2)</f>
        <v>#REF!</v>
      </c>
      <c r="AC672" s="17" t="e">
        <f>ROUND(IF(AQ672="1",BI672,0),2)</f>
        <v>#REF!</v>
      </c>
      <c r="AD672" s="17">
        <f>ROUND(IF(AQ672="7",BH672,0),2)</f>
        <v>0</v>
      </c>
      <c r="AE672" s="17">
        <f>ROUND(IF(AQ672="7",BI672,0),2)</f>
        <v>0</v>
      </c>
      <c r="AF672" s="17">
        <f>ROUND(IF(AQ672="2",BH672,0),2)</f>
        <v>0</v>
      </c>
      <c r="AG672" s="17">
        <f>ROUND(IF(AQ672="2",BI672,0),2)</f>
        <v>0</v>
      </c>
      <c r="AH672" s="17">
        <f>ROUND(IF(AQ672="0",BJ672,0),2)</f>
        <v>0</v>
      </c>
      <c r="AI672" s="14" t="s">
        <v>458</v>
      </c>
      <c r="AJ672" s="17">
        <f>IF(AN672=0,L672,0)</f>
        <v>0</v>
      </c>
      <c r="AK672" s="17" t="e">
        <f>IF(AN672=12,L672,0)</f>
        <v>#REF!</v>
      </c>
      <c r="AL672" s="17">
        <f>IF(AN672=21,L672,0)</f>
        <v>0</v>
      </c>
      <c r="AN672" s="17">
        <v>12</v>
      </c>
      <c r="AO672" s="17" t="e">
        <f>H672*0</f>
        <v>#REF!</v>
      </c>
      <c r="AP672" s="17" t="e">
        <f>H672*(1-0)</f>
        <v>#REF!</v>
      </c>
      <c r="AQ672" s="76" t="s">
        <v>575</v>
      </c>
      <c r="AV672" s="17" t="e">
        <f>ROUND(AW672+AX672,2)</f>
        <v>#REF!</v>
      </c>
      <c r="AW672" s="17" t="e">
        <f>ROUND(G672*AO672,2)</f>
        <v>#REF!</v>
      </c>
      <c r="AX672" s="17" t="e">
        <f>ROUND(G672*AP672,2)</f>
        <v>#REF!</v>
      </c>
      <c r="AY672" s="76" t="s">
        <v>1095</v>
      </c>
      <c r="AZ672" s="76" t="s">
        <v>1214</v>
      </c>
      <c r="BA672" s="14" t="s">
        <v>1178</v>
      </c>
      <c r="BC672" s="17" t="e">
        <f>AW672+AX672</f>
        <v>#REF!</v>
      </c>
      <c r="BD672" s="17" t="e">
        <f>H672/(100-BE672)*100</f>
        <v>#REF!</v>
      </c>
      <c r="BE672" s="17">
        <v>0</v>
      </c>
      <c r="BF672" s="17" t="e">
        <f>O672</f>
        <v>#REF!</v>
      </c>
      <c r="BH672" s="17" t="e">
        <f>G672*AO672</f>
        <v>#REF!</v>
      </c>
      <c r="BI672" s="17" t="e">
        <f>G672*AP672</f>
        <v>#REF!</v>
      </c>
      <c r="BJ672" s="17" t="e">
        <f>G672*H672</f>
        <v>#REF!</v>
      </c>
      <c r="BK672" s="17"/>
      <c r="BL672" s="17">
        <v>95</v>
      </c>
      <c r="BW672" s="17">
        <f>I672</f>
        <v>12</v>
      </c>
      <c r="BX672" s="4" t="s">
        <v>420</v>
      </c>
    </row>
    <row r="673" spans="1:76" x14ac:dyDescent="0.25">
      <c r="A673" s="71" t="s">
        <v>25</v>
      </c>
      <c r="B673" s="13" t="s">
        <v>458</v>
      </c>
      <c r="C673" s="13" t="s">
        <v>421</v>
      </c>
      <c r="D673" s="135" t="s">
        <v>422</v>
      </c>
      <c r="E673" s="136"/>
      <c r="F673" s="72" t="s">
        <v>23</v>
      </c>
      <c r="G673" s="72" t="s">
        <v>23</v>
      </c>
      <c r="H673" s="72" t="s">
        <v>23</v>
      </c>
      <c r="I673" s="72" t="s">
        <v>23</v>
      </c>
      <c r="J673" s="47">
        <f>SUM(J674:J674)</f>
        <v>0</v>
      </c>
      <c r="K673" s="47">
        <f>SUM(K674:K674)</f>
        <v>0</v>
      </c>
      <c r="L673" s="47">
        <f>SUM(L674:L674)</f>
        <v>0</v>
      </c>
      <c r="M673" s="47">
        <f>SUM(M674:M674)</f>
        <v>0</v>
      </c>
      <c r="N673" s="14" t="s">
        <v>25</v>
      </c>
      <c r="O673" s="47">
        <f>SUM(O674:O674)</f>
        <v>3.0255270000000003</v>
      </c>
      <c r="P673" s="73" t="s">
        <v>25</v>
      </c>
      <c r="AI673" s="14" t="s">
        <v>458</v>
      </c>
      <c r="AS673" s="47">
        <f>SUM(AJ674:AJ674)</f>
        <v>0</v>
      </c>
      <c r="AT673" s="47">
        <f>SUM(AK674:AK674)</f>
        <v>0</v>
      </c>
      <c r="AU673" s="47">
        <f>SUM(AL674:AL674)</f>
        <v>0</v>
      </c>
    </row>
    <row r="674" spans="1:76" x14ac:dyDescent="0.25">
      <c r="A674" s="1" t="s">
        <v>1215</v>
      </c>
      <c r="B674" s="2" t="s">
        <v>458</v>
      </c>
      <c r="C674" s="2" t="s">
        <v>423</v>
      </c>
      <c r="D674" s="83" t="s">
        <v>424</v>
      </c>
      <c r="E674" s="84"/>
      <c r="F674" s="2" t="s">
        <v>354</v>
      </c>
      <c r="G674" s="17">
        <f>'Rozpočet - vybrané sloupce'!J578</f>
        <v>28.1</v>
      </c>
      <c r="H674" s="17">
        <f>'Rozpočet - vybrané sloupce'!K578</f>
        <v>0</v>
      </c>
      <c r="I674" s="74">
        <v>12</v>
      </c>
      <c r="J674" s="17">
        <f>ROUND(G674*AO674,2)</f>
        <v>0</v>
      </c>
      <c r="K674" s="17">
        <f>ROUND(G674*AP674,2)</f>
        <v>0</v>
      </c>
      <c r="L674" s="17">
        <f>ROUND(G674*H674,2)</f>
        <v>0</v>
      </c>
      <c r="M674" s="17">
        <f>L674*(1+BW674/100)</f>
        <v>0</v>
      </c>
      <c r="N674" s="17">
        <v>0.10767</v>
      </c>
      <c r="O674" s="17">
        <f>G674*N674</f>
        <v>3.0255270000000003</v>
      </c>
      <c r="P674" s="75" t="s">
        <v>1098</v>
      </c>
      <c r="Z674" s="17">
        <f>ROUND(IF(AQ674="5",BJ674,0),2)</f>
        <v>0</v>
      </c>
      <c r="AB674" s="17">
        <f>ROUND(IF(AQ674="1",BH674,0),2)</f>
        <v>0</v>
      </c>
      <c r="AC674" s="17">
        <f>ROUND(IF(AQ674="1",BI674,0),2)</f>
        <v>0</v>
      </c>
      <c r="AD674" s="17">
        <f>ROUND(IF(AQ674="7",BH674,0),2)</f>
        <v>0</v>
      </c>
      <c r="AE674" s="17">
        <f>ROUND(IF(AQ674="7",BI674,0),2)</f>
        <v>0</v>
      </c>
      <c r="AF674" s="17">
        <f>ROUND(IF(AQ674="2",BH674,0),2)</f>
        <v>0</v>
      </c>
      <c r="AG674" s="17">
        <f>ROUND(IF(AQ674="2",BI674,0),2)</f>
        <v>0</v>
      </c>
      <c r="AH674" s="17">
        <f>ROUND(IF(AQ674="0",BJ674,0),2)</f>
        <v>0</v>
      </c>
      <c r="AI674" s="14" t="s">
        <v>458</v>
      </c>
      <c r="AJ674" s="17">
        <f>IF(AN674=0,L674,0)</f>
        <v>0</v>
      </c>
      <c r="AK674" s="17">
        <f>IF(AN674=12,L674,0)</f>
        <v>0</v>
      </c>
      <c r="AL674" s="17">
        <f>IF(AN674=21,L674,0)</f>
        <v>0</v>
      </c>
      <c r="AN674" s="17">
        <v>12</v>
      </c>
      <c r="AO674" s="17">
        <f>H674*0.197033562</f>
        <v>0</v>
      </c>
      <c r="AP674" s="17">
        <f>H674*(1-0.197033562)</f>
        <v>0</v>
      </c>
      <c r="AQ674" s="76" t="s">
        <v>575</v>
      </c>
      <c r="AV674" s="17">
        <f>ROUND(AW674+AX674,2)</f>
        <v>0</v>
      </c>
      <c r="AW674" s="17">
        <f>ROUND(G674*AO674,2)</f>
        <v>0</v>
      </c>
      <c r="AX674" s="17">
        <f>ROUND(G674*AP674,2)</f>
        <v>0</v>
      </c>
      <c r="AY674" s="76" t="s">
        <v>1099</v>
      </c>
      <c r="AZ674" s="76" t="s">
        <v>1214</v>
      </c>
      <c r="BA674" s="14" t="s">
        <v>1178</v>
      </c>
      <c r="BC674" s="17">
        <f>AW674+AX674</f>
        <v>0</v>
      </c>
      <c r="BD674" s="17">
        <f>H674/(100-BE674)*100</f>
        <v>0</v>
      </c>
      <c r="BE674" s="17">
        <v>0</v>
      </c>
      <c r="BF674" s="17">
        <f>O674</f>
        <v>3.0255270000000003</v>
      </c>
      <c r="BH674" s="17">
        <f>G674*AO674</f>
        <v>0</v>
      </c>
      <c r="BI674" s="17">
        <f>G674*AP674</f>
        <v>0</v>
      </c>
      <c r="BJ674" s="17">
        <f>G674*H674</f>
        <v>0</v>
      </c>
      <c r="BK674" s="17"/>
      <c r="BL674" s="17">
        <v>96</v>
      </c>
      <c r="BW674" s="17">
        <f>I674</f>
        <v>12</v>
      </c>
      <c r="BX674" s="4" t="s">
        <v>424</v>
      </c>
    </row>
    <row r="675" spans="1:76" x14ac:dyDescent="0.25">
      <c r="A675" s="71" t="s">
        <v>25</v>
      </c>
      <c r="B675" s="13" t="s">
        <v>458</v>
      </c>
      <c r="C675" s="13" t="s">
        <v>425</v>
      </c>
      <c r="D675" s="135" t="s">
        <v>426</v>
      </c>
      <c r="E675" s="136"/>
      <c r="F675" s="72" t="s">
        <v>23</v>
      </c>
      <c r="G675" s="72" t="s">
        <v>23</v>
      </c>
      <c r="H675" s="72" t="s">
        <v>23</v>
      </c>
      <c r="I675" s="72" t="s">
        <v>23</v>
      </c>
      <c r="J675" s="47" t="e">
        <f>SUM(J676:J680)</f>
        <v>#REF!</v>
      </c>
      <c r="K675" s="47" t="e">
        <f>SUM(K676:K680)</f>
        <v>#REF!</v>
      </c>
      <c r="L675" s="47" t="e">
        <f>SUM(L676:L680)</f>
        <v>#REF!</v>
      </c>
      <c r="M675" s="47" t="e">
        <f>SUM(M676:M680)</f>
        <v>#REF!</v>
      </c>
      <c r="N675" s="14" t="s">
        <v>25</v>
      </c>
      <c r="O675" s="47" t="e">
        <f>SUM(O676:O680)</f>
        <v>#REF!</v>
      </c>
      <c r="P675" s="73" t="s">
        <v>25</v>
      </c>
      <c r="AI675" s="14" t="s">
        <v>458</v>
      </c>
      <c r="AS675" s="47">
        <f>SUM(AJ676:AJ680)</f>
        <v>0</v>
      </c>
      <c r="AT675" s="47" t="e">
        <f>SUM(AK676:AK680)</f>
        <v>#REF!</v>
      </c>
      <c r="AU675" s="47">
        <f>SUM(AL676:AL680)</f>
        <v>0</v>
      </c>
    </row>
    <row r="676" spans="1:76" x14ac:dyDescent="0.25">
      <c r="A676" s="1" t="s">
        <v>1216</v>
      </c>
      <c r="B676" s="2" t="s">
        <v>458</v>
      </c>
      <c r="C676" s="2" t="s">
        <v>427</v>
      </c>
      <c r="D676" s="83" t="s">
        <v>428</v>
      </c>
      <c r="E676" s="84"/>
      <c r="F676" s="2" t="s">
        <v>35</v>
      </c>
      <c r="G676" s="17">
        <f>'Rozpočet - vybrané sloupce'!J580</f>
        <v>12</v>
      </c>
      <c r="H676" s="17">
        <f>'Rozpočet - vybrané sloupce'!K580</f>
        <v>0</v>
      </c>
      <c r="I676" s="74">
        <v>12</v>
      </c>
      <c r="J676" s="17">
        <f>ROUND(G676*AO676,2)</f>
        <v>0</v>
      </c>
      <c r="K676" s="17">
        <f>ROUND(G676*AP676,2)</f>
        <v>0</v>
      </c>
      <c r="L676" s="17">
        <f>ROUND(G676*H676,2)</f>
        <v>0</v>
      </c>
      <c r="M676" s="17">
        <f>L676*(1+BW676/100)</f>
        <v>0</v>
      </c>
      <c r="N676" s="17">
        <v>0.09</v>
      </c>
      <c r="O676" s="17">
        <f>G676*N676</f>
        <v>1.08</v>
      </c>
      <c r="P676" s="75" t="s">
        <v>576</v>
      </c>
      <c r="Z676" s="17">
        <f>ROUND(IF(AQ676="5",BJ676,0),2)</f>
        <v>0</v>
      </c>
      <c r="AB676" s="17">
        <f>ROUND(IF(AQ676="1",BH676,0),2)</f>
        <v>0</v>
      </c>
      <c r="AC676" s="17">
        <f>ROUND(IF(AQ676="1",BI676,0),2)</f>
        <v>0</v>
      </c>
      <c r="AD676" s="17">
        <f>ROUND(IF(AQ676="7",BH676,0),2)</f>
        <v>0</v>
      </c>
      <c r="AE676" s="17">
        <f>ROUND(IF(AQ676="7",BI676,0),2)</f>
        <v>0</v>
      </c>
      <c r="AF676" s="17">
        <f>ROUND(IF(AQ676="2",BH676,0),2)</f>
        <v>0</v>
      </c>
      <c r="AG676" s="17">
        <f>ROUND(IF(AQ676="2",BI676,0),2)</f>
        <v>0</v>
      </c>
      <c r="AH676" s="17">
        <f>ROUND(IF(AQ676="0",BJ676,0),2)</f>
        <v>0</v>
      </c>
      <c r="AI676" s="14" t="s">
        <v>458</v>
      </c>
      <c r="AJ676" s="17">
        <f>IF(AN676=0,L676,0)</f>
        <v>0</v>
      </c>
      <c r="AK676" s="17">
        <f>IF(AN676=12,L676,0)</f>
        <v>0</v>
      </c>
      <c r="AL676" s="17">
        <f>IF(AN676=21,L676,0)</f>
        <v>0</v>
      </c>
      <c r="AN676" s="17">
        <v>12</v>
      </c>
      <c r="AO676" s="17">
        <f>H676*0</f>
        <v>0</v>
      </c>
      <c r="AP676" s="17">
        <f>H676*(1-0)</f>
        <v>0</v>
      </c>
      <c r="AQ676" s="76" t="s">
        <v>575</v>
      </c>
      <c r="AV676" s="17">
        <f>ROUND(AW676+AX676,2)</f>
        <v>0</v>
      </c>
      <c r="AW676" s="17">
        <f>ROUND(G676*AO676,2)</f>
        <v>0</v>
      </c>
      <c r="AX676" s="17">
        <f>ROUND(G676*AP676,2)</f>
        <v>0</v>
      </c>
      <c r="AY676" s="76" t="s">
        <v>1101</v>
      </c>
      <c r="AZ676" s="76" t="s">
        <v>1214</v>
      </c>
      <c r="BA676" s="14" t="s">
        <v>1178</v>
      </c>
      <c r="BC676" s="17">
        <f>AW676+AX676</f>
        <v>0</v>
      </c>
      <c r="BD676" s="17">
        <f>H676/(100-BE676)*100</f>
        <v>0</v>
      </c>
      <c r="BE676" s="17">
        <v>0</v>
      </c>
      <c r="BF676" s="17">
        <f>O676</f>
        <v>1.08</v>
      </c>
      <c r="BH676" s="17">
        <f>G676*AO676</f>
        <v>0</v>
      </c>
      <c r="BI676" s="17">
        <f>G676*AP676</f>
        <v>0</v>
      </c>
      <c r="BJ676" s="17">
        <f>G676*H676</f>
        <v>0</v>
      </c>
      <c r="BK676" s="17"/>
      <c r="BL676" s="17">
        <v>97</v>
      </c>
      <c r="BW676" s="17">
        <f>I676</f>
        <v>12</v>
      </c>
      <c r="BX676" s="4" t="s">
        <v>428</v>
      </c>
    </row>
    <row r="677" spans="1:76" x14ac:dyDescent="0.25">
      <c r="A677" s="1" t="s">
        <v>1217</v>
      </c>
      <c r="B677" s="2" t="s">
        <v>458</v>
      </c>
      <c r="C677" s="2" t="s">
        <v>429</v>
      </c>
      <c r="D677" s="83" t="s">
        <v>430</v>
      </c>
      <c r="E677" s="84"/>
      <c r="F677" s="2" t="s">
        <v>31</v>
      </c>
      <c r="G677" s="17">
        <f>'Rozpočet - vybrané sloupce'!J581</f>
        <v>4.8</v>
      </c>
      <c r="H677" s="17">
        <f>'Rozpočet - vybrané sloupce'!K581</f>
        <v>0</v>
      </c>
      <c r="I677" s="74">
        <v>12</v>
      </c>
      <c r="J677" s="17">
        <f>ROUND(G677*AO677,2)</f>
        <v>0</v>
      </c>
      <c r="K677" s="17">
        <f>ROUND(G677*AP677,2)</f>
        <v>0</v>
      </c>
      <c r="L677" s="17">
        <f>ROUND(G677*H677,2)</f>
        <v>0</v>
      </c>
      <c r="M677" s="17">
        <f>L677*(1+BW677/100)</f>
        <v>0</v>
      </c>
      <c r="N677" s="17">
        <v>2.1239999999999998E-2</v>
      </c>
      <c r="O677" s="17">
        <f>G677*N677</f>
        <v>0.10195199999999999</v>
      </c>
      <c r="P677" s="75" t="s">
        <v>576</v>
      </c>
      <c r="Z677" s="17">
        <f>ROUND(IF(AQ677="5",BJ677,0),2)</f>
        <v>0</v>
      </c>
      <c r="AB677" s="17">
        <f>ROUND(IF(AQ677="1",BH677,0),2)</f>
        <v>0</v>
      </c>
      <c r="AC677" s="17">
        <f>ROUND(IF(AQ677="1",BI677,0),2)</f>
        <v>0</v>
      </c>
      <c r="AD677" s="17">
        <f>ROUND(IF(AQ677="7",BH677,0),2)</f>
        <v>0</v>
      </c>
      <c r="AE677" s="17">
        <f>ROUND(IF(AQ677="7",BI677,0),2)</f>
        <v>0</v>
      </c>
      <c r="AF677" s="17">
        <f>ROUND(IF(AQ677="2",BH677,0),2)</f>
        <v>0</v>
      </c>
      <c r="AG677" s="17">
        <f>ROUND(IF(AQ677="2",BI677,0),2)</f>
        <v>0</v>
      </c>
      <c r="AH677" s="17">
        <f>ROUND(IF(AQ677="0",BJ677,0),2)</f>
        <v>0</v>
      </c>
      <c r="AI677" s="14" t="s">
        <v>458</v>
      </c>
      <c r="AJ677" s="17">
        <f>IF(AN677=0,L677,0)</f>
        <v>0</v>
      </c>
      <c r="AK677" s="17">
        <f>IF(AN677=12,L677,0)</f>
        <v>0</v>
      </c>
      <c r="AL677" s="17">
        <f>IF(AN677=21,L677,0)</f>
        <v>0</v>
      </c>
      <c r="AN677" s="17">
        <v>12</v>
      </c>
      <c r="AO677" s="17">
        <f>H677*0.298441161</f>
        <v>0</v>
      </c>
      <c r="AP677" s="17">
        <f>H677*(1-0.298441161)</f>
        <v>0</v>
      </c>
      <c r="AQ677" s="76" t="s">
        <v>575</v>
      </c>
      <c r="AV677" s="17">
        <f>ROUND(AW677+AX677,2)</f>
        <v>0</v>
      </c>
      <c r="AW677" s="17">
        <f>ROUND(G677*AO677,2)</f>
        <v>0</v>
      </c>
      <c r="AX677" s="17">
        <f>ROUND(G677*AP677,2)</f>
        <v>0</v>
      </c>
      <c r="AY677" s="76" t="s">
        <v>1101</v>
      </c>
      <c r="AZ677" s="76" t="s">
        <v>1214</v>
      </c>
      <c r="BA677" s="14" t="s">
        <v>1178</v>
      </c>
      <c r="BC677" s="17">
        <f>AW677+AX677</f>
        <v>0</v>
      </c>
      <c r="BD677" s="17">
        <f>H677/(100-BE677)*100</f>
        <v>0</v>
      </c>
      <c r="BE677" s="17">
        <v>0</v>
      </c>
      <c r="BF677" s="17">
        <f>O677</f>
        <v>0.10195199999999999</v>
      </c>
      <c r="BH677" s="17">
        <f>G677*AO677</f>
        <v>0</v>
      </c>
      <c r="BI677" s="17">
        <f>G677*AP677</f>
        <v>0</v>
      </c>
      <c r="BJ677" s="17">
        <f>G677*H677</f>
        <v>0</v>
      </c>
      <c r="BK677" s="17"/>
      <c r="BL677" s="17">
        <v>97</v>
      </c>
      <c r="BW677" s="17">
        <f>I677</f>
        <v>12</v>
      </c>
      <c r="BX677" s="4" t="s">
        <v>430</v>
      </c>
    </row>
    <row r="678" spans="1:76" x14ac:dyDescent="0.25">
      <c r="A678" s="1" t="s">
        <v>1218</v>
      </c>
      <c r="B678" s="2" t="s">
        <v>458</v>
      </c>
      <c r="C678" s="2" t="s">
        <v>431</v>
      </c>
      <c r="D678" s="83" t="s">
        <v>432</v>
      </c>
      <c r="E678" s="84"/>
      <c r="F678" s="2" t="s">
        <v>31</v>
      </c>
      <c r="G678" s="17" t="e">
        <f>'Rozpočet - vybrané sloupce'!#REF!</f>
        <v>#REF!</v>
      </c>
      <c r="H678" s="17" t="e">
        <f>'Rozpočet - vybrané sloupce'!#REF!</f>
        <v>#REF!</v>
      </c>
      <c r="I678" s="74">
        <v>12</v>
      </c>
      <c r="J678" s="17" t="e">
        <f>ROUND(G678*AO678,2)</f>
        <v>#REF!</v>
      </c>
      <c r="K678" s="17" t="e">
        <f>ROUND(G678*AP678,2)</f>
        <v>#REF!</v>
      </c>
      <c r="L678" s="17" t="e">
        <f>ROUND(G678*H678,2)</f>
        <v>#REF!</v>
      </c>
      <c r="M678" s="17" t="e">
        <f>L678*(1+BW678/100)</f>
        <v>#REF!</v>
      </c>
      <c r="N678" s="17">
        <v>1.0000000000000001E-5</v>
      </c>
      <c r="O678" s="17" t="e">
        <f>G678*N678</f>
        <v>#REF!</v>
      </c>
      <c r="P678" s="75" t="s">
        <v>576</v>
      </c>
      <c r="Z678" s="17">
        <f>ROUND(IF(AQ678="5",BJ678,0),2)</f>
        <v>0</v>
      </c>
      <c r="AB678" s="17" t="e">
        <f>ROUND(IF(AQ678="1",BH678,0),2)</f>
        <v>#REF!</v>
      </c>
      <c r="AC678" s="17" t="e">
        <f>ROUND(IF(AQ678="1",BI678,0),2)</f>
        <v>#REF!</v>
      </c>
      <c r="AD678" s="17">
        <f>ROUND(IF(AQ678="7",BH678,0),2)</f>
        <v>0</v>
      </c>
      <c r="AE678" s="17">
        <f>ROUND(IF(AQ678="7",BI678,0),2)</f>
        <v>0</v>
      </c>
      <c r="AF678" s="17">
        <f>ROUND(IF(AQ678="2",BH678,0),2)</f>
        <v>0</v>
      </c>
      <c r="AG678" s="17">
        <f>ROUND(IF(AQ678="2",BI678,0),2)</f>
        <v>0</v>
      </c>
      <c r="AH678" s="17">
        <f>ROUND(IF(AQ678="0",BJ678,0),2)</f>
        <v>0</v>
      </c>
      <c r="AI678" s="14" t="s">
        <v>458</v>
      </c>
      <c r="AJ678" s="17">
        <f>IF(AN678=0,L678,0)</f>
        <v>0</v>
      </c>
      <c r="AK678" s="17" t="e">
        <f>IF(AN678=12,L678,0)</f>
        <v>#REF!</v>
      </c>
      <c r="AL678" s="17">
        <f>IF(AN678=21,L678,0)</f>
        <v>0</v>
      </c>
      <c r="AN678" s="17">
        <v>12</v>
      </c>
      <c r="AO678" s="17" t="e">
        <f>H678*0.197158338</f>
        <v>#REF!</v>
      </c>
      <c r="AP678" s="17" t="e">
        <f>H678*(1-0.197158338)</f>
        <v>#REF!</v>
      </c>
      <c r="AQ678" s="76" t="s">
        <v>575</v>
      </c>
      <c r="AV678" s="17" t="e">
        <f>ROUND(AW678+AX678,2)</f>
        <v>#REF!</v>
      </c>
      <c r="AW678" s="17" t="e">
        <f>ROUND(G678*AO678,2)</f>
        <v>#REF!</v>
      </c>
      <c r="AX678" s="17" t="e">
        <f>ROUND(G678*AP678,2)</f>
        <v>#REF!</v>
      </c>
      <c r="AY678" s="76" t="s">
        <v>1101</v>
      </c>
      <c r="AZ678" s="76" t="s">
        <v>1214</v>
      </c>
      <c r="BA678" s="14" t="s">
        <v>1178</v>
      </c>
      <c r="BC678" s="17" t="e">
        <f>AW678+AX678</f>
        <v>#REF!</v>
      </c>
      <c r="BD678" s="17" t="e">
        <f>H678/(100-BE678)*100</f>
        <v>#REF!</v>
      </c>
      <c r="BE678" s="17">
        <v>0</v>
      </c>
      <c r="BF678" s="17" t="e">
        <f>O678</f>
        <v>#REF!</v>
      </c>
      <c r="BH678" s="17" t="e">
        <f>G678*AO678</f>
        <v>#REF!</v>
      </c>
      <c r="BI678" s="17" t="e">
        <f>G678*AP678</f>
        <v>#REF!</v>
      </c>
      <c r="BJ678" s="17" t="e">
        <f>G678*H678</f>
        <v>#REF!</v>
      </c>
      <c r="BK678" s="17"/>
      <c r="BL678" s="17">
        <v>97</v>
      </c>
      <c r="BW678" s="17">
        <f>I678</f>
        <v>12</v>
      </c>
      <c r="BX678" s="4" t="s">
        <v>432</v>
      </c>
    </row>
    <row r="679" spans="1:76" x14ac:dyDescent="0.25">
      <c r="A679" s="1" t="s">
        <v>1219</v>
      </c>
      <c r="B679" s="2" t="s">
        <v>458</v>
      </c>
      <c r="C679" s="2" t="s">
        <v>433</v>
      </c>
      <c r="D679" s="83" t="s">
        <v>434</v>
      </c>
      <c r="E679" s="84"/>
      <c r="F679" s="2" t="s">
        <v>31</v>
      </c>
      <c r="G679" s="17" t="e">
        <f>'Rozpočet - vybrané sloupce'!#REF!</f>
        <v>#REF!</v>
      </c>
      <c r="H679" s="17" t="e">
        <f>'Rozpočet - vybrané sloupce'!#REF!</f>
        <v>#REF!</v>
      </c>
      <c r="I679" s="74">
        <v>12</v>
      </c>
      <c r="J679" s="17" t="e">
        <f>ROUND(G679*AO679,2)</f>
        <v>#REF!</v>
      </c>
      <c r="K679" s="17" t="e">
        <f>ROUND(G679*AP679,2)</f>
        <v>#REF!</v>
      </c>
      <c r="L679" s="17" t="e">
        <f>ROUND(G679*H679,2)</f>
        <v>#REF!</v>
      </c>
      <c r="M679" s="17" t="e">
        <f>L679*(1+BW679/100)</f>
        <v>#REF!</v>
      </c>
      <c r="N679" s="17">
        <v>0</v>
      </c>
      <c r="O679" s="17" t="e">
        <f>G679*N679</f>
        <v>#REF!</v>
      </c>
      <c r="P679" s="75" t="s">
        <v>576</v>
      </c>
      <c r="Z679" s="17">
        <f>ROUND(IF(AQ679="5",BJ679,0),2)</f>
        <v>0</v>
      </c>
      <c r="AB679" s="17" t="e">
        <f>ROUND(IF(AQ679="1",BH679,0),2)</f>
        <v>#REF!</v>
      </c>
      <c r="AC679" s="17" t="e">
        <f>ROUND(IF(AQ679="1",BI679,0),2)</f>
        <v>#REF!</v>
      </c>
      <c r="AD679" s="17">
        <f>ROUND(IF(AQ679="7",BH679,0),2)</f>
        <v>0</v>
      </c>
      <c r="AE679" s="17">
        <f>ROUND(IF(AQ679="7",BI679,0),2)</f>
        <v>0</v>
      </c>
      <c r="AF679" s="17">
        <f>ROUND(IF(AQ679="2",BH679,0),2)</f>
        <v>0</v>
      </c>
      <c r="AG679" s="17">
        <f>ROUND(IF(AQ679="2",BI679,0),2)</f>
        <v>0</v>
      </c>
      <c r="AH679" s="17">
        <f>ROUND(IF(AQ679="0",BJ679,0),2)</f>
        <v>0</v>
      </c>
      <c r="AI679" s="14" t="s">
        <v>458</v>
      </c>
      <c r="AJ679" s="17">
        <f>IF(AN679=0,L679,0)</f>
        <v>0</v>
      </c>
      <c r="AK679" s="17" t="e">
        <f>IF(AN679=12,L679,0)</f>
        <v>#REF!</v>
      </c>
      <c r="AL679" s="17">
        <f>IF(AN679=21,L679,0)</f>
        <v>0</v>
      </c>
      <c r="AN679" s="17">
        <v>12</v>
      </c>
      <c r="AO679" s="17" t="e">
        <f>H679*0</f>
        <v>#REF!</v>
      </c>
      <c r="AP679" s="17" t="e">
        <f>H679*(1-0)</f>
        <v>#REF!</v>
      </c>
      <c r="AQ679" s="76" t="s">
        <v>575</v>
      </c>
      <c r="AV679" s="17" t="e">
        <f>ROUND(AW679+AX679,2)</f>
        <v>#REF!</v>
      </c>
      <c r="AW679" s="17" t="e">
        <f>ROUND(G679*AO679,2)</f>
        <v>#REF!</v>
      </c>
      <c r="AX679" s="17" t="e">
        <f>ROUND(G679*AP679,2)</f>
        <v>#REF!</v>
      </c>
      <c r="AY679" s="76" t="s">
        <v>1101</v>
      </c>
      <c r="AZ679" s="76" t="s">
        <v>1214</v>
      </c>
      <c r="BA679" s="14" t="s">
        <v>1178</v>
      </c>
      <c r="BC679" s="17" t="e">
        <f>AW679+AX679</f>
        <v>#REF!</v>
      </c>
      <c r="BD679" s="17" t="e">
        <f>H679/(100-BE679)*100</f>
        <v>#REF!</v>
      </c>
      <c r="BE679" s="17">
        <v>0</v>
      </c>
      <c r="BF679" s="17" t="e">
        <f>O679</f>
        <v>#REF!</v>
      </c>
      <c r="BH679" s="17" t="e">
        <f>G679*AO679</f>
        <v>#REF!</v>
      </c>
      <c r="BI679" s="17" t="e">
        <f>G679*AP679</f>
        <v>#REF!</v>
      </c>
      <c r="BJ679" s="17" t="e">
        <f>G679*H679</f>
        <v>#REF!</v>
      </c>
      <c r="BK679" s="17"/>
      <c r="BL679" s="17">
        <v>97</v>
      </c>
      <c r="BW679" s="17">
        <f>I679</f>
        <v>12</v>
      </c>
      <c r="BX679" s="4" t="s">
        <v>434</v>
      </c>
    </row>
    <row r="680" spans="1:76" x14ac:dyDescent="0.25">
      <c r="A680" s="1" t="s">
        <v>1220</v>
      </c>
      <c r="B680" s="2" t="s">
        <v>458</v>
      </c>
      <c r="C680" s="2" t="s">
        <v>435</v>
      </c>
      <c r="D680" s="83" t="s">
        <v>436</v>
      </c>
      <c r="E680" s="84"/>
      <c r="F680" s="2" t="s">
        <v>31</v>
      </c>
      <c r="G680" s="17" t="e">
        <f>'Rozpočet - vybrané sloupce'!#REF!</f>
        <v>#REF!</v>
      </c>
      <c r="H680" s="17" t="e">
        <f>'Rozpočet - vybrané sloupce'!#REF!</f>
        <v>#REF!</v>
      </c>
      <c r="I680" s="74">
        <v>12</v>
      </c>
      <c r="J680" s="17" t="e">
        <f>ROUND(G680*AO680,2)</f>
        <v>#REF!</v>
      </c>
      <c r="K680" s="17" t="e">
        <f>ROUND(G680*AP680,2)</f>
        <v>#REF!</v>
      </c>
      <c r="L680" s="17" t="e">
        <f>ROUND(G680*H680,2)</f>
        <v>#REF!</v>
      </c>
      <c r="M680" s="17" t="e">
        <f>L680*(1+BW680/100)</f>
        <v>#REF!</v>
      </c>
      <c r="N680" s="17">
        <v>1.34E-3</v>
      </c>
      <c r="O680" s="17" t="e">
        <f>G680*N680</f>
        <v>#REF!</v>
      </c>
      <c r="P680" s="75" t="s">
        <v>576</v>
      </c>
      <c r="Z680" s="17">
        <f>ROUND(IF(AQ680="5",BJ680,0),2)</f>
        <v>0</v>
      </c>
      <c r="AB680" s="17" t="e">
        <f>ROUND(IF(AQ680="1",BH680,0),2)</f>
        <v>#REF!</v>
      </c>
      <c r="AC680" s="17" t="e">
        <f>ROUND(IF(AQ680="1",BI680,0),2)</f>
        <v>#REF!</v>
      </c>
      <c r="AD680" s="17">
        <f>ROUND(IF(AQ680="7",BH680,0),2)</f>
        <v>0</v>
      </c>
      <c r="AE680" s="17">
        <f>ROUND(IF(AQ680="7",BI680,0),2)</f>
        <v>0</v>
      </c>
      <c r="AF680" s="17">
        <f>ROUND(IF(AQ680="2",BH680,0),2)</f>
        <v>0</v>
      </c>
      <c r="AG680" s="17">
        <f>ROUND(IF(AQ680="2",BI680,0),2)</f>
        <v>0</v>
      </c>
      <c r="AH680" s="17">
        <f>ROUND(IF(AQ680="0",BJ680,0),2)</f>
        <v>0</v>
      </c>
      <c r="AI680" s="14" t="s">
        <v>458</v>
      </c>
      <c r="AJ680" s="17">
        <f>IF(AN680=0,L680,0)</f>
        <v>0</v>
      </c>
      <c r="AK680" s="17" t="e">
        <f>IF(AN680=12,L680,0)</f>
        <v>#REF!</v>
      </c>
      <c r="AL680" s="17">
        <f>IF(AN680=21,L680,0)</f>
        <v>0</v>
      </c>
      <c r="AN680" s="17">
        <v>12</v>
      </c>
      <c r="AO680" s="17" t="e">
        <f>H680*0.087136891</f>
        <v>#REF!</v>
      </c>
      <c r="AP680" s="17" t="e">
        <f>H680*(1-0.087136891)</f>
        <v>#REF!</v>
      </c>
      <c r="AQ680" s="76" t="s">
        <v>575</v>
      </c>
      <c r="AV680" s="17" t="e">
        <f>ROUND(AW680+AX680,2)</f>
        <v>#REF!</v>
      </c>
      <c r="AW680" s="17" t="e">
        <f>ROUND(G680*AO680,2)</f>
        <v>#REF!</v>
      </c>
      <c r="AX680" s="17" t="e">
        <f>ROUND(G680*AP680,2)</f>
        <v>#REF!</v>
      </c>
      <c r="AY680" s="76" t="s">
        <v>1101</v>
      </c>
      <c r="AZ680" s="76" t="s">
        <v>1214</v>
      </c>
      <c r="BA680" s="14" t="s">
        <v>1178</v>
      </c>
      <c r="BC680" s="17" t="e">
        <f>AW680+AX680</f>
        <v>#REF!</v>
      </c>
      <c r="BD680" s="17" t="e">
        <f>H680/(100-BE680)*100</f>
        <v>#REF!</v>
      </c>
      <c r="BE680" s="17">
        <v>0</v>
      </c>
      <c r="BF680" s="17" t="e">
        <f>O680</f>
        <v>#REF!</v>
      </c>
      <c r="BH680" s="17" t="e">
        <f>G680*AO680</f>
        <v>#REF!</v>
      </c>
      <c r="BI680" s="17" t="e">
        <f>G680*AP680</f>
        <v>#REF!</v>
      </c>
      <c r="BJ680" s="17" t="e">
        <f>G680*H680</f>
        <v>#REF!</v>
      </c>
      <c r="BK680" s="17"/>
      <c r="BL680" s="17">
        <v>97</v>
      </c>
      <c r="BW680" s="17">
        <f>I680</f>
        <v>12</v>
      </c>
      <c r="BX680" s="4" t="s">
        <v>436</v>
      </c>
    </row>
    <row r="681" spans="1:76" x14ac:dyDescent="0.25">
      <c r="A681" s="71" t="s">
        <v>25</v>
      </c>
      <c r="B681" s="13" t="s">
        <v>458</v>
      </c>
      <c r="C681" s="13" t="s">
        <v>437</v>
      </c>
      <c r="D681" s="135" t="s">
        <v>438</v>
      </c>
      <c r="E681" s="136"/>
      <c r="F681" s="72" t="s">
        <v>23</v>
      </c>
      <c r="G681" s="72" t="s">
        <v>23</v>
      </c>
      <c r="H681" s="72" t="s">
        <v>23</v>
      </c>
      <c r="I681" s="72" t="s">
        <v>23</v>
      </c>
      <c r="J681" s="47">
        <f>SUM(J682:J689)</f>
        <v>0</v>
      </c>
      <c r="K681" s="47">
        <f>SUM(K682:K689)</f>
        <v>0</v>
      </c>
      <c r="L681" s="47">
        <f>SUM(L682:L689)</f>
        <v>0</v>
      </c>
      <c r="M681" s="47">
        <f>SUM(M682:M689)</f>
        <v>0</v>
      </c>
      <c r="N681" s="14" t="s">
        <v>25</v>
      </c>
      <c r="O681" s="47">
        <f>SUM(O682:O689)</f>
        <v>0</v>
      </c>
      <c r="P681" s="73" t="s">
        <v>25</v>
      </c>
      <c r="AI681" s="14" t="s">
        <v>458</v>
      </c>
      <c r="AS681" s="47">
        <f>SUM(AJ682:AJ689)</f>
        <v>0</v>
      </c>
      <c r="AT681" s="47">
        <f>SUM(AK682:AK689)</f>
        <v>0</v>
      </c>
      <c r="AU681" s="47">
        <f>SUM(AL682:AL689)</f>
        <v>0</v>
      </c>
    </row>
    <row r="682" spans="1:76" x14ac:dyDescent="0.25">
      <c r="A682" s="1" t="s">
        <v>1221</v>
      </c>
      <c r="B682" s="2" t="s">
        <v>458</v>
      </c>
      <c r="C682" s="2" t="s">
        <v>439</v>
      </c>
      <c r="D682" s="83" t="s">
        <v>440</v>
      </c>
      <c r="E682" s="84"/>
      <c r="F682" s="2" t="s">
        <v>441</v>
      </c>
      <c r="G682" s="17">
        <f>'Rozpočet - vybrané sloupce'!J583</f>
        <v>30</v>
      </c>
      <c r="H682" s="17">
        <f>'Rozpočet - vybrané sloupce'!K583</f>
        <v>0</v>
      </c>
      <c r="I682" s="74">
        <v>12</v>
      </c>
      <c r="J682" s="17">
        <f t="shared" ref="J682:J689" si="790">ROUND(G682*AO682,2)</f>
        <v>0</v>
      </c>
      <c r="K682" s="17">
        <f t="shared" ref="K682:K689" si="791">ROUND(G682*AP682,2)</f>
        <v>0</v>
      </c>
      <c r="L682" s="17">
        <f t="shared" ref="L682:L689" si="792">ROUND(G682*H682,2)</f>
        <v>0</v>
      </c>
      <c r="M682" s="17">
        <f t="shared" ref="M682:M689" si="793">L682*(1+BW682/100)</f>
        <v>0</v>
      </c>
      <c r="N682" s="17">
        <v>0</v>
      </c>
      <c r="O682" s="17">
        <f t="shared" ref="O682:O689" si="794">G682*N682</f>
        <v>0</v>
      </c>
      <c r="P682" s="75" t="s">
        <v>576</v>
      </c>
      <c r="Z682" s="17">
        <f t="shared" ref="Z682:Z689" si="795">ROUND(IF(AQ682="5",BJ682,0),2)</f>
        <v>0</v>
      </c>
      <c r="AB682" s="17">
        <f t="shared" ref="AB682:AB689" si="796">ROUND(IF(AQ682="1",BH682,0),2)</f>
        <v>0</v>
      </c>
      <c r="AC682" s="17">
        <f t="shared" ref="AC682:AC689" si="797">ROUND(IF(AQ682="1",BI682,0),2)</f>
        <v>0</v>
      </c>
      <c r="AD682" s="17">
        <f t="shared" ref="AD682:AD689" si="798">ROUND(IF(AQ682="7",BH682,0),2)</f>
        <v>0</v>
      </c>
      <c r="AE682" s="17">
        <f t="shared" ref="AE682:AE689" si="799">ROUND(IF(AQ682="7",BI682,0),2)</f>
        <v>0</v>
      </c>
      <c r="AF682" s="17">
        <f t="shared" ref="AF682:AF689" si="800">ROUND(IF(AQ682="2",BH682,0),2)</f>
        <v>0</v>
      </c>
      <c r="AG682" s="17">
        <f t="shared" ref="AG682:AG689" si="801">ROUND(IF(AQ682="2",BI682,0),2)</f>
        <v>0</v>
      </c>
      <c r="AH682" s="17">
        <f t="shared" ref="AH682:AH689" si="802">ROUND(IF(AQ682="0",BJ682,0),2)</f>
        <v>0</v>
      </c>
      <c r="AI682" s="14" t="s">
        <v>458</v>
      </c>
      <c r="AJ682" s="17">
        <f t="shared" ref="AJ682:AJ689" si="803">IF(AN682=0,L682,0)</f>
        <v>0</v>
      </c>
      <c r="AK682" s="17">
        <f t="shared" ref="AK682:AK689" si="804">IF(AN682=12,L682,0)</f>
        <v>0</v>
      </c>
      <c r="AL682" s="17">
        <f t="shared" ref="AL682:AL689" si="805">IF(AN682=21,L682,0)</f>
        <v>0</v>
      </c>
      <c r="AN682" s="17">
        <v>12</v>
      </c>
      <c r="AO682" s="17">
        <f t="shared" ref="AO682:AO689" si="806">H682*0</f>
        <v>0</v>
      </c>
      <c r="AP682" s="17">
        <f t="shared" ref="AP682:AP689" si="807">H682*(1-0)</f>
        <v>0</v>
      </c>
      <c r="AQ682" s="76" t="s">
        <v>575</v>
      </c>
      <c r="AV682" s="17">
        <f t="shared" ref="AV682:AV689" si="808">ROUND(AW682+AX682,2)</f>
        <v>0</v>
      </c>
      <c r="AW682" s="17">
        <f t="shared" ref="AW682:AW689" si="809">ROUND(G682*AO682,2)</f>
        <v>0</v>
      </c>
      <c r="AX682" s="17">
        <f t="shared" ref="AX682:AX689" si="810">ROUND(G682*AP682,2)</f>
        <v>0</v>
      </c>
      <c r="AY682" s="76" t="s">
        <v>1111</v>
      </c>
      <c r="AZ682" s="76" t="s">
        <v>1214</v>
      </c>
      <c r="BA682" s="14" t="s">
        <v>1178</v>
      </c>
      <c r="BC682" s="17">
        <f t="shared" ref="BC682:BC689" si="811">AW682+AX682</f>
        <v>0</v>
      </c>
      <c r="BD682" s="17">
        <f t="shared" ref="BD682:BD689" si="812">H682/(100-BE682)*100</f>
        <v>0</v>
      </c>
      <c r="BE682" s="17">
        <v>0</v>
      </c>
      <c r="BF682" s="17">
        <f t="shared" ref="BF682:BF689" si="813">O682</f>
        <v>0</v>
      </c>
      <c r="BH682" s="17">
        <f t="shared" ref="BH682:BH689" si="814">G682*AO682</f>
        <v>0</v>
      </c>
      <c r="BI682" s="17">
        <f t="shared" ref="BI682:BI689" si="815">G682*AP682</f>
        <v>0</v>
      </c>
      <c r="BJ682" s="17">
        <f t="shared" ref="BJ682:BJ689" si="816">G682*H682</f>
        <v>0</v>
      </c>
      <c r="BK682" s="17"/>
      <c r="BL682" s="17"/>
      <c r="BW682" s="17">
        <f t="shared" ref="BW682:BW689" si="817">I682</f>
        <v>12</v>
      </c>
      <c r="BX682" s="4" t="s">
        <v>440</v>
      </c>
    </row>
    <row r="683" spans="1:76" x14ac:dyDescent="0.25">
      <c r="A683" s="1" t="s">
        <v>1222</v>
      </c>
      <c r="B683" s="2" t="s">
        <v>458</v>
      </c>
      <c r="C683" s="2" t="s">
        <v>442</v>
      </c>
      <c r="D683" s="83" t="s">
        <v>443</v>
      </c>
      <c r="E683" s="84"/>
      <c r="F683" s="2" t="s">
        <v>88</v>
      </c>
      <c r="G683" s="17">
        <f>'Rozpočet - vybrané sloupce'!J584</f>
        <v>4.5</v>
      </c>
      <c r="H683" s="17">
        <f>'Rozpočet - vybrané sloupce'!K584</f>
        <v>0</v>
      </c>
      <c r="I683" s="74">
        <v>12</v>
      </c>
      <c r="J683" s="17">
        <f t="shared" si="790"/>
        <v>0</v>
      </c>
      <c r="K683" s="17">
        <f t="shared" si="791"/>
        <v>0</v>
      </c>
      <c r="L683" s="17">
        <f t="shared" si="792"/>
        <v>0</v>
      </c>
      <c r="M683" s="17">
        <f t="shared" si="793"/>
        <v>0</v>
      </c>
      <c r="N683" s="17">
        <v>0</v>
      </c>
      <c r="O683" s="17">
        <f t="shared" si="794"/>
        <v>0</v>
      </c>
      <c r="P683" s="75" t="s">
        <v>576</v>
      </c>
      <c r="Z683" s="17">
        <f t="shared" si="795"/>
        <v>0</v>
      </c>
      <c r="AB683" s="17">
        <f t="shared" si="796"/>
        <v>0</v>
      </c>
      <c r="AC683" s="17">
        <f t="shared" si="797"/>
        <v>0</v>
      </c>
      <c r="AD683" s="17">
        <f t="shared" si="798"/>
        <v>0</v>
      </c>
      <c r="AE683" s="17">
        <f t="shared" si="799"/>
        <v>0</v>
      </c>
      <c r="AF683" s="17">
        <f t="shared" si="800"/>
        <v>0</v>
      </c>
      <c r="AG683" s="17">
        <f t="shared" si="801"/>
        <v>0</v>
      </c>
      <c r="AH683" s="17">
        <f t="shared" si="802"/>
        <v>0</v>
      </c>
      <c r="AI683" s="14" t="s">
        <v>458</v>
      </c>
      <c r="AJ683" s="17">
        <f t="shared" si="803"/>
        <v>0</v>
      </c>
      <c r="AK683" s="17">
        <f t="shared" si="804"/>
        <v>0</v>
      </c>
      <c r="AL683" s="17">
        <f t="shared" si="805"/>
        <v>0</v>
      </c>
      <c r="AN683" s="17">
        <v>12</v>
      </c>
      <c r="AO683" s="17">
        <f t="shared" si="806"/>
        <v>0</v>
      </c>
      <c r="AP683" s="17">
        <f t="shared" si="807"/>
        <v>0</v>
      </c>
      <c r="AQ683" s="76" t="s">
        <v>585</v>
      </c>
      <c r="AV683" s="17">
        <f t="shared" si="808"/>
        <v>0</v>
      </c>
      <c r="AW683" s="17">
        <f t="shared" si="809"/>
        <v>0</v>
      </c>
      <c r="AX683" s="17">
        <f t="shared" si="810"/>
        <v>0</v>
      </c>
      <c r="AY683" s="76" t="s">
        <v>1111</v>
      </c>
      <c r="AZ683" s="76" t="s">
        <v>1214</v>
      </c>
      <c r="BA683" s="14" t="s">
        <v>1178</v>
      </c>
      <c r="BC683" s="17">
        <f t="shared" si="811"/>
        <v>0</v>
      </c>
      <c r="BD683" s="17">
        <f t="shared" si="812"/>
        <v>0</v>
      </c>
      <c r="BE683" s="17">
        <v>0</v>
      </c>
      <c r="BF683" s="17">
        <f t="shared" si="813"/>
        <v>0</v>
      </c>
      <c r="BH683" s="17">
        <f t="shared" si="814"/>
        <v>0</v>
      </c>
      <c r="BI683" s="17">
        <f t="shared" si="815"/>
        <v>0</v>
      </c>
      <c r="BJ683" s="17">
        <f t="shared" si="816"/>
        <v>0</v>
      </c>
      <c r="BK683" s="17"/>
      <c r="BL683" s="17"/>
      <c r="BW683" s="17">
        <f t="shared" si="817"/>
        <v>12</v>
      </c>
      <c r="BX683" s="4" t="s">
        <v>443</v>
      </c>
    </row>
    <row r="684" spans="1:76" x14ac:dyDescent="0.25">
      <c r="A684" s="1" t="s">
        <v>1223</v>
      </c>
      <c r="B684" s="2" t="s">
        <v>458</v>
      </c>
      <c r="C684" s="2" t="s">
        <v>444</v>
      </c>
      <c r="D684" s="83" t="s">
        <v>445</v>
      </c>
      <c r="E684" s="84"/>
      <c r="F684" s="2" t="s">
        <v>88</v>
      </c>
      <c r="G684" s="17">
        <f>'Rozpočet - vybrané sloupce'!J585</f>
        <v>4.5</v>
      </c>
      <c r="H684" s="17">
        <f>'Rozpočet - vybrané sloupce'!K585</f>
        <v>0</v>
      </c>
      <c r="I684" s="74">
        <v>12</v>
      </c>
      <c r="J684" s="17">
        <f t="shared" si="790"/>
        <v>0</v>
      </c>
      <c r="K684" s="17">
        <f t="shared" si="791"/>
        <v>0</v>
      </c>
      <c r="L684" s="17">
        <f t="shared" si="792"/>
        <v>0</v>
      </c>
      <c r="M684" s="17">
        <f t="shared" si="793"/>
        <v>0</v>
      </c>
      <c r="N684" s="17">
        <v>0</v>
      </c>
      <c r="O684" s="17">
        <f t="shared" si="794"/>
        <v>0</v>
      </c>
      <c r="P684" s="75" t="s">
        <v>576</v>
      </c>
      <c r="Z684" s="17">
        <f t="shared" si="795"/>
        <v>0</v>
      </c>
      <c r="AB684" s="17">
        <f t="shared" si="796"/>
        <v>0</v>
      </c>
      <c r="AC684" s="17">
        <f t="shared" si="797"/>
        <v>0</v>
      </c>
      <c r="AD684" s="17">
        <f t="shared" si="798"/>
        <v>0</v>
      </c>
      <c r="AE684" s="17">
        <f t="shared" si="799"/>
        <v>0</v>
      </c>
      <c r="AF684" s="17">
        <f t="shared" si="800"/>
        <v>0</v>
      </c>
      <c r="AG684" s="17">
        <f t="shared" si="801"/>
        <v>0</v>
      </c>
      <c r="AH684" s="17">
        <f t="shared" si="802"/>
        <v>0</v>
      </c>
      <c r="AI684" s="14" t="s">
        <v>458</v>
      </c>
      <c r="AJ684" s="17">
        <f t="shared" si="803"/>
        <v>0</v>
      </c>
      <c r="AK684" s="17">
        <f t="shared" si="804"/>
        <v>0</v>
      </c>
      <c r="AL684" s="17">
        <f t="shared" si="805"/>
        <v>0</v>
      </c>
      <c r="AN684" s="17">
        <v>12</v>
      </c>
      <c r="AO684" s="17">
        <f t="shared" si="806"/>
        <v>0</v>
      </c>
      <c r="AP684" s="17">
        <f t="shared" si="807"/>
        <v>0</v>
      </c>
      <c r="AQ684" s="76" t="s">
        <v>585</v>
      </c>
      <c r="AV684" s="17">
        <f t="shared" si="808"/>
        <v>0</v>
      </c>
      <c r="AW684" s="17">
        <f t="shared" si="809"/>
        <v>0</v>
      </c>
      <c r="AX684" s="17">
        <f t="shared" si="810"/>
        <v>0</v>
      </c>
      <c r="AY684" s="76" t="s">
        <v>1111</v>
      </c>
      <c r="AZ684" s="76" t="s">
        <v>1214</v>
      </c>
      <c r="BA684" s="14" t="s">
        <v>1178</v>
      </c>
      <c r="BC684" s="17">
        <f t="shared" si="811"/>
        <v>0</v>
      </c>
      <c r="BD684" s="17">
        <f t="shared" si="812"/>
        <v>0</v>
      </c>
      <c r="BE684" s="17">
        <v>0</v>
      </c>
      <c r="BF684" s="17">
        <f t="shared" si="813"/>
        <v>0</v>
      </c>
      <c r="BH684" s="17">
        <f t="shared" si="814"/>
        <v>0</v>
      </c>
      <c r="BI684" s="17">
        <f t="shared" si="815"/>
        <v>0</v>
      </c>
      <c r="BJ684" s="17">
        <f t="shared" si="816"/>
        <v>0</v>
      </c>
      <c r="BK684" s="17"/>
      <c r="BL684" s="17"/>
      <c r="BW684" s="17">
        <f t="shared" si="817"/>
        <v>12</v>
      </c>
      <c r="BX684" s="4" t="s">
        <v>445</v>
      </c>
    </row>
    <row r="685" spans="1:76" x14ac:dyDescent="0.25">
      <c r="A685" s="1" t="s">
        <v>1224</v>
      </c>
      <c r="B685" s="2" t="s">
        <v>458</v>
      </c>
      <c r="C685" s="2" t="s">
        <v>446</v>
      </c>
      <c r="D685" s="83" t="s">
        <v>447</v>
      </c>
      <c r="E685" s="84"/>
      <c r="F685" s="2" t="s">
        <v>88</v>
      </c>
      <c r="G685" s="17">
        <f>'Rozpočet - vybrané sloupce'!J586</f>
        <v>4.5</v>
      </c>
      <c r="H685" s="17">
        <f>'Rozpočet - vybrané sloupce'!K586</f>
        <v>0</v>
      </c>
      <c r="I685" s="74">
        <v>12</v>
      </c>
      <c r="J685" s="17">
        <f t="shared" si="790"/>
        <v>0</v>
      </c>
      <c r="K685" s="17">
        <f t="shared" si="791"/>
        <v>0</v>
      </c>
      <c r="L685" s="17">
        <f t="shared" si="792"/>
        <v>0</v>
      </c>
      <c r="M685" s="17">
        <f t="shared" si="793"/>
        <v>0</v>
      </c>
      <c r="N685" s="17">
        <v>0</v>
      </c>
      <c r="O685" s="17">
        <f t="shared" si="794"/>
        <v>0</v>
      </c>
      <c r="P685" s="75" t="s">
        <v>576</v>
      </c>
      <c r="Z685" s="17">
        <f t="shared" si="795"/>
        <v>0</v>
      </c>
      <c r="AB685" s="17">
        <f t="shared" si="796"/>
        <v>0</v>
      </c>
      <c r="AC685" s="17">
        <f t="shared" si="797"/>
        <v>0</v>
      </c>
      <c r="AD685" s="17">
        <f t="shared" si="798"/>
        <v>0</v>
      </c>
      <c r="AE685" s="17">
        <f t="shared" si="799"/>
        <v>0</v>
      </c>
      <c r="AF685" s="17">
        <f t="shared" si="800"/>
        <v>0</v>
      </c>
      <c r="AG685" s="17">
        <f t="shared" si="801"/>
        <v>0</v>
      </c>
      <c r="AH685" s="17">
        <f t="shared" si="802"/>
        <v>0</v>
      </c>
      <c r="AI685" s="14" t="s">
        <v>458</v>
      </c>
      <c r="AJ685" s="17">
        <f t="shared" si="803"/>
        <v>0</v>
      </c>
      <c r="AK685" s="17">
        <f t="shared" si="804"/>
        <v>0</v>
      </c>
      <c r="AL685" s="17">
        <f t="shared" si="805"/>
        <v>0</v>
      </c>
      <c r="AN685" s="17">
        <v>12</v>
      </c>
      <c r="AO685" s="17">
        <f t="shared" si="806"/>
        <v>0</v>
      </c>
      <c r="AP685" s="17">
        <f t="shared" si="807"/>
        <v>0</v>
      </c>
      <c r="AQ685" s="76" t="s">
        <v>585</v>
      </c>
      <c r="AV685" s="17">
        <f t="shared" si="808"/>
        <v>0</v>
      </c>
      <c r="AW685" s="17">
        <f t="shared" si="809"/>
        <v>0</v>
      </c>
      <c r="AX685" s="17">
        <f t="shared" si="810"/>
        <v>0</v>
      </c>
      <c r="AY685" s="76" t="s">
        <v>1111</v>
      </c>
      <c r="AZ685" s="76" t="s">
        <v>1214</v>
      </c>
      <c r="BA685" s="14" t="s">
        <v>1178</v>
      </c>
      <c r="BC685" s="17">
        <f t="shared" si="811"/>
        <v>0</v>
      </c>
      <c r="BD685" s="17">
        <f t="shared" si="812"/>
        <v>0</v>
      </c>
      <c r="BE685" s="17">
        <v>0</v>
      </c>
      <c r="BF685" s="17">
        <f t="shared" si="813"/>
        <v>0</v>
      </c>
      <c r="BH685" s="17">
        <f t="shared" si="814"/>
        <v>0</v>
      </c>
      <c r="BI685" s="17">
        <f t="shared" si="815"/>
        <v>0</v>
      </c>
      <c r="BJ685" s="17">
        <f t="shared" si="816"/>
        <v>0</v>
      </c>
      <c r="BK685" s="17"/>
      <c r="BL685" s="17"/>
      <c r="BW685" s="17">
        <f t="shared" si="817"/>
        <v>12</v>
      </c>
      <c r="BX685" s="4" t="s">
        <v>447</v>
      </c>
    </row>
    <row r="686" spans="1:76" x14ac:dyDescent="0.25">
      <c r="A686" s="1" t="s">
        <v>1225</v>
      </c>
      <c r="B686" s="2" t="s">
        <v>458</v>
      </c>
      <c r="C686" s="2" t="s">
        <v>448</v>
      </c>
      <c r="D686" s="83" t="s">
        <v>449</v>
      </c>
      <c r="E686" s="84"/>
      <c r="F686" s="2" t="s">
        <v>88</v>
      </c>
      <c r="G686" s="17">
        <f>'Rozpočet - vybrané sloupce'!J587</f>
        <v>4.5</v>
      </c>
      <c r="H686" s="17">
        <f>'Rozpočet - vybrané sloupce'!K587</f>
        <v>0</v>
      </c>
      <c r="I686" s="74">
        <v>12</v>
      </c>
      <c r="J686" s="17">
        <f t="shared" si="790"/>
        <v>0</v>
      </c>
      <c r="K686" s="17">
        <f t="shared" si="791"/>
        <v>0</v>
      </c>
      <c r="L686" s="17">
        <f t="shared" si="792"/>
        <v>0</v>
      </c>
      <c r="M686" s="17">
        <f t="shared" si="793"/>
        <v>0</v>
      </c>
      <c r="N686" s="17">
        <v>0</v>
      </c>
      <c r="O686" s="17">
        <f t="shared" si="794"/>
        <v>0</v>
      </c>
      <c r="P686" s="75" t="s">
        <v>576</v>
      </c>
      <c r="Z686" s="17">
        <f t="shared" si="795"/>
        <v>0</v>
      </c>
      <c r="AB686" s="17">
        <f t="shared" si="796"/>
        <v>0</v>
      </c>
      <c r="AC686" s="17">
        <f t="shared" si="797"/>
        <v>0</v>
      </c>
      <c r="AD686" s="17">
        <f t="shared" si="798"/>
        <v>0</v>
      </c>
      <c r="AE686" s="17">
        <f t="shared" si="799"/>
        <v>0</v>
      </c>
      <c r="AF686" s="17">
        <f t="shared" si="800"/>
        <v>0</v>
      </c>
      <c r="AG686" s="17">
        <f t="shared" si="801"/>
        <v>0</v>
      </c>
      <c r="AH686" s="17">
        <f t="shared" si="802"/>
        <v>0</v>
      </c>
      <c r="AI686" s="14" t="s">
        <v>458</v>
      </c>
      <c r="AJ686" s="17">
        <f t="shared" si="803"/>
        <v>0</v>
      </c>
      <c r="AK686" s="17">
        <f t="shared" si="804"/>
        <v>0</v>
      </c>
      <c r="AL686" s="17">
        <f t="shared" si="805"/>
        <v>0</v>
      </c>
      <c r="AN686" s="17">
        <v>12</v>
      </c>
      <c r="AO686" s="17">
        <f t="shared" si="806"/>
        <v>0</v>
      </c>
      <c r="AP686" s="17">
        <f t="shared" si="807"/>
        <v>0</v>
      </c>
      <c r="AQ686" s="76" t="s">
        <v>585</v>
      </c>
      <c r="AV686" s="17">
        <f t="shared" si="808"/>
        <v>0</v>
      </c>
      <c r="AW686" s="17">
        <f t="shared" si="809"/>
        <v>0</v>
      </c>
      <c r="AX686" s="17">
        <f t="shared" si="810"/>
        <v>0</v>
      </c>
      <c r="AY686" s="76" t="s">
        <v>1111</v>
      </c>
      <c r="AZ686" s="76" t="s">
        <v>1214</v>
      </c>
      <c r="BA686" s="14" t="s">
        <v>1178</v>
      </c>
      <c r="BC686" s="17">
        <f t="shared" si="811"/>
        <v>0</v>
      </c>
      <c r="BD686" s="17">
        <f t="shared" si="812"/>
        <v>0</v>
      </c>
      <c r="BE686" s="17">
        <v>0</v>
      </c>
      <c r="BF686" s="17">
        <f t="shared" si="813"/>
        <v>0</v>
      </c>
      <c r="BH686" s="17">
        <f t="shared" si="814"/>
        <v>0</v>
      </c>
      <c r="BI686" s="17">
        <f t="shared" si="815"/>
        <v>0</v>
      </c>
      <c r="BJ686" s="17">
        <f t="shared" si="816"/>
        <v>0</v>
      </c>
      <c r="BK686" s="17"/>
      <c r="BL686" s="17"/>
      <c r="BW686" s="17">
        <f t="shared" si="817"/>
        <v>12</v>
      </c>
      <c r="BX686" s="4" t="s">
        <v>449</v>
      </c>
    </row>
    <row r="687" spans="1:76" x14ac:dyDescent="0.25">
      <c r="A687" s="1" t="s">
        <v>1226</v>
      </c>
      <c r="B687" s="2" t="s">
        <v>458</v>
      </c>
      <c r="C687" s="2" t="s">
        <v>450</v>
      </c>
      <c r="D687" s="83" t="s">
        <v>451</v>
      </c>
      <c r="E687" s="84"/>
      <c r="F687" s="2" t="s">
        <v>88</v>
      </c>
      <c r="G687" s="17">
        <f>'Rozpočet - vybrané sloupce'!J588</f>
        <v>45</v>
      </c>
      <c r="H687" s="17">
        <f>'Rozpočet - vybrané sloupce'!K588</f>
        <v>0</v>
      </c>
      <c r="I687" s="74">
        <v>12</v>
      </c>
      <c r="J687" s="17">
        <f t="shared" si="790"/>
        <v>0</v>
      </c>
      <c r="K687" s="17">
        <f t="shared" si="791"/>
        <v>0</v>
      </c>
      <c r="L687" s="17">
        <f t="shared" si="792"/>
        <v>0</v>
      </c>
      <c r="M687" s="17">
        <f t="shared" si="793"/>
        <v>0</v>
      </c>
      <c r="N687" s="17">
        <v>0</v>
      </c>
      <c r="O687" s="17">
        <f t="shared" si="794"/>
        <v>0</v>
      </c>
      <c r="P687" s="75" t="s">
        <v>576</v>
      </c>
      <c r="Z687" s="17">
        <f t="shared" si="795"/>
        <v>0</v>
      </c>
      <c r="AB687" s="17">
        <f t="shared" si="796"/>
        <v>0</v>
      </c>
      <c r="AC687" s="17">
        <f t="shared" si="797"/>
        <v>0</v>
      </c>
      <c r="AD687" s="17">
        <f t="shared" si="798"/>
        <v>0</v>
      </c>
      <c r="AE687" s="17">
        <f t="shared" si="799"/>
        <v>0</v>
      </c>
      <c r="AF687" s="17">
        <f t="shared" si="800"/>
        <v>0</v>
      </c>
      <c r="AG687" s="17">
        <f t="shared" si="801"/>
        <v>0</v>
      </c>
      <c r="AH687" s="17">
        <f t="shared" si="802"/>
        <v>0</v>
      </c>
      <c r="AI687" s="14" t="s">
        <v>458</v>
      </c>
      <c r="AJ687" s="17">
        <f t="shared" si="803"/>
        <v>0</v>
      </c>
      <c r="AK687" s="17">
        <f t="shared" si="804"/>
        <v>0</v>
      </c>
      <c r="AL687" s="17">
        <f t="shared" si="805"/>
        <v>0</v>
      </c>
      <c r="AN687" s="17">
        <v>12</v>
      </c>
      <c r="AO687" s="17">
        <f t="shared" si="806"/>
        <v>0</v>
      </c>
      <c r="AP687" s="17">
        <f t="shared" si="807"/>
        <v>0</v>
      </c>
      <c r="AQ687" s="76" t="s">
        <v>585</v>
      </c>
      <c r="AV687" s="17">
        <f t="shared" si="808"/>
        <v>0</v>
      </c>
      <c r="AW687" s="17">
        <f t="shared" si="809"/>
        <v>0</v>
      </c>
      <c r="AX687" s="17">
        <f t="shared" si="810"/>
        <v>0</v>
      </c>
      <c r="AY687" s="76" t="s">
        <v>1111</v>
      </c>
      <c r="AZ687" s="76" t="s">
        <v>1214</v>
      </c>
      <c r="BA687" s="14" t="s">
        <v>1178</v>
      </c>
      <c r="BC687" s="17">
        <f t="shared" si="811"/>
        <v>0</v>
      </c>
      <c r="BD687" s="17">
        <f t="shared" si="812"/>
        <v>0</v>
      </c>
      <c r="BE687" s="17">
        <v>0</v>
      </c>
      <c r="BF687" s="17">
        <f t="shared" si="813"/>
        <v>0</v>
      </c>
      <c r="BH687" s="17">
        <f t="shared" si="814"/>
        <v>0</v>
      </c>
      <c r="BI687" s="17">
        <f t="shared" si="815"/>
        <v>0</v>
      </c>
      <c r="BJ687" s="17">
        <f t="shared" si="816"/>
        <v>0</v>
      </c>
      <c r="BK687" s="17"/>
      <c r="BL687" s="17"/>
      <c r="BW687" s="17">
        <f t="shared" si="817"/>
        <v>12</v>
      </c>
      <c r="BX687" s="4" t="s">
        <v>451</v>
      </c>
    </row>
    <row r="688" spans="1:76" x14ac:dyDescent="0.25">
      <c r="A688" s="1" t="s">
        <v>1227</v>
      </c>
      <c r="B688" s="2" t="s">
        <v>458</v>
      </c>
      <c r="C688" s="2" t="s">
        <v>452</v>
      </c>
      <c r="D688" s="83" t="s">
        <v>453</v>
      </c>
      <c r="E688" s="84"/>
      <c r="F688" s="2" t="s">
        <v>88</v>
      </c>
      <c r="G688" s="17">
        <f>'Rozpočet - vybrané sloupce'!J589</f>
        <v>4.2</v>
      </c>
      <c r="H688" s="17">
        <f>'Rozpočet - vybrané sloupce'!K589</f>
        <v>0</v>
      </c>
      <c r="I688" s="74">
        <v>12</v>
      </c>
      <c r="J688" s="17">
        <f t="shared" si="790"/>
        <v>0</v>
      </c>
      <c r="K688" s="17">
        <f t="shared" si="791"/>
        <v>0</v>
      </c>
      <c r="L688" s="17">
        <f t="shared" si="792"/>
        <v>0</v>
      </c>
      <c r="M688" s="17">
        <f t="shared" si="793"/>
        <v>0</v>
      </c>
      <c r="N688" s="17">
        <v>0</v>
      </c>
      <c r="O688" s="17">
        <f t="shared" si="794"/>
        <v>0</v>
      </c>
      <c r="P688" s="75" t="s">
        <v>576</v>
      </c>
      <c r="Z688" s="17">
        <f t="shared" si="795"/>
        <v>0</v>
      </c>
      <c r="AB688" s="17">
        <f t="shared" si="796"/>
        <v>0</v>
      </c>
      <c r="AC688" s="17">
        <f t="shared" si="797"/>
        <v>0</v>
      </c>
      <c r="AD688" s="17">
        <f t="shared" si="798"/>
        <v>0</v>
      </c>
      <c r="AE688" s="17">
        <f t="shared" si="799"/>
        <v>0</v>
      </c>
      <c r="AF688" s="17">
        <f t="shared" si="800"/>
        <v>0</v>
      </c>
      <c r="AG688" s="17">
        <f t="shared" si="801"/>
        <v>0</v>
      </c>
      <c r="AH688" s="17">
        <f t="shared" si="802"/>
        <v>0</v>
      </c>
      <c r="AI688" s="14" t="s">
        <v>458</v>
      </c>
      <c r="AJ688" s="17">
        <f t="shared" si="803"/>
        <v>0</v>
      </c>
      <c r="AK688" s="17">
        <f t="shared" si="804"/>
        <v>0</v>
      </c>
      <c r="AL688" s="17">
        <f t="shared" si="805"/>
        <v>0</v>
      </c>
      <c r="AN688" s="17">
        <v>12</v>
      </c>
      <c r="AO688" s="17">
        <f t="shared" si="806"/>
        <v>0</v>
      </c>
      <c r="AP688" s="17">
        <f t="shared" si="807"/>
        <v>0</v>
      </c>
      <c r="AQ688" s="76" t="s">
        <v>585</v>
      </c>
      <c r="AV688" s="17">
        <f t="shared" si="808"/>
        <v>0</v>
      </c>
      <c r="AW688" s="17">
        <f t="shared" si="809"/>
        <v>0</v>
      </c>
      <c r="AX688" s="17">
        <f t="shared" si="810"/>
        <v>0</v>
      </c>
      <c r="AY688" s="76" t="s">
        <v>1111</v>
      </c>
      <c r="AZ688" s="76" t="s">
        <v>1214</v>
      </c>
      <c r="BA688" s="14" t="s">
        <v>1178</v>
      </c>
      <c r="BC688" s="17">
        <f t="shared" si="811"/>
        <v>0</v>
      </c>
      <c r="BD688" s="17">
        <f t="shared" si="812"/>
        <v>0</v>
      </c>
      <c r="BE688" s="17">
        <v>0</v>
      </c>
      <c r="BF688" s="17">
        <f t="shared" si="813"/>
        <v>0</v>
      </c>
      <c r="BH688" s="17">
        <f t="shared" si="814"/>
        <v>0</v>
      </c>
      <c r="BI688" s="17">
        <f t="shared" si="815"/>
        <v>0</v>
      </c>
      <c r="BJ688" s="17">
        <f t="shared" si="816"/>
        <v>0</v>
      </c>
      <c r="BK688" s="17"/>
      <c r="BL688" s="17"/>
      <c r="BW688" s="17">
        <f t="shared" si="817"/>
        <v>12</v>
      </c>
      <c r="BX688" s="4" t="s">
        <v>453</v>
      </c>
    </row>
    <row r="689" spans="1:76" x14ac:dyDescent="0.25">
      <c r="A689" s="1" t="s">
        <v>1228</v>
      </c>
      <c r="B689" s="2" t="s">
        <v>458</v>
      </c>
      <c r="C689" s="2" t="s">
        <v>454</v>
      </c>
      <c r="D689" s="83" t="s">
        <v>455</v>
      </c>
      <c r="E689" s="84"/>
      <c r="F689" s="2" t="s">
        <v>88</v>
      </c>
      <c r="G689" s="17">
        <f>'Rozpočet - vybrané sloupce'!J590</f>
        <v>0.3</v>
      </c>
      <c r="H689" s="17">
        <f>'Rozpočet - vybrané sloupce'!K590</f>
        <v>0</v>
      </c>
      <c r="I689" s="74">
        <v>12</v>
      </c>
      <c r="J689" s="17">
        <f t="shared" si="790"/>
        <v>0</v>
      </c>
      <c r="K689" s="17">
        <f t="shared" si="791"/>
        <v>0</v>
      </c>
      <c r="L689" s="17">
        <f t="shared" si="792"/>
        <v>0</v>
      </c>
      <c r="M689" s="17">
        <f t="shared" si="793"/>
        <v>0</v>
      </c>
      <c r="N689" s="17">
        <v>0</v>
      </c>
      <c r="O689" s="17">
        <f t="shared" si="794"/>
        <v>0</v>
      </c>
      <c r="P689" s="75" t="s">
        <v>576</v>
      </c>
      <c r="Z689" s="17">
        <f t="shared" si="795"/>
        <v>0</v>
      </c>
      <c r="AB689" s="17">
        <f t="shared" si="796"/>
        <v>0</v>
      </c>
      <c r="AC689" s="17">
        <f t="shared" si="797"/>
        <v>0</v>
      </c>
      <c r="AD689" s="17">
        <f t="shared" si="798"/>
        <v>0</v>
      </c>
      <c r="AE689" s="17">
        <f t="shared" si="799"/>
        <v>0</v>
      </c>
      <c r="AF689" s="17">
        <f t="shared" si="800"/>
        <v>0</v>
      </c>
      <c r="AG689" s="17">
        <f t="shared" si="801"/>
        <v>0</v>
      </c>
      <c r="AH689" s="17">
        <f t="shared" si="802"/>
        <v>0</v>
      </c>
      <c r="AI689" s="14" t="s">
        <v>458</v>
      </c>
      <c r="AJ689" s="17">
        <f t="shared" si="803"/>
        <v>0</v>
      </c>
      <c r="AK689" s="17">
        <f t="shared" si="804"/>
        <v>0</v>
      </c>
      <c r="AL689" s="17">
        <f t="shared" si="805"/>
        <v>0</v>
      </c>
      <c r="AN689" s="17">
        <v>12</v>
      </c>
      <c r="AO689" s="17">
        <f t="shared" si="806"/>
        <v>0</v>
      </c>
      <c r="AP689" s="17">
        <f t="shared" si="807"/>
        <v>0</v>
      </c>
      <c r="AQ689" s="76" t="s">
        <v>585</v>
      </c>
      <c r="AV689" s="17">
        <f t="shared" si="808"/>
        <v>0</v>
      </c>
      <c r="AW689" s="17">
        <f t="shared" si="809"/>
        <v>0</v>
      </c>
      <c r="AX689" s="17">
        <f t="shared" si="810"/>
        <v>0</v>
      </c>
      <c r="AY689" s="76" t="s">
        <v>1111</v>
      </c>
      <c r="AZ689" s="76" t="s">
        <v>1214</v>
      </c>
      <c r="BA689" s="14" t="s">
        <v>1178</v>
      </c>
      <c r="BC689" s="17">
        <f t="shared" si="811"/>
        <v>0</v>
      </c>
      <c r="BD689" s="17">
        <f t="shared" si="812"/>
        <v>0</v>
      </c>
      <c r="BE689" s="17">
        <v>0</v>
      </c>
      <c r="BF689" s="17">
        <f t="shared" si="813"/>
        <v>0</v>
      </c>
      <c r="BH689" s="17">
        <f t="shared" si="814"/>
        <v>0</v>
      </c>
      <c r="BI689" s="17">
        <f t="shared" si="815"/>
        <v>0</v>
      </c>
      <c r="BJ689" s="17">
        <f t="shared" si="816"/>
        <v>0</v>
      </c>
      <c r="BK689" s="17"/>
      <c r="BL689" s="17"/>
      <c r="BW689" s="17">
        <f t="shared" si="817"/>
        <v>12</v>
      </c>
      <c r="BX689" s="4" t="s">
        <v>455</v>
      </c>
    </row>
    <row r="690" spans="1:76" x14ac:dyDescent="0.25">
      <c r="A690" s="71" t="s">
        <v>25</v>
      </c>
      <c r="B690" s="13" t="s">
        <v>460</v>
      </c>
      <c r="C690" s="13" t="s">
        <v>25</v>
      </c>
      <c r="D690" s="135" t="s">
        <v>461</v>
      </c>
      <c r="E690" s="136"/>
      <c r="F690" s="72" t="s">
        <v>23</v>
      </c>
      <c r="G690" s="72" t="s">
        <v>23</v>
      </c>
      <c r="H690" s="72" t="s">
        <v>23</v>
      </c>
      <c r="I690" s="72" t="s">
        <v>23</v>
      </c>
      <c r="J690" s="47">
        <f>J692+J694+J697+J699</f>
        <v>0</v>
      </c>
      <c r="K690" s="47">
        <f>K692+K694+K697+K699</f>
        <v>0</v>
      </c>
      <c r="L690" s="47">
        <f>L692+L694+L697+L699</f>
        <v>0</v>
      </c>
      <c r="M690" s="47">
        <f>M692+M694+M697+M699</f>
        <v>0</v>
      </c>
      <c r="N690" s="14" t="s">
        <v>25</v>
      </c>
      <c r="O690" s="47">
        <f>O692+O694+O697+O699</f>
        <v>0</v>
      </c>
      <c r="P690" s="73" t="s">
        <v>25</v>
      </c>
    </row>
    <row r="691" spans="1:76" x14ac:dyDescent="0.25">
      <c r="A691" s="71" t="s">
        <v>25</v>
      </c>
      <c r="B691" s="13" t="s">
        <v>460</v>
      </c>
      <c r="C691" s="13" t="s">
        <v>462</v>
      </c>
      <c r="D691" s="135" t="s">
        <v>463</v>
      </c>
      <c r="E691" s="136"/>
      <c r="F691" s="72" t="s">
        <v>23</v>
      </c>
      <c r="G691" s="72" t="s">
        <v>23</v>
      </c>
      <c r="H691" s="72" t="s">
        <v>23</v>
      </c>
      <c r="I691" s="72" t="s">
        <v>23</v>
      </c>
      <c r="J691" s="47">
        <f>J692+J694+J697+J699</f>
        <v>0</v>
      </c>
      <c r="K691" s="47">
        <f>K692+K694+K697+K699</f>
        <v>0</v>
      </c>
      <c r="L691" s="47">
        <f>L692+L694+L697+L699</f>
        <v>0</v>
      </c>
      <c r="M691" s="47">
        <f>M692+M694+M697+M699</f>
        <v>0</v>
      </c>
      <c r="N691" s="14" t="s">
        <v>25</v>
      </c>
      <c r="O691" s="47">
        <f>O692+O694+O697+O699</f>
        <v>0</v>
      </c>
      <c r="P691" s="73" t="s">
        <v>25</v>
      </c>
      <c r="AI691" s="14" t="s">
        <v>460</v>
      </c>
    </row>
    <row r="692" spans="1:76" x14ac:dyDescent="0.25">
      <c r="A692" s="71" t="s">
        <v>25</v>
      </c>
      <c r="B692" s="13" t="s">
        <v>460</v>
      </c>
      <c r="C692" s="13" t="s">
        <v>464</v>
      </c>
      <c r="D692" s="135" t="s">
        <v>465</v>
      </c>
      <c r="E692" s="136"/>
      <c r="F692" s="72" t="s">
        <v>23</v>
      </c>
      <c r="G692" s="72" t="s">
        <v>23</v>
      </c>
      <c r="H692" s="72" t="s">
        <v>23</v>
      </c>
      <c r="I692" s="72" t="s">
        <v>23</v>
      </c>
      <c r="J692" s="47">
        <f>SUM(J693:J693)</f>
        <v>0</v>
      </c>
      <c r="K692" s="47">
        <f>SUM(K693:K693)</f>
        <v>0</v>
      </c>
      <c r="L692" s="47">
        <f>SUM(L693:L693)</f>
        <v>0</v>
      </c>
      <c r="M692" s="47">
        <f>SUM(M693:M693)</f>
        <v>0</v>
      </c>
      <c r="N692" s="14" t="s">
        <v>25</v>
      </c>
      <c r="O692" s="47">
        <f>SUM(O693:O693)</f>
        <v>0</v>
      </c>
      <c r="P692" s="73" t="s">
        <v>25</v>
      </c>
      <c r="AI692" s="14" t="s">
        <v>460</v>
      </c>
      <c r="AS692" s="47">
        <f>SUM(AJ693:AJ693)</f>
        <v>0</v>
      </c>
      <c r="AT692" s="47">
        <f>SUM(AK693:AK693)</f>
        <v>0</v>
      </c>
      <c r="AU692" s="47">
        <f>SUM(AL693:AL693)</f>
        <v>0</v>
      </c>
    </row>
    <row r="693" spans="1:76" x14ac:dyDescent="0.25">
      <c r="A693" s="1" t="s">
        <v>1229</v>
      </c>
      <c r="B693" s="2" t="s">
        <v>460</v>
      </c>
      <c r="C693" s="2" t="s">
        <v>466</v>
      </c>
      <c r="D693" s="83" t="s">
        <v>467</v>
      </c>
      <c r="E693" s="84"/>
      <c r="F693" s="2" t="s">
        <v>468</v>
      </c>
      <c r="G693" s="17">
        <f>'Rozpočet - vybrané sloupce'!J594</f>
        <v>10</v>
      </c>
      <c r="H693" s="17">
        <f>'Rozpočet - vybrané sloupce'!K594</f>
        <v>0</v>
      </c>
      <c r="I693" s="74">
        <v>12</v>
      </c>
      <c r="J693" s="17">
        <f>ROUND(G693*AO693,2)</f>
        <v>0</v>
      </c>
      <c r="K693" s="17">
        <f>ROUND(G693*AP693,2)</f>
        <v>0</v>
      </c>
      <c r="L693" s="17">
        <f>ROUND(G693*H693,2)</f>
        <v>0</v>
      </c>
      <c r="M693" s="17">
        <f>L693*(1+BW693/100)</f>
        <v>0</v>
      </c>
      <c r="N693" s="17">
        <v>0</v>
      </c>
      <c r="O693" s="17">
        <f>G693*N693</f>
        <v>0</v>
      </c>
      <c r="P693" s="75" t="s">
        <v>576</v>
      </c>
      <c r="Z693" s="17">
        <f>ROUND(IF(AQ693="5",BJ693,0),2)</f>
        <v>0</v>
      </c>
      <c r="AB693" s="17">
        <f>ROUND(IF(AQ693="1",BH693,0),2)</f>
        <v>0</v>
      </c>
      <c r="AC693" s="17">
        <f>ROUND(IF(AQ693="1",BI693,0),2)</f>
        <v>0</v>
      </c>
      <c r="AD693" s="17">
        <f>ROUND(IF(AQ693="7",BH693,0),2)</f>
        <v>0</v>
      </c>
      <c r="AE693" s="17">
        <f>ROUND(IF(AQ693="7",BI693,0),2)</f>
        <v>0</v>
      </c>
      <c r="AF693" s="17">
        <f>ROUND(IF(AQ693="2",BH693,0),2)</f>
        <v>0</v>
      </c>
      <c r="AG693" s="17">
        <f>ROUND(IF(AQ693="2",BI693,0),2)</f>
        <v>0</v>
      </c>
      <c r="AH693" s="17">
        <f>ROUND(IF(AQ693="0",BJ693,0),2)</f>
        <v>0</v>
      </c>
      <c r="AI693" s="14" t="s">
        <v>460</v>
      </c>
      <c r="AJ693" s="17">
        <f>IF(AN693=0,L693,0)</f>
        <v>0</v>
      </c>
      <c r="AK693" s="17">
        <f>IF(AN693=12,L693,0)</f>
        <v>0</v>
      </c>
      <c r="AL693" s="17">
        <f>IF(AN693=21,L693,0)</f>
        <v>0</v>
      </c>
      <c r="AN693" s="17">
        <v>12</v>
      </c>
      <c r="AO693" s="17">
        <f>H693*0</f>
        <v>0</v>
      </c>
      <c r="AP693" s="17">
        <f>H693*(1-0)</f>
        <v>0</v>
      </c>
      <c r="AQ693" s="76" t="s">
        <v>696</v>
      </c>
      <c r="AV693" s="17">
        <f>ROUND(AW693+AX693,2)</f>
        <v>0</v>
      </c>
      <c r="AW693" s="17">
        <f>ROUND(G693*AO693,2)</f>
        <v>0</v>
      </c>
      <c r="AX693" s="17">
        <f>ROUND(G693*AP693,2)</f>
        <v>0</v>
      </c>
      <c r="AY693" s="76" t="s">
        <v>1230</v>
      </c>
      <c r="AZ693" s="76" t="s">
        <v>1231</v>
      </c>
      <c r="BA693" s="14" t="s">
        <v>1232</v>
      </c>
      <c r="BC693" s="17">
        <f>AW693+AX693</f>
        <v>0</v>
      </c>
      <c r="BD693" s="17">
        <f>H693/(100-BE693)*100</f>
        <v>0</v>
      </c>
      <c r="BE693" s="17">
        <v>0</v>
      </c>
      <c r="BF693" s="17">
        <f>O693</f>
        <v>0</v>
      </c>
      <c r="BH693" s="17">
        <f>G693*AO693</f>
        <v>0</v>
      </c>
      <c r="BI693" s="17">
        <f>G693*AP693</f>
        <v>0</v>
      </c>
      <c r="BJ693" s="17">
        <f>G693*H693</f>
        <v>0</v>
      </c>
      <c r="BK693" s="17"/>
      <c r="BL693" s="17"/>
      <c r="BM693" s="17">
        <f>G693*H693</f>
        <v>0</v>
      </c>
      <c r="BW693" s="17">
        <f>I693</f>
        <v>12</v>
      </c>
      <c r="BX693" s="4" t="s">
        <v>467</v>
      </c>
    </row>
    <row r="694" spans="1:76" x14ac:dyDescent="0.25">
      <c r="A694" s="71" t="s">
        <v>25</v>
      </c>
      <c r="B694" s="13" t="s">
        <v>460</v>
      </c>
      <c r="C694" s="13" t="s">
        <v>469</v>
      </c>
      <c r="D694" s="135" t="s">
        <v>470</v>
      </c>
      <c r="E694" s="136"/>
      <c r="F694" s="72" t="s">
        <v>23</v>
      </c>
      <c r="G694" s="72" t="s">
        <v>23</v>
      </c>
      <c r="H694" s="72" t="s">
        <v>23</v>
      </c>
      <c r="I694" s="72" t="s">
        <v>23</v>
      </c>
      <c r="J694" s="47">
        <f>SUM(J695:J696)</f>
        <v>0</v>
      </c>
      <c r="K694" s="47">
        <f>SUM(K695:K696)</f>
        <v>0</v>
      </c>
      <c r="L694" s="47">
        <f>SUM(L695:L696)</f>
        <v>0</v>
      </c>
      <c r="M694" s="47">
        <f>SUM(M695:M696)</f>
        <v>0</v>
      </c>
      <c r="N694" s="14" t="s">
        <v>25</v>
      </c>
      <c r="O694" s="47">
        <f>SUM(O695:O696)</f>
        <v>0</v>
      </c>
      <c r="P694" s="73" t="s">
        <v>25</v>
      </c>
      <c r="AI694" s="14" t="s">
        <v>460</v>
      </c>
      <c r="AS694" s="47">
        <f>SUM(AJ695:AJ696)</f>
        <v>0</v>
      </c>
      <c r="AT694" s="47">
        <f>SUM(AK695:AK696)</f>
        <v>0</v>
      </c>
      <c r="AU694" s="47">
        <f>SUM(AL695:AL696)</f>
        <v>0</v>
      </c>
    </row>
    <row r="695" spans="1:76" x14ac:dyDescent="0.25">
      <c r="A695" s="1" t="s">
        <v>1233</v>
      </c>
      <c r="B695" s="2" t="s">
        <v>460</v>
      </c>
      <c r="C695" s="2" t="s">
        <v>471</v>
      </c>
      <c r="D695" s="83" t="s">
        <v>472</v>
      </c>
      <c r="E695" s="84"/>
      <c r="F695" s="2" t="s">
        <v>473</v>
      </c>
      <c r="G695" s="17">
        <f>'Rozpočet - vybrané sloupce'!J596</f>
        <v>1</v>
      </c>
      <c r="H695" s="17">
        <f>'Rozpočet - vybrané sloupce'!K596</f>
        <v>0</v>
      </c>
      <c r="I695" s="74">
        <v>12</v>
      </c>
      <c r="J695" s="17">
        <f>ROUND(G695*AO695,2)</f>
        <v>0</v>
      </c>
      <c r="K695" s="17">
        <f>ROUND(G695*AP695,2)</f>
        <v>0</v>
      </c>
      <c r="L695" s="17">
        <f>ROUND(G695*H695,2)</f>
        <v>0</v>
      </c>
      <c r="M695" s="17">
        <f>L695*(1+BW695/100)</f>
        <v>0</v>
      </c>
      <c r="N695" s="17">
        <v>0</v>
      </c>
      <c r="O695" s="17">
        <f>G695*N695</f>
        <v>0</v>
      </c>
      <c r="P695" s="75" t="s">
        <v>584</v>
      </c>
      <c r="Z695" s="17">
        <f>ROUND(IF(AQ695="5",BJ695,0),2)</f>
        <v>0</v>
      </c>
      <c r="AB695" s="17">
        <f>ROUND(IF(AQ695="1",BH695,0),2)</f>
        <v>0</v>
      </c>
      <c r="AC695" s="17">
        <f>ROUND(IF(AQ695="1",BI695,0),2)</f>
        <v>0</v>
      </c>
      <c r="AD695" s="17">
        <f>ROUND(IF(AQ695="7",BH695,0),2)</f>
        <v>0</v>
      </c>
      <c r="AE695" s="17">
        <f>ROUND(IF(AQ695="7",BI695,0),2)</f>
        <v>0</v>
      </c>
      <c r="AF695" s="17">
        <f>ROUND(IF(AQ695="2",BH695,0),2)</f>
        <v>0</v>
      </c>
      <c r="AG695" s="17">
        <f>ROUND(IF(AQ695="2",BI695,0),2)</f>
        <v>0</v>
      </c>
      <c r="AH695" s="17">
        <f>ROUND(IF(AQ695="0",BJ695,0),2)</f>
        <v>0</v>
      </c>
      <c r="AI695" s="14" t="s">
        <v>460</v>
      </c>
      <c r="AJ695" s="17">
        <f>IF(AN695=0,L695,0)</f>
        <v>0</v>
      </c>
      <c r="AK695" s="17">
        <f>IF(AN695=12,L695,0)</f>
        <v>0</v>
      </c>
      <c r="AL695" s="17">
        <f>IF(AN695=21,L695,0)</f>
        <v>0</v>
      </c>
      <c r="AN695" s="17">
        <v>12</v>
      </c>
      <c r="AO695" s="17">
        <f>H695*0</f>
        <v>0</v>
      </c>
      <c r="AP695" s="17">
        <f>H695*(1-0)</f>
        <v>0</v>
      </c>
      <c r="AQ695" s="76" t="s">
        <v>696</v>
      </c>
      <c r="AV695" s="17">
        <f>ROUND(AW695+AX695,2)</f>
        <v>0</v>
      </c>
      <c r="AW695" s="17">
        <f>ROUND(G695*AO695,2)</f>
        <v>0</v>
      </c>
      <c r="AX695" s="17">
        <f>ROUND(G695*AP695,2)</f>
        <v>0</v>
      </c>
      <c r="AY695" s="76" t="s">
        <v>1234</v>
      </c>
      <c r="AZ695" s="76" t="s">
        <v>1231</v>
      </c>
      <c r="BA695" s="14" t="s">
        <v>1232</v>
      </c>
      <c r="BC695" s="17">
        <f>AW695+AX695</f>
        <v>0</v>
      </c>
      <c r="BD695" s="17">
        <f>H695/(100-BE695)*100</f>
        <v>0</v>
      </c>
      <c r="BE695" s="17">
        <v>0</v>
      </c>
      <c r="BF695" s="17">
        <f>O695</f>
        <v>0</v>
      </c>
      <c r="BH695" s="17">
        <f>G695*AO695</f>
        <v>0</v>
      </c>
      <c r="BI695" s="17">
        <f>G695*AP695</f>
        <v>0</v>
      </c>
      <c r="BJ695" s="17">
        <f>G695*H695</f>
        <v>0</v>
      </c>
      <c r="BK695" s="17"/>
      <c r="BL695" s="17"/>
      <c r="BO695" s="17">
        <f>G695*H695</f>
        <v>0</v>
      </c>
      <c r="BW695" s="17">
        <f>I695</f>
        <v>12</v>
      </c>
      <c r="BX695" s="4" t="s">
        <v>472</v>
      </c>
    </row>
    <row r="696" spans="1:76" x14ac:dyDescent="0.25">
      <c r="A696" s="1" t="s">
        <v>1235</v>
      </c>
      <c r="B696" s="2" t="s">
        <v>460</v>
      </c>
      <c r="C696" s="2" t="s">
        <v>474</v>
      </c>
      <c r="D696" s="83" t="s">
        <v>475</v>
      </c>
      <c r="E696" s="84"/>
      <c r="F696" s="2" t="s">
        <v>473</v>
      </c>
      <c r="G696" s="17">
        <f>'Rozpočet - vybrané sloupce'!J597</f>
        <v>1</v>
      </c>
      <c r="H696" s="17">
        <f>'Rozpočet - vybrané sloupce'!K597</f>
        <v>0</v>
      </c>
      <c r="I696" s="74">
        <v>12</v>
      </c>
      <c r="J696" s="17">
        <f>ROUND(G696*AO696,2)</f>
        <v>0</v>
      </c>
      <c r="K696" s="17">
        <f>ROUND(G696*AP696,2)</f>
        <v>0</v>
      </c>
      <c r="L696" s="17">
        <f>ROUND(G696*H696,2)</f>
        <v>0</v>
      </c>
      <c r="M696" s="17">
        <f>L696*(1+BW696/100)</f>
        <v>0</v>
      </c>
      <c r="N696" s="17">
        <v>0</v>
      </c>
      <c r="O696" s="17">
        <f>G696*N696</f>
        <v>0</v>
      </c>
      <c r="P696" s="75" t="s">
        <v>576</v>
      </c>
      <c r="Z696" s="17">
        <f>ROUND(IF(AQ696="5",BJ696,0),2)</f>
        <v>0</v>
      </c>
      <c r="AB696" s="17">
        <f>ROUND(IF(AQ696="1",BH696,0),2)</f>
        <v>0</v>
      </c>
      <c r="AC696" s="17">
        <f>ROUND(IF(AQ696="1",BI696,0),2)</f>
        <v>0</v>
      </c>
      <c r="AD696" s="17">
        <f>ROUND(IF(AQ696="7",BH696,0),2)</f>
        <v>0</v>
      </c>
      <c r="AE696" s="17">
        <f>ROUND(IF(AQ696="7",BI696,0),2)</f>
        <v>0</v>
      </c>
      <c r="AF696" s="17">
        <f>ROUND(IF(AQ696="2",BH696,0),2)</f>
        <v>0</v>
      </c>
      <c r="AG696" s="17">
        <f>ROUND(IF(AQ696="2",BI696,0),2)</f>
        <v>0</v>
      </c>
      <c r="AH696" s="17">
        <f>ROUND(IF(AQ696="0",BJ696,0),2)</f>
        <v>0</v>
      </c>
      <c r="AI696" s="14" t="s">
        <v>460</v>
      </c>
      <c r="AJ696" s="17">
        <f>IF(AN696=0,L696,0)</f>
        <v>0</v>
      </c>
      <c r="AK696" s="17">
        <f>IF(AN696=12,L696,0)</f>
        <v>0</v>
      </c>
      <c r="AL696" s="17">
        <f>IF(AN696=21,L696,0)</f>
        <v>0</v>
      </c>
      <c r="AN696" s="17">
        <v>12</v>
      </c>
      <c r="AO696" s="17">
        <f>H696*0</f>
        <v>0</v>
      </c>
      <c r="AP696" s="17">
        <f>H696*(1-0)</f>
        <v>0</v>
      </c>
      <c r="AQ696" s="76" t="s">
        <v>696</v>
      </c>
      <c r="AV696" s="17">
        <f>ROUND(AW696+AX696,2)</f>
        <v>0</v>
      </c>
      <c r="AW696" s="17">
        <f>ROUND(G696*AO696,2)</f>
        <v>0</v>
      </c>
      <c r="AX696" s="17">
        <f>ROUND(G696*AP696,2)</f>
        <v>0</v>
      </c>
      <c r="AY696" s="76" t="s">
        <v>1234</v>
      </c>
      <c r="AZ696" s="76" t="s">
        <v>1231</v>
      </c>
      <c r="BA696" s="14" t="s">
        <v>1232</v>
      </c>
      <c r="BC696" s="17">
        <f>AW696+AX696</f>
        <v>0</v>
      </c>
      <c r="BD696" s="17">
        <f>H696/(100-BE696)*100</f>
        <v>0</v>
      </c>
      <c r="BE696" s="17">
        <v>0</v>
      </c>
      <c r="BF696" s="17">
        <f>O696</f>
        <v>0</v>
      </c>
      <c r="BH696" s="17">
        <f>G696*AO696</f>
        <v>0</v>
      </c>
      <c r="BI696" s="17">
        <f>G696*AP696</f>
        <v>0</v>
      </c>
      <c r="BJ696" s="17">
        <f>G696*H696</f>
        <v>0</v>
      </c>
      <c r="BK696" s="17"/>
      <c r="BL696" s="17"/>
      <c r="BO696" s="17">
        <f>G696*H696</f>
        <v>0</v>
      </c>
      <c r="BW696" s="17">
        <f>I696</f>
        <v>12</v>
      </c>
      <c r="BX696" s="4" t="s">
        <v>475</v>
      </c>
    </row>
    <row r="697" spans="1:76" x14ac:dyDescent="0.25">
      <c r="A697" s="71" t="s">
        <v>25</v>
      </c>
      <c r="B697" s="13" t="s">
        <v>460</v>
      </c>
      <c r="C697" s="13" t="s">
        <v>476</v>
      </c>
      <c r="D697" s="135" t="s">
        <v>477</v>
      </c>
      <c r="E697" s="136"/>
      <c r="F697" s="72" t="s">
        <v>23</v>
      </c>
      <c r="G697" s="72" t="s">
        <v>23</v>
      </c>
      <c r="H697" s="72" t="s">
        <v>23</v>
      </c>
      <c r="I697" s="72" t="s">
        <v>23</v>
      </c>
      <c r="J697" s="47">
        <f>SUM(J698:J698)</f>
        <v>0</v>
      </c>
      <c r="K697" s="47">
        <f>SUM(K698:K698)</f>
        <v>0</v>
      </c>
      <c r="L697" s="47">
        <f>SUM(L698:L698)</f>
        <v>0</v>
      </c>
      <c r="M697" s="47">
        <f>SUM(M698:M698)</f>
        <v>0</v>
      </c>
      <c r="N697" s="14" t="s">
        <v>25</v>
      </c>
      <c r="O697" s="47">
        <f>SUM(O698:O698)</f>
        <v>0</v>
      </c>
      <c r="P697" s="73" t="s">
        <v>25</v>
      </c>
      <c r="AI697" s="14" t="s">
        <v>460</v>
      </c>
      <c r="AS697" s="47">
        <f>SUM(AJ698:AJ698)</f>
        <v>0</v>
      </c>
      <c r="AT697" s="47">
        <f>SUM(AK698:AK698)</f>
        <v>0</v>
      </c>
      <c r="AU697" s="47">
        <f>SUM(AL698:AL698)</f>
        <v>0</v>
      </c>
    </row>
    <row r="698" spans="1:76" x14ac:dyDescent="0.25">
      <c r="A698" s="1" t="s">
        <v>1236</v>
      </c>
      <c r="B698" s="2" t="s">
        <v>460</v>
      </c>
      <c r="C698" s="2" t="s">
        <v>478</v>
      </c>
      <c r="D698" s="83" t="s">
        <v>477</v>
      </c>
      <c r="E698" s="84"/>
      <c r="F698" s="2" t="s">
        <v>473</v>
      </c>
      <c r="G698" s="17">
        <f>'Rozpočet - vybrané sloupce'!J599</f>
        <v>1</v>
      </c>
      <c r="H698" s="17">
        <f>'Rozpočet - vybrané sloupce'!K599</f>
        <v>0</v>
      </c>
      <c r="I698" s="74">
        <v>12</v>
      </c>
      <c r="J698" s="17">
        <f>ROUND(G698*AO698,2)</f>
        <v>0</v>
      </c>
      <c r="K698" s="17">
        <f>ROUND(G698*AP698,2)</f>
        <v>0</v>
      </c>
      <c r="L698" s="17">
        <f>ROUND(G698*H698,2)</f>
        <v>0</v>
      </c>
      <c r="M698" s="17">
        <f>L698*(1+BW698/100)</f>
        <v>0</v>
      </c>
      <c r="N698" s="17">
        <v>0</v>
      </c>
      <c r="O698" s="17">
        <f>G698*N698</f>
        <v>0</v>
      </c>
      <c r="P698" s="75" t="s">
        <v>576</v>
      </c>
      <c r="Z698" s="17">
        <f>ROUND(IF(AQ698="5",BJ698,0),2)</f>
        <v>0</v>
      </c>
      <c r="AB698" s="17">
        <f>ROUND(IF(AQ698="1",BH698,0),2)</f>
        <v>0</v>
      </c>
      <c r="AC698" s="17">
        <f>ROUND(IF(AQ698="1",BI698,0),2)</f>
        <v>0</v>
      </c>
      <c r="AD698" s="17">
        <f>ROUND(IF(AQ698="7",BH698,0),2)</f>
        <v>0</v>
      </c>
      <c r="AE698" s="17">
        <f>ROUND(IF(AQ698="7",BI698,0),2)</f>
        <v>0</v>
      </c>
      <c r="AF698" s="17">
        <f>ROUND(IF(AQ698="2",BH698,0),2)</f>
        <v>0</v>
      </c>
      <c r="AG698" s="17">
        <f>ROUND(IF(AQ698="2",BI698,0),2)</f>
        <v>0</v>
      </c>
      <c r="AH698" s="17">
        <f>ROUND(IF(AQ698="0",BJ698,0),2)</f>
        <v>0</v>
      </c>
      <c r="AI698" s="14" t="s">
        <v>460</v>
      </c>
      <c r="AJ698" s="17">
        <f>IF(AN698=0,L698,0)</f>
        <v>0</v>
      </c>
      <c r="AK698" s="17">
        <f>IF(AN698=12,L698,0)</f>
        <v>0</v>
      </c>
      <c r="AL698" s="17">
        <f>IF(AN698=21,L698,0)</f>
        <v>0</v>
      </c>
      <c r="AN698" s="17">
        <v>12</v>
      </c>
      <c r="AO698" s="17">
        <f>H698*0</f>
        <v>0</v>
      </c>
      <c r="AP698" s="17">
        <f>H698*(1-0)</f>
        <v>0</v>
      </c>
      <c r="AQ698" s="76" t="s">
        <v>696</v>
      </c>
      <c r="AV698" s="17">
        <f>ROUND(AW698+AX698,2)</f>
        <v>0</v>
      </c>
      <c r="AW698" s="17">
        <f>ROUND(G698*AO698,2)</f>
        <v>0</v>
      </c>
      <c r="AX698" s="17">
        <f>ROUND(G698*AP698,2)</f>
        <v>0</v>
      </c>
      <c r="AY698" s="76" t="s">
        <v>1237</v>
      </c>
      <c r="AZ698" s="76" t="s">
        <v>1231</v>
      </c>
      <c r="BA698" s="14" t="s">
        <v>1232</v>
      </c>
      <c r="BC698" s="17">
        <f>AW698+AX698</f>
        <v>0</v>
      </c>
      <c r="BD698" s="17">
        <f>H698/(100-BE698)*100</f>
        <v>0</v>
      </c>
      <c r="BE698" s="17">
        <v>0</v>
      </c>
      <c r="BF698" s="17">
        <f>O698</f>
        <v>0</v>
      </c>
      <c r="BH698" s="17">
        <f>G698*AO698</f>
        <v>0</v>
      </c>
      <c r="BI698" s="17">
        <f>G698*AP698</f>
        <v>0</v>
      </c>
      <c r="BJ698" s="17">
        <f>G698*H698</f>
        <v>0</v>
      </c>
      <c r="BK698" s="17"/>
      <c r="BL698" s="17"/>
      <c r="BS698" s="17">
        <f>G698*H698</f>
        <v>0</v>
      </c>
      <c r="BW698" s="17">
        <f>I698</f>
        <v>12</v>
      </c>
      <c r="BX698" s="4" t="s">
        <v>477</v>
      </c>
    </row>
    <row r="699" spans="1:76" x14ac:dyDescent="0.25">
      <c r="A699" s="71" t="s">
        <v>25</v>
      </c>
      <c r="B699" s="13" t="s">
        <v>460</v>
      </c>
      <c r="C699" s="13" t="s">
        <v>479</v>
      </c>
      <c r="D699" s="135" t="s">
        <v>480</v>
      </c>
      <c r="E699" s="136"/>
      <c r="F699" s="72" t="s">
        <v>23</v>
      </c>
      <c r="G699" s="72" t="s">
        <v>23</v>
      </c>
      <c r="H699" s="72" t="s">
        <v>23</v>
      </c>
      <c r="I699" s="72" t="s">
        <v>23</v>
      </c>
      <c r="J699" s="47">
        <f>SUM(J700:J700)</f>
        <v>0</v>
      </c>
      <c r="K699" s="47">
        <f>SUM(K700:K700)</f>
        <v>0</v>
      </c>
      <c r="L699" s="47">
        <f>SUM(L700:L700)</f>
        <v>0</v>
      </c>
      <c r="M699" s="47">
        <f>SUM(M700:M700)</f>
        <v>0</v>
      </c>
      <c r="N699" s="14" t="s">
        <v>25</v>
      </c>
      <c r="O699" s="47">
        <f>SUM(O700:O700)</f>
        <v>0</v>
      </c>
      <c r="P699" s="73" t="s">
        <v>25</v>
      </c>
      <c r="AI699" s="14" t="s">
        <v>460</v>
      </c>
      <c r="AS699" s="47">
        <f>SUM(AJ700:AJ700)</f>
        <v>0</v>
      </c>
      <c r="AT699" s="47">
        <f>SUM(AK700:AK700)</f>
        <v>0</v>
      </c>
      <c r="AU699" s="47">
        <f>SUM(AL700:AL700)</f>
        <v>0</v>
      </c>
    </row>
    <row r="700" spans="1:76" x14ac:dyDescent="0.25">
      <c r="A700" s="5" t="s">
        <v>1238</v>
      </c>
      <c r="B700" s="6" t="s">
        <v>460</v>
      </c>
      <c r="C700" s="6" t="s">
        <v>481</v>
      </c>
      <c r="D700" s="137" t="s">
        <v>482</v>
      </c>
      <c r="E700" s="120"/>
      <c r="F700" s="6" t="s">
        <v>473</v>
      </c>
      <c r="G700" s="21">
        <f>'Rozpočet - vybrané sloupce'!J601</f>
        <v>20</v>
      </c>
      <c r="H700" s="21">
        <f>'Rozpočet - vybrané sloupce'!K601</f>
        <v>0</v>
      </c>
      <c r="I700" s="80">
        <v>12</v>
      </c>
      <c r="J700" s="21">
        <f>ROUND(G700*AO700,2)</f>
        <v>0</v>
      </c>
      <c r="K700" s="21">
        <f>ROUND(G700*AP700,2)</f>
        <v>0</v>
      </c>
      <c r="L700" s="21">
        <f>ROUND(G700*H700,2)</f>
        <v>0</v>
      </c>
      <c r="M700" s="21">
        <f>L700*(1+BW700/100)</f>
        <v>0</v>
      </c>
      <c r="N700" s="21">
        <v>0</v>
      </c>
      <c r="O700" s="21">
        <f>G700*N700</f>
        <v>0</v>
      </c>
      <c r="P700" s="81" t="s">
        <v>25</v>
      </c>
      <c r="Z700" s="17">
        <f>ROUND(IF(AQ700="5",BJ700,0),2)</f>
        <v>0</v>
      </c>
      <c r="AB700" s="17">
        <f>ROUND(IF(AQ700="1",BH700,0),2)</f>
        <v>0</v>
      </c>
      <c r="AC700" s="17">
        <f>ROUND(IF(AQ700="1",BI700,0),2)</f>
        <v>0</v>
      </c>
      <c r="AD700" s="17">
        <f>ROUND(IF(AQ700="7",BH700,0),2)</f>
        <v>0</v>
      </c>
      <c r="AE700" s="17">
        <f>ROUND(IF(AQ700="7",BI700,0),2)</f>
        <v>0</v>
      </c>
      <c r="AF700" s="17">
        <f>ROUND(IF(AQ700="2",BH700,0),2)</f>
        <v>0</v>
      </c>
      <c r="AG700" s="17">
        <f>ROUND(IF(AQ700="2",BI700,0),2)</f>
        <v>0</v>
      </c>
      <c r="AH700" s="17">
        <f>ROUND(IF(AQ700="0",BJ700,0),2)</f>
        <v>0</v>
      </c>
      <c r="AI700" s="14" t="s">
        <v>460</v>
      </c>
      <c r="AJ700" s="17">
        <f>IF(AN700=0,L700,0)</f>
        <v>0</v>
      </c>
      <c r="AK700" s="17">
        <f>IF(AN700=12,L700,0)</f>
        <v>0</v>
      </c>
      <c r="AL700" s="17">
        <f>IF(AN700=21,L700,0)</f>
        <v>0</v>
      </c>
      <c r="AN700" s="17">
        <v>12</v>
      </c>
      <c r="AO700" s="17">
        <f>H700*0</f>
        <v>0</v>
      </c>
      <c r="AP700" s="17">
        <f>H700*(1-0)</f>
        <v>0</v>
      </c>
      <c r="AQ700" s="76" t="s">
        <v>696</v>
      </c>
      <c r="AV700" s="17">
        <f>ROUND(AW700+AX700,2)</f>
        <v>0</v>
      </c>
      <c r="AW700" s="17">
        <f>ROUND(G700*AO700,2)</f>
        <v>0</v>
      </c>
      <c r="AX700" s="17">
        <f>ROUND(G700*AP700,2)</f>
        <v>0</v>
      </c>
      <c r="AY700" s="76" t="s">
        <v>1239</v>
      </c>
      <c r="AZ700" s="76" t="s">
        <v>1231</v>
      </c>
      <c r="BA700" s="14" t="s">
        <v>1232</v>
      </c>
      <c r="BC700" s="17">
        <f>AW700+AX700</f>
        <v>0</v>
      </c>
      <c r="BD700" s="17">
        <f>H700/(100-BE700)*100</f>
        <v>0</v>
      </c>
      <c r="BE700" s="17">
        <v>0</v>
      </c>
      <c r="BF700" s="17">
        <f>O700</f>
        <v>0</v>
      </c>
      <c r="BH700" s="17">
        <f>G700*AO700</f>
        <v>0</v>
      </c>
      <c r="BI700" s="17">
        <f>G700*AP700</f>
        <v>0</v>
      </c>
      <c r="BJ700" s="17">
        <f>G700*H700</f>
        <v>0</v>
      </c>
      <c r="BK700" s="17"/>
      <c r="BL700" s="17"/>
      <c r="BU700" s="17">
        <f>G700*H700</f>
        <v>0</v>
      </c>
      <c r="BW700" s="17">
        <f>I700</f>
        <v>12</v>
      </c>
      <c r="BX700" s="4" t="s">
        <v>482</v>
      </c>
    </row>
    <row r="701" spans="1:76" x14ac:dyDescent="0.25">
      <c r="J701" s="160" t="s">
        <v>483</v>
      </c>
      <c r="K701" s="160"/>
      <c r="L701" s="24" t="e">
        <f>ROUND(L13+L21+L29+L37+L40+L60+L63+L80+L84+L103+L110+L162+L170+L213+L220+L262+L267+L296+L303+L308+L330+L337+L342+L364+L371+L399+L426+L453+L469+L484+L499+L509+L513+L517+L519+L530+L541+L545+L547+L549+L551+L561+L575+L583+L587+L591+L593+L601+L608+L611+L613+L615+L617+L623+L633+L641+L645+L649+L651+L659+L666+L669+L671+L673+L675+L681+L692+L694+L697+L699,0)</f>
        <v>#REF!</v>
      </c>
      <c r="M701" s="24" t="e">
        <f>ROUND(M13+M21+M29+M37+M40+M60+M63+M80+M84+M103+M110+M162+M170+M213+M220+M262+M267+M296+M303+M308+M330+M337+M342+M364+M371+M399+M426+M453+M469+M484+M499+M509+M513+M517+M519+M530+M541+M545+M547+M549+M551+M561+M575+M583+M587+M591+M593+M601+M608+M611+M613+M615+M617+M623+M633+M641+M645+M649+M651+M659+M666+M669+M671+M673+M675+M681+M692+M694+M697+M699,0)</f>
        <v>#REF!</v>
      </c>
    </row>
    <row r="702" spans="1:76" x14ac:dyDescent="0.25">
      <c r="A702" s="82" t="s">
        <v>529</v>
      </c>
    </row>
    <row r="703" spans="1:76" ht="12.75" customHeight="1" x14ac:dyDescent="0.25">
      <c r="A703" s="83" t="s">
        <v>25</v>
      </c>
      <c r="B703" s="84"/>
      <c r="C703" s="84"/>
      <c r="D703" s="84"/>
      <c r="E703" s="84"/>
      <c r="F703" s="84"/>
      <c r="G703" s="84"/>
      <c r="H703" s="84"/>
      <c r="I703" s="84"/>
      <c r="J703" s="84"/>
      <c r="K703" s="84"/>
      <c r="L703" s="84"/>
      <c r="M703" s="84"/>
      <c r="N703" s="84"/>
      <c r="O703" s="84"/>
      <c r="P703" s="84"/>
    </row>
  </sheetData>
  <mergeCells count="720">
    <mergeCell ref="A1:P1"/>
    <mergeCell ref="A2:C3"/>
    <mergeCell ref="A4:C5"/>
    <mergeCell ref="A6:C7"/>
    <mergeCell ref="A8:C9"/>
    <mergeCell ref="F2:G3"/>
    <mergeCell ref="F4:G5"/>
    <mergeCell ref="F6:G7"/>
    <mergeCell ref="F8:G9"/>
    <mergeCell ref="I2:I3"/>
    <mergeCell ref="I4:I5"/>
    <mergeCell ref="I6:I7"/>
    <mergeCell ref="I8:I9"/>
    <mergeCell ref="D2:E3"/>
    <mergeCell ref="D4:E5"/>
    <mergeCell ref="D6:E7"/>
    <mergeCell ref="D11:E11"/>
    <mergeCell ref="J10:L10"/>
    <mergeCell ref="N10:O10"/>
    <mergeCell ref="D12:E12"/>
    <mergeCell ref="D13:E13"/>
    <mergeCell ref="J2:P3"/>
    <mergeCell ref="J4:P5"/>
    <mergeCell ref="J6:P7"/>
    <mergeCell ref="J8:P9"/>
    <mergeCell ref="D10:E10"/>
    <mergeCell ref="D8:E9"/>
    <mergeCell ref="H2:H3"/>
    <mergeCell ref="H4:H5"/>
    <mergeCell ref="H6:H7"/>
    <mergeCell ref="H8:H9"/>
    <mergeCell ref="D19:E19"/>
    <mergeCell ref="D20:E20"/>
    <mergeCell ref="D21:E21"/>
    <mergeCell ref="D22:E22"/>
    <mergeCell ref="D23:E23"/>
    <mergeCell ref="D14:E14"/>
    <mergeCell ref="D15:E15"/>
    <mergeCell ref="D16:E16"/>
    <mergeCell ref="D17:E17"/>
    <mergeCell ref="D18:E18"/>
    <mergeCell ref="D29:E29"/>
    <mergeCell ref="D30:E30"/>
    <mergeCell ref="D31:E31"/>
    <mergeCell ref="D32:E32"/>
    <mergeCell ref="D33:E33"/>
    <mergeCell ref="D24:E24"/>
    <mergeCell ref="D25:E25"/>
    <mergeCell ref="D26:E26"/>
    <mergeCell ref="D27:E27"/>
    <mergeCell ref="D28:E28"/>
    <mergeCell ref="D39:E39"/>
    <mergeCell ref="D40:E40"/>
    <mergeCell ref="D41:E41"/>
    <mergeCell ref="D42:E42"/>
    <mergeCell ref="D43:P43"/>
    <mergeCell ref="D34:E34"/>
    <mergeCell ref="D35:E35"/>
    <mergeCell ref="D36:E36"/>
    <mergeCell ref="D37:E37"/>
    <mergeCell ref="D38:E38"/>
    <mergeCell ref="D49:E49"/>
    <mergeCell ref="D50:E50"/>
    <mergeCell ref="D51:E51"/>
    <mergeCell ref="D52:E52"/>
    <mergeCell ref="D53:E53"/>
    <mergeCell ref="D44:E44"/>
    <mergeCell ref="D45:E45"/>
    <mergeCell ref="D46:E46"/>
    <mergeCell ref="D47:E47"/>
    <mergeCell ref="D48:E48"/>
    <mergeCell ref="D59:E59"/>
    <mergeCell ref="D60:E60"/>
    <mergeCell ref="D61:E61"/>
    <mergeCell ref="D62:E62"/>
    <mergeCell ref="D63:E63"/>
    <mergeCell ref="D54:E54"/>
    <mergeCell ref="D55:E55"/>
    <mergeCell ref="D56:E56"/>
    <mergeCell ref="D57:P57"/>
    <mergeCell ref="D58:E58"/>
    <mergeCell ref="D69:E69"/>
    <mergeCell ref="D70:E70"/>
    <mergeCell ref="D71:E71"/>
    <mergeCell ref="D72:E72"/>
    <mergeCell ref="D73:E73"/>
    <mergeCell ref="D64:E64"/>
    <mergeCell ref="D65:E65"/>
    <mergeCell ref="D66:E66"/>
    <mergeCell ref="D67:E67"/>
    <mergeCell ref="D68:E68"/>
    <mergeCell ref="D79:E79"/>
    <mergeCell ref="D80:E80"/>
    <mergeCell ref="D81:E81"/>
    <mergeCell ref="D82:E82"/>
    <mergeCell ref="D83:E83"/>
    <mergeCell ref="D74:E74"/>
    <mergeCell ref="D75:E75"/>
    <mergeCell ref="D76:E76"/>
    <mergeCell ref="D77:E77"/>
    <mergeCell ref="D78:E78"/>
    <mergeCell ref="D89:E89"/>
    <mergeCell ref="D90:E90"/>
    <mergeCell ref="D91:E91"/>
    <mergeCell ref="D92:E92"/>
    <mergeCell ref="D93:E93"/>
    <mergeCell ref="D84:E84"/>
    <mergeCell ref="D85:E85"/>
    <mergeCell ref="D86:E86"/>
    <mergeCell ref="D87:E87"/>
    <mergeCell ref="D88:E88"/>
    <mergeCell ref="D99:E99"/>
    <mergeCell ref="D100:E100"/>
    <mergeCell ref="D101:E101"/>
    <mergeCell ref="D102:E102"/>
    <mergeCell ref="D103:E103"/>
    <mergeCell ref="D94:E94"/>
    <mergeCell ref="D95:E95"/>
    <mergeCell ref="D96:E96"/>
    <mergeCell ref="D97:E97"/>
    <mergeCell ref="D98:E98"/>
    <mergeCell ref="D109:E109"/>
    <mergeCell ref="D110:E110"/>
    <mergeCell ref="D111:E111"/>
    <mergeCell ref="D112:E112"/>
    <mergeCell ref="D113:E113"/>
    <mergeCell ref="D104:E104"/>
    <mergeCell ref="D105:E105"/>
    <mergeCell ref="D106:E106"/>
    <mergeCell ref="D107:E107"/>
    <mergeCell ref="D108:E108"/>
    <mergeCell ref="D119:E119"/>
    <mergeCell ref="D120:P120"/>
    <mergeCell ref="D121:E121"/>
    <mergeCell ref="D122:P122"/>
    <mergeCell ref="D123:E123"/>
    <mergeCell ref="D114:P114"/>
    <mergeCell ref="D115:E115"/>
    <mergeCell ref="D116:E116"/>
    <mergeCell ref="D117:E117"/>
    <mergeCell ref="D118:E118"/>
    <mergeCell ref="D129:E129"/>
    <mergeCell ref="D130:P130"/>
    <mergeCell ref="D131:E131"/>
    <mergeCell ref="D132:P132"/>
    <mergeCell ref="D133:E133"/>
    <mergeCell ref="D124:P124"/>
    <mergeCell ref="D125:E125"/>
    <mergeCell ref="D126:P126"/>
    <mergeCell ref="D127:E127"/>
    <mergeCell ref="D128:P128"/>
    <mergeCell ref="D139:E139"/>
    <mergeCell ref="D140:E140"/>
    <mergeCell ref="D141:E141"/>
    <mergeCell ref="D142:E142"/>
    <mergeCell ref="D143:E143"/>
    <mergeCell ref="D134:E134"/>
    <mergeCell ref="D135:E135"/>
    <mergeCell ref="D136:E136"/>
    <mergeCell ref="D137:E137"/>
    <mergeCell ref="D138:E138"/>
    <mergeCell ref="D149:E149"/>
    <mergeCell ref="D150:E150"/>
    <mergeCell ref="D151:E151"/>
    <mergeCell ref="D152:E152"/>
    <mergeCell ref="D153:E153"/>
    <mergeCell ref="D144:E144"/>
    <mergeCell ref="D145:E145"/>
    <mergeCell ref="D146:E146"/>
    <mergeCell ref="D147:E147"/>
    <mergeCell ref="D148:E148"/>
    <mergeCell ref="D159:P159"/>
    <mergeCell ref="D160:E160"/>
    <mergeCell ref="D161:E161"/>
    <mergeCell ref="D162:E162"/>
    <mergeCell ref="D163:E163"/>
    <mergeCell ref="D154:E154"/>
    <mergeCell ref="D155:E155"/>
    <mergeCell ref="D156:E156"/>
    <mergeCell ref="D157:E157"/>
    <mergeCell ref="D158:E158"/>
    <mergeCell ref="D169:E169"/>
    <mergeCell ref="D170:E170"/>
    <mergeCell ref="D171:E171"/>
    <mergeCell ref="D172:E172"/>
    <mergeCell ref="D173:E173"/>
    <mergeCell ref="D164:E164"/>
    <mergeCell ref="D165:E165"/>
    <mergeCell ref="D166:E166"/>
    <mergeCell ref="D167:E167"/>
    <mergeCell ref="D168:E168"/>
    <mergeCell ref="D179:E179"/>
    <mergeCell ref="D180:E180"/>
    <mergeCell ref="D181:E181"/>
    <mergeCell ref="D182:E182"/>
    <mergeCell ref="D183:E183"/>
    <mergeCell ref="D174:E174"/>
    <mergeCell ref="D175:E175"/>
    <mergeCell ref="D176:E176"/>
    <mergeCell ref="D177:E177"/>
    <mergeCell ref="D178:E178"/>
    <mergeCell ref="D189:E189"/>
    <mergeCell ref="D190:E190"/>
    <mergeCell ref="D191:E191"/>
    <mergeCell ref="D192:E192"/>
    <mergeCell ref="D193:E193"/>
    <mergeCell ref="D184:E184"/>
    <mergeCell ref="D185:E185"/>
    <mergeCell ref="D186:E186"/>
    <mergeCell ref="D187:P187"/>
    <mergeCell ref="D188:E188"/>
    <mergeCell ref="D199:E199"/>
    <mergeCell ref="D200:E200"/>
    <mergeCell ref="D201:E201"/>
    <mergeCell ref="D202:E202"/>
    <mergeCell ref="D203:E203"/>
    <mergeCell ref="D194:E194"/>
    <mergeCell ref="D195:E195"/>
    <mergeCell ref="D196:E196"/>
    <mergeCell ref="D197:E197"/>
    <mergeCell ref="D198:E198"/>
    <mergeCell ref="D209:E209"/>
    <mergeCell ref="D210:E210"/>
    <mergeCell ref="D211:E211"/>
    <mergeCell ref="D212:E212"/>
    <mergeCell ref="D213:E213"/>
    <mergeCell ref="D204:E204"/>
    <mergeCell ref="D205:E205"/>
    <mergeCell ref="D206:E206"/>
    <mergeCell ref="D207:E207"/>
    <mergeCell ref="D208:E208"/>
    <mergeCell ref="D219:E219"/>
    <mergeCell ref="D220:E220"/>
    <mergeCell ref="D221:E221"/>
    <mergeCell ref="D222:E222"/>
    <mergeCell ref="D223:E223"/>
    <mergeCell ref="D214:E214"/>
    <mergeCell ref="D215:E215"/>
    <mergeCell ref="D216:E216"/>
    <mergeCell ref="D217:E217"/>
    <mergeCell ref="D218:E218"/>
    <mergeCell ref="D229:P229"/>
    <mergeCell ref="D230:E230"/>
    <mergeCell ref="D231:E231"/>
    <mergeCell ref="D232:E232"/>
    <mergeCell ref="D233:P233"/>
    <mergeCell ref="D224:E224"/>
    <mergeCell ref="D225:E225"/>
    <mergeCell ref="D226:E226"/>
    <mergeCell ref="D227:E227"/>
    <mergeCell ref="D228:E228"/>
    <mergeCell ref="D239:E239"/>
    <mergeCell ref="D240:E240"/>
    <mergeCell ref="D241:E241"/>
    <mergeCell ref="D242:E242"/>
    <mergeCell ref="D243:E243"/>
    <mergeCell ref="D234:E234"/>
    <mergeCell ref="D235:E235"/>
    <mergeCell ref="D236:E236"/>
    <mergeCell ref="D237:E237"/>
    <mergeCell ref="D238:E238"/>
    <mergeCell ref="D249:E249"/>
    <mergeCell ref="D250:E250"/>
    <mergeCell ref="D251:E251"/>
    <mergeCell ref="D252:E252"/>
    <mergeCell ref="D253:E253"/>
    <mergeCell ref="D244:E244"/>
    <mergeCell ref="D245:E245"/>
    <mergeCell ref="D246:E246"/>
    <mergeCell ref="D247:E247"/>
    <mergeCell ref="D248:E248"/>
    <mergeCell ref="D259:E259"/>
    <mergeCell ref="D260:E260"/>
    <mergeCell ref="D261:E261"/>
    <mergeCell ref="D262:E262"/>
    <mergeCell ref="D263:E263"/>
    <mergeCell ref="D254:E254"/>
    <mergeCell ref="D255:E255"/>
    <mergeCell ref="D256:E256"/>
    <mergeCell ref="D257:E257"/>
    <mergeCell ref="D258:E258"/>
    <mergeCell ref="D269:E269"/>
    <mergeCell ref="D270:E270"/>
    <mergeCell ref="D271:P271"/>
    <mergeCell ref="D272:E272"/>
    <mergeCell ref="D273:E273"/>
    <mergeCell ref="D264:E264"/>
    <mergeCell ref="D265:E265"/>
    <mergeCell ref="D266:E266"/>
    <mergeCell ref="D267:E267"/>
    <mergeCell ref="D268:E268"/>
    <mergeCell ref="D279:P279"/>
    <mergeCell ref="D280:E280"/>
    <mergeCell ref="D281:P281"/>
    <mergeCell ref="D282:E282"/>
    <mergeCell ref="D283:P283"/>
    <mergeCell ref="D274:E274"/>
    <mergeCell ref="D275:P275"/>
    <mergeCell ref="D276:E276"/>
    <mergeCell ref="D277:P277"/>
    <mergeCell ref="D278:E278"/>
    <mergeCell ref="D289:E289"/>
    <mergeCell ref="D290:E290"/>
    <mergeCell ref="D291:E291"/>
    <mergeCell ref="D292:E292"/>
    <mergeCell ref="D293:E293"/>
    <mergeCell ref="D284:E284"/>
    <mergeCell ref="D285:P285"/>
    <mergeCell ref="D286:E286"/>
    <mergeCell ref="D287:E287"/>
    <mergeCell ref="D288:E288"/>
    <mergeCell ref="D299:E299"/>
    <mergeCell ref="D300:E300"/>
    <mergeCell ref="D301:E301"/>
    <mergeCell ref="D302:E302"/>
    <mergeCell ref="D303:E303"/>
    <mergeCell ref="D294:P294"/>
    <mergeCell ref="D295:E295"/>
    <mergeCell ref="D296:E296"/>
    <mergeCell ref="D297:E297"/>
    <mergeCell ref="D298:E298"/>
    <mergeCell ref="D309:E309"/>
    <mergeCell ref="D310:E310"/>
    <mergeCell ref="D311:E311"/>
    <mergeCell ref="D312:E312"/>
    <mergeCell ref="D313:E313"/>
    <mergeCell ref="D304:E304"/>
    <mergeCell ref="D305:E305"/>
    <mergeCell ref="D306:E306"/>
    <mergeCell ref="D307:E307"/>
    <mergeCell ref="D308:E308"/>
    <mergeCell ref="D319:E319"/>
    <mergeCell ref="D320:E320"/>
    <mergeCell ref="D321:E321"/>
    <mergeCell ref="D322:E322"/>
    <mergeCell ref="D323:E323"/>
    <mergeCell ref="D314:E314"/>
    <mergeCell ref="D315:E315"/>
    <mergeCell ref="D316:E316"/>
    <mergeCell ref="D317:E317"/>
    <mergeCell ref="D318:E318"/>
    <mergeCell ref="D329:E329"/>
    <mergeCell ref="D330:E330"/>
    <mergeCell ref="D331:E331"/>
    <mergeCell ref="D332:E332"/>
    <mergeCell ref="D333:E333"/>
    <mergeCell ref="D324:E324"/>
    <mergeCell ref="D325:E325"/>
    <mergeCell ref="D326:E326"/>
    <mergeCell ref="D327:E327"/>
    <mergeCell ref="D328:P328"/>
    <mergeCell ref="D339:E339"/>
    <mergeCell ref="D340:E340"/>
    <mergeCell ref="D341:E341"/>
    <mergeCell ref="D342:E342"/>
    <mergeCell ref="D343:E343"/>
    <mergeCell ref="D334:E334"/>
    <mergeCell ref="D335:E335"/>
    <mergeCell ref="D336:E336"/>
    <mergeCell ref="D337:E337"/>
    <mergeCell ref="D338:E338"/>
    <mergeCell ref="D349:E349"/>
    <mergeCell ref="D350:E350"/>
    <mergeCell ref="D351:E351"/>
    <mergeCell ref="D352:E352"/>
    <mergeCell ref="D353:E353"/>
    <mergeCell ref="D344:E344"/>
    <mergeCell ref="D345:E345"/>
    <mergeCell ref="D346:E346"/>
    <mergeCell ref="D347:E347"/>
    <mergeCell ref="D348:E348"/>
    <mergeCell ref="D359:E359"/>
    <mergeCell ref="D360:E360"/>
    <mergeCell ref="D361:E361"/>
    <mergeCell ref="D362:P362"/>
    <mergeCell ref="D363:E363"/>
    <mergeCell ref="D354:E354"/>
    <mergeCell ref="D355:E355"/>
    <mergeCell ref="D356:E356"/>
    <mergeCell ref="D357:E357"/>
    <mergeCell ref="D358:E358"/>
    <mergeCell ref="D369:E369"/>
    <mergeCell ref="D370:E370"/>
    <mergeCell ref="D371:E371"/>
    <mergeCell ref="D372:E372"/>
    <mergeCell ref="D373:E373"/>
    <mergeCell ref="D364:E364"/>
    <mergeCell ref="D365:E365"/>
    <mergeCell ref="D366:E366"/>
    <mergeCell ref="D367:E367"/>
    <mergeCell ref="D368:E368"/>
    <mergeCell ref="D379:E379"/>
    <mergeCell ref="D380:E380"/>
    <mergeCell ref="D381:E381"/>
    <mergeCell ref="D382:E382"/>
    <mergeCell ref="D383:E383"/>
    <mergeCell ref="D374:E374"/>
    <mergeCell ref="D375:E375"/>
    <mergeCell ref="D376:E376"/>
    <mergeCell ref="D377:E377"/>
    <mergeCell ref="D378:E378"/>
    <mergeCell ref="D389:E389"/>
    <mergeCell ref="D390:E390"/>
    <mergeCell ref="D391:E391"/>
    <mergeCell ref="D392:E392"/>
    <mergeCell ref="D393:E393"/>
    <mergeCell ref="D384:E384"/>
    <mergeCell ref="D385:E385"/>
    <mergeCell ref="D386:E386"/>
    <mergeCell ref="D387:E387"/>
    <mergeCell ref="D388:E388"/>
    <mergeCell ref="D399:E399"/>
    <mergeCell ref="D400:E400"/>
    <mergeCell ref="D401:E401"/>
    <mergeCell ref="D402:E402"/>
    <mergeCell ref="D403:E403"/>
    <mergeCell ref="D394:E394"/>
    <mergeCell ref="D395:E395"/>
    <mergeCell ref="D396:P396"/>
    <mergeCell ref="D397:E397"/>
    <mergeCell ref="D398:E398"/>
    <mergeCell ref="D409:E409"/>
    <mergeCell ref="D410:E410"/>
    <mergeCell ref="D411:E411"/>
    <mergeCell ref="D412:E412"/>
    <mergeCell ref="D413:E413"/>
    <mergeCell ref="D404:E404"/>
    <mergeCell ref="D405:E405"/>
    <mergeCell ref="D406:E406"/>
    <mergeCell ref="D407:E407"/>
    <mergeCell ref="D408:E408"/>
    <mergeCell ref="D419:E419"/>
    <mergeCell ref="D420:E420"/>
    <mergeCell ref="D421:E421"/>
    <mergeCell ref="D422:E422"/>
    <mergeCell ref="D423:E423"/>
    <mergeCell ref="D414:E414"/>
    <mergeCell ref="D415:E415"/>
    <mergeCell ref="D416:E416"/>
    <mergeCell ref="D417:E417"/>
    <mergeCell ref="D418:E418"/>
    <mergeCell ref="D429:E429"/>
    <mergeCell ref="D430:E430"/>
    <mergeCell ref="D431:E431"/>
    <mergeCell ref="D432:E432"/>
    <mergeCell ref="D433:E433"/>
    <mergeCell ref="D424:E424"/>
    <mergeCell ref="D425:E425"/>
    <mergeCell ref="D426:E426"/>
    <mergeCell ref="D427:E427"/>
    <mergeCell ref="D428:E428"/>
    <mergeCell ref="D439:E439"/>
    <mergeCell ref="D440:E440"/>
    <mergeCell ref="D441:E441"/>
    <mergeCell ref="D442:E442"/>
    <mergeCell ref="D443:E443"/>
    <mergeCell ref="D434:E434"/>
    <mergeCell ref="D435:E435"/>
    <mergeCell ref="D436:E436"/>
    <mergeCell ref="D437:E437"/>
    <mergeCell ref="D438:E438"/>
    <mergeCell ref="D449:E449"/>
    <mergeCell ref="D450:E450"/>
    <mergeCell ref="D451:E451"/>
    <mergeCell ref="D452:E452"/>
    <mergeCell ref="D453:E453"/>
    <mergeCell ref="D444:E444"/>
    <mergeCell ref="D445:E445"/>
    <mergeCell ref="D446:E446"/>
    <mergeCell ref="D447:E447"/>
    <mergeCell ref="D448:E448"/>
    <mergeCell ref="D459:E459"/>
    <mergeCell ref="D460:E460"/>
    <mergeCell ref="D461:E461"/>
    <mergeCell ref="D462:E462"/>
    <mergeCell ref="D463:E463"/>
    <mergeCell ref="D454:E454"/>
    <mergeCell ref="D455:E455"/>
    <mergeCell ref="D456:E456"/>
    <mergeCell ref="D457:E457"/>
    <mergeCell ref="D458:E458"/>
    <mergeCell ref="D469:E469"/>
    <mergeCell ref="D470:E470"/>
    <mergeCell ref="D471:E471"/>
    <mergeCell ref="D472:E472"/>
    <mergeCell ref="D473:E473"/>
    <mergeCell ref="D464:E464"/>
    <mergeCell ref="D465:E465"/>
    <mergeCell ref="D466:P466"/>
    <mergeCell ref="D467:E467"/>
    <mergeCell ref="D468:E468"/>
    <mergeCell ref="D479:E479"/>
    <mergeCell ref="D480:E480"/>
    <mergeCell ref="D481:E481"/>
    <mergeCell ref="D482:E482"/>
    <mergeCell ref="D483:E483"/>
    <mergeCell ref="D474:E474"/>
    <mergeCell ref="D475:E475"/>
    <mergeCell ref="D476:E476"/>
    <mergeCell ref="D477:E477"/>
    <mergeCell ref="D478:E478"/>
    <mergeCell ref="D489:E489"/>
    <mergeCell ref="D490:E490"/>
    <mergeCell ref="D491:E491"/>
    <mergeCell ref="D492:E492"/>
    <mergeCell ref="D493:E493"/>
    <mergeCell ref="D484:E484"/>
    <mergeCell ref="D485:E485"/>
    <mergeCell ref="D486:E486"/>
    <mergeCell ref="D487:E487"/>
    <mergeCell ref="D488:E488"/>
    <mergeCell ref="D499:E499"/>
    <mergeCell ref="D500:E500"/>
    <mergeCell ref="D501:E501"/>
    <mergeCell ref="D502:E502"/>
    <mergeCell ref="D503:E503"/>
    <mergeCell ref="D494:E494"/>
    <mergeCell ref="D495:E495"/>
    <mergeCell ref="D496:E496"/>
    <mergeCell ref="D497:E497"/>
    <mergeCell ref="D498:E498"/>
    <mergeCell ref="D509:E509"/>
    <mergeCell ref="D510:E510"/>
    <mergeCell ref="D511:E511"/>
    <mergeCell ref="D512:E512"/>
    <mergeCell ref="D513:E513"/>
    <mergeCell ref="D504:P504"/>
    <mergeCell ref="D505:E505"/>
    <mergeCell ref="D506:E506"/>
    <mergeCell ref="D507:P507"/>
    <mergeCell ref="D508:E508"/>
    <mergeCell ref="D519:E519"/>
    <mergeCell ref="D520:E520"/>
    <mergeCell ref="D521:E521"/>
    <mergeCell ref="D522:E522"/>
    <mergeCell ref="D523:E523"/>
    <mergeCell ref="D514:E514"/>
    <mergeCell ref="D515:E515"/>
    <mergeCell ref="D516:E516"/>
    <mergeCell ref="D517:E517"/>
    <mergeCell ref="D518:E518"/>
    <mergeCell ref="D529:E529"/>
    <mergeCell ref="D530:E530"/>
    <mergeCell ref="D531:E531"/>
    <mergeCell ref="D532:P532"/>
    <mergeCell ref="D533:E533"/>
    <mergeCell ref="D524:P524"/>
    <mergeCell ref="D525:E525"/>
    <mergeCell ref="D526:P526"/>
    <mergeCell ref="D527:E527"/>
    <mergeCell ref="D528:P528"/>
    <mergeCell ref="D539:E539"/>
    <mergeCell ref="D540:E540"/>
    <mergeCell ref="D541:E541"/>
    <mergeCell ref="D542:E542"/>
    <mergeCell ref="D543:E543"/>
    <mergeCell ref="D534:P534"/>
    <mergeCell ref="D535:E535"/>
    <mergeCell ref="D536:P536"/>
    <mergeCell ref="D537:E537"/>
    <mergeCell ref="D538:P538"/>
    <mergeCell ref="D549:E549"/>
    <mergeCell ref="D550:E550"/>
    <mergeCell ref="D551:E551"/>
    <mergeCell ref="D552:E552"/>
    <mergeCell ref="D553:P553"/>
    <mergeCell ref="D544:P544"/>
    <mergeCell ref="D545:E545"/>
    <mergeCell ref="D546:E546"/>
    <mergeCell ref="D547:E547"/>
    <mergeCell ref="D548:E548"/>
    <mergeCell ref="D559:E559"/>
    <mergeCell ref="D560:P560"/>
    <mergeCell ref="D561:E561"/>
    <mergeCell ref="D562:E562"/>
    <mergeCell ref="D563:E563"/>
    <mergeCell ref="D554:E554"/>
    <mergeCell ref="D555:E555"/>
    <mergeCell ref="D556:P556"/>
    <mergeCell ref="D557:E557"/>
    <mergeCell ref="D558:P558"/>
    <mergeCell ref="D569:E569"/>
    <mergeCell ref="D570:E570"/>
    <mergeCell ref="D571:E571"/>
    <mergeCell ref="D572:E572"/>
    <mergeCell ref="D573:P573"/>
    <mergeCell ref="D564:P564"/>
    <mergeCell ref="D565:E565"/>
    <mergeCell ref="D566:P566"/>
    <mergeCell ref="D567:E567"/>
    <mergeCell ref="D568:P568"/>
    <mergeCell ref="D579:E579"/>
    <mergeCell ref="D580:E580"/>
    <mergeCell ref="D581:E581"/>
    <mergeCell ref="D582:E582"/>
    <mergeCell ref="D583:E583"/>
    <mergeCell ref="D574:E574"/>
    <mergeCell ref="D575:E575"/>
    <mergeCell ref="D576:E576"/>
    <mergeCell ref="D577:E577"/>
    <mergeCell ref="D578:E578"/>
    <mergeCell ref="D589:E589"/>
    <mergeCell ref="D590:E590"/>
    <mergeCell ref="D591:E591"/>
    <mergeCell ref="D592:E592"/>
    <mergeCell ref="D593:E593"/>
    <mergeCell ref="D584:E584"/>
    <mergeCell ref="D585:E585"/>
    <mergeCell ref="D586:E586"/>
    <mergeCell ref="D587:E587"/>
    <mergeCell ref="D588:E588"/>
    <mergeCell ref="D599:E599"/>
    <mergeCell ref="D600:E600"/>
    <mergeCell ref="D601:E601"/>
    <mergeCell ref="D602:E602"/>
    <mergeCell ref="D603:E603"/>
    <mergeCell ref="D594:E594"/>
    <mergeCell ref="D595:E595"/>
    <mergeCell ref="D596:E596"/>
    <mergeCell ref="D597:E597"/>
    <mergeCell ref="D598:E598"/>
    <mergeCell ref="D609:E609"/>
    <mergeCell ref="D610:E610"/>
    <mergeCell ref="D611:E611"/>
    <mergeCell ref="D612:E612"/>
    <mergeCell ref="D613:E613"/>
    <mergeCell ref="D604:E604"/>
    <mergeCell ref="D605:E605"/>
    <mergeCell ref="D606:E606"/>
    <mergeCell ref="D607:E607"/>
    <mergeCell ref="D608:E608"/>
    <mergeCell ref="D619:E619"/>
    <mergeCell ref="D620:E620"/>
    <mergeCell ref="D621:E621"/>
    <mergeCell ref="D622:E622"/>
    <mergeCell ref="D623:E623"/>
    <mergeCell ref="D614:E614"/>
    <mergeCell ref="D615:E615"/>
    <mergeCell ref="D616:E616"/>
    <mergeCell ref="D617:E617"/>
    <mergeCell ref="D618:E618"/>
    <mergeCell ref="D629:E629"/>
    <mergeCell ref="D630:E630"/>
    <mergeCell ref="D631:E631"/>
    <mergeCell ref="D632:E632"/>
    <mergeCell ref="D633:E633"/>
    <mergeCell ref="D624:E624"/>
    <mergeCell ref="D625:E625"/>
    <mergeCell ref="D626:E626"/>
    <mergeCell ref="D627:E627"/>
    <mergeCell ref="D628:E628"/>
    <mergeCell ref="D639:E639"/>
    <mergeCell ref="D640:E640"/>
    <mergeCell ref="D641:E641"/>
    <mergeCell ref="D642:E642"/>
    <mergeCell ref="D643:E643"/>
    <mergeCell ref="D634:E634"/>
    <mergeCell ref="D635:E635"/>
    <mergeCell ref="D636:E636"/>
    <mergeCell ref="D637:E637"/>
    <mergeCell ref="D638:E638"/>
    <mergeCell ref="D649:E649"/>
    <mergeCell ref="D650:E650"/>
    <mergeCell ref="D651:E651"/>
    <mergeCell ref="D652:E652"/>
    <mergeCell ref="D653:E653"/>
    <mergeCell ref="D644:E644"/>
    <mergeCell ref="D645:E645"/>
    <mergeCell ref="D646:E646"/>
    <mergeCell ref="D647:E647"/>
    <mergeCell ref="D648:E648"/>
    <mergeCell ref="D659:E659"/>
    <mergeCell ref="D660:E660"/>
    <mergeCell ref="D661:E661"/>
    <mergeCell ref="D662:E662"/>
    <mergeCell ref="D663:E663"/>
    <mergeCell ref="D654:E654"/>
    <mergeCell ref="D655:E655"/>
    <mergeCell ref="D656:E656"/>
    <mergeCell ref="D657:E657"/>
    <mergeCell ref="D658:E658"/>
    <mergeCell ref="D669:E669"/>
    <mergeCell ref="D670:E670"/>
    <mergeCell ref="D671:E671"/>
    <mergeCell ref="D672:E672"/>
    <mergeCell ref="D673:E673"/>
    <mergeCell ref="D664:E664"/>
    <mergeCell ref="D665:E665"/>
    <mergeCell ref="D666:E666"/>
    <mergeCell ref="D667:E667"/>
    <mergeCell ref="D668:E668"/>
    <mergeCell ref="D679:E679"/>
    <mergeCell ref="D680:E680"/>
    <mergeCell ref="D681:E681"/>
    <mergeCell ref="D682:E682"/>
    <mergeCell ref="D683:E683"/>
    <mergeCell ref="D674:E674"/>
    <mergeCell ref="D675:E675"/>
    <mergeCell ref="D676:E676"/>
    <mergeCell ref="D677:E677"/>
    <mergeCell ref="D678:E678"/>
    <mergeCell ref="D689:E689"/>
    <mergeCell ref="D690:E690"/>
    <mergeCell ref="D691:E691"/>
    <mergeCell ref="D692:E692"/>
    <mergeCell ref="D693:E693"/>
    <mergeCell ref="D684:E684"/>
    <mergeCell ref="D685:E685"/>
    <mergeCell ref="D686:E686"/>
    <mergeCell ref="D687:E687"/>
    <mergeCell ref="D688:E688"/>
    <mergeCell ref="D699:E699"/>
    <mergeCell ref="D700:E700"/>
    <mergeCell ref="J701:K701"/>
    <mergeCell ref="A703:P703"/>
    <mergeCell ref="D694:E694"/>
    <mergeCell ref="D695:E695"/>
    <mergeCell ref="D696:E696"/>
    <mergeCell ref="D697:E697"/>
    <mergeCell ref="D698:E698"/>
  </mergeCells>
  <pageMargins left="0.393999993801117" right="0.393999993801117" top="0.59100002050399802" bottom="0.59100002050399802" header="0" footer="0"/>
  <pageSetup fitToHeight="0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1</vt:i4>
      </vt:variant>
    </vt:vector>
  </HeadingPairs>
  <TitlesOfParts>
    <vt:vector size="5" baseType="lpstr">
      <vt:lpstr>Krycí list rozpočtu</vt:lpstr>
      <vt:lpstr>Rozpočet - vybrané sloupce</vt:lpstr>
      <vt:lpstr>VORN</vt:lpstr>
      <vt:lpstr>Stavební rozpočet</vt:lpstr>
      <vt:lpstr>vorn_sum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Michal Szlauer</cp:lastModifiedBy>
  <cp:lastPrinted>2025-03-11T10:55:23Z</cp:lastPrinted>
  <dcterms:created xsi:type="dcterms:W3CDTF">2021-06-10T20:06:38Z</dcterms:created>
  <dcterms:modified xsi:type="dcterms:W3CDTF">2025-10-24T09:24:30Z</dcterms:modified>
</cp:coreProperties>
</file>